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ctrlProps/ctrlProp1.xml" ContentType="application/vnd.ms-excel.controlproperties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802"/>
  <workbookPr dateCompatibility="0" codeName="ThisWorkbook2"/>
  <mc:AlternateContent xmlns:mc="http://schemas.openxmlformats.org/markup-compatibility/2006">
    <mc:Choice Requires="x15">
      <x15ac:absPath xmlns:x15ac="http://schemas.microsoft.com/office/spreadsheetml/2010/11/ac" url="/Users/aidav/Downloads/"/>
    </mc:Choice>
  </mc:AlternateContent>
  <xr:revisionPtr revIDLastSave="0" documentId="8_{6FA112A8-337E-494F-BD14-DAE03705FB8A}" xr6:coauthVersionLast="47" xr6:coauthVersionMax="47" xr10:uidLastSave="{00000000-0000-0000-0000-000000000000}"/>
  <bookViews>
    <workbookView xWindow="0" yWindow="660" windowWidth="30240" windowHeight="17400" tabRatio="500" activeTab="1" xr2:uid="{00000000-000D-0000-FFFF-FFFF00000000}"/>
  </bookViews>
  <sheets>
    <sheet name="Project info" sheetId="1" r:id="rId1"/>
    <sheet name="Model structure" sheetId="2" r:id="rId2"/>
    <sheet name="Analysis" sheetId="3" r:id="rId3"/>
    <sheet name="Parameters" sheetId="4" r:id="rId4"/>
    <sheet name="Costs" sheetId="5" r:id="rId5"/>
    <sheet name="Utilities" sheetId="6" r:id="rId6"/>
    <sheet name="Inavolisib" sheetId="7" r:id="rId7"/>
    <sheet name="Comparator" sheetId="8" r:id="rId8"/>
    <sheet name="extrapolation" sheetId="9" r:id="rId9"/>
    <sheet name="curve PFS inavo" sheetId="10" r:id="rId10"/>
    <sheet name="curve PFS placebo" sheetId="11" r:id="rId11"/>
    <sheet name="curve OS inavo" sheetId="12" r:id="rId12"/>
    <sheet name="curve OS placebo" sheetId="13" r:id="rId13"/>
    <sheet name="Simulation" sheetId="14" r:id="rId14"/>
    <sheet name="CE-plane" sheetId="15" r:id="rId15"/>
    <sheet name="CEAC" sheetId="16" r:id="rId16"/>
  </sheets>
  <definedNames>
    <definedName name="ae_anaemia_comp">Parameters!$B$63</definedName>
    <definedName name="ae_anaemia_inav">Parameters!$B$62</definedName>
    <definedName name="ae_dur_anaemia">Parameters!$B$71</definedName>
    <definedName name="ae_dur_hyperglycaemia">Parameters!$B$72</definedName>
    <definedName name="ae_dur_neutropenia">Parameters!$B$69</definedName>
    <definedName name="ae_dur_stomatitis">Parameters!$B$73</definedName>
    <definedName name="ae_dur_thrombocytopenia">Parameters!$B$70</definedName>
    <definedName name="ae_hyperglycaemia_comp">Parameters!$B$66</definedName>
    <definedName name="ae_hyperglycaemia_inav">Parameters!$B$64</definedName>
    <definedName name="AE_lumpsum_inavo">Costs!$E$76</definedName>
    <definedName name="AE_lumpsum_placebo">Costs!$F$76</definedName>
    <definedName name="ae_neutropenia_comp">Parameters!$B$59</definedName>
    <definedName name="ae_neutropenia_inav">Parameters!$B$58</definedName>
    <definedName name="ae_stomatitis_comp">Parameters!$B$67</definedName>
    <definedName name="ae_stomatitis_inav">Parameters!$B$65</definedName>
    <definedName name="ae_thrombocytopenia_comp">Parameters!$B$61</definedName>
    <definedName name="ae_thrombocytopenia_inav">Parameters!$B$60</definedName>
    <definedName name="bsa_dutch_female">Parameters!$B$131</definedName>
    <definedName name="cap_cycle_days">Parameters!$B$138</definedName>
    <definedName name="cDR">Parameters!$B$9</definedName>
    <definedName name="cohort_size">Parameters!$B$11</definedName>
    <definedName name="cost_dpyd">Parameters!$B$136</definedName>
    <definedName name="cpi_2017_to_2025">Parameters!$B$30</definedName>
    <definedName name="cpi_2018_to_2025">Parameters!$B$31</definedName>
    <definedName name="cpi_2019_to_2025">Parameters!$B$32</definedName>
    <definedName name="cpi_2020_to_2025">Parameters!$B$33</definedName>
    <definedName name="cpi_2021_to_2025">Parameters!$B$34</definedName>
    <definedName name="cpi_2022_to_2025">Parameters!$B$35</definedName>
    <definedName name="cpi_2023_to_2025">Parameters!$B$36</definedName>
    <definedName name="cpi_2024_to_2025">Parameters!$B$37</definedName>
    <definedName name="cpi_no_index">Parameters!$B$39</definedName>
    <definedName name="cycle_length_days">Parameters!$B$12</definedName>
    <definedName name="cycle_length_weeksyear">Parameters!$B$13</definedName>
    <definedName name="cycles_per_bone_dose">Parameters!$B$141</definedName>
    <definedName name="cycles_per_hba1c">Parameters!$B$106</definedName>
    <definedName name="cycles_per_palliative">Parameters!$B$139</definedName>
    <definedName name="disc_admin_SD_inavo">Inavolisib!$AU$269</definedName>
    <definedName name="disc_admin_SD_placebo">Comparator!$AU$269</definedName>
    <definedName name="disc_AE_inavo">Inavolisib!$AZ$269</definedName>
    <definedName name="disc_AE_placebo">Comparator!$AZ$269</definedName>
    <definedName name="disc_drugacq_PD_inavo">Inavolisib!$BB$269</definedName>
    <definedName name="disc_drugacq_PD_placebo">Comparator!$BB$269</definedName>
    <definedName name="disc_drugacq_SD_inavo">Inavolisib!$AT$269</definedName>
    <definedName name="disc_drugacq_SD_placebo">Comparator!$AT$269</definedName>
    <definedName name="disc_eol_inavo">Inavolisib!$BF$269</definedName>
    <definedName name="disc_eol_placebo">Comparator!$BF$269</definedName>
    <definedName name="disc_hcru_PD_inavo">Inavolisib!$BC$269</definedName>
    <definedName name="disc_hcru_PD_placebo">Comparator!$BC$269</definedName>
    <definedName name="disc_hcru_SD_inavo">Inavolisib!$AV$269</definedName>
    <definedName name="disc_hcru_SD_placebo">Comparator!$AV$269</definedName>
    <definedName name="disc_informal_PD_inavo">Inavolisib!$BD$269</definedName>
    <definedName name="disc_informal_PD_placebo">Comparator!$BD$269</definedName>
    <definedName name="disc_informal_SD_inavo">Inavolisib!$AX$269</definedName>
    <definedName name="disc_informal_SD_placebo">Comparator!$AX$269</definedName>
    <definedName name="disc_patienttime_PD_inavo">Inavolisib!$BE$269</definedName>
    <definedName name="disc_patienttime_PD_placebo">Comparator!$BE$269</definedName>
    <definedName name="disc_patienttime_SD_inavo">Inavolisib!$AY$269</definedName>
    <definedName name="disc_patienttime_SD_placebo">Comparator!$AY$269</definedName>
    <definedName name="disc_productivity_inavo">Inavolisib!$AW$269</definedName>
    <definedName name="disc_productivity_placebo">Comparator!$AW$269</definedName>
    <definedName name="disc_total_PD_inavo">Inavolisib!$BG$269</definedName>
    <definedName name="disc_total_PD_placebo">Comparator!$BG$269</definedName>
    <definedName name="disc_total_SD_inavo">Inavolisib!$BA$269</definedName>
    <definedName name="disc_total_SD_placebo">Comparator!$BA$269</definedName>
    <definedName name="disp_fee_first_raw">Parameters!$B$108</definedName>
    <definedName name="disp_fee_repeat_raw">Parameters!$B$107</definedName>
    <definedName name="Distribution_OS">Parameters!$B$7</definedName>
    <definedName name="Distribution_PFS">Parameters!$B$8</definedName>
    <definedName name="disutil_anaemia">Parameters!$B$52</definedName>
    <definedName name="disutil_hyperglycaemia">Parameters!$B$53</definedName>
    <definedName name="disutil_neutropenia">Parameters!$B$50</definedName>
    <definedName name="disutil_stomatitis">Parameters!$B$54</definedName>
    <definedName name="disutil_thrombocytopenia">Parameters!$B$51</definedName>
    <definedName name="Dosage_fulvestrant_per_injection">Parameters!$B$92</definedName>
    <definedName name="Dosage_gosereline_per_injection">Parameters!$B$97</definedName>
    <definedName name="Dose_fulvestrant">Parameters!$B$91</definedName>
    <definedName name="Dose_goserelin">Parameters!$B$96</definedName>
    <definedName name="dose_inavolisib_mg_day">Parameters!$B$84</definedName>
    <definedName name="dose_inavolisib_mg_tab">Parameters!$B$85</definedName>
    <definedName name="dose_palbociclib_mg_day">Parameters!$B$87</definedName>
    <definedName name="dose_palbociclib_mg_tab">Parameters!$B$88</definedName>
    <definedName name="Drug_acquisition_SD">Inavolisib!$AT$269</definedName>
    <definedName name="End_of_life_costs_per_patient">Costs!$AG$5</definedName>
    <definedName name="EoL_chosen">Parameters!$B$145</definedName>
    <definedName name="EoL_chosen_cpi">Parameters!$B$146</definedName>
    <definedName name="eol_schneider_raw">Parameters!$B$143</definedName>
    <definedName name="eol_vandijk_raw">Parameters!$B$144</definedName>
    <definedName name="friction_period_days">Parameters!$B$152</definedName>
    <definedName name="hours_per_workday">Parameters!$B$153</definedName>
    <definedName name="hr_os">Parameters!$B$44</definedName>
    <definedName name="hr_pfs">Parameters!$B$43</definedName>
    <definedName name="Ind_PSA">Analysis!$E$7</definedName>
    <definedName name="informal_care_rate">Parameters!$B$148</definedName>
    <definedName name="informal_hours_pd_week">Parameters!$B$150</definedName>
    <definedName name="informal_hours_pfs_week">Parameters!$B$149</definedName>
    <definedName name="n_admin_c1">Parameters!$B$100</definedName>
    <definedName name="n_admin_c2plus">Parameters!$B$101</definedName>
    <definedName name="n_cap_cycles">Parameters!$B$135</definedName>
    <definedName name="n_cap_doses_per_day">Parameters!$B$133</definedName>
    <definedName name="n_cap_tabs_per_day">Parameters!$B$132</definedName>
    <definedName name="n_cap_treat_days">Parameters!$B$134</definedName>
    <definedName name="n_cbc_c1c2">Parameters!$B$104</definedName>
    <definedName name="n_cbc_c3plus">Parameters!$B$105</definedName>
    <definedName name="n_comp_AE">Parameters!$B$56</definedName>
    <definedName name="n_cycles">Parameters!$B$15</definedName>
    <definedName name="n_days_week">Parameters!$B$14</definedName>
    <definedName name="n_days_year">Parameters!$B$17</definedName>
    <definedName name="n_fulvestrant_c1">Parameters!$B$93</definedName>
    <definedName name="n_fulvestrant_c2plus">Parameters!$B$94</definedName>
    <definedName name="n_goserelin_per_cycle">Parameters!$B$98</definedName>
    <definedName name="n_inavo_AE">Parameters!$B$57</definedName>
    <definedName name="n_inavolisib_per_cycle">Parameters!$B$83</definedName>
    <definedName name="n_outpatient_c1">Parameters!$B$102</definedName>
    <definedName name="n_outpatient_c2plus">Parameters!$B$103</definedName>
    <definedName name="n_palbociclib_per_cycle">Parameters!$B$89</definedName>
    <definedName name="n_visits_hyperglycaemia">Parameters!$B$127</definedName>
    <definedName name="nza_70101_erythrocytes">Parameters!$B$110</definedName>
    <definedName name="nza_70102_alkphos">Parameters!$B$117</definedName>
    <definedName name="nza_70103_platelets">Parameters!$B$113</definedName>
    <definedName name="nza_70107_leukocytes">Parameters!$B$111</definedName>
    <definedName name="nza_70303_bilirubin">Parameters!$B$116</definedName>
    <definedName name="nza_70419_creatinine">Parameters!$B$118</definedName>
    <definedName name="nza_70489_ast">Parameters!$B$115</definedName>
    <definedName name="nza_70718_differential">Parameters!$B$112</definedName>
    <definedName name="nza_74065_hba1c">Parameters!$B$119</definedName>
    <definedName name="nza_74891_alt">Parameters!$B$114</definedName>
    <definedName name="oDR">Parameters!$B$10</definedName>
    <definedName name="OS_dist_choice">Parameters!$B$7</definedName>
    <definedName name="PAID_per_LY">Costs!$H$88</definedName>
    <definedName name="paid_unrelated_medical">Parameters!$B$157</definedName>
    <definedName name="patient_hours_per_visit">Parameters!$B$156</definedName>
    <definedName name="Patient_time_c1">Costs!$H$86</definedName>
    <definedName name="Patient_time_c2plus">Costs!$H$87</definedName>
    <definedName name="Patient_time_PD_per_cycle">Costs!$H$87</definedName>
    <definedName name="patient_time_rate">Parameters!$B$155</definedName>
    <definedName name="PD_lumpsum_inavo">Costs!$W$15</definedName>
    <definedName name="PD_lumpsum_placebo">Costs!$X$15</definedName>
    <definedName name="PD_ongoing_inavo">Costs!$U$40</definedName>
    <definedName name="PD_ongoing_placebo">Costs!$V$40</definedName>
    <definedName name="perc_SE_admin_costs">Parameters!$B$22</definedName>
    <definedName name="perc_SE_AE_costs">Parameters!$B$21</definedName>
    <definedName name="perc_SE_EoL_default">Parameters!$B$25</definedName>
    <definedName name="perc_SE_HCRU_costs">Parameters!$B$23</definedName>
    <definedName name="perc_SE_PD_ongoing">Parameters!$B$24</definedName>
    <definedName name="perc_SE_societal">Parameters!$B$26</definedName>
    <definedName name="perc_SE_utilities">Parameters!$B$20</definedName>
    <definedName name="PFS_dist_choice">Parameters!$B$8</definedName>
    <definedName name="price_capecitabine_tab">Parameters!$B$130</definedName>
    <definedName name="price_fulvestrant_syr">Parameters!$B$90</definedName>
    <definedName name="price_goserelin_implant">Parameters!$B$95</definedName>
    <definedName name="price_inavolisib_tab">Parameters!$B$82</definedName>
    <definedName name="price_palbociclib_tab">Parameters!$B$86</definedName>
    <definedName name="price_zoledronic">Parameters!$B$140</definedName>
    <definedName name="prob_fn_given_neutropenia">Parameters!$B$126</definedName>
    <definedName name="Productivity_lumpsum">Costs!$H$84</definedName>
    <definedName name="productivity_rate_hour">Parameters!$B$151</definedName>
    <definedName name="prop_2L_chemo_comp">Parameters!$B$80</definedName>
    <definedName name="prop_2L_chemo_inav">Parameters!$B$79</definedName>
    <definedName name="prop_bone_comp">Parameters!$B$78</definedName>
    <definedName name="prop_bone_inav">Parameters!$B$77</definedName>
    <definedName name="prop_premeno_comp">Parameters!$B$76</definedName>
    <definedName name="prop_premeno_inav">Parameters!$B$75</definedName>
    <definedName name="prop_working_age">Parameters!$B$154</definedName>
    <definedName name="PSA_CostInavo_mean">Simulation!$D$11</definedName>
    <definedName name="PSA_CostPlacebo_mean">Simulation!$E$11</definedName>
    <definedName name="PSA_LYInavo_mean">Simulation!$F$11</definedName>
    <definedName name="PSA_LYPlacebo_mean">Simulation!$G$11</definedName>
    <definedName name="PSA_QALYInavo_mean">Simulation!$H$11</definedName>
    <definedName name="PSA_QALYPlacebo_mean">Simulation!$I$11</definedName>
    <definedName name="QALY_lost_AE_inavo_lumpsum">Utilities!$H$10</definedName>
    <definedName name="QALY_lost_AE_placebo_lumpsum">Utilities!$H$21</definedName>
    <definedName name="SD_admin_c1_inavo">Costs!$B$31</definedName>
    <definedName name="SD_admin_c1_placebo">Costs!$C$31</definedName>
    <definedName name="SD_admin_c2_inavo">Costs!$B$32</definedName>
    <definedName name="SD_admin_c2_placebo">Costs!$C$32</definedName>
    <definedName name="SD_drugacq_c1_inavo">Costs!$I$13</definedName>
    <definedName name="SD_drugacq_c1_placebo">Costs!$J$13</definedName>
    <definedName name="SD_drugacq_c2_inavo">Costs!$I$14</definedName>
    <definedName name="SD_drugacq_c2_placebo">Costs!$J$14</definedName>
    <definedName name="SD_hcru_c1_inavo">Costs!$E$53</definedName>
    <definedName name="SD_hcru_c1_placebo">Costs!$F$53</definedName>
    <definedName name="SD_hcru_c2_inavo">Costs!$E$54</definedName>
    <definedName name="SD_hcru_c2_placebo">Costs!$F$54</definedName>
    <definedName name="SD_hcru_c3plus_placebo">Costs!$F$55</definedName>
    <definedName name="Societal_informal_PD_per_cycle">Costs!$H$83</definedName>
    <definedName name="Societal_informal_PFS_per_cycle">Costs!$H$82</definedName>
    <definedName name="total_cost_inavo">Inavolisib!$BH$269</definedName>
    <definedName name="total_cost_inavo_undisc">Inavolisib!$AG$269</definedName>
    <definedName name="total_cost_placebo">Comparator!$BH$269</definedName>
    <definedName name="total_cost_placebo_undisc">Comparator!$AG$269</definedName>
    <definedName name="total_LY_inavo">Inavolisib!$BK$269</definedName>
    <definedName name="total_LY_inavo_undisc">Inavolisib!$AJ$269</definedName>
    <definedName name="total_LY_placebo">Comparator!$BK$269</definedName>
    <definedName name="total_LY_placebo_undisc">Comparator!$AJ$269</definedName>
    <definedName name="total_QALY_inavo">Inavolisib!$BO$269</definedName>
    <definedName name="total_QALY_inavo_undisc">Inavolisib!$AN$269</definedName>
    <definedName name="total_QALY_placebo">Comparator!$BO$269</definedName>
    <definedName name="total_QALY_placebo_undisc">Comparator!$AN$269</definedName>
    <definedName name="unit_dexa_mouthwash">Parameters!$B$125</definedName>
    <definedName name="unit_fn_hospital">Parameters!$B$122</definedName>
    <definedName name="unit_metformin_30d">Parameters!$B$124</definedName>
    <definedName name="unit_outpatient_visit">Parameters!$B$121</definedName>
    <definedName name="unit_rbc_transfusion">Parameters!$B$123</definedName>
    <definedName name="unit_sc_admin">Parameters!$B$128</definedName>
    <definedName name="utility_death">Parameters!$B$48</definedName>
    <definedName name="utility_pd">Parameters!$B$47</definedName>
    <definedName name="utility_pfs">Parameters!$B$46</definedName>
    <definedName name="WTP_threshold">Parameters!$B$16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BF58" i="9" l="1"/>
  <c r="BE58" i="9"/>
  <c r="BD58" i="9"/>
  <c r="BC58" i="9"/>
  <c r="BB58" i="9"/>
  <c r="AZ58" i="9"/>
  <c r="AY58" i="9"/>
  <c r="AX58" i="9"/>
  <c r="AW58" i="9"/>
  <c r="AV58" i="9"/>
  <c r="AT58" i="9"/>
  <c r="AS58" i="9"/>
  <c r="AR58" i="9"/>
  <c r="AQ58" i="9"/>
  <c r="AP58" i="9"/>
  <c r="AN58" i="9"/>
  <c r="AM58" i="9"/>
  <c r="AL58" i="9"/>
  <c r="AK58" i="9"/>
  <c r="AJ58" i="9"/>
  <c r="BG54" i="9"/>
  <c r="BA54" i="9"/>
  <c r="AU54" i="9"/>
  <c r="AO54" i="9"/>
  <c r="BG53" i="9"/>
  <c r="BF53" i="9"/>
  <c r="BE53" i="9"/>
  <c r="BD53" i="9"/>
  <c r="BC53" i="9"/>
  <c r="BA53" i="9"/>
  <c r="AZ53" i="9"/>
  <c r="AY53" i="9"/>
  <c r="AX53" i="9"/>
  <c r="AW53" i="9"/>
  <c r="AU53" i="9"/>
  <c r="AT53" i="9"/>
  <c r="AS53" i="9"/>
  <c r="AR53" i="9"/>
  <c r="AQ53" i="9"/>
  <c r="AO53" i="9"/>
  <c r="AN53" i="9"/>
  <c r="AM53" i="9"/>
  <c r="AL53" i="9"/>
  <c r="AK53" i="9"/>
  <c r="BG52" i="9"/>
  <c r="BF52" i="9"/>
  <c r="BF59" i="9" s="1"/>
  <c r="Z7" i="9" s="1"/>
  <c r="BE52" i="9"/>
  <c r="BE59" i="9" s="1"/>
  <c r="Y7" i="9" s="1"/>
  <c r="BD52" i="9"/>
  <c r="BC52" i="9"/>
  <c r="BC59" i="9" s="1"/>
  <c r="W7" i="9" s="1"/>
  <c r="BB52" i="9"/>
  <c r="BB59" i="9" s="1"/>
  <c r="V7" i="9" s="1"/>
  <c r="BA52" i="9"/>
  <c r="AZ52" i="9"/>
  <c r="AY52" i="9"/>
  <c r="AY59" i="9" s="1"/>
  <c r="S7" i="9" s="1"/>
  <c r="AX52" i="9"/>
  <c r="AW52" i="9"/>
  <c r="AV52" i="9"/>
  <c r="AV59" i="9" s="1"/>
  <c r="P7" i="9" s="1"/>
  <c r="AU52" i="9"/>
  <c r="AK73" i="9" s="1"/>
  <c r="O7" i="9" s="1"/>
  <c r="AT52" i="9"/>
  <c r="AS52" i="9"/>
  <c r="AR52" i="9"/>
  <c r="AQ52" i="9"/>
  <c r="AP52" i="9"/>
  <c r="AP59" i="9" s="1"/>
  <c r="J7" i="9" s="1"/>
  <c r="AO52" i="9"/>
  <c r="AN52" i="9"/>
  <c r="AN59" i="9" s="1"/>
  <c r="H7" i="9" s="1"/>
  <c r="AM52" i="9"/>
  <c r="AM59" i="9" s="1"/>
  <c r="G7" i="9" s="1"/>
  <c r="AL52" i="9"/>
  <c r="AK52" i="9"/>
  <c r="AJ52" i="9"/>
  <c r="AJ59" i="9" s="1"/>
  <c r="D7" i="9" s="1"/>
  <c r="C16" i="9"/>
  <c r="A16" i="9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A305" i="9" s="1"/>
  <c r="A306" i="9" s="1"/>
  <c r="A307" i="9" s="1"/>
  <c r="A308" i="9" s="1"/>
  <c r="A309" i="9" s="1"/>
  <c r="A310" i="9" s="1"/>
  <c r="A311" i="9" s="1"/>
  <c r="A312" i="9" s="1"/>
  <c r="A313" i="9" s="1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333" i="9" s="1"/>
  <c r="A334" i="9" s="1"/>
  <c r="A335" i="9" s="1"/>
  <c r="A336" i="9" s="1"/>
  <c r="A337" i="9" s="1"/>
  <c r="A338" i="9" s="1"/>
  <c r="A339" i="9" s="1"/>
  <c r="A340" i="9" s="1"/>
  <c r="A341" i="9" s="1"/>
  <c r="A342" i="9" s="1"/>
  <c r="A343" i="9" s="1"/>
  <c r="A344" i="9" s="1"/>
  <c r="A345" i="9" s="1"/>
  <c r="A346" i="9" s="1"/>
  <c r="A347" i="9" s="1"/>
  <c r="A348" i="9" s="1"/>
  <c r="A349" i="9" s="1"/>
  <c r="A350" i="9" s="1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75" i="9" s="1"/>
  <c r="A376" i="9" s="1"/>
  <c r="A377" i="9" s="1"/>
  <c r="A378" i="9" s="1"/>
  <c r="A379" i="9" s="1"/>
  <c r="A380" i="9" s="1"/>
  <c r="A381" i="9" s="1"/>
  <c r="A382" i="9" s="1"/>
  <c r="A383" i="9" s="1"/>
  <c r="A384" i="9" s="1"/>
  <c r="A385" i="9" s="1"/>
  <c r="A386" i="9" s="1"/>
  <c r="A387" i="9" s="1"/>
  <c r="A388" i="9" s="1"/>
  <c r="A389" i="9" s="1"/>
  <c r="A390" i="9" s="1"/>
  <c r="A391" i="9" s="1"/>
  <c r="A392" i="9" s="1"/>
  <c r="A393" i="9" s="1"/>
  <c r="A394" i="9" s="1"/>
  <c r="A395" i="9" s="1"/>
  <c r="A396" i="9" s="1"/>
  <c r="A397" i="9" s="1"/>
  <c r="A398" i="9" s="1"/>
  <c r="A399" i="9" s="1"/>
  <c r="A400" i="9" s="1"/>
  <c r="A401" i="9" s="1"/>
  <c r="A402" i="9" s="1"/>
  <c r="A403" i="9" s="1"/>
  <c r="A404" i="9" s="1"/>
  <c r="A405" i="9" s="1"/>
  <c r="A406" i="9" s="1"/>
  <c r="A407" i="9" s="1"/>
  <c r="A408" i="9" s="1"/>
  <c r="A409" i="9" s="1"/>
  <c r="A410" i="9" s="1"/>
  <c r="A411" i="9" s="1"/>
  <c r="A412" i="9" s="1"/>
  <c r="A413" i="9" s="1"/>
  <c r="A414" i="9" s="1"/>
  <c r="A415" i="9" s="1"/>
  <c r="A416" i="9" s="1"/>
  <c r="A417" i="9" s="1"/>
  <c r="A418" i="9" s="1"/>
  <c r="A419" i="9" s="1"/>
  <c r="A420" i="9" s="1"/>
  <c r="A421" i="9" s="1"/>
  <c r="A422" i="9" s="1"/>
  <c r="A423" i="9" s="1"/>
  <c r="A424" i="9" s="1"/>
  <c r="A425" i="9" s="1"/>
  <c r="A426" i="9" s="1"/>
  <c r="A427" i="9" s="1"/>
  <c r="A428" i="9" s="1"/>
  <c r="A429" i="9" s="1"/>
  <c r="A430" i="9" s="1"/>
  <c r="A431" i="9" s="1"/>
  <c r="A432" i="9" s="1"/>
  <c r="A433" i="9" s="1"/>
  <c r="A434" i="9" s="1"/>
  <c r="A435" i="9" s="1"/>
  <c r="A436" i="9" s="1"/>
  <c r="A437" i="9" s="1"/>
  <c r="A438" i="9" s="1"/>
  <c r="A439" i="9" s="1"/>
  <c r="A440" i="9" s="1"/>
  <c r="A441" i="9" s="1"/>
  <c r="A442" i="9" s="1"/>
  <c r="A443" i="9" s="1"/>
  <c r="A444" i="9" s="1"/>
  <c r="A445" i="9" s="1"/>
  <c r="A446" i="9" s="1"/>
  <c r="A447" i="9" s="1"/>
  <c r="A448" i="9" s="1"/>
  <c r="A449" i="9" s="1"/>
  <c r="A450" i="9" s="1"/>
  <c r="A451" i="9" s="1"/>
  <c r="A452" i="9" s="1"/>
  <c r="A453" i="9" s="1"/>
  <c r="A454" i="9" s="1"/>
  <c r="A455" i="9" s="1"/>
  <c r="A456" i="9" s="1"/>
  <c r="A457" i="9" s="1"/>
  <c r="A458" i="9" s="1"/>
  <c r="A459" i="9" s="1"/>
  <c r="A460" i="9" s="1"/>
  <c r="A461" i="9" s="1"/>
  <c r="A462" i="9" s="1"/>
  <c r="A463" i="9" s="1"/>
  <c r="A464" i="9" s="1"/>
  <c r="A465" i="9" s="1"/>
  <c r="A466" i="9" s="1"/>
  <c r="A467" i="9" s="1"/>
  <c r="A468" i="9" s="1"/>
  <c r="A469" i="9" s="1"/>
  <c r="A470" i="9" s="1"/>
  <c r="A471" i="9" s="1"/>
  <c r="A472" i="9" s="1"/>
  <c r="A473" i="9" s="1"/>
  <c r="A474" i="9" s="1"/>
  <c r="A475" i="9" s="1"/>
  <c r="A476" i="9" s="1"/>
  <c r="A477" i="9" s="1"/>
  <c r="A478" i="9" s="1"/>
  <c r="A479" i="9" s="1"/>
  <c r="A480" i="9" s="1"/>
  <c r="A481" i="9" s="1"/>
  <c r="A482" i="9" s="1"/>
  <c r="A483" i="9" s="1"/>
  <c r="A484" i="9" s="1"/>
  <c r="A485" i="9" s="1"/>
  <c r="A486" i="9" s="1"/>
  <c r="A487" i="9" s="1"/>
  <c r="A488" i="9" s="1"/>
  <c r="V8" i="9"/>
  <c r="P8" i="9"/>
  <c r="J8" i="9"/>
  <c r="D8" i="9"/>
  <c r="AA6" i="9"/>
  <c r="Z6" i="9"/>
  <c r="Y6" i="9"/>
  <c r="X6" i="9"/>
  <c r="W6" i="9"/>
  <c r="V6" i="9"/>
  <c r="U6" i="9"/>
  <c r="T6" i="9"/>
  <c r="S6" i="9"/>
  <c r="R6" i="9"/>
  <c r="Q6" i="9"/>
  <c r="P6" i="9"/>
  <c r="O6" i="9"/>
  <c r="N6" i="9"/>
  <c r="M6" i="9"/>
  <c r="L6" i="9"/>
  <c r="K6" i="9"/>
  <c r="J6" i="9"/>
  <c r="I6" i="9"/>
  <c r="H6" i="9"/>
  <c r="G6" i="9"/>
  <c r="F6" i="9"/>
  <c r="E6" i="9"/>
  <c r="D6" i="9"/>
  <c r="A7" i="8"/>
  <c r="A8" i="8" s="1"/>
  <c r="AR6" i="8"/>
  <c r="AQ6" i="8"/>
  <c r="G6" i="8"/>
  <c r="E6" i="8"/>
  <c r="D6" i="8"/>
  <c r="B7" i="7"/>
  <c r="C7" i="7" s="1"/>
  <c r="A7" i="7"/>
  <c r="A8" i="7" s="1"/>
  <c r="AR6" i="7"/>
  <c r="AQ6" i="7"/>
  <c r="G6" i="7"/>
  <c r="E6" i="7"/>
  <c r="D6" i="7"/>
  <c r="I6" i="7" s="1"/>
  <c r="C85" i="5"/>
  <c r="C84" i="5"/>
  <c r="F83" i="5"/>
  <c r="C83" i="5"/>
  <c r="F82" i="5"/>
  <c r="C82" i="5"/>
  <c r="Q28" i="5"/>
  <c r="C42" i="5"/>
  <c r="D25" i="5"/>
  <c r="D24" i="5"/>
  <c r="C20" i="5"/>
  <c r="C19" i="5"/>
  <c r="Q13" i="5"/>
  <c r="Q12" i="5"/>
  <c r="H157" i="4"/>
  <c r="C157" i="4"/>
  <c r="B157" i="4" s="1"/>
  <c r="H88" i="5" s="1"/>
  <c r="E156" i="4"/>
  <c r="H156" i="4" s="1"/>
  <c r="E155" i="4"/>
  <c r="H155" i="4" s="1"/>
  <c r="H154" i="4"/>
  <c r="C154" i="4"/>
  <c r="B154" i="4" s="1"/>
  <c r="F84" i="5" s="1"/>
  <c r="C153" i="4"/>
  <c r="B153" i="4"/>
  <c r="C152" i="4"/>
  <c r="B152" i="4"/>
  <c r="H151" i="4"/>
  <c r="E151" i="4"/>
  <c r="C151" i="4" s="1"/>
  <c r="B151" i="4" s="1"/>
  <c r="B84" i="5" s="1"/>
  <c r="D84" i="5" s="1"/>
  <c r="H150" i="4"/>
  <c r="C150" i="4"/>
  <c r="B150" i="4" s="1"/>
  <c r="E83" i="5" s="1"/>
  <c r="H149" i="4"/>
  <c r="C149" i="4"/>
  <c r="B149" i="4" s="1"/>
  <c r="E82" i="5" s="1"/>
  <c r="H148" i="4"/>
  <c r="E148" i="4"/>
  <c r="C148" i="4"/>
  <c r="B148" i="4" s="1"/>
  <c r="D146" i="4"/>
  <c r="B146" i="4" s="1"/>
  <c r="AE5" i="5" s="1"/>
  <c r="C146" i="4"/>
  <c r="E144" i="4"/>
  <c r="H144" i="4" s="1"/>
  <c r="H143" i="4"/>
  <c r="C143" i="4"/>
  <c r="B143" i="4" s="1"/>
  <c r="D145" i="4" s="1"/>
  <c r="C145" i="4" s="1"/>
  <c r="C141" i="4"/>
  <c r="B141" i="4"/>
  <c r="Q39" i="5" s="1"/>
  <c r="H140" i="4"/>
  <c r="E140" i="4"/>
  <c r="C140" i="4"/>
  <c r="B140" i="4" s="1"/>
  <c r="C139" i="4"/>
  <c r="B139" i="4"/>
  <c r="Q38" i="5" s="1"/>
  <c r="C138" i="4"/>
  <c r="B138" i="4"/>
  <c r="Q33" i="5" s="1"/>
  <c r="E136" i="4"/>
  <c r="H136" i="4" s="1"/>
  <c r="C135" i="4"/>
  <c r="B135" i="4"/>
  <c r="T12" i="5" s="1"/>
  <c r="C134" i="4"/>
  <c r="B134" i="4"/>
  <c r="S6" i="5" s="1"/>
  <c r="C133" i="4"/>
  <c r="B133" i="4"/>
  <c r="R6" i="5" s="1"/>
  <c r="C132" i="4"/>
  <c r="B132" i="4"/>
  <c r="Q6" i="5" s="1"/>
  <c r="C131" i="4"/>
  <c r="B131" i="4"/>
  <c r="C130" i="4"/>
  <c r="B130" i="4"/>
  <c r="P6" i="5" s="1"/>
  <c r="H128" i="4"/>
  <c r="E128" i="4"/>
  <c r="C128" i="4" s="1"/>
  <c r="B128" i="4" s="1"/>
  <c r="B19" i="5" s="1"/>
  <c r="D19" i="5" s="1"/>
  <c r="C127" i="4"/>
  <c r="B127" i="4"/>
  <c r="E126" i="4"/>
  <c r="H126" i="4" s="1"/>
  <c r="C125" i="4"/>
  <c r="B125" i="4"/>
  <c r="C67" i="5" s="1"/>
  <c r="C124" i="4"/>
  <c r="B124" i="4"/>
  <c r="C66" i="5" s="1"/>
  <c r="E123" i="4"/>
  <c r="C123" i="4" s="1"/>
  <c r="B123" i="4" s="1"/>
  <c r="B65" i="5" s="1"/>
  <c r="D65" i="5" s="1"/>
  <c r="G65" i="5" s="1"/>
  <c r="B73" i="5" s="1"/>
  <c r="E122" i="4"/>
  <c r="H122" i="4" s="1"/>
  <c r="H121" i="4"/>
  <c r="E121" i="4"/>
  <c r="C121" i="4"/>
  <c r="B121" i="4" s="1"/>
  <c r="P28" i="5" s="1"/>
  <c r="R28" i="5" s="1"/>
  <c r="C119" i="4"/>
  <c r="B119" i="4"/>
  <c r="B43" i="5" s="1"/>
  <c r="D43" i="5" s="1"/>
  <c r="B49" i="5" s="1"/>
  <c r="C118" i="4"/>
  <c r="B118" i="4"/>
  <c r="P31" i="5" s="1"/>
  <c r="R31" i="5" s="1"/>
  <c r="C117" i="4"/>
  <c r="B117" i="4"/>
  <c r="P24" i="5" s="1"/>
  <c r="C116" i="4"/>
  <c r="B116" i="4"/>
  <c r="P23" i="5" s="1"/>
  <c r="C115" i="4"/>
  <c r="B115" i="4"/>
  <c r="P22" i="5" s="1"/>
  <c r="C114" i="4"/>
  <c r="B114" i="4"/>
  <c r="P21" i="5" s="1"/>
  <c r="C113" i="4"/>
  <c r="B113" i="4"/>
  <c r="B40" i="5" s="1"/>
  <c r="D40" i="5" s="1"/>
  <c r="C112" i="4"/>
  <c r="B112" i="4"/>
  <c r="B39" i="5" s="1"/>
  <c r="D39" i="5" s="1"/>
  <c r="C111" i="4"/>
  <c r="B111" i="4"/>
  <c r="B38" i="5" s="1"/>
  <c r="D38" i="5" s="1"/>
  <c r="C110" i="4"/>
  <c r="B110" i="4"/>
  <c r="B37" i="5" s="1"/>
  <c r="D37" i="5" s="1"/>
  <c r="H108" i="4"/>
  <c r="E108" i="4"/>
  <c r="C108" i="4"/>
  <c r="B108" i="4" s="1"/>
  <c r="C24" i="5" s="1"/>
  <c r="F24" i="5" s="1"/>
  <c r="E107" i="4"/>
  <c r="C107" i="4" s="1"/>
  <c r="B107" i="4" s="1"/>
  <c r="B24" i="5" s="1"/>
  <c r="E24" i="5" s="1"/>
  <c r="C106" i="4"/>
  <c r="B106" i="4"/>
  <c r="E49" i="5" s="1"/>
  <c r="C105" i="4"/>
  <c r="B105" i="4"/>
  <c r="E48" i="5" s="1"/>
  <c r="C104" i="4"/>
  <c r="B104" i="4"/>
  <c r="D48" i="5" s="1"/>
  <c r="C103" i="4"/>
  <c r="B103" i="4"/>
  <c r="D47" i="5" s="1"/>
  <c r="C102" i="4"/>
  <c r="B102" i="4"/>
  <c r="C47" i="5" s="1"/>
  <c r="C101" i="4"/>
  <c r="B101" i="4"/>
  <c r="C100" i="4"/>
  <c r="B100" i="4"/>
  <c r="C98" i="4"/>
  <c r="B98" i="4"/>
  <c r="F12" i="5" s="1"/>
  <c r="C97" i="4"/>
  <c r="B97" i="4"/>
  <c r="C12" i="5" s="1"/>
  <c r="C96" i="4"/>
  <c r="B96" i="4"/>
  <c r="D12" i="5" s="1"/>
  <c r="C95" i="4"/>
  <c r="B95" i="4"/>
  <c r="B12" i="5" s="1"/>
  <c r="C94" i="4"/>
  <c r="B94" i="4"/>
  <c r="F20" i="5" s="1"/>
  <c r="C93" i="4"/>
  <c r="B93" i="4"/>
  <c r="F19" i="5" s="1"/>
  <c r="C92" i="4"/>
  <c r="B92" i="4"/>
  <c r="C11" i="5" s="1"/>
  <c r="C91" i="4"/>
  <c r="B91" i="4"/>
  <c r="D11" i="5" s="1"/>
  <c r="C90" i="4"/>
  <c r="B90" i="4"/>
  <c r="B11" i="5" s="1"/>
  <c r="C89" i="4"/>
  <c r="B89" i="4"/>
  <c r="F9" i="5" s="1"/>
  <c r="C88" i="4"/>
  <c r="B88" i="4"/>
  <c r="D9" i="5" s="1"/>
  <c r="C87" i="4"/>
  <c r="B87" i="4"/>
  <c r="C9" i="5" s="1"/>
  <c r="C86" i="4"/>
  <c r="B86" i="4"/>
  <c r="B9" i="5" s="1"/>
  <c r="C85" i="4"/>
  <c r="B85" i="4"/>
  <c r="D8" i="5" s="1"/>
  <c r="C84" i="4"/>
  <c r="B84" i="4"/>
  <c r="C8" i="5" s="1"/>
  <c r="E8" i="5" s="1"/>
  <c r="C83" i="4"/>
  <c r="B83" i="4"/>
  <c r="F8" i="5" s="1"/>
  <c r="C82" i="4"/>
  <c r="B82" i="4"/>
  <c r="B8" i="5" s="1"/>
  <c r="E80" i="4"/>
  <c r="H80" i="4" s="1"/>
  <c r="E79" i="4"/>
  <c r="H79" i="4" s="1"/>
  <c r="C79" i="4"/>
  <c r="B79" i="4" s="1"/>
  <c r="E78" i="4"/>
  <c r="C78" i="4" s="1"/>
  <c r="B78" i="4" s="1"/>
  <c r="T39" i="5" s="1"/>
  <c r="E77" i="4"/>
  <c r="H77" i="4" s="1"/>
  <c r="H76" i="4"/>
  <c r="E76" i="4"/>
  <c r="C76" i="4"/>
  <c r="B76" i="4" s="1"/>
  <c r="H12" i="5" s="1"/>
  <c r="E75" i="4"/>
  <c r="C75" i="4" s="1"/>
  <c r="B75" i="4" s="1"/>
  <c r="G12" i="5" s="1"/>
  <c r="C73" i="4"/>
  <c r="B73" i="4"/>
  <c r="E20" i="6" s="1"/>
  <c r="F20" i="6" s="1"/>
  <c r="C72" i="4"/>
  <c r="B72" i="4"/>
  <c r="E8" i="6" s="1"/>
  <c r="F8" i="6" s="1"/>
  <c r="C71" i="4"/>
  <c r="B71" i="4"/>
  <c r="E18" i="6" s="1"/>
  <c r="F18" i="6" s="1"/>
  <c r="C70" i="4"/>
  <c r="B70" i="4"/>
  <c r="E6" i="6" s="1"/>
  <c r="F6" i="6" s="1"/>
  <c r="C69" i="4"/>
  <c r="B69" i="4"/>
  <c r="E16" i="6" s="1"/>
  <c r="F16" i="6" s="1"/>
  <c r="C67" i="4"/>
  <c r="B67" i="4"/>
  <c r="C20" i="6" s="1"/>
  <c r="C66" i="4"/>
  <c r="B66" i="4"/>
  <c r="C19" i="6" s="1"/>
  <c r="C57" i="4"/>
  <c r="B57" i="4"/>
  <c r="E60" i="4" s="1"/>
  <c r="C56" i="4"/>
  <c r="B56" i="4"/>
  <c r="E63" i="4" s="1"/>
  <c r="E54" i="4"/>
  <c r="H54" i="4" s="1"/>
  <c r="E53" i="4"/>
  <c r="H53" i="4" s="1"/>
  <c r="C53" i="4"/>
  <c r="B53" i="4" s="1"/>
  <c r="D8" i="6" s="1"/>
  <c r="E52" i="4"/>
  <c r="H52" i="4" s="1"/>
  <c r="E51" i="4"/>
  <c r="H51" i="4" s="1"/>
  <c r="C51" i="4"/>
  <c r="B51" i="4" s="1"/>
  <c r="D6" i="6" s="1"/>
  <c r="E50" i="4"/>
  <c r="H50" i="4" s="1"/>
  <c r="C48" i="4"/>
  <c r="B48" i="4"/>
  <c r="E47" i="4"/>
  <c r="H47" i="4" s="1"/>
  <c r="H46" i="4"/>
  <c r="E46" i="4"/>
  <c r="C46" i="4" s="1"/>
  <c r="B46" i="4" s="1"/>
  <c r="C44" i="4"/>
  <c r="B44" i="4" s="1"/>
  <c r="C43" i="4"/>
  <c r="B43" i="4" s="1"/>
  <c r="B13" i="4"/>
  <c r="C21" i="3"/>
  <c r="A1" i="3"/>
  <c r="O1017" i="14"/>
  <c r="A1001" i="15" s="1"/>
  <c r="N1017" i="14"/>
  <c r="M1017" i="14"/>
  <c r="B1001" i="15" s="1"/>
  <c r="O1016" i="14"/>
  <c r="A1000" i="15" s="1"/>
  <c r="N1016" i="14"/>
  <c r="M1016" i="14"/>
  <c r="B1000" i="15" s="1"/>
  <c r="O1015" i="14"/>
  <c r="A999" i="15" s="1"/>
  <c r="N1015" i="14"/>
  <c r="M1015" i="14"/>
  <c r="B999" i="15" s="1"/>
  <c r="O1014" i="14"/>
  <c r="A998" i="15" s="1"/>
  <c r="N1014" i="14"/>
  <c r="M1014" i="14"/>
  <c r="B998" i="15" s="1"/>
  <c r="O1013" i="14"/>
  <c r="A997" i="15" s="1"/>
  <c r="N1013" i="14"/>
  <c r="M1013" i="14"/>
  <c r="B997" i="15" s="1"/>
  <c r="O1012" i="14"/>
  <c r="A996" i="15" s="1"/>
  <c r="N1012" i="14"/>
  <c r="M1012" i="14"/>
  <c r="B996" i="15" s="1"/>
  <c r="O1011" i="14"/>
  <c r="A995" i="15" s="1"/>
  <c r="N1011" i="14"/>
  <c r="M1011" i="14"/>
  <c r="B995" i="15" s="1"/>
  <c r="O1010" i="14"/>
  <c r="A994" i="15" s="1"/>
  <c r="N1010" i="14"/>
  <c r="M1010" i="14"/>
  <c r="B994" i="15" s="1"/>
  <c r="O1009" i="14"/>
  <c r="A993" i="15" s="1"/>
  <c r="N1009" i="14"/>
  <c r="M1009" i="14"/>
  <c r="B993" i="15" s="1"/>
  <c r="O1008" i="14"/>
  <c r="A992" i="15" s="1"/>
  <c r="N1008" i="14"/>
  <c r="M1008" i="14"/>
  <c r="B992" i="15" s="1"/>
  <c r="O1007" i="14"/>
  <c r="A991" i="15" s="1"/>
  <c r="N1007" i="14"/>
  <c r="M1007" i="14"/>
  <c r="B991" i="15" s="1"/>
  <c r="O1006" i="14"/>
  <c r="A990" i="15" s="1"/>
  <c r="N1006" i="14"/>
  <c r="M1006" i="14"/>
  <c r="B990" i="15" s="1"/>
  <c r="O1005" i="14"/>
  <c r="A989" i="15" s="1"/>
  <c r="N1005" i="14"/>
  <c r="M1005" i="14"/>
  <c r="B989" i="15" s="1"/>
  <c r="O1004" i="14"/>
  <c r="A988" i="15" s="1"/>
  <c r="N1004" i="14"/>
  <c r="M1004" i="14"/>
  <c r="B988" i="15" s="1"/>
  <c r="O1003" i="14"/>
  <c r="A987" i="15" s="1"/>
  <c r="N1003" i="14"/>
  <c r="M1003" i="14"/>
  <c r="B987" i="15" s="1"/>
  <c r="O1002" i="14"/>
  <c r="A986" i="15" s="1"/>
  <c r="N1002" i="14"/>
  <c r="M1002" i="14"/>
  <c r="B986" i="15" s="1"/>
  <c r="O1001" i="14"/>
  <c r="A985" i="15" s="1"/>
  <c r="N1001" i="14"/>
  <c r="M1001" i="14"/>
  <c r="B985" i="15" s="1"/>
  <c r="O1000" i="14"/>
  <c r="A984" i="15" s="1"/>
  <c r="N1000" i="14"/>
  <c r="M1000" i="14"/>
  <c r="B984" i="15" s="1"/>
  <c r="O999" i="14"/>
  <c r="A983" i="15" s="1"/>
  <c r="N999" i="14"/>
  <c r="M999" i="14"/>
  <c r="B983" i="15" s="1"/>
  <c r="O998" i="14"/>
  <c r="A982" i="15" s="1"/>
  <c r="N998" i="14"/>
  <c r="M998" i="14"/>
  <c r="B982" i="15" s="1"/>
  <c r="O997" i="14"/>
  <c r="A981" i="15" s="1"/>
  <c r="N997" i="14"/>
  <c r="M997" i="14"/>
  <c r="B981" i="15" s="1"/>
  <c r="O996" i="14"/>
  <c r="A980" i="15" s="1"/>
  <c r="N996" i="14"/>
  <c r="M996" i="14"/>
  <c r="B980" i="15" s="1"/>
  <c r="O995" i="14"/>
  <c r="A979" i="15" s="1"/>
  <c r="N995" i="14"/>
  <c r="M995" i="14"/>
  <c r="B979" i="15" s="1"/>
  <c r="O994" i="14"/>
  <c r="A978" i="15" s="1"/>
  <c r="N994" i="14"/>
  <c r="M994" i="14"/>
  <c r="B978" i="15" s="1"/>
  <c r="O993" i="14"/>
  <c r="A977" i="15" s="1"/>
  <c r="N993" i="14"/>
  <c r="M993" i="14"/>
  <c r="B977" i="15" s="1"/>
  <c r="O992" i="14"/>
  <c r="A976" i="15" s="1"/>
  <c r="N992" i="14"/>
  <c r="M992" i="14"/>
  <c r="B976" i="15" s="1"/>
  <c r="O991" i="14"/>
  <c r="A975" i="15" s="1"/>
  <c r="N991" i="14"/>
  <c r="M991" i="14"/>
  <c r="B975" i="15" s="1"/>
  <c r="O990" i="14"/>
  <c r="A974" i="15" s="1"/>
  <c r="N990" i="14"/>
  <c r="M990" i="14"/>
  <c r="B974" i="15" s="1"/>
  <c r="O989" i="14"/>
  <c r="A973" i="15" s="1"/>
  <c r="N989" i="14"/>
  <c r="M989" i="14"/>
  <c r="B973" i="15" s="1"/>
  <c r="O988" i="14"/>
  <c r="A972" i="15" s="1"/>
  <c r="N988" i="14"/>
  <c r="M988" i="14"/>
  <c r="B972" i="15" s="1"/>
  <c r="O987" i="14"/>
  <c r="A971" i="15" s="1"/>
  <c r="N987" i="14"/>
  <c r="M987" i="14"/>
  <c r="B971" i="15" s="1"/>
  <c r="O986" i="14"/>
  <c r="A970" i="15" s="1"/>
  <c r="N986" i="14"/>
  <c r="M986" i="14"/>
  <c r="B970" i="15" s="1"/>
  <c r="O985" i="14"/>
  <c r="A969" i="15" s="1"/>
  <c r="N985" i="14"/>
  <c r="M985" i="14"/>
  <c r="B969" i="15" s="1"/>
  <c r="O984" i="14"/>
  <c r="A968" i="15" s="1"/>
  <c r="N984" i="14"/>
  <c r="M984" i="14"/>
  <c r="B968" i="15" s="1"/>
  <c r="O983" i="14"/>
  <c r="A967" i="15" s="1"/>
  <c r="N983" i="14"/>
  <c r="M983" i="14"/>
  <c r="B967" i="15" s="1"/>
  <c r="O982" i="14"/>
  <c r="A966" i="15" s="1"/>
  <c r="N982" i="14"/>
  <c r="M982" i="14"/>
  <c r="B966" i="15" s="1"/>
  <c r="O981" i="14"/>
  <c r="A965" i="15" s="1"/>
  <c r="N981" i="14"/>
  <c r="M981" i="14"/>
  <c r="B965" i="15" s="1"/>
  <c r="O980" i="14"/>
  <c r="A964" i="15" s="1"/>
  <c r="N980" i="14"/>
  <c r="M980" i="14"/>
  <c r="B964" i="15" s="1"/>
  <c r="O979" i="14"/>
  <c r="A963" i="15" s="1"/>
  <c r="N979" i="14"/>
  <c r="M979" i="14"/>
  <c r="B963" i="15" s="1"/>
  <c r="O978" i="14"/>
  <c r="A962" i="15" s="1"/>
  <c r="N978" i="14"/>
  <c r="M978" i="14"/>
  <c r="B962" i="15" s="1"/>
  <c r="O977" i="14"/>
  <c r="A961" i="15" s="1"/>
  <c r="N977" i="14"/>
  <c r="M977" i="14"/>
  <c r="B961" i="15" s="1"/>
  <c r="O976" i="14"/>
  <c r="A960" i="15" s="1"/>
  <c r="N976" i="14"/>
  <c r="M976" i="14"/>
  <c r="B960" i="15" s="1"/>
  <c r="O975" i="14"/>
  <c r="A959" i="15" s="1"/>
  <c r="N975" i="14"/>
  <c r="M975" i="14"/>
  <c r="B959" i="15" s="1"/>
  <c r="O974" i="14"/>
  <c r="A958" i="15" s="1"/>
  <c r="N974" i="14"/>
  <c r="M974" i="14"/>
  <c r="B958" i="15" s="1"/>
  <c r="O973" i="14"/>
  <c r="A957" i="15" s="1"/>
  <c r="N973" i="14"/>
  <c r="M973" i="14"/>
  <c r="B957" i="15" s="1"/>
  <c r="O972" i="14"/>
  <c r="A956" i="15" s="1"/>
  <c r="N972" i="14"/>
  <c r="M972" i="14"/>
  <c r="B956" i="15" s="1"/>
  <c r="O971" i="14"/>
  <c r="A955" i="15" s="1"/>
  <c r="N971" i="14"/>
  <c r="M971" i="14"/>
  <c r="B955" i="15" s="1"/>
  <c r="O970" i="14"/>
  <c r="A954" i="15" s="1"/>
  <c r="N970" i="14"/>
  <c r="M970" i="14"/>
  <c r="B954" i="15" s="1"/>
  <c r="O969" i="14"/>
  <c r="A953" i="15" s="1"/>
  <c r="N969" i="14"/>
  <c r="M969" i="14"/>
  <c r="B953" i="15" s="1"/>
  <c r="O968" i="14"/>
  <c r="A952" i="15" s="1"/>
  <c r="N968" i="14"/>
  <c r="M968" i="14"/>
  <c r="B952" i="15" s="1"/>
  <c r="O967" i="14"/>
  <c r="A951" i="15" s="1"/>
  <c r="N967" i="14"/>
  <c r="M967" i="14"/>
  <c r="B951" i="15" s="1"/>
  <c r="O966" i="14"/>
  <c r="A950" i="15" s="1"/>
  <c r="N966" i="14"/>
  <c r="M966" i="14"/>
  <c r="B950" i="15" s="1"/>
  <c r="O965" i="14"/>
  <c r="A949" i="15" s="1"/>
  <c r="N965" i="14"/>
  <c r="M965" i="14"/>
  <c r="B949" i="15" s="1"/>
  <c r="O964" i="14"/>
  <c r="A948" i="15" s="1"/>
  <c r="N964" i="14"/>
  <c r="M964" i="14"/>
  <c r="B948" i="15" s="1"/>
  <c r="O963" i="14"/>
  <c r="A947" i="15" s="1"/>
  <c r="N963" i="14"/>
  <c r="M963" i="14"/>
  <c r="B947" i="15" s="1"/>
  <c r="O962" i="14"/>
  <c r="A946" i="15" s="1"/>
  <c r="N962" i="14"/>
  <c r="M962" i="14"/>
  <c r="B946" i="15" s="1"/>
  <c r="O961" i="14"/>
  <c r="A945" i="15" s="1"/>
  <c r="N961" i="14"/>
  <c r="M961" i="14"/>
  <c r="B945" i="15" s="1"/>
  <c r="O960" i="14"/>
  <c r="A944" i="15" s="1"/>
  <c r="N960" i="14"/>
  <c r="M960" i="14"/>
  <c r="B944" i="15" s="1"/>
  <c r="O959" i="14"/>
  <c r="A943" i="15" s="1"/>
  <c r="N959" i="14"/>
  <c r="M959" i="14"/>
  <c r="B943" i="15" s="1"/>
  <c r="O958" i="14"/>
  <c r="A942" i="15" s="1"/>
  <c r="N958" i="14"/>
  <c r="M958" i="14"/>
  <c r="B942" i="15" s="1"/>
  <c r="O957" i="14"/>
  <c r="A941" i="15" s="1"/>
  <c r="N957" i="14"/>
  <c r="M957" i="14"/>
  <c r="B941" i="15" s="1"/>
  <c r="O956" i="14"/>
  <c r="A940" i="15" s="1"/>
  <c r="N956" i="14"/>
  <c r="M956" i="14"/>
  <c r="B940" i="15" s="1"/>
  <c r="O955" i="14"/>
  <c r="A939" i="15" s="1"/>
  <c r="N955" i="14"/>
  <c r="M955" i="14"/>
  <c r="B939" i="15" s="1"/>
  <c r="O954" i="14"/>
  <c r="A938" i="15" s="1"/>
  <c r="N954" i="14"/>
  <c r="M954" i="14"/>
  <c r="B938" i="15" s="1"/>
  <c r="O953" i="14"/>
  <c r="A937" i="15" s="1"/>
  <c r="N953" i="14"/>
  <c r="M953" i="14"/>
  <c r="B937" i="15" s="1"/>
  <c r="O952" i="14"/>
  <c r="A936" i="15" s="1"/>
  <c r="N952" i="14"/>
  <c r="M952" i="14"/>
  <c r="B936" i="15" s="1"/>
  <c r="O951" i="14"/>
  <c r="A935" i="15" s="1"/>
  <c r="N951" i="14"/>
  <c r="M951" i="14"/>
  <c r="B935" i="15" s="1"/>
  <c r="O950" i="14"/>
  <c r="A934" i="15" s="1"/>
  <c r="N950" i="14"/>
  <c r="M950" i="14"/>
  <c r="B934" i="15" s="1"/>
  <c r="O949" i="14"/>
  <c r="A933" i="15" s="1"/>
  <c r="N949" i="14"/>
  <c r="M949" i="14"/>
  <c r="B933" i="15" s="1"/>
  <c r="O948" i="14"/>
  <c r="A932" i="15" s="1"/>
  <c r="N948" i="14"/>
  <c r="M948" i="14"/>
  <c r="B932" i="15" s="1"/>
  <c r="O947" i="14"/>
  <c r="A931" i="15" s="1"/>
  <c r="N947" i="14"/>
  <c r="M947" i="14"/>
  <c r="B931" i="15" s="1"/>
  <c r="O946" i="14"/>
  <c r="A930" i="15" s="1"/>
  <c r="N946" i="14"/>
  <c r="M946" i="14"/>
  <c r="B930" i="15" s="1"/>
  <c r="O945" i="14"/>
  <c r="A929" i="15" s="1"/>
  <c r="N945" i="14"/>
  <c r="M945" i="14"/>
  <c r="B929" i="15" s="1"/>
  <c r="O944" i="14"/>
  <c r="A928" i="15" s="1"/>
  <c r="N944" i="14"/>
  <c r="M944" i="14"/>
  <c r="B928" i="15" s="1"/>
  <c r="O943" i="14"/>
  <c r="A927" i="15" s="1"/>
  <c r="N943" i="14"/>
  <c r="M943" i="14"/>
  <c r="B927" i="15" s="1"/>
  <c r="O942" i="14"/>
  <c r="A926" i="15" s="1"/>
  <c r="N942" i="14"/>
  <c r="M942" i="14"/>
  <c r="B926" i="15" s="1"/>
  <c r="O941" i="14"/>
  <c r="A925" i="15" s="1"/>
  <c r="N941" i="14"/>
  <c r="M941" i="14"/>
  <c r="B925" i="15" s="1"/>
  <c r="O940" i="14"/>
  <c r="A924" i="15" s="1"/>
  <c r="N940" i="14"/>
  <c r="M940" i="14"/>
  <c r="B924" i="15" s="1"/>
  <c r="O939" i="14"/>
  <c r="A923" i="15" s="1"/>
  <c r="N939" i="14"/>
  <c r="M939" i="14"/>
  <c r="B923" i="15" s="1"/>
  <c r="O938" i="14"/>
  <c r="A922" i="15" s="1"/>
  <c r="N938" i="14"/>
  <c r="M938" i="14"/>
  <c r="B922" i="15" s="1"/>
  <c r="O937" i="14"/>
  <c r="A921" i="15" s="1"/>
  <c r="N937" i="14"/>
  <c r="M937" i="14"/>
  <c r="B921" i="15" s="1"/>
  <c r="O936" i="14"/>
  <c r="A920" i="15" s="1"/>
  <c r="N936" i="14"/>
  <c r="M936" i="14"/>
  <c r="B920" i="15" s="1"/>
  <c r="O935" i="14"/>
  <c r="A919" i="15" s="1"/>
  <c r="N935" i="14"/>
  <c r="M935" i="14"/>
  <c r="B919" i="15" s="1"/>
  <c r="O934" i="14"/>
  <c r="A918" i="15" s="1"/>
  <c r="N934" i="14"/>
  <c r="M934" i="14"/>
  <c r="B918" i="15" s="1"/>
  <c r="O933" i="14"/>
  <c r="A917" i="15" s="1"/>
  <c r="N933" i="14"/>
  <c r="M933" i="14"/>
  <c r="B917" i="15" s="1"/>
  <c r="O932" i="14"/>
  <c r="A916" i="15" s="1"/>
  <c r="N932" i="14"/>
  <c r="M932" i="14"/>
  <c r="B916" i="15" s="1"/>
  <c r="O931" i="14"/>
  <c r="A915" i="15" s="1"/>
  <c r="N931" i="14"/>
  <c r="M931" i="14"/>
  <c r="B915" i="15" s="1"/>
  <c r="O930" i="14"/>
  <c r="A914" i="15" s="1"/>
  <c r="N930" i="14"/>
  <c r="M930" i="14"/>
  <c r="B914" i="15" s="1"/>
  <c r="O929" i="14"/>
  <c r="A913" i="15" s="1"/>
  <c r="N929" i="14"/>
  <c r="M929" i="14"/>
  <c r="B913" i="15" s="1"/>
  <c r="O928" i="14"/>
  <c r="A912" i="15" s="1"/>
  <c r="N928" i="14"/>
  <c r="M928" i="14"/>
  <c r="B912" i="15" s="1"/>
  <c r="O927" i="14"/>
  <c r="A911" i="15" s="1"/>
  <c r="N927" i="14"/>
  <c r="M927" i="14"/>
  <c r="B911" i="15" s="1"/>
  <c r="O926" i="14"/>
  <c r="A910" i="15" s="1"/>
  <c r="N926" i="14"/>
  <c r="M926" i="14"/>
  <c r="B910" i="15" s="1"/>
  <c r="O925" i="14"/>
  <c r="A909" i="15" s="1"/>
  <c r="N925" i="14"/>
  <c r="M925" i="14"/>
  <c r="B909" i="15" s="1"/>
  <c r="O924" i="14"/>
  <c r="A908" i="15" s="1"/>
  <c r="N924" i="14"/>
  <c r="M924" i="14"/>
  <c r="B908" i="15" s="1"/>
  <c r="O923" i="14"/>
  <c r="A907" i="15" s="1"/>
  <c r="N923" i="14"/>
  <c r="M923" i="14"/>
  <c r="B907" i="15" s="1"/>
  <c r="O922" i="14"/>
  <c r="A906" i="15" s="1"/>
  <c r="N922" i="14"/>
  <c r="M922" i="14"/>
  <c r="B906" i="15" s="1"/>
  <c r="O921" i="14"/>
  <c r="A905" i="15" s="1"/>
  <c r="N921" i="14"/>
  <c r="M921" i="14"/>
  <c r="B905" i="15" s="1"/>
  <c r="O920" i="14"/>
  <c r="A904" i="15" s="1"/>
  <c r="N920" i="14"/>
  <c r="M920" i="14"/>
  <c r="B904" i="15" s="1"/>
  <c r="O919" i="14"/>
  <c r="A903" i="15" s="1"/>
  <c r="N919" i="14"/>
  <c r="M919" i="14"/>
  <c r="B903" i="15" s="1"/>
  <c r="O918" i="14"/>
  <c r="A902" i="15" s="1"/>
  <c r="N918" i="14"/>
  <c r="M918" i="14"/>
  <c r="B902" i="15" s="1"/>
  <c r="O917" i="14"/>
  <c r="A901" i="15" s="1"/>
  <c r="N917" i="14"/>
  <c r="M917" i="14"/>
  <c r="B901" i="15" s="1"/>
  <c r="O916" i="14"/>
  <c r="A900" i="15" s="1"/>
  <c r="N916" i="14"/>
  <c r="M916" i="14"/>
  <c r="B900" i="15" s="1"/>
  <c r="O915" i="14"/>
  <c r="A899" i="15" s="1"/>
  <c r="N915" i="14"/>
  <c r="M915" i="14"/>
  <c r="B899" i="15" s="1"/>
  <c r="O914" i="14"/>
  <c r="A898" i="15" s="1"/>
  <c r="N914" i="14"/>
  <c r="M914" i="14"/>
  <c r="B898" i="15" s="1"/>
  <c r="O913" i="14"/>
  <c r="A897" i="15" s="1"/>
  <c r="N913" i="14"/>
  <c r="M913" i="14"/>
  <c r="B897" i="15" s="1"/>
  <c r="O912" i="14"/>
  <c r="A896" i="15" s="1"/>
  <c r="N912" i="14"/>
  <c r="M912" i="14"/>
  <c r="B896" i="15" s="1"/>
  <c r="O911" i="14"/>
  <c r="A895" i="15" s="1"/>
  <c r="N911" i="14"/>
  <c r="M911" i="14"/>
  <c r="B895" i="15" s="1"/>
  <c r="O910" i="14"/>
  <c r="A894" i="15" s="1"/>
  <c r="N910" i="14"/>
  <c r="M910" i="14"/>
  <c r="B894" i="15" s="1"/>
  <c r="O909" i="14"/>
  <c r="A893" i="15" s="1"/>
  <c r="N909" i="14"/>
  <c r="M909" i="14"/>
  <c r="B893" i="15" s="1"/>
  <c r="O908" i="14"/>
  <c r="A892" i="15" s="1"/>
  <c r="N908" i="14"/>
  <c r="M908" i="14"/>
  <c r="B892" i="15" s="1"/>
  <c r="O907" i="14"/>
  <c r="A891" i="15" s="1"/>
  <c r="N907" i="14"/>
  <c r="M907" i="14"/>
  <c r="B891" i="15" s="1"/>
  <c r="O906" i="14"/>
  <c r="A890" i="15" s="1"/>
  <c r="N906" i="14"/>
  <c r="M906" i="14"/>
  <c r="B890" i="15" s="1"/>
  <c r="O905" i="14"/>
  <c r="A889" i="15" s="1"/>
  <c r="N905" i="14"/>
  <c r="M905" i="14"/>
  <c r="B889" i="15" s="1"/>
  <c r="O904" i="14"/>
  <c r="A888" i="15" s="1"/>
  <c r="N904" i="14"/>
  <c r="M904" i="14"/>
  <c r="B888" i="15" s="1"/>
  <c r="O903" i="14"/>
  <c r="A887" i="15" s="1"/>
  <c r="N903" i="14"/>
  <c r="M903" i="14"/>
  <c r="B887" i="15" s="1"/>
  <c r="O902" i="14"/>
  <c r="A886" i="15" s="1"/>
  <c r="N902" i="14"/>
  <c r="M902" i="14"/>
  <c r="B886" i="15" s="1"/>
  <c r="O901" i="14"/>
  <c r="A885" i="15" s="1"/>
  <c r="N901" i="14"/>
  <c r="M901" i="14"/>
  <c r="B885" i="15" s="1"/>
  <c r="O900" i="14"/>
  <c r="A884" i="15" s="1"/>
  <c r="N900" i="14"/>
  <c r="M900" i="14"/>
  <c r="B884" i="15" s="1"/>
  <c r="O899" i="14"/>
  <c r="A883" i="15" s="1"/>
  <c r="N899" i="14"/>
  <c r="M899" i="14"/>
  <c r="B883" i="15" s="1"/>
  <c r="O898" i="14"/>
  <c r="A882" i="15" s="1"/>
  <c r="N898" i="14"/>
  <c r="M898" i="14"/>
  <c r="B882" i="15" s="1"/>
  <c r="O897" i="14"/>
  <c r="A881" i="15" s="1"/>
  <c r="N897" i="14"/>
  <c r="M897" i="14"/>
  <c r="B881" i="15" s="1"/>
  <c r="O896" i="14"/>
  <c r="A880" i="15" s="1"/>
  <c r="N896" i="14"/>
  <c r="M896" i="14"/>
  <c r="B880" i="15" s="1"/>
  <c r="O895" i="14"/>
  <c r="A879" i="15" s="1"/>
  <c r="N895" i="14"/>
  <c r="M895" i="14"/>
  <c r="B879" i="15" s="1"/>
  <c r="O894" i="14"/>
  <c r="A878" i="15" s="1"/>
  <c r="N894" i="14"/>
  <c r="M894" i="14"/>
  <c r="B878" i="15" s="1"/>
  <c r="O893" i="14"/>
  <c r="A877" i="15" s="1"/>
  <c r="N893" i="14"/>
  <c r="M893" i="14"/>
  <c r="B877" i="15" s="1"/>
  <c r="O892" i="14"/>
  <c r="A876" i="15" s="1"/>
  <c r="N892" i="14"/>
  <c r="M892" i="14"/>
  <c r="B876" i="15" s="1"/>
  <c r="O891" i="14"/>
  <c r="A875" i="15" s="1"/>
  <c r="N891" i="14"/>
  <c r="M891" i="14"/>
  <c r="B875" i="15" s="1"/>
  <c r="O890" i="14"/>
  <c r="A874" i="15" s="1"/>
  <c r="N890" i="14"/>
  <c r="M890" i="14"/>
  <c r="B874" i="15" s="1"/>
  <c r="O889" i="14"/>
  <c r="A873" i="15" s="1"/>
  <c r="N889" i="14"/>
  <c r="M889" i="14"/>
  <c r="B873" i="15" s="1"/>
  <c r="O888" i="14"/>
  <c r="A872" i="15" s="1"/>
  <c r="N888" i="14"/>
  <c r="M888" i="14"/>
  <c r="B872" i="15" s="1"/>
  <c r="O887" i="14"/>
  <c r="A871" i="15" s="1"/>
  <c r="N887" i="14"/>
  <c r="M887" i="14"/>
  <c r="B871" i="15" s="1"/>
  <c r="O886" i="14"/>
  <c r="A870" i="15" s="1"/>
  <c r="N886" i="14"/>
  <c r="M886" i="14"/>
  <c r="B870" i="15" s="1"/>
  <c r="O885" i="14"/>
  <c r="A869" i="15" s="1"/>
  <c r="N885" i="14"/>
  <c r="M885" i="14"/>
  <c r="B869" i="15" s="1"/>
  <c r="O884" i="14"/>
  <c r="A868" i="15" s="1"/>
  <c r="N884" i="14"/>
  <c r="M884" i="14"/>
  <c r="B868" i="15" s="1"/>
  <c r="O883" i="14"/>
  <c r="A867" i="15" s="1"/>
  <c r="N883" i="14"/>
  <c r="M883" i="14"/>
  <c r="B867" i="15" s="1"/>
  <c r="O882" i="14"/>
  <c r="A866" i="15" s="1"/>
  <c r="N882" i="14"/>
  <c r="M882" i="14"/>
  <c r="B866" i="15" s="1"/>
  <c r="O881" i="14"/>
  <c r="A865" i="15" s="1"/>
  <c r="N881" i="14"/>
  <c r="M881" i="14"/>
  <c r="B865" i="15" s="1"/>
  <c r="O880" i="14"/>
  <c r="A864" i="15" s="1"/>
  <c r="N880" i="14"/>
  <c r="M880" i="14"/>
  <c r="B864" i="15" s="1"/>
  <c r="O879" i="14"/>
  <c r="A863" i="15" s="1"/>
  <c r="N879" i="14"/>
  <c r="M879" i="14"/>
  <c r="B863" i="15" s="1"/>
  <c r="O878" i="14"/>
  <c r="A862" i="15" s="1"/>
  <c r="N878" i="14"/>
  <c r="M878" i="14"/>
  <c r="B862" i="15" s="1"/>
  <c r="O877" i="14"/>
  <c r="A861" i="15" s="1"/>
  <c r="N877" i="14"/>
  <c r="M877" i="14"/>
  <c r="B861" i="15" s="1"/>
  <c r="O876" i="14"/>
  <c r="A860" i="15" s="1"/>
  <c r="N876" i="14"/>
  <c r="M876" i="14"/>
  <c r="B860" i="15" s="1"/>
  <c r="O875" i="14"/>
  <c r="A859" i="15" s="1"/>
  <c r="N875" i="14"/>
  <c r="M875" i="14"/>
  <c r="B859" i="15" s="1"/>
  <c r="O874" i="14"/>
  <c r="A858" i="15" s="1"/>
  <c r="N874" i="14"/>
  <c r="M874" i="14"/>
  <c r="B858" i="15" s="1"/>
  <c r="O873" i="14"/>
  <c r="A857" i="15" s="1"/>
  <c r="N873" i="14"/>
  <c r="M873" i="14"/>
  <c r="B857" i="15" s="1"/>
  <c r="O872" i="14"/>
  <c r="A856" i="15" s="1"/>
  <c r="N872" i="14"/>
  <c r="M872" i="14"/>
  <c r="B856" i="15" s="1"/>
  <c r="O871" i="14"/>
  <c r="A855" i="15" s="1"/>
  <c r="N871" i="14"/>
  <c r="M871" i="14"/>
  <c r="B855" i="15" s="1"/>
  <c r="O870" i="14"/>
  <c r="A854" i="15" s="1"/>
  <c r="N870" i="14"/>
  <c r="M870" i="14"/>
  <c r="B854" i="15" s="1"/>
  <c r="O869" i="14"/>
  <c r="A853" i="15" s="1"/>
  <c r="N869" i="14"/>
  <c r="M869" i="14"/>
  <c r="B853" i="15" s="1"/>
  <c r="O868" i="14"/>
  <c r="A852" i="15" s="1"/>
  <c r="N868" i="14"/>
  <c r="M868" i="14"/>
  <c r="B852" i="15" s="1"/>
  <c r="O867" i="14"/>
  <c r="A851" i="15" s="1"/>
  <c r="N867" i="14"/>
  <c r="M867" i="14"/>
  <c r="B851" i="15" s="1"/>
  <c r="O866" i="14"/>
  <c r="A850" i="15" s="1"/>
  <c r="N866" i="14"/>
  <c r="M866" i="14"/>
  <c r="B850" i="15" s="1"/>
  <c r="O865" i="14"/>
  <c r="A849" i="15" s="1"/>
  <c r="N865" i="14"/>
  <c r="M865" i="14"/>
  <c r="B849" i="15" s="1"/>
  <c r="O864" i="14"/>
  <c r="A848" i="15" s="1"/>
  <c r="N864" i="14"/>
  <c r="M864" i="14"/>
  <c r="B848" i="15" s="1"/>
  <c r="O863" i="14"/>
  <c r="A847" i="15" s="1"/>
  <c r="N863" i="14"/>
  <c r="M863" i="14"/>
  <c r="B847" i="15" s="1"/>
  <c r="O862" i="14"/>
  <c r="A846" i="15" s="1"/>
  <c r="N862" i="14"/>
  <c r="M862" i="14"/>
  <c r="B846" i="15" s="1"/>
  <c r="O861" i="14"/>
  <c r="A845" i="15" s="1"/>
  <c r="N861" i="14"/>
  <c r="M861" i="14"/>
  <c r="B845" i="15" s="1"/>
  <c r="O860" i="14"/>
  <c r="A844" i="15" s="1"/>
  <c r="N860" i="14"/>
  <c r="M860" i="14"/>
  <c r="B844" i="15" s="1"/>
  <c r="O859" i="14"/>
  <c r="A843" i="15" s="1"/>
  <c r="N859" i="14"/>
  <c r="M859" i="14"/>
  <c r="B843" i="15" s="1"/>
  <c r="O858" i="14"/>
  <c r="A842" i="15" s="1"/>
  <c r="N858" i="14"/>
  <c r="M858" i="14"/>
  <c r="B842" i="15" s="1"/>
  <c r="O857" i="14"/>
  <c r="A841" i="15" s="1"/>
  <c r="N857" i="14"/>
  <c r="M857" i="14"/>
  <c r="B841" i="15" s="1"/>
  <c r="O856" i="14"/>
  <c r="A840" i="15" s="1"/>
  <c r="N856" i="14"/>
  <c r="M856" i="14"/>
  <c r="B840" i="15" s="1"/>
  <c r="O855" i="14"/>
  <c r="A839" i="15" s="1"/>
  <c r="N855" i="14"/>
  <c r="M855" i="14"/>
  <c r="B839" i="15" s="1"/>
  <c r="O854" i="14"/>
  <c r="A838" i="15" s="1"/>
  <c r="N854" i="14"/>
  <c r="M854" i="14"/>
  <c r="B838" i="15" s="1"/>
  <c r="O853" i="14"/>
  <c r="A837" i="15" s="1"/>
  <c r="N853" i="14"/>
  <c r="M853" i="14"/>
  <c r="B837" i="15" s="1"/>
  <c r="O852" i="14"/>
  <c r="A836" i="15" s="1"/>
  <c r="N852" i="14"/>
  <c r="M852" i="14"/>
  <c r="B836" i="15" s="1"/>
  <c r="O851" i="14"/>
  <c r="A835" i="15" s="1"/>
  <c r="N851" i="14"/>
  <c r="M851" i="14"/>
  <c r="B835" i="15" s="1"/>
  <c r="O850" i="14"/>
  <c r="A834" i="15" s="1"/>
  <c r="N850" i="14"/>
  <c r="M850" i="14"/>
  <c r="B834" i="15" s="1"/>
  <c r="O849" i="14"/>
  <c r="A833" i="15" s="1"/>
  <c r="N849" i="14"/>
  <c r="M849" i="14"/>
  <c r="B833" i="15" s="1"/>
  <c r="O848" i="14"/>
  <c r="A832" i="15" s="1"/>
  <c r="N848" i="14"/>
  <c r="M848" i="14"/>
  <c r="B832" i="15" s="1"/>
  <c r="O847" i="14"/>
  <c r="A831" i="15" s="1"/>
  <c r="N847" i="14"/>
  <c r="M847" i="14"/>
  <c r="B831" i="15" s="1"/>
  <c r="O846" i="14"/>
  <c r="A830" i="15" s="1"/>
  <c r="N846" i="14"/>
  <c r="M846" i="14"/>
  <c r="B830" i="15" s="1"/>
  <c r="O845" i="14"/>
  <c r="A829" i="15" s="1"/>
  <c r="N845" i="14"/>
  <c r="M845" i="14"/>
  <c r="B829" i="15" s="1"/>
  <c r="O844" i="14"/>
  <c r="A828" i="15" s="1"/>
  <c r="N844" i="14"/>
  <c r="M844" i="14"/>
  <c r="B828" i="15" s="1"/>
  <c r="O843" i="14"/>
  <c r="A827" i="15" s="1"/>
  <c r="N843" i="14"/>
  <c r="M843" i="14"/>
  <c r="B827" i="15" s="1"/>
  <c r="O842" i="14"/>
  <c r="A826" i="15" s="1"/>
  <c r="N842" i="14"/>
  <c r="M842" i="14"/>
  <c r="B826" i="15" s="1"/>
  <c r="O841" i="14"/>
  <c r="A825" i="15" s="1"/>
  <c r="N841" i="14"/>
  <c r="M841" i="14"/>
  <c r="B825" i="15" s="1"/>
  <c r="O840" i="14"/>
  <c r="A824" i="15" s="1"/>
  <c r="N840" i="14"/>
  <c r="M840" i="14"/>
  <c r="B824" i="15" s="1"/>
  <c r="O839" i="14"/>
  <c r="A823" i="15" s="1"/>
  <c r="N839" i="14"/>
  <c r="M839" i="14"/>
  <c r="B823" i="15" s="1"/>
  <c r="O838" i="14"/>
  <c r="A822" i="15" s="1"/>
  <c r="N838" i="14"/>
  <c r="M838" i="14"/>
  <c r="B822" i="15" s="1"/>
  <c r="O837" i="14"/>
  <c r="A821" i="15" s="1"/>
  <c r="N837" i="14"/>
  <c r="M837" i="14"/>
  <c r="B821" i="15" s="1"/>
  <c r="O836" i="14"/>
  <c r="A820" i="15" s="1"/>
  <c r="N836" i="14"/>
  <c r="M836" i="14"/>
  <c r="B820" i="15" s="1"/>
  <c r="O835" i="14"/>
  <c r="A819" i="15" s="1"/>
  <c r="N835" i="14"/>
  <c r="M835" i="14"/>
  <c r="B819" i="15" s="1"/>
  <c r="O834" i="14"/>
  <c r="A818" i="15" s="1"/>
  <c r="N834" i="14"/>
  <c r="M834" i="14"/>
  <c r="B818" i="15" s="1"/>
  <c r="O833" i="14"/>
  <c r="A817" i="15" s="1"/>
  <c r="N833" i="14"/>
  <c r="M833" i="14"/>
  <c r="B817" i="15" s="1"/>
  <c r="O832" i="14"/>
  <c r="A816" i="15" s="1"/>
  <c r="N832" i="14"/>
  <c r="M832" i="14"/>
  <c r="B816" i="15" s="1"/>
  <c r="O831" i="14"/>
  <c r="A815" i="15" s="1"/>
  <c r="N831" i="14"/>
  <c r="M831" i="14"/>
  <c r="B815" i="15" s="1"/>
  <c r="O830" i="14"/>
  <c r="A814" i="15" s="1"/>
  <c r="N830" i="14"/>
  <c r="M830" i="14"/>
  <c r="B814" i="15" s="1"/>
  <c r="O829" i="14"/>
  <c r="A813" i="15" s="1"/>
  <c r="N829" i="14"/>
  <c r="M829" i="14"/>
  <c r="B813" i="15" s="1"/>
  <c r="O828" i="14"/>
  <c r="A812" i="15" s="1"/>
  <c r="N828" i="14"/>
  <c r="M828" i="14"/>
  <c r="B812" i="15" s="1"/>
  <c r="O827" i="14"/>
  <c r="A811" i="15" s="1"/>
  <c r="N827" i="14"/>
  <c r="M827" i="14"/>
  <c r="B811" i="15" s="1"/>
  <c r="O826" i="14"/>
  <c r="A810" i="15" s="1"/>
  <c r="N826" i="14"/>
  <c r="M826" i="14"/>
  <c r="B810" i="15" s="1"/>
  <c r="O825" i="14"/>
  <c r="A809" i="15" s="1"/>
  <c r="N825" i="14"/>
  <c r="M825" i="14"/>
  <c r="B809" i="15" s="1"/>
  <c r="O824" i="14"/>
  <c r="A808" i="15" s="1"/>
  <c r="N824" i="14"/>
  <c r="M824" i="14"/>
  <c r="B808" i="15" s="1"/>
  <c r="O823" i="14"/>
  <c r="A807" i="15" s="1"/>
  <c r="N823" i="14"/>
  <c r="M823" i="14"/>
  <c r="B807" i="15" s="1"/>
  <c r="O822" i="14"/>
  <c r="A806" i="15" s="1"/>
  <c r="N822" i="14"/>
  <c r="M822" i="14"/>
  <c r="B806" i="15" s="1"/>
  <c r="O821" i="14"/>
  <c r="A805" i="15" s="1"/>
  <c r="N821" i="14"/>
  <c r="M821" i="14"/>
  <c r="B805" i="15" s="1"/>
  <c r="O820" i="14"/>
  <c r="A804" i="15" s="1"/>
  <c r="N820" i="14"/>
  <c r="M820" i="14"/>
  <c r="B804" i="15" s="1"/>
  <c r="O819" i="14"/>
  <c r="A803" i="15" s="1"/>
  <c r="N819" i="14"/>
  <c r="M819" i="14"/>
  <c r="B803" i="15" s="1"/>
  <c r="O818" i="14"/>
  <c r="A802" i="15" s="1"/>
  <c r="N818" i="14"/>
  <c r="M818" i="14"/>
  <c r="B802" i="15" s="1"/>
  <c r="O817" i="14"/>
  <c r="A801" i="15" s="1"/>
  <c r="N817" i="14"/>
  <c r="M817" i="14"/>
  <c r="B801" i="15" s="1"/>
  <c r="O816" i="14"/>
  <c r="A800" i="15" s="1"/>
  <c r="N816" i="14"/>
  <c r="M816" i="14"/>
  <c r="B800" i="15" s="1"/>
  <c r="O815" i="14"/>
  <c r="A799" i="15" s="1"/>
  <c r="N815" i="14"/>
  <c r="M815" i="14"/>
  <c r="B799" i="15" s="1"/>
  <c r="O814" i="14"/>
  <c r="A798" i="15" s="1"/>
  <c r="N814" i="14"/>
  <c r="M814" i="14"/>
  <c r="B798" i="15" s="1"/>
  <c r="O813" i="14"/>
  <c r="A797" i="15" s="1"/>
  <c r="N813" i="14"/>
  <c r="M813" i="14"/>
  <c r="B797" i="15" s="1"/>
  <c r="O812" i="14"/>
  <c r="A796" i="15" s="1"/>
  <c r="N812" i="14"/>
  <c r="M812" i="14"/>
  <c r="B796" i="15" s="1"/>
  <c r="O811" i="14"/>
  <c r="A795" i="15" s="1"/>
  <c r="N811" i="14"/>
  <c r="M811" i="14"/>
  <c r="B795" i="15" s="1"/>
  <c r="O810" i="14"/>
  <c r="A794" i="15" s="1"/>
  <c r="N810" i="14"/>
  <c r="M810" i="14"/>
  <c r="B794" i="15" s="1"/>
  <c r="O809" i="14"/>
  <c r="A793" i="15" s="1"/>
  <c r="N809" i="14"/>
  <c r="M809" i="14"/>
  <c r="B793" i="15" s="1"/>
  <c r="O808" i="14"/>
  <c r="A792" i="15" s="1"/>
  <c r="N808" i="14"/>
  <c r="M808" i="14"/>
  <c r="B792" i="15" s="1"/>
  <c r="O807" i="14"/>
  <c r="A791" i="15" s="1"/>
  <c r="N807" i="14"/>
  <c r="M807" i="14"/>
  <c r="B791" i="15" s="1"/>
  <c r="O806" i="14"/>
  <c r="A790" i="15" s="1"/>
  <c r="N806" i="14"/>
  <c r="M806" i="14"/>
  <c r="B790" i="15" s="1"/>
  <c r="O805" i="14"/>
  <c r="A789" i="15" s="1"/>
  <c r="N805" i="14"/>
  <c r="M805" i="14"/>
  <c r="B789" i="15" s="1"/>
  <c r="O804" i="14"/>
  <c r="A788" i="15" s="1"/>
  <c r="N804" i="14"/>
  <c r="M804" i="14"/>
  <c r="B788" i="15" s="1"/>
  <c r="O803" i="14"/>
  <c r="A787" i="15" s="1"/>
  <c r="N803" i="14"/>
  <c r="M803" i="14"/>
  <c r="B787" i="15" s="1"/>
  <c r="O802" i="14"/>
  <c r="A786" i="15" s="1"/>
  <c r="N802" i="14"/>
  <c r="M802" i="14"/>
  <c r="B786" i="15" s="1"/>
  <c r="O801" i="14"/>
  <c r="A785" i="15" s="1"/>
  <c r="N801" i="14"/>
  <c r="M801" i="14"/>
  <c r="B785" i="15" s="1"/>
  <c r="O800" i="14"/>
  <c r="A784" i="15" s="1"/>
  <c r="N800" i="14"/>
  <c r="M800" i="14"/>
  <c r="B784" i="15" s="1"/>
  <c r="O799" i="14"/>
  <c r="A783" i="15" s="1"/>
  <c r="N799" i="14"/>
  <c r="M799" i="14"/>
  <c r="B783" i="15" s="1"/>
  <c r="O798" i="14"/>
  <c r="A782" i="15" s="1"/>
  <c r="N798" i="14"/>
  <c r="M798" i="14"/>
  <c r="B782" i="15" s="1"/>
  <c r="O797" i="14"/>
  <c r="A781" i="15" s="1"/>
  <c r="N797" i="14"/>
  <c r="M797" i="14"/>
  <c r="B781" i="15" s="1"/>
  <c r="O796" i="14"/>
  <c r="A780" i="15" s="1"/>
  <c r="N796" i="14"/>
  <c r="M796" i="14"/>
  <c r="B780" i="15" s="1"/>
  <c r="O795" i="14"/>
  <c r="A779" i="15" s="1"/>
  <c r="N795" i="14"/>
  <c r="M795" i="14"/>
  <c r="B779" i="15" s="1"/>
  <c r="O794" i="14"/>
  <c r="A778" i="15" s="1"/>
  <c r="N794" i="14"/>
  <c r="M794" i="14"/>
  <c r="B778" i="15" s="1"/>
  <c r="O793" i="14"/>
  <c r="A777" i="15" s="1"/>
  <c r="N793" i="14"/>
  <c r="M793" i="14"/>
  <c r="B777" i="15" s="1"/>
  <c r="O792" i="14"/>
  <c r="A776" i="15" s="1"/>
  <c r="N792" i="14"/>
  <c r="M792" i="14"/>
  <c r="B776" i="15" s="1"/>
  <c r="O791" i="14"/>
  <c r="A775" i="15" s="1"/>
  <c r="N791" i="14"/>
  <c r="M791" i="14"/>
  <c r="B775" i="15" s="1"/>
  <c r="O790" i="14"/>
  <c r="A774" i="15" s="1"/>
  <c r="N790" i="14"/>
  <c r="M790" i="14"/>
  <c r="B774" i="15" s="1"/>
  <c r="O789" i="14"/>
  <c r="A773" i="15" s="1"/>
  <c r="N789" i="14"/>
  <c r="M789" i="14"/>
  <c r="B773" i="15" s="1"/>
  <c r="O788" i="14"/>
  <c r="A772" i="15" s="1"/>
  <c r="N788" i="14"/>
  <c r="M788" i="14"/>
  <c r="B772" i="15" s="1"/>
  <c r="O787" i="14"/>
  <c r="A771" i="15" s="1"/>
  <c r="N787" i="14"/>
  <c r="M787" i="14"/>
  <c r="B771" i="15" s="1"/>
  <c r="O786" i="14"/>
  <c r="A770" i="15" s="1"/>
  <c r="N786" i="14"/>
  <c r="M786" i="14"/>
  <c r="B770" i="15" s="1"/>
  <c r="O785" i="14"/>
  <c r="A769" i="15" s="1"/>
  <c r="N785" i="14"/>
  <c r="M785" i="14"/>
  <c r="B769" i="15" s="1"/>
  <c r="O784" i="14"/>
  <c r="A768" i="15" s="1"/>
  <c r="N784" i="14"/>
  <c r="M784" i="14"/>
  <c r="B768" i="15" s="1"/>
  <c r="O783" i="14"/>
  <c r="A767" i="15" s="1"/>
  <c r="N783" i="14"/>
  <c r="M783" i="14"/>
  <c r="B767" i="15" s="1"/>
  <c r="O782" i="14"/>
  <c r="A766" i="15" s="1"/>
  <c r="N782" i="14"/>
  <c r="M782" i="14"/>
  <c r="B766" i="15" s="1"/>
  <c r="O781" i="14"/>
  <c r="A765" i="15" s="1"/>
  <c r="N781" i="14"/>
  <c r="M781" i="14"/>
  <c r="B765" i="15" s="1"/>
  <c r="O780" i="14"/>
  <c r="A764" i="15" s="1"/>
  <c r="N780" i="14"/>
  <c r="M780" i="14"/>
  <c r="B764" i="15" s="1"/>
  <c r="O779" i="14"/>
  <c r="A763" i="15" s="1"/>
  <c r="N779" i="14"/>
  <c r="M779" i="14"/>
  <c r="B763" i="15" s="1"/>
  <c r="O778" i="14"/>
  <c r="A762" i="15" s="1"/>
  <c r="N778" i="14"/>
  <c r="M778" i="14"/>
  <c r="B762" i="15" s="1"/>
  <c r="O777" i="14"/>
  <c r="A761" i="15" s="1"/>
  <c r="N777" i="14"/>
  <c r="M777" i="14"/>
  <c r="B761" i="15" s="1"/>
  <c r="O776" i="14"/>
  <c r="A760" i="15" s="1"/>
  <c r="N776" i="14"/>
  <c r="M776" i="14"/>
  <c r="B760" i="15" s="1"/>
  <c r="O775" i="14"/>
  <c r="A759" i="15" s="1"/>
  <c r="N775" i="14"/>
  <c r="M775" i="14"/>
  <c r="B759" i="15" s="1"/>
  <c r="O774" i="14"/>
  <c r="A758" i="15" s="1"/>
  <c r="N774" i="14"/>
  <c r="M774" i="14"/>
  <c r="B758" i="15" s="1"/>
  <c r="O773" i="14"/>
  <c r="A757" i="15" s="1"/>
  <c r="N773" i="14"/>
  <c r="M773" i="14"/>
  <c r="B757" i="15" s="1"/>
  <c r="O772" i="14"/>
  <c r="A756" i="15" s="1"/>
  <c r="N772" i="14"/>
  <c r="M772" i="14"/>
  <c r="B756" i="15" s="1"/>
  <c r="O771" i="14"/>
  <c r="A755" i="15" s="1"/>
  <c r="N771" i="14"/>
  <c r="M771" i="14"/>
  <c r="B755" i="15" s="1"/>
  <c r="O770" i="14"/>
  <c r="A754" i="15" s="1"/>
  <c r="N770" i="14"/>
  <c r="M770" i="14"/>
  <c r="B754" i="15" s="1"/>
  <c r="O769" i="14"/>
  <c r="A753" i="15" s="1"/>
  <c r="N769" i="14"/>
  <c r="M769" i="14"/>
  <c r="B753" i="15" s="1"/>
  <c r="O768" i="14"/>
  <c r="A752" i="15" s="1"/>
  <c r="N768" i="14"/>
  <c r="M768" i="14"/>
  <c r="B752" i="15" s="1"/>
  <c r="O767" i="14"/>
  <c r="A751" i="15" s="1"/>
  <c r="N767" i="14"/>
  <c r="M767" i="14"/>
  <c r="B751" i="15" s="1"/>
  <c r="O766" i="14"/>
  <c r="A750" i="15" s="1"/>
  <c r="N766" i="14"/>
  <c r="M766" i="14"/>
  <c r="B750" i="15" s="1"/>
  <c r="O765" i="14"/>
  <c r="A749" i="15" s="1"/>
  <c r="N765" i="14"/>
  <c r="M765" i="14"/>
  <c r="B749" i="15" s="1"/>
  <c r="O764" i="14"/>
  <c r="A748" i="15" s="1"/>
  <c r="N764" i="14"/>
  <c r="M764" i="14"/>
  <c r="B748" i="15" s="1"/>
  <c r="O763" i="14"/>
  <c r="A747" i="15" s="1"/>
  <c r="N763" i="14"/>
  <c r="M763" i="14"/>
  <c r="B747" i="15" s="1"/>
  <c r="O762" i="14"/>
  <c r="A746" i="15" s="1"/>
  <c r="N762" i="14"/>
  <c r="M762" i="14"/>
  <c r="B746" i="15" s="1"/>
  <c r="O761" i="14"/>
  <c r="A745" i="15" s="1"/>
  <c r="N761" i="14"/>
  <c r="M761" i="14"/>
  <c r="B745" i="15" s="1"/>
  <c r="O760" i="14"/>
  <c r="A744" i="15" s="1"/>
  <c r="N760" i="14"/>
  <c r="M760" i="14"/>
  <c r="B744" i="15" s="1"/>
  <c r="O759" i="14"/>
  <c r="A743" i="15" s="1"/>
  <c r="N759" i="14"/>
  <c r="M759" i="14"/>
  <c r="B743" i="15" s="1"/>
  <c r="O758" i="14"/>
  <c r="A742" i="15" s="1"/>
  <c r="N758" i="14"/>
  <c r="M758" i="14"/>
  <c r="B742" i="15" s="1"/>
  <c r="O757" i="14"/>
  <c r="A741" i="15" s="1"/>
  <c r="N757" i="14"/>
  <c r="M757" i="14"/>
  <c r="B741" i="15" s="1"/>
  <c r="O756" i="14"/>
  <c r="A740" i="15" s="1"/>
  <c r="N756" i="14"/>
  <c r="M756" i="14"/>
  <c r="B740" i="15" s="1"/>
  <c r="O755" i="14"/>
  <c r="A739" i="15" s="1"/>
  <c r="N755" i="14"/>
  <c r="M755" i="14"/>
  <c r="B739" i="15" s="1"/>
  <c r="O754" i="14"/>
  <c r="A738" i="15" s="1"/>
  <c r="N754" i="14"/>
  <c r="M754" i="14"/>
  <c r="B738" i="15" s="1"/>
  <c r="O753" i="14"/>
  <c r="A737" i="15" s="1"/>
  <c r="N753" i="14"/>
  <c r="M753" i="14"/>
  <c r="B737" i="15" s="1"/>
  <c r="O752" i="14"/>
  <c r="A736" i="15" s="1"/>
  <c r="N752" i="14"/>
  <c r="M752" i="14"/>
  <c r="B736" i="15" s="1"/>
  <c r="O751" i="14"/>
  <c r="A735" i="15" s="1"/>
  <c r="N751" i="14"/>
  <c r="M751" i="14"/>
  <c r="B735" i="15" s="1"/>
  <c r="O750" i="14"/>
  <c r="A734" i="15" s="1"/>
  <c r="N750" i="14"/>
  <c r="M750" i="14"/>
  <c r="B734" i="15" s="1"/>
  <c r="O749" i="14"/>
  <c r="A733" i="15" s="1"/>
  <c r="N749" i="14"/>
  <c r="M749" i="14"/>
  <c r="B733" i="15" s="1"/>
  <c r="O748" i="14"/>
  <c r="A732" i="15" s="1"/>
  <c r="N748" i="14"/>
  <c r="M748" i="14"/>
  <c r="B732" i="15" s="1"/>
  <c r="O747" i="14"/>
  <c r="A731" i="15" s="1"/>
  <c r="N747" i="14"/>
  <c r="M747" i="14"/>
  <c r="B731" i="15" s="1"/>
  <c r="O746" i="14"/>
  <c r="A730" i="15" s="1"/>
  <c r="N746" i="14"/>
  <c r="M746" i="14"/>
  <c r="B730" i="15" s="1"/>
  <c r="O745" i="14"/>
  <c r="A729" i="15" s="1"/>
  <c r="N745" i="14"/>
  <c r="M745" i="14"/>
  <c r="B729" i="15" s="1"/>
  <c r="O744" i="14"/>
  <c r="A728" i="15" s="1"/>
  <c r="N744" i="14"/>
  <c r="M744" i="14"/>
  <c r="B728" i="15" s="1"/>
  <c r="O743" i="14"/>
  <c r="A727" i="15" s="1"/>
  <c r="N743" i="14"/>
  <c r="M743" i="14"/>
  <c r="B727" i="15" s="1"/>
  <c r="O742" i="14"/>
  <c r="A726" i="15" s="1"/>
  <c r="N742" i="14"/>
  <c r="M742" i="14"/>
  <c r="B726" i="15" s="1"/>
  <c r="O741" i="14"/>
  <c r="A725" i="15" s="1"/>
  <c r="N741" i="14"/>
  <c r="M741" i="14"/>
  <c r="B725" i="15" s="1"/>
  <c r="O740" i="14"/>
  <c r="A724" i="15" s="1"/>
  <c r="N740" i="14"/>
  <c r="M740" i="14"/>
  <c r="B724" i="15" s="1"/>
  <c r="O739" i="14"/>
  <c r="A723" i="15" s="1"/>
  <c r="N739" i="14"/>
  <c r="M739" i="14"/>
  <c r="B723" i="15" s="1"/>
  <c r="O738" i="14"/>
  <c r="A722" i="15" s="1"/>
  <c r="N738" i="14"/>
  <c r="M738" i="14"/>
  <c r="B722" i="15" s="1"/>
  <c r="O737" i="14"/>
  <c r="A721" i="15" s="1"/>
  <c r="N737" i="14"/>
  <c r="M737" i="14"/>
  <c r="B721" i="15" s="1"/>
  <c r="O736" i="14"/>
  <c r="A720" i="15" s="1"/>
  <c r="N736" i="14"/>
  <c r="M736" i="14"/>
  <c r="B720" i="15" s="1"/>
  <c r="O735" i="14"/>
  <c r="A719" i="15" s="1"/>
  <c r="N735" i="14"/>
  <c r="M735" i="14"/>
  <c r="B719" i="15" s="1"/>
  <c r="O734" i="14"/>
  <c r="A718" i="15" s="1"/>
  <c r="N734" i="14"/>
  <c r="M734" i="14"/>
  <c r="B718" i="15" s="1"/>
  <c r="O733" i="14"/>
  <c r="A717" i="15" s="1"/>
  <c r="N733" i="14"/>
  <c r="M733" i="14"/>
  <c r="B717" i="15" s="1"/>
  <c r="O732" i="14"/>
  <c r="A716" i="15" s="1"/>
  <c r="N732" i="14"/>
  <c r="M732" i="14"/>
  <c r="B716" i="15" s="1"/>
  <c r="O731" i="14"/>
  <c r="A715" i="15" s="1"/>
  <c r="N731" i="14"/>
  <c r="M731" i="14"/>
  <c r="B715" i="15" s="1"/>
  <c r="O730" i="14"/>
  <c r="A714" i="15" s="1"/>
  <c r="N730" i="14"/>
  <c r="M730" i="14"/>
  <c r="B714" i="15" s="1"/>
  <c r="O729" i="14"/>
  <c r="A713" i="15" s="1"/>
  <c r="N729" i="14"/>
  <c r="M729" i="14"/>
  <c r="B713" i="15" s="1"/>
  <c r="O728" i="14"/>
  <c r="A712" i="15" s="1"/>
  <c r="N728" i="14"/>
  <c r="M728" i="14"/>
  <c r="B712" i="15" s="1"/>
  <c r="O727" i="14"/>
  <c r="A711" i="15" s="1"/>
  <c r="N727" i="14"/>
  <c r="M727" i="14"/>
  <c r="B711" i="15" s="1"/>
  <c r="O726" i="14"/>
  <c r="A710" i="15" s="1"/>
  <c r="N726" i="14"/>
  <c r="M726" i="14"/>
  <c r="B710" i="15" s="1"/>
  <c r="O725" i="14"/>
  <c r="A709" i="15" s="1"/>
  <c r="N725" i="14"/>
  <c r="M725" i="14"/>
  <c r="B709" i="15" s="1"/>
  <c r="O724" i="14"/>
  <c r="A708" i="15" s="1"/>
  <c r="N724" i="14"/>
  <c r="M724" i="14"/>
  <c r="B708" i="15" s="1"/>
  <c r="O723" i="14"/>
  <c r="A707" i="15" s="1"/>
  <c r="N723" i="14"/>
  <c r="M723" i="14"/>
  <c r="B707" i="15" s="1"/>
  <c r="O722" i="14"/>
  <c r="A706" i="15" s="1"/>
  <c r="N722" i="14"/>
  <c r="M722" i="14"/>
  <c r="B706" i="15" s="1"/>
  <c r="O721" i="14"/>
  <c r="A705" i="15" s="1"/>
  <c r="N721" i="14"/>
  <c r="M721" i="14"/>
  <c r="B705" i="15" s="1"/>
  <c r="O720" i="14"/>
  <c r="A704" i="15" s="1"/>
  <c r="N720" i="14"/>
  <c r="M720" i="14"/>
  <c r="B704" i="15" s="1"/>
  <c r="O719" i="14"/>
  <c r="A703" i="15" s="1"/>
  <c r="N719" i="14"/>
  <c r="M719" i="14"/>
  <c r="B703" i="15" s="1"/>
  <c r="O718" i="14"/>
  <c r="A702" i="15" s="1"/>
  <c r="N718" i="14"/>
  <c r="M718" i="14"/>
  <c r="B702" i="15" s="1"/>
  <c r="O717" i="14"/>
  <c r="A701" i="15" s="1"/>
  <c r="N717" i="14"/>
  <c r="M717" i="14"/>
  <c r="B701" i="15" s="1"/>
  <c r="O716" i="14"/>
  <c r="A700" i="15" s="1"/>
  <c r="N716" i="14"/>
  <c r="M716" i="14"/>
  <c r="B700" i="15" s="1"/>
  <c r="O715" i="14"/>
  <c r="A699" i="15" s="1"/>
  <c r="N715" i="14"/>
  <c r="M715" i="14"/>
  <c r="B699" i="15" s="1"/>
  <c r="O714" i="14"/>
  <c r="A698" i="15" s="1"/>
  <c r="N714" i="14"/>
  <c r="M714" i="14"/>
  <c r="B698" i="15" s="1"/>
  <c r="O713" i="14"/>
  <c r="A697" i="15" s="1"/>
  <c r="N713" i="14"/>
  <c r="M713" i="14"/>
  <c r="B697" i="15" s="1"/>
  <c r="O712" i="14"/>
  <c r="A696" i="15" s="1"/>
  <c r="N712" i="14"/>
  <c r="M712" i="14"/>
  <c r="B696" i="15" s="1"/>
  <c r="O711" i="14"/>
  <c r="A695" i="15" s="1"/>
  <c r="N711" i="14"/>
  <c r="M711" i="14"/>
  <c r="B695" i="15" s="1"/>
  <c r="O710" i="14"/>
  <c r="A694" i="15" s="1"/>
  <c r="N710" i="14"/>
  <c r="M710" i="14"/>
  <c r="B694" i="15" s="1"/>
  <c r="O709" i="14"/>
  <c r="A693" i="15" s="1"/>
  <c r="N709" i="14"/>
  <c r="M709" i="14"/>
  <c r="B693" i="15" s="1"/>
  <c r="O708" i="14"/>
  <c r="A692" i="15" s="1"/>
  <c r="N708" i="14"/>
  <c r="M708" i="14"/>
  <c r="B692" i="15" s="1"/>
  <c r="O707" i="14"/>
  <c r="A691" i="15" s="1"/>
  <c r="N707" i="14"/>
  <c r="M707" i="14"/>
  <c r="B691" i="15" s="1"/>
  <c r="O706" i="14"/>
  <c r="A690" i="15" s="1"/>
  <c r="N706" i="14"/>
  <c r="M706" i="14"/>
  <c r="B690" i="15" s="1"/>
  <c r="O705" i="14"/>
  <c r="A689" i="15" s="1"/>
  <c r="N705" i="14"/>
  <c r="M705" i="14"/>
  <c r="B689" i="15" s="1"/>
  <c r="O704" i="14"/>
  <c r="A688" i="15" s="1"/>
  <c r="N704" i="14"/>
  <c r="M704" i="14"/>
  <c r="B688" i="15" s="1"/>
  <c r="O703" i="14"/>
  <c r="A687" i="15" s="1"/>
  <c r="N703" i="14"/>
  <c r="M703" i="14"/>
  <c r="B687" i="15" s="1"/>
  <c r="O702" i="14"/>
  <c r="A686" i="15" s="1"/>
  <c r="N702" i="14"/>
  <c r="M702" i="14"/>
  <c r="B686" i="15" s="1"/>
  <c r="O701" i="14"/>
  <c r="A685" i="15" s="1"/>
  <c r="N701" i="14"/>
  <c r="M701" i="14"/>
  <c r="B685" i="15" s="1"/>
  <c r="O700" i="14"/>
  <c r="A684" i="15" s="1"/>
  <c r="N700" i="14"/>
  <c r="M700" i="14"/>
  <c r="B684" i="15" s="1"/>
  <c r="O699" i="14"/>
  <c r="A683" i="15" s="1"/>
  <c r="N699" i="14"/>
  <c r="M699" i="14"/>
  <c r="B683" i="15" s="1"/>
  <c r="O698" i="14"/>
  <c r="A682" i="15" s="1"/>
  <c r="N698" i="14"/>
  <c r="M698" i="14"/>
  <c r="B682" i="15" s="1"/>
  <c r="O697" i="14"/>
  <c r="A681" i="15" s="1"/>
  <c r="N697" i="14"/>
  <c r="M697" i="14"/>
  <c r="B681" i="15" s="1"/>
  <c r="O696" i="14"/>
  <c r="A680" i="15" s="1"/>
  <c r="N696" i="14"/>
  <c r="M696" i="14"/>
  <c r="B680" i="15" s="1"/>
  <c r="O695" i="14"/>
  <c r="A679" i="15" s="1"/>
  <c r="N695" i="14"/>
  <c r="M695" i="14"/>
  <c r="B679" i="15" s="1"/>
  <c r="O694" i="14"/>
  <c r="A678" i="15" s="1"/>
  <c r="N694" i="14"/>
  <c r="M694" i="14"/>
  <c r="B678" i="15" s="1"/>
  <c r="O693" i="14"/>
  <c r="A677" i="15" s="1"/>
  <c r="N693" i="14"/>
  <c r="M693" i="14"/>
  <c r="B677" i="15" s="1"/>
  <c r="O692" i="14"/>
  <c r="A676" i="15" s="1"/>
  <c r="N692" i="14"/>
  <c r="M692" i="14"/>
  <c r="B676" i="15" s="1"/>
  <c r="O691" i="14"/>
  <c r="A675" i="15" s="1"/>
  <c r="N691" i="14"/>
  <c r="M691" i="14"/>
  <c r="B675" i="15" s="1"/>
  <c r="O690" i="14"/>
  <c r="A674" i="15" s="1"/>
  <c r="N690" i="14"/>
  <c r="M690" i="14"/>
  <c r="B674" i="15" s="1"/>
  <c r="O689" i="14"/>
  <c r="A673" i="15" s="1"/>
  <c r="N689" i="14"/>
  <c r="M689" i="14"/>
  <c r="B673" i="15" s="1"/>
  <c r="O688" i="14"/>
  <c r="A672" i="15" s="1"/>
  <c r="N688" i="14"/>
  <c r="M688" i="14"/>
  <c r="B672" i="15" s="1"/>
  <c r="O687" i="14"/>
  <c r="A671" i="15" s="1"/>
  <c r="N687" i="14"/>
  <c r="M687" i="14"/>
  <c r="B671" i="15" s="1"/>
  <c r="O686" i="14"/>
  <c r="A670" i="15" s="1"/>
  <c r="N686" i="14"/>
  <c r="M686" i="14"/>
  <c r="B670" i="15" s="1"/>
  <c r="O685" i="14"/>
  <c r="A669" i="15" s="1"/>
  <c r="N685" i="14"/>
  <c r="M685" i="14"/>
  <c r="B669" i="15" s="1"/>
  <c r="O684" i="14"/>
  <c r="A668" i="15" s="1"/>
  <c r="N684" i="14"/>
  <c r="M684" i="14"/>
  <c r="B668" i="15" s="1"/>
  <c r="O683" i="14"/>
  <c r="A667" i="15" s="1"/>
  <c r="N683" i="14"/>
  <c r="M683" i="14"/>
  <c r="B667" i="15" s="1"/>
  <c r="O682" i="14"/>
  <c r="A666" i="15" s="1"/>
  <c r="N682" i="14"/>
  <c r="M682" i="14"/>
  <c r="B666" i="15" s="1"/>
  <c r="O681" i="14"/>
  <c r="A665" i="15" s="1"/>
  <c r="N681" i="14"/>
  <c r="M681" i="14"/>
  <c r="B665" i="15" s="1"/>
  <c r="O680" i="14"/>
  <c r="A664" i="15" s="1"/>
  <c r="N680" i="14"/>
  <c r="M680" i="14"/>
  <c r="B664" i="15" s="1"/>
  <c r="O679" i="14"/>
  <c r="A663" i="15" s="1"/>
  <c r="N679" i="14"/>
  <c r="M679" i="14"/>
  <c r="B663" i="15" s="1"/>
  <c r="O678" i="14"/>
  <c r="A662" i="15" s="1"/>
  <c r="N678" i="14"/>
  <c r="M678" i="14"/>
  <c r="B662" i="15" s="1"/>
  <c r="O677" i="14"/>
  <c r="A661" i="15" s="1"/>
  <c r="N677" i="14"/>
  <c r="M677" i="14"/>
  <c r="B661" i="15" s="1"/>
  <c r="O676" i="14"/>
  <c r="A660" i="15" s="1"/>
  <c r="N676" i="14"/>
  <c r="M676" i="14"/>
  <c r="B660" i="15" s="1"/>
  <c r="O675" i="14"/>
  <c r="A659" i="15" s="1"/>
  <c r="N675" i="14"/>
  <c r="M675" i="14"/>
  <c r="B659" i="15" s="1"/>
  <c r="O674" i="14"/>
  <c r="A658" i="15" s="1"/>
  <c r="N674" i="14"/>
  <c r="M674" i="14"/>
  <c r="B658" i="15" s="1"/>
  <c r="O673" i="14"/>
  <c r="A657" i="15" s="1"/>
  <c r="N673" i="14"/>
  <c r="M673" i="14"/>
  <c r="B657" i="15" s="1"/>
  <c r="O672" i="14"/>
  <c r="A656" i="15" s="1"/>
  <c r="N672" i="14"/>
  <c r="M672" i="14"/>
  <c r="B656" i="15" s="1"/>
  <c r="O671" i="14"/>
  <c r="A655" i="15" s="1"/>
  <c r="N671" i="14"/>
  <c r="M671" i="14"/>
  <c r="B655" i="15" s="1"/>
  <c r="O670" i="14"/>
  <c r="A654" i="15" s="1"/>
  <c r="N670" i="14"/>
  <c r="M670" i="14"/>
  <c r="B654" i="15" s="1"/>
  <c r="O669" i="14"/>
  <c r="A653" i="15" s="1"/>
  <c r="N669" i="14"/>
  <c r="M669" i="14"/>
  <c r="B653" i="15" s="1"/>
  <c r="O668" i="14"/>
  <c r="A652" i="15" s="1"/>
  <c r="N668" i="14"/>
  <c r="M668" i="14"/>
  <c r="B652" i="15" s="1"/>
  <c r="O667" i="14"/>
  <c r="A651" i="15" s="1"/>
  <c r="N667" i="14"/>
  <c r="M667" i="14"/>
  <c r="B651" i="15" s="1"/>
  <c r="O666" i="14"/>
  <c r="A650" i="15" s="1"/>
  <c r="N666" i="14"/>
  <c r="M666" i="14"/>
  <c r="B650" i="15" s="1"/>
  <c r="O665" i="14"/>
  <c r="A649" i="15" s="1"/>
  <c r="N665" i="14"/>
  <c r="M665" i="14"/>
  <c r="B649" i="15" s="1"/>
  <c r="O664" i="14"/>
  <c r="A648" i="15" s="1"/>
  <c r="N664" i="14"/>
  <c r="M664" i="14"/>
  <c r="B648" i="15" s="1"/>
  <c r="O663" i="14"/>
  <c r="A647" i="15" s="1"/>
  <c r="N663" i="14"/>
  <c r="M663" i="14"/>
  <c r="B647" i="15" s="1"/>
  <c r="O662" i="14"/>
  <c r="A646" i="15" s="1"/>
  <c r="N662" i="14"/>
  <c r="M662" i="14"/>
  <c r="B646" i="15" s="1"/>
  <c r="O661" i="14"/>
  <c r="A645" i="15" s="1"/>
  <c r="N661" i="14"/>
  <c r="M661" i="14"/>
  <c r="B645" i="15" s="1"/>
  <c r="O660" i="14"/>
  <c r="A644" i="15" s="1"/>
  <c r="N660" i="14"/>
  <c r="M660" i="14"/>
  <c r="B644" i="15" s="1"/>
  <c r="O659" i="14"/>
  <c r="A643" i="15" s="1"/>
  <c r="N659" i="14"/>
  <c r="M659" i="14"/>
  <c r="B643" i="15" s="1"/>
  <c r="O658" i="14"/>
  <c r="A642" i="15" s="1"/>
  <c r="N658" i="14"/>
  <c r="M658" i="14"/>
  <c r="B642" i="15" s="1"/>
  <c r="O657" i="14"/>
  <c r="A641" i="15" s="1"/>
  <c r="N657" i="14"/>
  <c r="M657" i="14"/>
  <c r="B641" i="15" s="1"/>
  <c r="O656" i="14"/>
  <c r="A640" i="15" s="1"/>
  <c r="N656" i="14"/>
  <c r="M656" i="14"/>
  <c r="B640" i="15" s="1"/>
  <c r="O655" i="14"/>
  <c r="A639" i="15" s="1"/>
  <c r="N655" i="14"/>
  <c r="M655" i="14"/>
  <c r="B639" i="15" s="1"/>
  <c r="O654" i="14"/>
  <c r="A638" i="15" s="1"/>
  <c r="N654" i="14"/>
  <c r="M654" i="14"/>
  <c r="B638" i="15" s="1"/>
  <c r="O653" i="14"/>
  <c r="A637" i="15" s="1"/>
  <c r="N653" i="14"/>
  <c r="M653" i="14"/>
  <c r="B637" i="15" s="1"/>
  <c r="O652" i="14"/>
  <c r="A636" i="15" s="1"/>
  <c r="N652" i="14"/>
  <c r="M652" i="14"/>
  <c r="B636" i="15" s="1"/>
  <c r="O651" i="14"/>
  <c r="A635" i="15" s="1"/>
  <c r="N651" i="14"/>
  <c r="M651" i="14"/>
  <c r="B635" i="15" s="1"/>
  <c r="O650" i="14"/>
  <c r="A634" i="15" s="1"/>
  <c r="N650" i="14"/>
  <c r="M650" i="14"/>
  <c r="B634" i="15" s="1"/>
  <c r="O649" i="14"/>
  <c r="A633" i="15" s="1"/>
  <c r="N649" i="14"/>
  <c r="M649" i="14"/>
  <c r="B633" i="15" s="1"/>
  <c r="O648" i="14"/>
  <c r="A632" i="15" s="1"/>
  <c r="N648" i="14"/>
  <c r="M648" i="14"/>
  <c r="B632" i="15" s="1"/>
  <c r="O647" i="14"/>
  <c r="A631" i="15" s="1"/>
  <c r="N647" i="14"/>
  <c r="M647" i="14"/>
  <c r="B631" i="15" s="1"/>
  <c r="O646" i="14"/>
  <c r="A630" i="15" s="1"/>
  <c r="N646" i="14"/>
  <c r="M646" i="14"/>
  <c r="B630" i="15" s="1"/>
  <c r="O645" i="14"/>
  <c r="A629" i="15" s="1"/>
  <c r="N645" i="14"/>
  <c r="M645" i="14"/>
  <c r="B629" i="15" s="1"/>
  <c r="O644" i="14"/>
  <c r="A628" i="15" s="1"/>
  <c r="N644" i="14"/>
  <c r="M644" i="14"/>
  <c r="B628" i="15" s="1"/>
  <c r="O643" i="14"/>
  <c r="A627" i="15" s="1"/>
  <c r="N643" i="14"/>
  <c r="M643" i="14"/>
  <c r="B627" i="15" s="1"/>
  <c r="O642" i="14"/>
  <c r="A626" i="15" s="1"/>
  <c r="N642" i="14"/>
  <c r="M642" i="14"/>
  <c r="B626" i="15" s="1"/>
  <c r="O641" i="14"/>
  <c r="A625" i="15" s="1"/>
  <c r="N641" i="14"/>
  <c r="M641" i="14"/>
  <c r="B625" i="15" s="1"/>
  <c r="O640" i="14"/>
  <c r="A624" i="15" s="1"/>
  <c r="N640" i="14"/>
  <c r="M640" i="14"/>
  <c r="B624" i="15" s="1"/>
  <c r="O639" i="14"/>
  <c r="A623" i="15" s="1"/>
  <c r="N639" i="14"/>
  <c r="M639" i="14"/>
  <c r="B623" i="15" s="1"/>
  <c r="O638" i="14"/>
  <c r="A622" i="15" s="1"/>
  <c r="N638" i="14"/>
  <c r="M638" i="14"/>
  <c r="B622" i="15" s="1"/>
  <c r="O637" i="14"/>
  <c r="A621" i="15" s="1"/>
  <c r="N637" i="14"/>
  <c r="M637" i="14"/>
  <c r="B621" i="15" s="1"/>
  <c r="O636" i="14"/>
  <c r="A620" i="15" s="1"/>
  <c r="N636" i="14"/>
  <c r="M636" i="14"/>
  <c r="B620" i="15" s="1"/>
  <c r="O635" i="14"/>
  <c r="A619" i="15" s="1"/>
  <c r="N635" i="14"/>
  <c r="M635" i="14"/>
  <c r="B619" i="15" s="1"/>
  <c r="O634" i="14"/>
  <c r="A618" i="15" s="1"/>
  <c r="N634" i="14"/>
  <c r="M634" i="14"/>
  <c r="B618" i="15" s="1"/>
  <c r="O633" i="14"/>
  <c r="A617" i="15" s="1"/>
  <c r="N633" i="14"/>
  <c r="M633" i="14"/>
  <c r="B617" i="15" s="1"/>
  <c r="O632" i="14"/>
  <c r="A616" i="15" s="1"/>
  <c r="N632" i="14"/>
  <c r="M632" i="14"/>
  <c r="B616" i="15" s="1"/>
  <c r="O631" i="14"/>
  <c r="A615" i="15" s="1"/>
  <c r="N631" i="14"/>
  <c r="M631" i="14"/>
  <c r="B615" i="15" s="1"/>
  <c r="O630" i="14"/>
  <c r="A614" i="15" s="1"/>
  <c r="N630" i="14"/>
  <c r="M630" i="14"/>
  <c r="B614" i="15" s="1"/>
  <c r="O629" i="14"/>
  <c r="A613" i="15" s="1"/>
  <c r="N629" i="14"/>
  <c r="M629" i="14"/>
  <c r="B613" i="15" s="1"/>
  <c r="O628" i="14"/>
  <c r="A612" i="15" s="1"/>
  <c r="N628" i="14"/>
  <c r="M628" i="14"/>
  <c r="B612" i="15" s="1"/>
  <c r="O627" i="14"/>
  <c r="A611" i="15" s="1"/>
  <c r="N627" i="14"/>
  <c r="M627" i="14"/>
  <c r="B611" i="15" s="1"/>
  <c r="O626" i="14"/>
  <c r="A610" i="15" s="1"/>
  <c r="N626" i="14"/>
  <c r="M626" i="14"/>
  <c r="B610" i="15" s="1"/>
  <c r="O625" i="14"/>
  <c r="A609" i="15" s="1"/>
  <c r="N625" i="14"/>
  <c r="M625" i="14"/>
  <c r="B609" i="15" s="1"/>
  <c r="O624" i="14"/>
  <c r="A608" i="15" s="1"/>
  <c r="N624" i="14"/>
  <c r="M624" i="14"/>
  <c r="B608" i="15" s="1"/>
  <c r="O623" i="14"/>
  <c r="A607" i="15" s="1"/>
  <c r="N623" i="14"/>
  <c r="M623" i="14"/>
  <c r="B607" i="15" s="1"/>
  <c r="O622" i="14"/>
  <c r="A606" i="15" s="1"/>
  <c r="N622" i="14"/>
  <c r="M622" i="14"/>
  <c r="B606" i="15" s="1"/>
  <c r="O621" i="14"/>
  <c r="A605" i="15" s="1"/>
  <c r="N621" i="14"/>
  <c r="M621" i="14"/>
  <c r="B605" i="15" s="1"/>
  <c r="O620" i="14"/>
  <c r="A604" i="15" s="1"/>
  <c r="N620" i="14"/>
  <c r="M620" i="14"/>
  <c r="B604" i="15" s="1"/>
  <c r="O619" i="14"/>
  <c r="A603" i="15" s="1"/>
  <c r="N619" i="14"/>
  <c r="M619" i="14"/>
  <c r="B603" i="15" s="1"/>
  <c r="O618" i="14"/>
  <c r="A602" i="15" s="1"/>
  <c r="N618" i="14"/>
  <c r="M618" i="14"/>
  <c r="B602" i="15" s="1"/>
  <c r="O617" i="14"/>
  <c r="A601" i="15" s="1"/>
  <c r="N617" i="14"/>
  <c r="M617" i="14"/>
  <c r="B601" i="15" s="1"/>
  <c r="O616" i="14"/>
  <c r="A600" i="15" s="1"/>
  <c r="N616" i="14"/>
  <c r="M616" i="14"/>
  <c r="B600" i="15" s="1"/>
  <c r="O615" i="14"/>
  <c r="A599" i="15" s="1"/>
  <c r="N615" i="14"/>
  <c r="M615" i="14"/>
  <c r="B599" i="15" s="1"/>
  <c r="O614" i="14"/>
  <c r="A598" i="15" s="1"/>
  <c r="N614" i="14"/>
  <c r="M614" i="14"/>
  <c r="B598" i="15" s="1"/>
  <c r="O613" i="14"/>
  <c r="A597" i="15" s="1"/>
  <c r="N613" i="14"/>
  <c r="M613" i="14"/>
  <c r="B597" i="15" s="1"/>
  <c r="O612" i="14"/>
  <c r="A596" i="15" s="1"/>
  <c r="N612" i="14"/>
  <c r="M612" i="14"/>
  <c r="B596" i="15" s="1"/>
  <c r="O611" i="14"/>
  <c r="A595" i="15" s="1"/>
  <c r="N611" i="14"/>
  <c r="M611" i="14"/>
  <c r="B595" i="15" s="1"/>
  <c r="O610" i="14"/>
  <c r="A594" i="15" s="1"/>
  <c r="N610" i="14"/>
  <c r="M610" i="14"/>
  <c r="B594" i="15" s="1"/>
  <c r="O609" i="14"/>
  <c r="A593" i="15" s="1"/>
  <c r="N609" i="14"/>
  <c r="M609" i="14"/>
  <c r="B593" i="15" s="1"/>
  <c r="O608" i="14"/>
  <c r="A592" i="15" s="1"/>
  <c r="N608" i="14"/>
  <c r="M608" i="14"/>
  <c r="B592" i="15" s="1"/>
  <c r="O607" i="14"/>
  <c r="A591" i="15" s="1"/>
  <c r="N607" i="14"/>
  <c r="M607" i="14"/>
  <c r="B591" i="15" s="1"/>
  <c r="O606" i="14"/>
  <c r="A590" i="15" s="1"/>
  <c r="N606" i="14"/>
  <c r="M606" i="14"/>
  <c r="B590" i="15" s="1"/>
  <c r="O605" i="14"/>
  <c r="A589" i="15" s="1"/>
  <c r="N605" i="14"/>
  <c r="M605" i="14"/>
  <c r="B589" i="15" s="1"/>
  <c r="O604" i="14"/>
  <c r="A588" i="15" s="1"/>
  <c r="N604" i="14"/>
  <c r="M604" i="14"/>
  <c r="B588" i="15" s="1"/>
  <c r="O603" i="14"/>
  <c r="A587" i="15" s="1"/>
  <c r="N603" i="14"/>
  <c r="M603" i="14"/>
  <c r="B587" i="15" s="1"/>
  <c r="O602" i="14"/>
  <c r="A586" i="15" s="1"/>
  <c r="N602" i="14"/>
  <c r="M602" i="14"/>
  <c r="B586" i="15" s="1"/>
  <c r="O601" i="14"/>
  <c r="A585" i="15" s="1"/>
  <c r="N601" i="14"/>
  <c r="M601" i="14"/>
  <c r="B585" i="15" s="1"/>
  <c r="O600" i="14"/>
  <c r="A584" i="15" s="1"/>
  <c r="N600" i="14"/>
  <c r="M600" i="14"/>
  <c r="B584" i="15" s="1"/>
  <c r="O599" i="14"/>
  <c r="A583" i="15" s="1"/>
  <c r="N599" i="14"/>
  <c r="M599" i="14"/>
  <c r="B583" i="15" s="1"/>
  <c r="O598" i="14"/>
  <c r="A582" i="15" s="1"/>
  <c r="N598" i="14"/>
  <c r="M598" i="14"/>
  <c r="B582" i="15" s="1"/>
  <c r="O597" i="14"/>
  <c r="A581" i="15" s="1"/>
  <c r="N597" i="14"/>
  <c r="M597" i="14"/>
  <c r="B581" i="15" s="1"/>
  <c r="O596" i="14"/>
  <c r="A580" i="15" s="1"/>
  <c r="N596" i="14"/>
  <c r="M596" i="14"/>
  <c r="B580" i="15" s="1"/>
  <c r="O595" i="14"/>
  <c r="A579" i="15" s="1"/>
  <c r="N595" i="14"/>
  <c r="M595" i="14"/>
  <c r="B579" i="15" s="1"/>
  <c r="O594" i="14"/>
  <c r="A578" i="15" s="1"/>
  <c r="N594" i="14"/>
  <c r="M594" i="14"/>
  <c r="B578" i="15" s="1"/>
  <c r="O593" i="14"/>
  <c r="A577" i="15" s="1"/>
  <c r="N593" i="14"/>
  <c r="M593" i="14"/>
  <c r="B577" i="15" s="1"/>
  <c r="O592" i="14"/>
  <c r="A576" i="15" s="1"/>
  <c r="N592" i="14"/>
  <c r="M592" i="14"/>
  <c r="B576" i="15" s="1"/>
  <c r="O591" i="14"/>
  <c r="A575" i="15" s="1"/>
  <c r="N591" i="14"/>
  <c r="M591" i="14"/>
  <c r="B575" i="15" s="1"/>
  <c r="O590" i="14"/>
  <c r="A574" i="15" s="1"/>
  <c r="N590" i="14"/>
  <c r="M590" i="14"/>
  <c r="B574" i="15" s="1"/>
  <c r="O589" i="14"/>
  <c r="A573" i="15" s="1"/>
  <c r="N589" i="14"/>
  <c r="M589" i="14"/>
  <c r="B573" i="15" s="1"/>
  <c r="O588" i="14"/>
  <c r="A572" i="15" s="1"/>
  <c r="N588" i="14"/>
  <c r="M588" i="14"/>
  <c r="B572" i="15" s="1"/>
  <c r="O587" i="14"/>
  <c r="A571" i="15" s="1"/>
  <c r="N587" i="14"/>
  <c r="M587" i="14"/>
  <c r="B571" i="15" s="1"/>
  <c r="O586" i="14"/>
  <c r="A570" i="15" s="1"/>
  <c r="N586" i="14"/>
  <c r="M586" i="14"/>
  <c r="B570" i="15" s="1"/>
  <c r="O585" i="14"/>
  <c r="A569" i="15" s="1"/>
  <c r="N585" i="14"/>
  <c r="M585" i="14"/>
  <c r="B569" i="15" s="1"/>
  <c r="O584" i="14"/>
  <c r="A568" i="15" s="1"/>
  <c r="N584" i="14"/>
  <c r="M584" i="14"/>
  <c r="B568" i="15" s="1"/>
  <c r="O583" i="14"/>
  <c r="A567" i="15" s="1"/>
  <c r="N583" i="14"/>
  <c r="M583" i="14"/>
  <c r="B567" i="15" s="1"/>
  <c r="O582" i="14"/>
  <c r="A566" i="15" s="1"/>
  <c r="N582" i="14"/>
  <c r="M582" i="14"/>
  <c r="B566" i="15" s="1"/>
  <c r="O581" i="14"/>
  <c r="A565" i="15" s="1"/>
  <c r="N581" i="14"/>
  <c r="M581" i="14"/>
  <c r="B565" i="15" s="1"/>
  <c r="O580" i="14"/>
  <c r="A564" i="15" s="1"/>
  <c r="N580" i="14"/>
  <c r="M580" i="14"/>
  <c r="B564" i="15" s="1"/>
  <c r="O579" i="14"/>
  <c r="A563" i="15" s="1"/>
  <c r="N579" i="14"/>
  <c r="M579" i="14"/>
  <c r="B563" i="15" s="1"/>
  <c r="O578" i="14"/>
  <c r="A562" i="15" s="1"/>
  <c r="N578" i="14"/>
  <c r="M578" i="14"/>
  <c r="B562" i="15" s="1"/>
  <c r="O577" i="14"/>
  <c r="A561" i="15" s="1"/>
  <c r="N577" i="14"/>
  <c r="M577" i="14"/>
  <c r="B561" i="15" s="1"/>
  <c r="O576" i="14"/>
  <c r="A560" i="15" s="1"/>
  <c r="N576" i="14"/>
  <c r="M576" i="14"/>
  <c r="B560" i="15" s="1"/>
  <c r="O575" i="14"/>
  <c r="A559" i="15" s="1"/>
  <c r="N575" i="14"/>
  <c r="M575" i="14"/>
  <c r="B559" i="15" s="1"/>
  <c r="O574" i="14"/>
  <c r="A558" i="15" s="1"/>
  <c r="N574" i="14"/>
  <c r="M574" i="14"/>
  <c r="B558" i="15" s="1"/>
  <c r="O573" i="14"/>
  <c r="A557" i="15" s="1"/>
  <c r="N573" i="14"/>
  <c r="M573" i="14"/>
  <c r="B557" i="15" s="1"/>
  <c r="O572" i="14"/>
  <c r="A556" i="15" s="1"/>
  <c r="N572" i="14"/>
  <c r="M572" i="14"/>
  <c r="B556" i="15" s="1"/>
  <c r="O571" i="14"/>
  <c r="A555" i="15" s="1"/>
  <c r="N571" i="14"/>
  <c r="M571" i="14"/>
  <c r="B555" i="15" s="1"/>
  <c r="O570" i="14"/>
  <c r="A554" i="15" s="1"/>
  <c r="N570" i="14"/>
  <c r="M570" i="14"/>
  <c r="B554" i="15" s="1"/>
  <c r="O569" i="14"/>
  <c r="A553" i="15" s="1"/>
  <c r="N569" i="14"/>
  <c r="M569" i="14"/>
  <c r="B553" i="15" s="1"/>
  <c r="O568" i="14"/>
  <c r="A552" i="15" s="1"/>
  <c r="N568" i="14"/>
  <c r="M568" i="14"/>
  <c r="B552" i="15" s="1"/>
  <c r="O567" i="14"/>
  <c r="A551" i="15" s="1"/>
  <c r="N567" i="14"/>
  <c r="M567" i="14"/>
  <c r="B551" i="15" s="1"/>
  <c r="O566" i="14"/>
  <c r="A550" i="15" s="1"/>
  <c r="N566" i="14"/>
  <c r="M566" i="14"/>
  <c r="B550" i="15" s="1"/>
  <c r="O565" i="14"/>
  <c r="A549" i="15" s="1"/>
  <c r="N565" i="14"/>
  <c r="M565" i="14"/>
  <c r="B549" i="15" s="1"/>
  <c r="O564" i="14"/>
  <c r="A548" i="15" s="1"/>
  <c r="N564" i="14"/>
  <c r="M564" i="14"/>
  <c r="B548" i="15" s="1"/>
  <c r="O563" i="14"/>
  <c r="A547" i="15" s="1"/>
  <c r="N563" i="14"/>
  <c r="M563" i="14"/>
  <c r="B547" i="15" s="1"/>
  <c r="O562" i="14"/>
  <c r="A546" i="15" s="1"/>
  <c r="N562" i="14"/>
  <c r="M562" i="14"/>
  <c r="B546" i="15" s="1"/>
  <c r="O561" i="14"/>
  <c r="A545" i="15" s="1"/>
  <c r="N561" i="14"/>
  <c r="M561" i="14"/>
  <c r="B545" i="15" s="1"/>
  <c r="O560" i="14"/>
  <c r="A544" i="15" s="1"/>
  <c r="N560" i="14"/>
  <c r="M560" i="14"/>
  <c r="B544" i="15" s="1"/>
  <c r="O559" i="14"/>
  <c r="A543" i="15" s="1"/>
  <c r="N559" i="14"/>
  <c r="M559" i="14"/>
  <c r="B543" i="15" s="1"/>
  <c r="O558" i="14"/>
  <c r="A542" i="15" s="1"/>
  <c r="N558" i="14"/>
  <c r="M558" i="14"/>
  <c r="B542" i="15" s="1"/>
  <c r="O557" i="14"/>
  <c r="A541" i="15" s="1"/>
  <c r="N557" i="14"/>
  <c r="M557" i="14"/>
  <c r="B541" i="15" s="1"/>
  <c r="O556" i="14"/>
  <c r="A540" i="15" s="1"/>
  <c r="N556" i="14"/>
  <c r="M556" i="14"/>
  <c r="B540" i="15" s="1"/>
  <c r="O555" i="14"/>
  <c r="A539" i="15" s="1"/>
  <c r="N555" i="14"/>
  <c r="M555" i="14"/>
  <c r="B539" i="15" s="1"/>
  <c r="O554" i="14"/>
  <c r="A538" i="15" s="1"/>
  <c r="N554" i="14"/>
  <c r="M554" i="14"/>
  <c r="B538" i="15" s="1"/>
  <c r="O553" i="14"/>
  <c r="A537" i="15" s="1"/>
  <c r="N553" i="14"/>
  <c r="M553" i="14"/>
  <c r="B537" i="15" s="1"/>
  <c r="O552" i="14"/>
  <c r="A536" i="15" s="1"/>
  <c r="N552" i="14"/>
  <c r="M552" i="14"/>
  <c r="B536" i="15" s="1"/>
  <c r="O551" i="14"/>
  <c r="A535" i="15" s="1"/>
  <c r="N551" i="14"/>
  <c r="M551" i="14"/>
  <c r="B535" i="15" s="1"/>
  <c r="O550" i="14"/>
  <c r="A534" i="15" s="1"/>
  <c r="N550" i="14"/>
  <c r="M550" i="14"/>
  <c r="B534" i="15" s="1"/>
  <c r="O549" i="14"/>
  <c r="A533" i="15" s="1"/>
  <c r="N549" i="14"/>
  <c r="M549" i="14"/>
  <c r="B533" i="15" s="1"/>
  <c r="O548" i="14"/>
  <c r="A532" i="15" s="1"/>
  <c r="N548" i="14"/>
  <c r="M548" i="14"/>
  <c r="B532" i="15" s="1"/>
  <c r="O547" i="14"/>
  <c r="A531" i="15" s="1"/>
  <c r="N547" i="14"/>
  <c r="M547" i="14"/>
  <c r="B531" i="15" s="1"/>
  <c r="O546" i="14"/>
  <c r="A530" i="15" s="1"/>
  <c r="N546" i="14"/>
  <c r="M546" i="14"/>
  <c r="B530" i="15" s="1"/>
  <c r="O545" i="14"/>
  <c r="A529" i="15" s="1"/>
  <c r="N545" i="14"/>
  <c r="M545" i="14"/>
  <c r="B529" i="15" s="1"/>
  <c r="O544" i="14"/>
  <c r="A528" i="15" s="1"/>
  <c r="N544" i="14"/>
  <c r="M544" i="14"/>
  <c r="B528" i="15" s="1"/>
  <c r="O543" i="14"/>
  <c r="A527" i="15" s="1"/>
  <c r="N543" i="14"/>
  <c r="M543" i="14"/>
  <c r="B527" i="15" s="1"/>
  <c r="O542" i="14"/>
  <c r="A526" i="15" s="1"/>
  <c r="N542" i="14"/>
  <c r="M542" i="14"/>
  <c r="B526" i="15" s="1"/>
  <c r="O541" i="14"/>
  <c r="A525" i="15" s="1"/>
  <c r="N541" i="14"/>
  <c r="M541" i="14"/>
  <c r="B525" i="15" s="1"/>
  <c r="O540" i="14"/>
  <c r="A524" i="15" s="1"/>
  <c r="N540" i="14"/>
  <c r="M540" i="14"/>
  <c r="B524" i="15" s="1"/>
  <c r="O539" i="14"/>
  <c r="A523" i="15" s="1"/>
  <c r="N539" i="14"/>
  <c r="M539" i="14"/>
  <c r="B523" i="15" s="1"/>
  <c r="O538" i="14"/>
  <c r="A522" i="15" s="1"/>
  <c r="N538" i="14"/>
  <c r="M538" i="14"/>
  <c r="B522" i="15" s="1"/>
  <c r="O537" i="14"/>
  <c r="A521" i="15" s="1"/>
  <c r="N537" i="14"/>
  <c r="M537" i="14"/>
  <c r="B521" i="15" s="1"/>
  <c r="O536" i="14"/>
  <c r="A520" i="15" s="1"/>
  <c r="N536" i="14"/>
  <c r="M536" i="14"/>
  <c r="B520" i="15" s="1"/>
  <c r="O535" i="14"/>
  <c r="A519" i="15" s="1"/>
  <c r="N535" i="14"/>
  <c r="M535" i="14"/>
  <c r="B519" i="15" s="1"/>
  <c r="O534" i="14"/>
  <c r="A518" i="15" s="1"/>
  <c r="N534" i="14"/>
  <c r="M534" i="14"/>
  <c r="B518" i="15" s="1"/>
  <c r="O533" i="14"/>
  <c r="A517" i="15" s="1"/>
  <c r="N533" i="14"/>
  <c r="M533" i="14"/>
  <c r="B517" i="15" s="1"/>
  <c r="O532" i="14"/>
  <c r="A516" i="15" s="1"/>
  <c r="N532" i="14"/>
  <c r="M532" i="14"/>
  <c r="B516" i="15" s="1"/>
  <c r="O531" i="14"/>
  <c r="A515" i="15" s="1"/>
  <c r="N531" i="14"/>
  <c r="M531" i="14"/>
  <c r="B515" i="15" s="1"/>
  <c r="O530" i="14"/>
  <c r="A514" i="15" s="1"/>
  <c r="N530" i="14"/>
  <c r="M530" i="14"/>
  <c r="B514" i="15" s="1"/>
  <c r="O529" i="14"/>
  <c r="A513" i="15" s="1"/>
  <c r="N529" i="14"/>
  <c r="M529" i="14"/>
  <c r="B513" i="15" s="1"/>
  <c r="O528" i="14"/>
  <c r="A512" i="15" s="1"/>
  <c r="N528" i="14"/>
  <c r="M528" i="14"/>
  <c r="B512" i="15" s="1"/>
  <c r="O527" i="14"/>
  <c r="A511" i="15" s="1"/>
  <c r="N527" i="14"/>
  <c r="M527" i="14"/>
  <c r="B511" i="15" s="1"/>
  <c r="O526" i="14"/>
  <c r="A510" i="15" s="1"/>
  <c r="N526" i="14"/>
  <c r="M526" i="14"/>
  <c r="B510" i="15" s="1"/>
  <c r="O525" i="14"/>
  <c r="A509" i="15" s="1"/>
  <c r="N525" i="14"/>
  <c r="M525" i="14"/>
  <c r="B509" i="15" s="1"/>
  <c r="O524" i="14"/>
  <c r="A508" i="15" s="1"/>
  <c r="N524" i="14"/>
  <c r="M524" i="14"/>
  <c r="B508" i="15" s="1"/>
  <c r="O523" i="14"/>
  <c r="A507" i="15" s="1"/>
  <c r="N523" i="14"/>
  <c r="M523" i="14"/>
  <c r="B507" i="15" s="1"/>
  <c r="O522" i="14"/>
  <c r="A506" i="15" s="1"/>
  <c r="N522" i="14"/>
  <c r="M522" i="14"/>
  <c r="B506" i="15" s="1"/>
  <c r="O521" i="14"/>
  <c r="A505" i="15" s="1"/>
  <c r="N521" i="14"/>
  <c r="M521" i="14"/>
  <c r="B505" i="15" s="1"/>
  <c r="O520" i="14"/>
  <c r="A504" i="15" s="1"/>
  <c r="N520" i="14"/>
  <c r="M520" i="14"/>
  <c r="B504" i="15" s="1"/>
  <c r="O519" i="14"/>
  <c r="A503" i="15" s="1"/>
  <c r="N519" i="14"/>
  <c r="M519" i="14"/>
  <c r="B503" i="15" s="1"/>
  <c r="O518" i="14"/>
  <c r="A502" i="15" s="1"/>
  <c r="N518" i="14"/>
  <c r="M518" i="14"/>
  <c r="B502" i="15" s="1"/>
  <c r="O517" i="14"/>
  <c r="A501" i="15" s="1"/>
  <c r="N517" i="14"/>
  <c r="M517" i="14"/>
  <c r="B501" i="15" s="1"/>
  <c r="O516" i="14"/>
  <c r="A500" i="15" s="1"/>
  <c r="N516" i="14"/>
  <c r="M516" i="14"/>
  <c r="B500" i="15" s="1"/>
  <c r="O515" i="14"/>
  <c r="A499" i="15" s="1"/>
  <c r="N515" i="14"/>
  <c r="M515" i="14"/>
  <c r="B499" i="15" s="1"/>
  <c r="O514" i="14"/>
  <c r="A498" i="15" s="1"/>
  <c r="N514" i="14"/>
  <c r="M514" i="14"/>
  <c r="B498" i="15" s="1"/>
  <c r="O513" i="14"/>
  <c r="A497" i="15" s="1"/>
  <c r="N513" i="14"/>
  <c r="M513" i="14"/>
  <c r="B497" i="15" s="1"/>
  <c r="O512" i="14"/>
  <c r="A496" i="15" s="1"/>
  <c r="N512" i="14"/>
  <c r="M512" i="14"/>
  <c r="B496" i="15" s="1"/>
  <c r="O511" i="14"/>
  <c r="A495" i="15" s="1"/>
  <c r="N511" i="14"/>
  <c r="M511" i="14"/>
  <c r="B495" i="15" s="1"/>
  <c r="O510" i="14"/>
  <c r="A494" i="15" s="1"/>
  <c r="N510" i="14"/>
  <c r="M510" i="14"/>
  <c r="B494" i="15" s="1"/>
  <c r="O509" i="14"/>
  <c r="A493" i="15" s="1"/>
  <c r="N509" i="14"/>
  <c r="M509" i="14"/>
  <c r="B493" i="15" s="1"/>
  <c r="O508" i="14"/>
  <c r="A492" i="15" s="1"/>
  <c r="N508" i="14"/>
  <c r="M508" i="14"/>
  <c r="B492" i="15" s="1"/>
  <c r="O507" i="14"/>
  <c r="A491" i="15" s="1"/>
  <c r="N507" i="14"/>
  <c r="M507" i="14"/>
  <c r="B491" i="15" s="1"/>
  <c r="O506" i="14"/>
  <c r="A490" i="15" s="1"/>
  <c r="N506" i="14"/>
  <c r="M506" i="14"/>
  <c r="B490" i="15" s="1"/>
  <c r="O505" i="14"/>
  <c r="A489" i="15" s="1"/>
  <c r="N505" i="14"/>
  <c r="M505" i="14"/>
  <c r="B489" i="15" s="1"/>
  <c r="O504" i="14"/>
  <c r="A488" i="15" s="1"/>
  <c r="N504" i="14"/>
  <c r="M504" i="14"/>
  <c r="B488" i="15" s="1"/>
  <c r="O503" i="14"/>
  <c r="A487" i="15" s="1"/>
  <c r="N503" i="14"/>
  <c r="M503" i="14"/>
  <c r="B487" i="15" s="1"/>
  <c r="O502" i="14"/>
  <c r="A486" i="15" s="1"/>
  <c r="N502" i="14"/>
  <c r="M502" i="14"/>
  <c r="B486" i="15" s="1"/>
  <c r="O501" i="14"/>
  <c r="A485" i="15" s="1"/>
  <c r="N501" i="14"/>
  <c r="M501" i="14"/>
  <c r="B485" i="15" s="1"/>
  <c r="O500" i="14"/>
  <c r="A484" i="15" s="1"/>
  <c r="N500" i="14"/>
  <c r="M500" i="14"/>
  <c r="B484" i="15" s="1"/>
  <c r="O499" i="14"/>
  <c r="A483" i="15" s="1"/>
  <c r="N499" i="14"/>
  <c r="M499" i="14"/>
  <c r="B483" i="15" s="1"/>
  <c r="O498" i="14"/>
  <c r="A482" i="15" s="1"/>
  <c r="N498" i="14"/>
  <c r="M498" i="14"/>
  <c r="B482" i="15" s="1"/>
  <c r="O497" i="14"/>
  <c r="A481" i="15" s="1"/>
  <c r="N497" i="14"/>
  <c r="M497" i="14"/>
  <c r="B481" i="15" s="1"/>
  <c r="O496" i="14"/>
  <c r="A480" i="15" s="1"/>
  <c r="N496" i="14"/>
  <c r="M496" i="14"/>
  <c r="B480" i="15" s="1"/>
  <c r="O495" i="14"/>
  <c r="A479" i="15" s="1"/>
  <c r="N495" i="14"/>
  <c r="M495" i="14"/>
  <c r="B479" i="15" s="1"/>
  <c r="O494" i="14"/>
  <c r="A478" i="15" s="1"/>
  <c r="N494" i="14"/>
  <c r="M494" i="14"/>
  <c r="B478" i="15" s="1"/>
  <c r="O493" i="14"/>
  <c r="A477" i="15" s="1"/>
  <c r="N493" i="14"/>
  <c r="M493" i="14"/>
  <c r="B477" i="15" s="1"/>
  <c r="O492" i="14"/>
  <c r="A476" i="15" s="1"/>
  <c r="N492" i="14"/>
  <c r="M492" i="14"/>
  <c r="B476" i="15" s="1"/>
  <c r="O491" i="14"/>
  <c r="A475" i="15" s="1"/>
  <c r="N491" i="14"/>
  <c r="M491" i="14"/>
  <c r="B475" i="15" s="1"/>
  <c r="O490" i="14"/>
  <c r="A474" i="15" s="1"/>
  <c r="N490" i="14"/>
  <c r="M490" i="14"/>
  <c r="B474" i="15" s="1"/>
  <c r="O489" i="14"/>
  <c r="A473" i="15" s="1"/>
  <c r="N489" i="14"/>
  <c r="M489" i="14"/>
  <c r="B473" i="15" s="1"/>
  <c r="O488" i="14"/>
  <c r="A472" i="15" s="1"/>
  <c r="N488" i="14"/>
  <c r="M488" i="14"/>
  <c r="B472" i="15" s="1"/>
  <c r="O487" i="14"/>
  <c r="A471" i="15" s="1"/>
  <c r="N487" i="14"/>
  <c r="M487" i="14"/>
  <c r="B471" i="15" s="1"/>
  <c r="O486" i="14"/>
  <c r="A470" i="15" s="1"/>
  <c r="N486" i="14"/>
  <c r="M486" i="14"/>
  <c r="B470" i="15" s="1"/>
  <c r="O485" i="14"/>
  <c r="A469" i="15" s="1"/>
  <c r="N485" i="14"/>
  <c r="M485" i="14"/>
  <c r="B469" i="15" s="1"/>
  <c r="O484" i="14"/>
  <c r="A468" i="15" s="1"/>
  <c r="N484" i="14"/>
  <c r="M484" i="14"/>
  <c r="B468" i="15" s="1"/>
  <c r="O483" i="14"/>
  <c r="A467" i="15" s="1"/>
  <c r="N483" i="14"/>
  <c r="M483" i="14"/>
  <c r="B467" i="15" s="1"/>
  <c r="O482" i="14"/>
  <c r="A466" i="15" s="1"/>
  <c r="N482" i="14"/>
  <c r="M482" i="14"/>
  <c r="B466" i="15" s="1"/>
  <c r="O481" i="14"/>
  <c r="A465" i="15" s="1"/>
  <c r="N481" i="14"/>
  <c r="M481" i="14"/>
  <c r="B465" i="15" s="1"/>
  <c r="O480" i="14"/>
  <c r="A464" i="15" s="1"/>
  <c r="N480" i="14"/>
  <c r="M480" i="14"/>
  <c r="B464" i="15" s="1"/>
  <c r="O479" i="14"/>
  <c r="A463" i="15" s="1"/>
  <c r="N479" i="14"/>
  <c r="M479" i="14"/>
  <c r="B463" i="15" s="1"/>
  <c r="O478" i="14"/>
  <c r="A462" i="15" s="1"/>
  <c r="N478" i="14"/>
  <c r="M478" i="14"/>
  <c r="B462" i="15" s="1"/>
  <c r="O477" i="14"/>
  <c r="A461" i="15" s="1"/>
  <c r="N477" i="14"/>
  <c r="M477" i="14"/>
  <c r="B461" i="15" s="1"/>
  <c r="O476" i="14"/>
  <c r="A460" i="15" s="1"/>
  <c r="N476" i="14"/>
  <c r="M476" i="14"/>
  <c r="B460" i="15" s="1"/>
  <c r="O475" i="14"/>
  <c r="A459" i="15" s="1"/>
  <c r="N475" i="14"/>
  <c r="M475" i="14"/>
  <c r="B459" i="15" s="1"/>
  <c r="O474" i="14"/>
  <c r="A458" i="15" s="1"/>
  <c r="N474" i="14"/>
  <c r="M474" i="14"/>
  <c r="B458" i="15" s="1"/>
  <c r="O473" i="14"/>
  <c r="A457" i="15" s="1"/>
  <c r="N473" i="14"/>
  <c r="M473" i="14"/>
  <c r="B457" i="15" s="1"/>
  <c r="O472" i="14"/>
  <c r="A456" i="15" s="1"/>
  <c r="N472" i="14"/>
  <c r="M472" i="14"/>
  <c r="B456" i="15" s="1"/>
  <c r="O471" i="14"/>
  <c r="A455" i="15" s="1"/>
  <c r="N471" i="14"/>
  <c r="M471" i="14"/>
  <c r="B455" i="15" s="1"/>
  <c r="O470" i="14"/>
  <c r="A454" i="15" s="1"/>
  <c r="N470" i="14"/>
  <c r="M470" i="14"/>
  <c r="B454" i="15" s="1"/>
  <c r="O469" i="14"/>
  <c r="A453" i="15" s="1"/>
  <c r="N469" i="14"/>
  <c r="M469" i="14"/>
  <c r="B453" i="15" s="1"/>
  <c r="O468" i="14"/>
  <c r="A452" i="15" s="1"/>
  <c r="N468" i="14"/>
  <c r="M468" i="14"/>
  <c r="B452" i="15" s="1"/>
  <c r="O467" i="14"/>
  <c r="A451" i="15" s="1"/>
  <c r="N467" i="14"/>
  <c r="M467" i="14"/>
  <c r="B451" i="15" s="1"/>
  <c r="O466" i="14"/>
  <c r="A450" i="15" s="1"/>
  <c r="N466" i="14"/>
  <c r="M466" i="14"/>
  <c r="B450" i="15" s="1"/>
  <c r="O465" i="14"/>
  <c r="A449" i="15" s="1"/>
  <c r="N465" i="14"/>
  <c r="M465" i="14"/>
  <c r="B449" i="15" s="1"/>
  <c r="O464" i="14"/>
  <c r="A448" i="15" s="1"/>
  <c r="N464" i="14"/>
  <c r="M464" i="14"/>
  <c r="B448" i="15" s="1"/>
  <c r="O463" i="14"/>
  <c r="A447" i="15" s="1"/>
  <c r="N463" i="14"/>
  <c r="M463" i="14"/>
  <c r="B447" i="15" s="1"/>
  <c r="O462" i="14"/>
  <c r="A446" i="15" s="1"/>
  <c r="N462" i="14"/>
  <c r="M462" i="14"/>
  <c r="B446" i="15" s="1"/>
  <c r="O461" i="14"/>
  <c r="A445" i="15" s="1"/>
  <c r="N461" i="14"/>
  <c r="M461" i="14"/>
  <c r="B445" i="15" s="1"/>
  <c r="O460" i="14"/>
  <c r="A444" i="15" s="1"/>
  <c r="N460" i="14"/>
  <c r="M460" i="14"/>
  <c r="B444" i="15" s="1"/>
  <c r="O459" i="14"/>
  <c r="A443" i="15" s="1"/>
  <c r="N459" i="14"/>
  <c r="M459" i="14"/>
  <c r="B443" i="15" s="1"/>
  <c r="O458" i="14"/>
  <c r="A442" i="15" s="1"/>
  <c r="N458" i="14"/>
  <c r="M458" i="14"/>
  <c r="B442" i="15" s="1"/>
  <c r="O457" i="14"/>
  <c r="A441" i="15" s="1"/>
  <c r="N457" i="14"/>
  <c r="M457" i="14"/>
  <c r="B441" i="15" s="1"/>
  <c r="O456" i="14"/>
  <c r="A440" i="15" s="1"/>
  <c r="N456" i="14"/>
  <c r="M456" i="14"/>
  <c r="B440" i="15" s="1"/>
  <c r="O455" i="14"/>
  <c r="A439" i="15" s="1"/>
  <c r="N455" i="14"/>
  <c r="M455" i="14"/>
  <c r="B439" i="15" s="1"/>
  <c r="O454" i="14"/>
  <c r="A438" i="15" s="1"/>
  <c r="N454" i="14"/>
  <c r="M454" i="14"/>
  <c r="B438" i="15" s="1"/>
  <c r="O453" i="14"/>
  <c r="A437" i="15" s="1"/>
  <c r="N453" i="14"/>
  <c r="M453" i="14"/>
  <c r="B437" i="15" s="1"/>
  <c r="O452" i="14"/>
  <c r="A436" i="15" s="1"/>
  <c r="N452" i="14"/>
  <c r="M452" i="14"/>
  <c r="B436" i="15" s="1"/>
  <c r="O451" i="14"/>
  <c r="A435" i="15" s="1"/>
  <c r="N451" i="14"/>
  <c r="M451" i="14"/>
  <c r="B435" i="15" s="1"/>
  <c r="O450" i="14"/>
  <c r="A434" i="15" s="1"/>
  <c r="N450" i="14"/>
  <c r="M450" i="14"/>
  <c r="B434" i="15" s="1"/>
  <c r="O449" i="14"/>
  <c r="A433" i="15" s="1"/>
  <c r="N449" i="14"/>
  <c r="M449" i="14"/>
  <c r="B433" i="15" s="1"/>
  <c r="O448" i="14"/>
  <c r="A432" i="15" s="1"/>
  <c r="N448" i="14"/>
  <c r="M448" i="14"/>
  <c r="B432" i="15" s="1"/>
  <c r="O447" i="14"/>
  <c r="A431" i="15" s="1"/>
  <c r="N447" i="14"/>
  <c r="M447" i="14"/>
  <c r="B431" i="15" s="1"/>
  <c r="O446" i="14"/>
  <c r="A430" i="15" s="1"/>
  <c r="N446" i="14"/>
  <c r="M446" i="14"/>
  <c r="B430" i="15" s="1"/>
  <c r="O445" i="14"/>
  <c r="A429" i="15" s="1"/>
  <c r="N445" i="14"/>
  <c r="M445" i="14"/>
  <c r="B429" i="15" s="1"/>
  <c r="O444" i="14"/>
  <c r="A428" i="15" s="1"/>
  <c r="N444" i="14"/>
  <c r="M444" i="14"/>
  <c r="B428" i="15" s="1"/>
  <c r="O443" i="14"/>
  <c r="A427" i="15" s="1"/>
  <c r="N443" i="14"/>
  <c r="M443" i="14"/>
  <c r="B427" i="15" s="1"/>
  <c r="O442" i="14"/>
  <c r="A426" i="15" s="1"/>
  <c r="N442" i="14"/>
  <c r="M442" i="14"/>
  <c r="B426" i="15" s="1"/>
  <c r="O441" i="14"/>
  <c r="A425" i="15" s="1"/>
  <c r="N441" i="14"/>
  <c r="M441" i="14"/>
  <c r="B425" i="15" s="1"/>
  <c r="O440" i="14"/>
  <c r="A424" i="15" s="1"/>
  <c r="N440" i="14"/>
  <c r="M440" i="14"/>
  <c r="B424" i="15" s="1"/>
  <c r="O439" i="14"/>
  <c r="A423" i="15" s="1"/>
  <c r="N439" i="14"/>
  <c r="M439" i="14"/>
  <c r="B423" i="15" s="1"/>
  <c r="O438" i="14"/>
  <c r="A422" i="15" s="1"/>
  <c r="N438" i="14"/>
  <c r="M438" i="14"/>
  <c r="B422" i="15" s="1"/>
  <c r="O437" i="14"/>
  <c r="A421" i="15" s="1"/>
  <c r="N437" i="14"/>
  <c r="M437" i="14"/>
  <c r="B421" i="15" s="1"/>
  <c r="O436" i="14"/>
  <c r="A420" i="15" s="1"/>
  <c r="N436" i="14"/>
  <c r="M436" i="14"/>
  <c r="B420" i="15" s="1"/>
  <c r="O435" i="14"/>
  <c r="A419" i="15" s="1"/>
  <c r="N435" i="14"/>
  <c r="M435" i="14"/>
  <c r="B419" i="15" s="1"/>
  <c r="O434" i="14"/>
  <c r="A418" i="15" s="1"/>
  <c r="N434" i="14"/>
  <c r="M434" i="14"/>
  <c r="B418" i="15" s="1"/>
  <c r="O433" i="14"/>
  <c r="A417" i="15" s="1"/>
  <c r="N433" i="14"/>
  <c r="M433" i="14"/>
  <c r="B417" i="15" s="1"/>
  <c r="O432" i="14"/>
  <c r="A416" i="15" s="1"/>
  <c r="N432" i="14"/>
  <c r="M432" i="14"/>
  <c r="B416" i="15" s="1"/>
  <c r="O431" i="14"/>
  <c r="A415" i="15" s="1"/>
  <c r="N431" i="14"/>
  <c r="M431" i="14"/>
  <c r="B415" i="15" s="1"/>
  <c r="O430" i="14"/>
  <c r="A414" i="15" s="1"/>
  <c r="N430" i="14"/>
  <c r="M430" i="14"/>
  <c r="B414" i="15" s="1"/>
  <c r="O429" i="14"/>
  <c r="A413" i="15" s="1"/>
  <c r="N429" i="14"/>
  <c r="M429" i="14"/>
  <c r="B413" i="15" s="1"/>
  <c r="O428" i="14"/>
  <c r="A412" i="15" s="1"/>
  <c r="N428" i="14"/>
  <c r="M428" i="14"/>
  <c r="B412" i="15" s="1"/>
  <c r="O427" i="14"/>
  <c r="A411" i="15" s="1"/>
  <c r="N427" i="14"/>
  <c r="M427" i="14"/>
  <c r="B411" i="15" s="1"/>
  <c r="O426" i="14"/>
  <c r="A410" i="15" s="1"/>
  <c r="N426" i="14"/>
  <c r="M426" i="14"/>
  <c r="B410" i="15" s="1"/>
  <c r="O425" i="14"/>
  <c r="A409" i="15" s="1"/>
  <c r="N425" i="14"/>
  <c r="M425" i="14"/>
  <c r="B409" i="15" s="1"/>
  <c r="O424" i="14"/>
  <c r="A408" i="15" s="1"/>
  <c r="N424" i="14"/>
  <c r="M424" i="14"/>
  <c r="B408" i="15" s="1"/>
  <c r="O423" i="14"/>
  <c r="A407" i="15" s="1"/>
  <c r="N423" i="14"/>
  <c r="M423" i="14"/>
  <c r="B407" i="15" s="1"/>
  <c r="O422" i="14"/>
  <c r="A406" i="15" s="1"/>
  <c r="N422" i="14"/>
  <c r="M422" i="14"/>
  <c r="B406" i="15" s="1"/>
  <c r="O421" i="14"/>
  <c r="A405" i="15" s="1"/>
  <c r="N421" i="14"/>
  <c r="M421" i="14"/>
  <c r="B405" i="15" s="1"/>
  <c r="O420" i="14"/>
  <c r="A404" i="15" s="1"/>
  <c r="N420" i="14"/>
  <c r="M420" i="14"/>
  <c r="B404" i="15" s="1"/>
  <c r="O419" i="14"/>
  <c r="A403" i="15" s="1"/>
  <c r="N419" i="14"/>
  <c r="M419" i="14"/>
  <c r="B403" i="15" s="1"/>
  <c r="O418" i="14"/>
  <c r="A402" i="15" s="1"/>
  <c r="N418" i="14"/>
  <c r="M418" i="14"/>
  <c r="B402" i="15" s="1"/>
  <c r="O417" i="14"/>
  <c r="A401" i="15" s="1"/>
  <c r="N417" i="14"/>
  <c r="M417" i="14"/>
  <c r="B401" i="15" s="1"/>
  <c r="O416" i="14"/>
  <c r="A400" i="15" s="1"/>
  <c r="N416" i="14"/>
  <c r="M416" i="14"/>
  <c r="B400" i="15" s="1"/>
  <c r="O415" i="14"/>
  <c r="A399" i="15" s="1"/>
  <c r="N415" i="14"/>
  <c r="M415" i="14"/>
  <c r="B399" i="15" s="1"/>
  <c r="O414" i="14"/>
  <c r="A398" i="15" s="1"/>
  <c r="N414" i="14"/>
  <c r="M414" i="14"/>
  <c r="B398" i="15" s="1"/>
  <c r="O413" i="14"/>
  <c r="A397" i="15" s="1"/>
  <c r="N413" i="14"/>
  <c r="M413" i="14"/>
  <c r="B397" i="15" s="1"/>
  <c r="O412" i="14"/>
  <c r="A396" i="15" s="1"/>
  <c r="N412" i="14"/>
  <c r="M412" i="14"/>
  <c r="B396" i="15" s="1"/>
  <c r="O411" i="14"/>
  <c r="A395" i="15" s="1"/>
  <c r="N411" i="14"/>
  <c r="M411" i="14"/>
  <c r="B395" i="15" s="1"/>
  <c r="O410" i="14"/>
  <c r="A394" i="15" s="1"/>
  <c r="N410" i="14"/>
  <c r="M410" i="14"/>
  <c r="B394" i="15" s="1"/>
  <c r="O409" i="14"/>
  <c r="A393" i="15" s="1"/>
  <c r="N409" i="14"/>
  <c r="M409" i="14"/>
  <c r="B393" i="15" s="1"/>
  <c r="O408" i="14"/>
  <c r="A392" i="15" s="1"/>
  <c r="N408" i="14"/>
  <c r="M408" i="14"/>
  <c r="B392" i="15" s="1"/>
  <c r="O407" i="14"/>
  <c r="A391" i="15" s="1"/>
  <c r="N407" i="14"/>
  <c r="M407" i="14"/>
  <c r="B391" i="15" s="1"/>
  <c r="O406" i="14"/>
  <c r="A390" i="15" s="1"/>
  <c r="N406" i="14"/>
  <c r="M406" i="14"/>
  <c r="B390" i="15" s="1"/>
  <c r="O405" i="14"/>
  <c r="A389" i="15" s="1"/>
  <c r="N405" i="14"/>
  <c r="M405" i="14"/>
  <c r="B389" i="15" s="1"/>
  <c r="O404" i="14"/>
  <c r="A388" i="15" s="1"/>
  <c r="N404" i="14"/>
  <c r="M404" i="14"/>
  <c r="B388" i="15" s="1"/>
  <c r="O403" i="14"/>
  <c r="A387" i="15" s="1"/>
  <c r="N403" i="14"/>
  <c r="M403" i="14"/>
  <c r="B387" i="15" s="1"/>
  <c r="O402" i="14"/>
  <c r="A386" i="15" s="1"/>
  <c r="N402" i="14"/>
  <c r="M402" i="14"/>
  <c r="B386" i="15" s="1"/>
  <c r="O401" i="14"/>
  <c r="A385" i="15" s="1"/>
  <c r="N401" i="14"/>
  <c r="M401" i="14"/>
  <c r="B385" i="15" s="1"/>
  <c r="O400" i="14"/>
  <c r="A384" i="15" s="1"/>
  <c r="N400" i="14"/>
  <c r="M400" i="14"/>
  <c r="B384" i="15" s="1"/>
  <c r="O399" i="14"/>
  <c r="A383" i="15" s="1"/>
  <c r="N399" i="14"/>
  <c r="M399" i="14"/>
  <c r="B383" i="15" s="1"/>
  <c r="O398" i="14"/>
  <c r="A382" i="15" s="1"/>
  <c r="N398" i="14"/>
  <c r="M398" i="14"/>
  <c r="B382" i="15" s="1"/>
  <c r="O397" i="14"/>
  <c r="A381" i="15" s="1"/>
  <c r="N397" i="14"/>
  <c r="M397" i="14"/>
  <c r="B381" i="15" s="1"/>
  <c r="O396" i="14"/>
  <c r="A380" i="15" s="1"/>
  <c r="N396" i="14"/>
  <c r="M396" i="14"/>
  <c r="B380" i="15" s="1"/>
  <c r="O395" i="14"/>
  <c r="A379" i="15" s="1"/>
  <c r="N395" i="14"/>
  <c r="M395" i="14"/>
  <c r="B379" i="15" s="1"/>
  <c r="O394" i="14"/>
  <c r="A378" i="15" s="1"/>
  <c r="N394" i="14"/>
  <c r="M394" i="14"/>
  <c r="B378" i="15" s="1"/>
  <c r="O393" i="14"/>
  <c r="A377" i="15" s="1"/>
  <c r="N393" i="14"/>
  <c r="M393" i="14"/>
  <c r="B377" i="15" s="1"/>
  <c r="O392" i="14"/>
  <c r="A376" i="15" s="1"/>
  <c r="N392" i="14"/>
  <c r="M392" i="14"/>
  <c r="B376" i="15" s="1"/>
  <c r="O391" i="14"/>
  <c r="A375" i="15" s="1"/>
  <c r="N391" i="14"/>
  <c r="M391" i="14"/>
  <c r="B375" i="15" s="1"/>
  <c r="O390" i="14"/>
  <c r="A374" i="15" s="1"/>
  <c r="N390" i="14"/>
  <c r="M390" i="14"/>
  <c r="B374" i="15" s="1"/>
  <c r="O389" i="14"/>
  <c r="A373" i="15" s="1"/>
  <c r="N389" i="14"/>
  <c r="M389" i="14"/>
  <c r="B373" i="15" s="1"/>
  <c r="O388" i="14"/>
  <c r="A372" i="15" s="1"/>
  <c r="N388" i="14"/>
  <c r="M388" i="14"/>
  <c r="B372" i="15" s="1"/>
  <c r="O387" i="14"/>
  <c r="A371" i="15" s="1"/>
  <c r="N387" i="14"/>
  <c r="M387" i="14"/>
  <c r="B371" i="15" s="1"/>
  <c r="O386" i="14"/>
  <c r="A370" i="15" s="1"/>
  <c r="N386" i="14"/>
  <c r="M386" i="14"/>
  <c r="B370" i="15" s="1"/>
  <c r="O385" i="14"/>
  <c r="A369" i="15" s="1"/>
  <c r="N385" i="14"/>
  <c r="M385" i="14"/>
  <c r="B369" i="15" s="1"/>
  <c r="O384" i="14"/>
  <c r="A368" i="15" s="1"/>
  <c r="N384" i="14"/>
  <c r="M384" i="14"/>
  <c r="B368" i="15" s="1"/>
  <c r="O383" i="14"/>
  <c r="A367" i="15" s="1"/>
  <c r="N383" i="14"/>
  <c r="M383" i="14"/>
  <c r="B367" i="15" s="1"/>
  <c r="O382" i="14"/>
  <c r="A366" i="15" s="1"/>
  <c r="N382" i="14"/>
  <c r="M382" i="14"/>
  <c r="B366" i="15" s="1"/>
  <c r="O381" i="14"/>
  <c r="A365" i="15" s="1"/>
  <c r="N381" i="14"/>
  <c r="M381" i="14"/>
  <c r="B365" i="15" s="1"/>
  <c r="O380" i="14"/>
  <c r="A364" i="15" s="1"/>
  <c r="N380" i="14"/>
  <c r="M380" i="14"/>
  <c r="B364" i="15" s="1"/>
  <c r="O379" i="14"/>
  <c r="A363" i="15" s="1"/>
  <c r="N379" i="14"/>
  <c r="M379" i="14"/>
  <c r="B363" i="15" s="1"/>
  <c r="O378" i="14"/>
  <c r="A362" i="15" s="1"/>
  <c r="N378" i="14"/>
  <c r="M378" i="14"/>
  <c r="B362" i="15" s="1"/>
  <c r="O377" i="14"/>
  <c r="A361" i="15" s="1"/>
  <c r="N377" i="14"/>
  <c r="M377" i="14"/>
  <c r="B361" i="15" s="1"/>
  <c r="O376" i="14"/>
  <c r="A360" i="15" s="1"/>
  <c r="N376" i="14"/>
  <c r="M376" i="14"/>
  <c r="B360" i="15" s="1"/>
  <c r="O375" i="14"/>
  <c r="A359" i="15" s="1"/>
  <c r="N375" i="14"/>
  <c r="M375" i="14"/>
  <c r="B359" i="15" s="1"/>
  <c r="O374" i="14"/>
  <c r="A358" i="15" s="1"/>
  <c r="N374" i="14"/>
  <c r="M374" i="14"/>
  <c r="B358" i="15" s="1"/>
  <c r="O373" i="14"/>
  <c r="A357" i="15" s="1"/>
  <c r="N373" i="14"/>
  <c r="M373" i="14"/>
  <c r="B357" i="15" s="1"/>
  <c r="O372" i="14"/>
  <c r="A356" i="15" s="1"/>
  <c r="N372" i="14"/>
  <c r="M372" i="14"/>
  <c r="B356" i="15" s="1"/>
  <c r="O371" i="14"/>
  <c r="A355" i="15" s="1"/>
  <c r="N371" i="14"/>
  <c r="M371" i="14"/>
  <c r="B355" i="15" s="1"/>
  <c r="O370" i="14"/>
  <c r="A354" i="15" s="1"/>
  <c r="N370" i="14"/>
  <c r="M370" i="14"/>
  <c r="B354" i="15" s="1"/>
  <c r="O369" i="14"/>
  <c r="A353" i="15" s="1"/>
  <c r="N369" i="14"/>
  <c r="M369" i="14"/>
  <c r="B353" i="15" s="1"/>
  <c r="O368" i="14"/>
  <c r="A352" i="15" s="1"/>
  <c r="N368" i="14"/>
  <c r="M368" i="14"/>
  <c r="B352" i="15" s="1"/>
  <c r="O367" i="14"/>
  <c r="A351" i="15" s="1"/>
  <c r="N367" i="14"/>
  <c r="M367" i="14"/>
  <c r="B351" i="15" s="1"/>
  <c r="O366" i="14"/>
  <c r="A350" i="15" s="1"/>
  <c r="N366" i="14"/>
  <c r="M366" i="14"/>
  <c r="B350" i="15" s="1"/>
  <c r="O365" i="14"/>
  <c r="A349" i="15" s="1"/>
  <c r="N365" i="14"/>
  <c r="M365" i="14"/>
  <c r="B349" i="15" s="1"/>
  <c r="O364" i="14"/>
  <c r="A348" i="15" s="1"/>
  <c r="N364" i="14"/>
  <c r="M364" i="14"/>
  <c r="B348" i="15" s="1"/>
  <c r="O363" i="14"/>
  <c r="A347" i="15" s="1"/>
  <c r="N363" i="14"/>
  <c r="M363" i="14"/>
  <c r="B347" i="15" s="1"/>
  <c r="O362" i="14"/>
  <c r="A346" i="15" s="1"/>
  <c r="N362" i="14"/>
  <c r="M362" i="14"/>
  <c r="B346" i="15" s="1"/>
  <c r="O361" i="14"/>
  <c r="A345" i="15" s="1"/>
  <c r="N361" i="14"/>
  <c r="M361" i="14"/>
  <c r="B345" i="15" s="1"/>
  <c r="O360" i="14"/>
  <c r="A344" i="15" s="1"/>
  <c r="N360" i="14"/>
  <c r="M360" i="14"/>
  <c r="B344" i="15" s="1"/>
  <c r="O359" i="14"/>
  <c r="A343" i="15" s="1"/>
  <c r="N359" i="14"/>
  <c r="M359" i="14"/>
  <c r="B343" i="15" s="1"/>
  <c r="O358" i="14"/>
  <c r="A342" i="15" s="1"/>
  <c r="N358" i="14"/>
  <c r="M358" i="14"/>
  <c r="B342" i="15" s="1"/>
  <c r="O357" i="14"/>
  <c r="A341" i="15" s="1"/>
  <c r="N357" i="14"/>
  <c r="M357" i="14"/>
  <c r="B341" i="15" s="1"/>
  <c r="O356" i="14"/>
  <c r="A340" i="15" s="1"/>
  <c r="N356" i="14"/>
  <c r="M356" i="14"/>
  <c r="B340" i="15" s="1"/>
  <c r="O355" i="14"/>
  <c r="A339" i="15" s="1"/>
  <c r="N355" i="14"/>
  <c r="M355" i="14"/>
  <c r="B339" i="15" s="1"/>
  <c r="O354" i="14"/>
  <c r="A338" i="15" s="1"/>
  <c r="N354" i="14"/>
  <c r="M354" i="14"/>
  <c r="B338" i="15" s="1"/>
  <c r="O353" i="14"/>
  <c r="A337" i="15" s="1"/>
  <c r="N353" i="14"/>
  <c r="M353" i="14"/>
  <c r="B337" i="15" s="1"/>
  <c r="O352" i="14"/>
  <c r="A336" i="15" s="1"/>
  <c r="N352" i="14"/>
  <c r="M352" i="14"/>
  <c r="B336" i="15" s="1"/>
  <c r="O351" i="14"/>
  <c r="A335" i="15" s="1"/>
  <c r="N351" i="14"/>
  <c r="M351" i="14"/>
  <c r="B335" i="15" s="1"/>
  <c r="O350" i="14"/>
  <c r="A334" i="15" s="1"/>
  <c r="N350" i="14"/>
  <c r="M350" i="14"/>
  <c r="B334" i="15" s="1"/>
  <c r="O349" i="14"/>
  <c r="A333" i="15" s="1"/>
  <c r="N349" i="14"/>
  <c r="M349" i="14"/>
  <c r="B333" i="15" s="1"/>
  <c r="O348" i="14"/>
  <c r="A332" i="15" s="1"/>
  <c r="N348" i="14"/>
  <c r="M348" i="14"/>
  <c r="B332" i="15" s="1"/>
  <c r="O347" i="14"/>
  <c r="A331" i="15" s="1"/>
  <c r="N347" i="14"/>
  <c r="M347" i="14"/>
  <c r="B331" i="15" s="1"/>
  <c r="O346" i="14"/>
  <c r="A330" i="15" s="1"/>
  <c r="N346" i="14"/>
  <c r="M346" i="14"/>
  <c r="B330" i="15" s="1"/>
  <c r="O345" i="14"/>
  <c r="A329" i="15" s="1"/>
  <c r="N345" i="14"/>
  <c r="M345" i="14"/>
  <c r="B329" i="15" s="1"/>
  <c r="O344" i="14"/>
  <c r="A328" i="15" s="1"/>
  <c r="N344" i="14"/>
  <c r="M344" i="14"/>
  <c r="B328" i="15" s="1"/>
  <c r="O343" i="14"/>
  <c r="A327" i="15" s="1"/>
  <c r="N343" i="14"/>
  <c r="M343" i="14"/>
  <c r="B327" i="15" s="1"/>
  <c r="O342" i="14"/>
  <c r="A326" i="15" s="1"/>
  <c r="N342" i="14"/>
  <c r="M342" i="14"/>
  <c r="B326" i="15" s="1"/>
  <c r="O341" i="14"/>
  <c r="A325" i="15" s="1"/>
  <c r="N341" i="14"/>
  <c r="M341" i="14"/>
  <c r="B325" i="15" s="1"/>
  <c r="O340" i="14"/>
  <c r="A324" i="15" s="1"/>
  <c r="N340" i="14"/>
  <c r="M340" i="14"/>
  <c r="B324" i="15" s="1"/>
  <c r="O339" i="14"/>
  <c r="A323" i="15" s="1"/>
  <c r="N339" i="14"/>
  <c r="M339" i="14"/>
  <c r="B323" i="15" s="1"/>
  <c r="O338" i="14"/>
  <c r="A322" i="15" s="1"/>
  <c r="N338" i="14"/>
  <c r="M338" i="14"/>
  <c r="B322" i="15" s="1"/>
  <c r="O337" i="14"/>
  <c r="A321" i="15" s="1"/>
  <c r="N337" i="14"/>
  <c r="M337" i="14"/>
  <c r="B321" i="15" s="1"/>
  <c r="O336" i="14"/>
  <c r="A320" i="15" s="1"/>
  <c r="N336" i="14"/>
  <c r="M336" i="14"/>
  <c r="B320" i="15" s="1"/>
  <c r="O335" i="14"/>
  <c r="A319" i="15" s="1"/>
  <c r="N335" i="14"/>
  <c r="M335" i="14"/>
  <c r="B319" i="15" s="1"/>
  <c r="O334" i="14"/>
  <c r="A318" i="15" s="1"/>
  <c r="N334" i="14"/>
  <c r="M334" i="14"/>
  <c r="B318" i="15" s="1"/>
  <c r="O333" i="14"/>
  <c r="A317" i="15" s="1"/>
  <c r="N333" i="14"/>
  <c r="M333" i="14"/>
  <c r="B317" i="15" s="1"/>
  <c r="O332" i="14"/>
  <c r="A316" i="15" s="1"/>
  <c r="N332" i="14"/>
  <c r="M332" i="14"/>
  <c r="B316" i="15" s="1"/>
  <c r="O331" i="14"/>
  <c r="A315" i="15" s="1"/>
  <c r="N331" i="14"/>
  <c r="M331" i="14"/>
  <c r="B315" i="15" s="1"/>
  <c r="O330" i="14"/>
  <c r="A314" i="15" s="1"/>
  <c r="N330" i="14"/>
  <c r="M330" i="14"/>
  <c r="B314" i="15" s="1"/>
  <c r="O329" i="14"/>
  <c r="A313" i="15" s="1"/>
  <c r="N329" i="14"/>
  <c r="M329" i="14"/>
  <c r="B313" i="15" s="1"/>
  <c r="O328" i="14"/>
  <c r="A312" i="15" s="1"/>
  <c r="N328" i="14"/>
  <c r="M328" i="14"/>
  <c r="B312" i="15" s="1"/>
  <c r="O327" i="14"/>
  <c r="A311" i="15" s="1"/>
  <c r="N327" i="14"/>
  <c r="M327" i="14"/>
  <c r="B311" i="15" s="1"/>
  <c r="O326" i="14"/>
  <c r="A310" i="15" s="1"/>
  <c r="N326" i="14"/>
  <c r="M326" i="14"/>
  <c r="B310" i="15" s="1"/>
  <c r="O325" i="14"/>
  <c r="A309" i="15" s="1"/>
  <c r="N325" i="14"/>
  <c r="M325" i="14"/>
  <c r="B309" i="15" s="1"/>
  <c r="O324" i="14"/>
  <c r="A308" i="15" s="1"/>
  <c r="N324" i="14"/>
  <c r="M324" i="14"/>
  <c r="B308" i="15" s="1"/>
  <c r="O323" i="14"/>
  <c r="A307" i="15" s="1"/>
  <c r="N323" i="14"/>
  <c r="M323" i="14"/>
  <c r="B307" i="15" s="1"/>
  <c r="O322" i="14"/>
  <c r="A306" i="15" s="1"/>
  <c r="N322" i="14"/>
  <c r="M322" i="14"/>
  <c r="B306" i="15" s="1"/>
  <c r="O321" i="14"/>
  <c r="A305" i="15" s="1"/>
  <c r="N321" i="14"/>
  <c r="M321" i="14"/>
  <c r="B305" i="15" s="1"/>
  <c r="O320" i="14"/>
  <c r="A304" i="15" s="1"/>
  <c r="N320" i="14"/>
  <c r="M320" i="14"/>
  <c r="B304" i="15" s="1"/>
  <c r="O319" i="14"/>
  <c r="A303" i="15" s="1"/>
  <c r="N319" i="14"/>
  <c r="M319" i="14"/>
  <c r="B303" i="15" s="1"/>
  <c r="O318" i="14"/>
  <c r="A302" i="15" s="1"/>
  <c r="N318" i="14"/>
  <c r="M318" i="14"/>
  <c r="B302" i="15" s="1"/>
  <c r="O317" i="14"/>
  <c r="A301" i="15" s="1"/>
  <c r="N317" i="14"/>
  <c r="M317" i="14"/>
  <c r="B301" i="15" s="1"/>
  <c r="O316" i="14"/>
  <c r="A300" i="15" s="1"/>
  <c r="N316" i="14"/>
  <c r="M316" i="14"/>
  <c r="B300" i="15" s="1"/>
  <c r="O315" i="14"/>
  <c r="A299" i="15" s="1"/>
  <c r="N315" i="14"/>
  <c r="M315" i="14"/>
  <c r="B299" i="15" s="1"/>
  <c r="O314" i="14"/>
  <c r="A298" i="15" s="1"/>
  <c r="N314" i="14"/>
  <c r="M314" i="14"/>
  <c r="B298" i="15" s="1"/>
  <c r="O313" i="14"/>
  <c r="A297" i="15" s="1"/>
  <c r="N313" i="14"/>
  <c r="M313" i="14"/>
  <c r="B297" i="15" s="1"/>
  <c r="O312" i="14"/>
  <c r="A296" i="15" s="1"/>
  <c r="N312" i="14"/>
  <c r="M312" i="14"/>
  <c r="B296" i="15" s="1"/>
  <c r="O311" i="14"/>
  <c r="A295" i="15" s="1"/>
  <c r="N311" i="14"/>
  <c r="M311" i="14"/>
  <c r="B295" i="15" s="1"/>
  <c r="O310" i="14"/>
  <c r="A294" i="15" s="1"/>
  <c r="N310" i="14"/>
  <c r="M310" i="14"/>
  <c r="B294" i="15" s="1"/>
  <c r="O309" i="14"/>
  <c r="A293" i="15" s="1"/>
  <c r="N309" i="14"/>
  <c r="M309" i="14"/>
  <c r="B293" i="15" s="1"/>
  <c r="O308" i="14"/>
  <c r="A292" i="15" s="1"/>
  <c r="N308" i="14"/>
  <c r="M308" i="14"/>
  <c r="B292" i="15" s="1"/>
  <c r="O307" i="14"/>
  <c r="A291" i="15" s="1"/>
  <c r="N307" i="14"/>
  <c r="M307" i="14"/>
  <c r="B291" i="15" s="1"/>
  <c r="O306" i="14"/>
  <c r="A290" i="15" s="1"/>
  <c r="N306" i="14"/>
  <c r="M306" i="14"/>
  <c r="B290" i="15" s="1"/>
  <c r="O305" i="14"/>
  <c r="A289" i="15" s="1"/>
  <c r="N305" i="14"/>
  <c r="M305" i="14"/>
  <c r="B289" i="15" s="1"/>
  <c r="O304" i="14"/>
  <c r="A288" i="15" s="1"/>
  <c r="N304" i="14"/>
  <c r="M304" i="14"/>
  <c r="B288" i="15" s="1"/>
  <c r="O303" i="14"/>
  <c r="A287" i="15" s="1"/>
  <c r="N303" i="14"/>
  <c r="M303" i="14"/>
  <c r="B287" i="15" s="1"/>
  <c r="O302" i="14"/>
  <c r="A286" i="15" s="1"/>
  <c r="N302" i="14"/>
  <c r="M302" i="14"/>
  <c r="B286" i="15" s="1"/>
  <c r="O301" i="14"/>
  <c r="A285" i="15" s="1"/>
  <c r="N301" i="14"/>
  <c r="M301" i="14"/>
  <c r="B285" i="15" s="1"/>
  <c r="O300" i="14"/>
  <c r="A284" i="15" s="1"/>
  <c r="N300" i="14"/>
  <c r="M300" i="14"/>
  <c r="B284" i="15" s="1"/>
  <c r="O299" i="14"/>
  <c r="A283" i="15" s="1"/>
  <c r="N299" i="14"/>
  <c r="M299" i="14"/>
  <c r="B283" i="15" s="1"/>
  <c r="O298" i="14"/>
  <c r="A282" i="15" s="1"/>
  <c r="N298" i="14"/>
  <c r="M298" i="14"/>
  <c r="B282" i="15" s="1"/>
  <c r="O297" i="14"/>
  <c r="A281" i="15" s="1"/>
  <c r="N297" i="14"/>
  <c r="M297" i="14"/>
  <c r="B281" i="15" s="1"/>
  <c r="O296" i="14"/>
  <c r="A280" i="15" s="1"/>
  <c r="N296" i="14"/>
  <c r="M296" i="14"/>
  <c r="B280" i="15" s="1"/>
  <c r="O295" i="14"/>
  <c r="A279" i="15" s="1"/>
  <c r="N295" i="14"/>
  <c r="M295" i="14"/>
  <c r="B279" i="15" s="1"/>
  <c r="O294" i="14"/>
  <c r="A278" i="15" s="1"/>
  <c r="N294" i="14"/>
  <c r="M294" i="14"/>
  <c r="B278" i="15" s="1"/>
  <c r="O293" i="14"/>
  <c r="A277" i="15" s="1"/>
  <c r="N293" i="14"/>
  <c r="M293" i="14"/>
  <c r="B277" i="15" s="1"/>
  <c r="O292" i="14"/>
  <c r="A276" i="15" s="1"/>
  <c r="N292" i="14"/>
  <c r="M292" i="14"/>
  <c r="B276" i="15" s="1"/>
  <c r="O291" i="14"/>
  <c r="A275" i="15" s="1"/>
  <c r="N291" i="14"/>
  <c r="M291" i="14"/>
  <c r="B275" i="15" s="1"/>
  <c r="O290" i="14"/>
  <c r="A274" i="15" s="1"/>
  <c r="N290" i="14"/>
  <c r="M290" i="14"/>
  <c r="B274" i="15" s="1"/>
  <c r="O289" i="14"/>
  <c r="A273" i="15" s="1"/>
  <c r="N289" i="14"/>
  <c r="M289" i="14"/>
  <c r="B273" i="15" s="1"/>
  <c r="O288" i="14"/>
  <c r="A272" i="15" s="1"/>
  <c r="N288" i="14"/>
  <c r="M288" i="14"/>
  <c r="B272" i="15" s="1"/>
  <c r="O287" i="14"/>
  <c r="A271" i="15" s="1"/>
  <c r="N287" i="14"/>
  <c r="M287" i="14"/>
  <c r="B271" i="15" s="1"/>
  <c r="O286" i="14"/>
  <c r="A270" i="15" s="1"/>
  <c r="N286" i="14"/>
  <c r="M286" i="14"/>
  <c r="B270" i="15" s="1"/>
  <c r="O285" i="14"/>
  <c r="A269" i="15" s="1"/>
  <c r="N285" i="14"/>
  <c r="M285" i="14"/>
  <c r="B269" i="15" s="1"/>
  <c r="O284" i="14"/>
  <c r="A268" i="15" s="1"/>
  <c r="N284" i="14"/>
  <c r="M284" i="14"/>
  <c r="B268" i="15" s="1"/>
  <c r="O283" i="14"/>
  <c r="A267" i="15" s="1"/>
  <c r="N283" i="14"/>
  <c r="M283" i="14"/>
  <c r="B267" i="15" s="1"/>
  <c r="O282" i="14"/>
  <c r="A266" i="15" s="1"/>
  <c r="N282" i="14"/>
  <c r="M282" i="14"/>
  <c r="B266" i="15" s="1"/>
  <c r="O281" i="14"/>
  <c r="A265" i="15" s="1"/>
  <c r="N281" i="14"/>
  <c r="M281" i="14"/>
  <c r="B265" i="15" s="1"/>
  <c r="O280" i="14"/>
  <c r="A264" i="15" s="1"/>
  <c r="N280" i="14"/>
  <c r="M280" i="14"/>
  <c r="B264" i="15" s="1"/>
  <c r="O279" i="14"/>
  <c r="A263" i="15" s="1"/>
  <c r="N279" i="14"/>
  <c r="M279" i="14"/>
  <c r="B263" i="15" s="1"/>
  <c r="O278" i="14"/>
  <c r="A262" i="15" s="1"/>
  <c r="N278" i="14"/>
  <c r="M278" i="14"/>
  <c r="B262" i="15" s="1"/>
  <c r="O277" i="14"/>
  <c r="A261" i="15" s="1"/>
  <c r="N277" i="14"/>
  <c r="M277" i="14"/>
  <c r="B261" i="15" s="1"/>
  <c r="O276" i="14"/>
  <c r="A260" i="15" s="1"/>
  <c r="N276" i="14"/>
  <c r="M276" i="14"/>
  <c r="B260" i="15" s="1"/>
  <c r="O275" i="14"/>
  <c r="A259" i="15" s="1"/>
  <c r="N275" i="14"/>
  <c r="M275" i="14"/>
  <c r="B259" i="15" s="1"/>
  <c r="O274" i="14"/>
  <c r="A258" i="15" s="1"/>
  <c r="N274" i="14"/>
  <c r="M274" i="14"/>
  <c r="B258" i="15" s="1"/>
  <c r="O273" i="14"/>
  <c r="A257" i="15" s="1"/>
  <c r="N273" i="14"/>
  <c r="M273" i="14"/>
  <c r="B257" i="15" s="1"/>
  <c r="O272" i="14"/>
  <c r="A256" i="15" s="1"/>
  <c r="N272" i="14"/>
  <c r="M272" i="14"/>
  <c r="B256" i="15" s="1"/>
  <c r="O271" i="14"/>
  <c r="A255" i="15" s="1"/>
  <c r="N271" i="14"/>
  <c r="M271" i="14"/>
  <c r="B255" i="15" s="1"/>
  <c r="O270" i="14"/>
  <c r="A254" i="15" s="1"/>
  <c r="N270" i="14"/>
  <c r="M270" i="14"/>
  <c r="B254" i="15" s="1"/>
  <c r="O269" i="14"/>
  <c r="A253" i="15" s="1"/>
  <c r="N269" i="14"/>
  <c r="M269" i="14"/>
  <c r="B253" i="15" s="1"/>
  <c r="O268" i="14"/>
  <c r="A252" i="15" s="1"/>
  <c r="N268" i="14"/>
  <c r="M268" i="14"/>
  <c r="B252" i="15" s="1"/>
  <c r="O267" i="14"/>
  <c r="A251" i="15" s="1"/>
  <c r="N267" i="14"/>
  <c r="M267" i="14"/>
  <c r="B251" i="15" s="1"/>
  <c r="O266" i="14"/>
  <c r="A250" i="15" s="1"/>
  <c r="N266" i="14"/>
  <c r="M266" i="14"/>
  <c r="B250" i="15" s="1"/>
  <c r="O265" i="14"/>
  <c r="A249" i="15" s="1"/>
  <c r="N265" i="14"/>
  <c r="M265" i="14"/>
  <c r="B249" i="15" s="1"/>
  <c r="O264" i="14"/>
  <c r="A248" i="15" s="1"/>
  <c r="N264" i="14"/>
  <c r="M264" i="14"/>
  <c r="B248" i="15" s="1"/>
  <c r="O263" i="14"/>
  <c r="A247" i="15" s="1"/>
  <c r="N263" i="14"/>
  <c r="M263" i="14"/>
  <c r="B247" i="15" s="1"/>
  <c r="O262" i="14"/>
  <c r="A246" i="15" s="1"/>
  <c r="N262" i="14"/>
  <c r="M262" i="14"/>
  <c r="B246" i="15" s="1"/>
  <c r="O261" i="14"/>
  <c r="A245" i="15" s="1"/>
  <c r="N261" i="14"/>
  <c r="M261" i="14"/>
  <c r="B245" i="15" s="1"/>
  <c r="O260" i="14"/>
  <c r="A244" i="15" s="1"/>
  <c r="N260" i="14"/>
  <c r="M260" i="14"/>
  <c r="B244" i="15" s="1"/>
  <c r="O259" i="14"/>
  <c r="A243" i="15" s="1"/>
  <c r="N259" i="14"/>
  <c r="M259" i="14"/>
  <c r="B243" i="15" s="1"/>
  <c r="O258" i="14"/>
  <c r="A242" i="15" s="1"/>
  <c r="N258" i="14"/>
  <c r="M258" i="14"/>
  <c r="B242" i="15" s="1"/>
  <c r="O257" i="14"/>
  <c r="A241" i="15" s="1"/>
  <c r="N257" i="14"/>
  <c r="M257" i="14"/>
  <c r="B241" i="15" s="1"/>
  <c r="O256" i="14"/>
  <c r="A240" i="15" s="1"/>
  <c r="N256" i="14"/>
  <c r="M256" i="14"/>
  <c r="B240" i="15" s="1"/>
  <c r="O255" i="14"/>
  <c r="A239" i="15" s="1"/>
  <c r="N255" i="14"/>
  <c r="M255" i="14"/>
  <c r="B239" i="15" s="1"/>
  <c r="O254" i="14"/>
  <c r="A238" i="15" s="1"/>
  <c r="N254" i="14"/>
  <c r="M254" i="14"/>
  <c r="B238" i="15" s="1"/>
  <c r="O253" i="14"/>
  <c r="A237" i="15" s="1"/>
  <c r="N253" i="14"/>
  <c r="M253" i="14"/>
  <c r="B237" i="15" s="1"/>
  <c r="O252" i="14"/>
  <c r="A236" i="15" s="1"/>
  <c r="N252" i="14"/>
  <c r="M252" i="14"/>
  <c r="B236" i="15" s="1"/>
  <c r="O251" i="14"/>
  <c r="A235" i="15" s="1"/>
  <c r="N251" i="14"/>
  <c r="M251" i="14"/>
  <c r="B235" i="15" s="1"/>
  <c r="O250" i="14"/>
  <c r="A234" i="15" s="1"/>
  <c r="N250" i="14"/>
  <c r="M250" i="14"/>
  <c r="B234" i="15" s="1"/>
  <c r="O249" i="14"/>
  <c r="A233" i="15" s="1"/>
  <c r="N249" i="14"/>
  <c r="M249" i="14"/>
  <c r="B233" i="15" s="1"/>
  <c r="O248" i="14"/>
  <c r="A232" i="15" s="1"/>
  <c r="N248" i="14"/>
  <c r="M248" i="14"/>
  <c r="B232" i="15" s="1"/>
  <c r="O247" i="14"/>
  <c r="A231" i="15" s="1"/>
  <c r="N247" i="14"/>
  <c r="M247" i="14"/>
  <c r="B231" i="15" s="1"/>
  <c r="O246" i="14"/>
  <c r="A230" i="15" s="1"/>
  <c r="N246" i="14"/>
  <c r="M246" i="14"/>
  <c r="B230" i="15" s="1"/>
  <c r="O245" i="14"/>
  <c r="A229" i="15" s="1"/>
  <c r="N245" i="14"/>
  <c r="M245" i="14"/>
  <c r="B229" i="15" s="1"/>
  <c r="O244" i="14"/>
  <c r="A228" i="15" s="1"/>
  <c r="N244" i="14"/>
  <c r="M244" i="14"/>
  <c r="B228" i="15" s="1"/>
  <c r="O243" i="14"/>
  <c r="A227" i="15" s="1"/>
  <c r="N243" i="14"/>
  <c r="M243" i="14"/>
  <c r="B227" i="15" s="1"/>
  <c r="O242" i="14"/>
  <c r="A226" i="15" s="1"/>
  <c r="N242" i="14"/>
  <c r="M242" i="14"/>
  <c r="B226" i="15" s="1"/>
  <c r="O241" i="14"/>
  <c r="A225" i="15" s="1"/>
  <c r="N241" i="14"/>
  <c r="M241" i="14"/>
  <c r="B225" i="15" s="1"/>
  <c r="O240" i="14"/>
  <c r="A224" i="15" s="1"/>
  <c r="N240" i="14"/>
  <c r="M240" i="14"/>
  <c r="B224" i="15" s="1"/>
  <c r="O239" i="14"/>
  <c r="A223" i="15" s="1"/>
  <c r="N239" i="14"/>
  <c r="M239" i="14"/>
  <c r="B223" i="15" s="1"/>
  <c r="O238" i="14"/>
  <c r="A222" i="15" s="1"/>
  <c r="N238" i="14"/>
  <c r="M238" i="14"/>
  <c r="B222" i="15" s="1"/>
  <c r="O237" i="14"/>
  <c r="A221" i="15" s="1"/>
  <c r="N237" i="14"/>
  <c r="M237" i="14"/>
  <c r="B221" i="15" s="1"/>
  <c r="O236" i="14"/>
  <c r="A220" i="15" s="1"/>
  <c r="N236" i="14"/>
  <c r="M236" i="14"/>
  <c r="B220" i="15" s="1"/>
  <c r="O235" i="14"/>
  <c r="A219" i="15" s="1"/>
  <c r="N235" i="14"/>
  <c r="M235" i="14"/>
  <c r="B219" i="15" s="1"/>
  <c r="O234" i="14"/>
  <c r="A218" i="15" s="1"/>
  <c r="N234" i="14"/>
  <c r="M234" i="14"/>
  <c r="B218" i="15" s="1"/>
  <c r="O233" i="14"/>
  <c r="A217" i="15" s="1"/>
  <c r="N233" i="14"/>
  <c r="M233" i="14"/>
  <c r="B217" i="15" s="1"/>
  <c r="O232" i="14"/>
  <c r="A216" i="15" s="1"/>
  <c r="N232" i="14"/>
  <c r="M232" i="14"/>
  <c r="B216" i="15" s="1"/>
  <c r="O231" i="14"/>
  <c r="A215" i="15" s="1"/>
  <c r="N231" i="14"/>
  <c r="M231" i="14"/>
  <c r="B215" i="15" s="1"/>
  <c r="O230" i="14"/>
  <c r="A214" i="15" s="1"/>
  <c r="N230" i="14"/>
  <c r="M230" i="14"/>
  <c r="B214" i="15" s="1"/>
  <c r="O229" i="14"/>
  <c r="A213" i="15" s="1"/>
  <c r="N229" i="14"/>
  <c r="M229" i="14"/>
  <c r="B213" i="15" s="1"/>
  <c r="O228" i="14"/>
  <c r="A212" i="15" s="1"/>
  <c r="N228" i="14"/>
  <c r="M228" i="14"/>
  <c r="B212" i="15" s="1"/>
  <c r="O227" i="14"/>
  <c r="A211" i="15" s="1"/>
  <c r="N227" i="14"/>
  <c r="M227" i="14"/>
  <c r="B211" i="15" s="1"/>
  <c r="O226" i="14"/>
  <c r="A210" i="15" s="1"/>
  <c r="N226" i="14"/>
  <c r="M226" i="14"/>
  <c r="B210" i="15" s="1"/>
  <c r="O225" i="14"/>
  <c r="A209" i="15" s="1"/>
  <c r="N225" i="14"/>
  <c r="M225" i="14"/>
  <c r="B209" i="15" s="1"/>
  <c r="O224" i="14"/>
  <c r="A208" i="15" s="1"/>
  <c r="N224" i="14"/>
  <c r="M224" i="14"/>
  <c r="B208" i="15" s="1"/>
  <c r="O223" i="14"/>
  <c r="A207" i="15" s="1"/>
  <c r="N223" i="14"/>
  <c r="M223" i="14"/>
  <c r="B207" i="15" s="1"/>
  <c r="O222" i="14"/>
  <c r="A206" i="15" s="1"/>
  <c r="N222" i="14"/>
  <c r="M222" i="14"/>
  <c r="B206" i="15" s="1"/>
  <c r="O221" i="14"/>
  <c r="A205" i="15" s="1"/>
  <c r="N221" i="14"/>
  <c r="M221" i="14"/>
  <c r="B205" i="15" s="1"/>
  <c r="O220" i="14"/>
  <c r="A204" i="15" s="1"/>
  <c r="N220" i="14"/>
  <c r="M220" i="14"/>
  <c r="B204" i="15" s="1"/>
  <c r="O219" i="14"/>
  <c r="A203" i="15" s="1"/>
  <c r="N219" i="14"/>
  <c r="M219" i="14"/>
  <c r="B203" i="15" s="1"/>
  <c r="O218" i="14"/>
  <c r="A202" i="15" s="1"/>
  <c r="N218" i="14"/>
  <c r="M218" i="14"/>
  <c r="B202" i="15" s="1"/>
  <c r="O217" i="14"/>
  <c r="A201" i="15" s="1"/>
  <c r="N217" i="14"/>
  <c r="M217" i="14"/>
  <c r="B201" i="15" s="1"/>
  <c r="O216" i="14"/>
  <c r="A200" i="15" s="1"/>
  <c r="N216" i="14"/>
  <c r="M216" i="14"/>
  <c r="B200" i="15" s="1"/>
  <c r="O215" i="14"/>
  <c r="A199" i="15" s="1"/>
  <c r="N215" i="14"/>
  <c r="M215" i="14"/>
  <c r="B199" i="15" s="1"/>
  <c r="O214" i="14"/>
  <c r="A198" i="15" s="1"/>
  <c r="N214" i="14"/>
  <c r="M214" i="14"/>
  <c r="B198" i="15" s="1"/>
  <c r="O213" i="14"/>
  <c r="A197" i="15" s="1"/>
  <c r="N213" i="14"/>
  <c r="M213" i="14"/>
  <c r="B197" i="15" s="1"/>
  <c r="O212" i="14"/>
  <c r="A196" i="15" s="1"/>
  <c r="N212" i="14"/>
  <c r="M212" i="14"/>
  <c r="B196" i="15" s="1"/>
  <c r="O211" i="14"/>
  <c r="A195" i="15" s="1"/>
  <c r="N211" i="14"/>
  <c r="M211" i="14"/>
  <c r="B195" i="15" s="1"/>
  <c r="O210" i="14"/>
  <c r="A194" i="15" s="1"/>
  <c r="N210" i="14"/>
  <c r="M210" i="14"/>
  <c r="B194" i="15" s="1"/>
  <c r="O209" i="14"/>
  <c r="A193" i="15" s="1"/>
  <c r="N209" i="14"/>
  <c r="M209" i="14"/>
  <c r="B193" i="15" s="1"/>
  <c r="O208" i="14"/>
  <c r="A192" i="15" s="1"/>
  <c r="N208" i="14"/>
  <c r="M208" i="14"/>
  <c r="B192" i="15" s="1"/>
  <c r="O207" i="14"/>
  <c r="A191" i="15" s="1"/>
  <c r="N207" i="14"/>
  <c r="M207" i="14"/>
  <c r="B191" i="15" s="1"/>
  <c r="O206" i="14"/>
  <c r="A190" i="15" s="1"/>
  <c r="N206" i="14"/>
  <c r="M206" i="14"/>
  <c r="B190" i="15" s="1"/>
  <c r="O205" i="14"/>
  <c r="A189" i="15" s="1"/>
  <c r="N205" i="14"/>
  <c r="M205" i="14"/>
  <c r="B189" i="15" s="1"/>
  <c r="O204" i="14"/>
  <c r="A188" i="15" s="1"/>
  <c r="N204" i="14"/>
  <c r="M204" i="14"/>
  <c r="B188" i="15" s="1"/>
  <c r="O203" i="14"/>
  <c r="A187" i="15" s="1"/>
  <c r="N203" i="14"/>
  <c r="M203" i="14"/>
  <c r="B187" i="15" s="1"/>
  <c r="O202" i="14"/>
  <c r="A186" i="15" s="1"/>
  <c r="N202" i="14"/>
  <c r="M202" i="14"/>
  <c r="B186" i="15" s="1"/>
  <c r="O201" i="14"/>
  <c r="A185" i="15" s="1"/>
  <c r="N201" i="14"/>
  <c r="M201" i="14"/>
  <c r="B185" i="15" s="1"/>
  <c r="O200" i="14"/>
  <c r="A184" i="15" s="1"/>
  <c r="N200" i="14"/>
  <c r="M200" i="14"/>
  <c r="B184" i="15" s="1"/>
  <c r="O199" i="14"/>
  <c r="A183" i="15" s="1"/>
  <c r="N199" i="14"/>
  <c r="M199" i="14"/>
  <c r="B183" i="15" s="1"/>
  <c r="O198" i="14"/>
  <c r="A182" i="15" s="1"/>
  <c r="N198" i="14"/>
  <c r="M198" i="14"/>
  <c r="B182" i="15" s="1"/>
  <c r="O197" i="14"/>
  <c r="A181" i="15" s="1"/>
  <c r="N197" i="14"/>
  <c r="M197" i="14"/>
  <c r="B181" i="15" s="1"/>
  <c r="O196" i="14"/>
  <c r="A180" i="15" s="1"/>
  <c r="N196" i="14"/>
  <c r="M196" i="14"/>
  <c r="B180" i="15" s="1"/>
  <c r="O195" i="14"/>
  <c r="A179" i="15" s="1"/>
  <c r="N195" i="14"/>
  <c r="M195" i="14"/>
  <c r="B179" i="15" s="1"/>
  <c r="O194" i="14"/>
  <c r="A178" i="15" s="1"/>
  <c r="N194" i="14"/>
  <c r="M194" i="14"/>
  <c r="B178" i="15" s="1"/>
  <c r="O193" i="14"/>
  <c r="A177" i="15" s="1"/>
  <c r="N193" i="14"/>
  <c r="M193" i="14"/>
  <c r="B177" i="15" s="1"/>
  <c r="O192" i="14"/>
  <c r="A176" i="15" s="1"/>
  <c r="N192" i="14"/>
  <c r="M192" i="14"/>
  <c r="B176" i="15" s="1"/>
  <c r="O191" i="14"/>
  <c r="A175" i="15" s="1"/>
  <c r="N191" i="14"/>
  <c r="M191" i="14"/>
  <c r="B175" i="15" s="1"/>
  <c r="O190" i="14"/>
  <c r="A174" i="15" s="1"/>
  <c r="N190" i="14"/>
  <c r="M190" i="14"/>
  <c r="B174" i="15" s="1"/>
  <c r="O189" i="14"/>
  <c r="A173" i="15" s="1"/>
  <c r="N189" i="14"/>
  <c r="M189" i="14"/>
  <c r="B173" i="15" s="1"/>
  <c r="O188" i="14"/>
  <c r="A172" i="15" s="1"/>
  <c r="N188" i="14"/>
  <c r="M188" i="14"/>
  <c r="B172" i="15" s="1"/>
  <c r="O187" i="14"/>
  <c r="A171" i="15" s="1"/>
  <c r="N187" i="14"/>
  <c r="M187" i="14"/>
  <c r="B171" i="15" s="1"/>
  <c r="O186" i="14"/>
  <c r="A170" i="15" s="1"/>
  <c r="N186" i="14"/>
  <c r="M186" i="14"/>
  <c r="B170" i="15" s="1"/>
  <c r="O185" i="14"/>
  <c r="A169" i="15" s="1"/>
  <c r="N185" i="14"/>
  <c r="M185" i="14"/>
  <c r="B169" i="15" s="1"/>
  <c r="O184" i="14"/>
  <c r="A168" i="15" s="1"/>
  <c r="N184" i="14"/>
  <c r="M184" i="14"/>
  <c r="B168" i="15" s="1"/>
  <c r="O183" i="14"/>
  <c r="A167" i="15" s="1"/>
  <c r="N183" i="14"/>
  <c r="M183" i="14"/>
  <c r="B167" i="15" s="1"/>
  <c r="O182" i="14"/>
  <c r="A166" i="15" s="1"/>
  <c r="N182" i="14"/>
  <c r="M182" i="14"/>
  <c r="B166" i="15" s="1"/>
  <c r="O181" i="14"/>
  <c r="A165" i="15" s="1"/>
  <c r="N181" i="14"/>
  <c r="M181" i="14"/>
  <c r="B165" i="15" s="1"/>
  <c r="O180" i="14"/>
  <c r="A164" i="15" s="1"/>
  <c r="N180" i="14"/>
  <c r="M180" i="14"/>
  <c r="B164" i="15" s="1"/>
  <c r="O179" i="14"/>
  <c r="A163" i="15" s="1"/>
  <c r="N179" i="14"/>
  <c r="M179" i="14"/>
  <c r="B163" i="15" s="1"/>
  <c r="O178" i="14"/>
  <c r="A162" i="15" s="1"/>
  <c r="N178" i="14"/>
  <c r="M178" i="14"/>
  <c r="B162" i="15" s="1"/>
  <c r="O177" i="14"/>
  <c r="A161" i="15" s="1"/>
  <c r="N177" i="14"/>
  <c r="M177" i="14"/>
  <c r="B161" i="15" s="1"/>
  <c r="O176" i="14"/>
  <c r="A160" i="15" s="1"/>
  <c r="N176" i="14"/>
  <c r="M176" i="14"/>
  <c r="B160" i="15" s="1"/>
  <c r="O175" i="14"/>
  <c r="A159" i="15" s="1"/>
  <c r="N175" i="14"/>
  <c r="M175" i="14"/>
  <c r="B159" i="15" s="1"/>
  <c r="O174" i="14"/>
  <c r="A158" i="15" s="1"/>
  <c r="N174" i="14"/>
  <c r="M174" i="14"/>
  <c r="B158" i="15" s="1"/>
  <c r="O173" i="14"/>
  <c r="A157" i="15" s="1"/>
  <c r="N173" i="14"/>
  <c r="M173" i="14"/>
  <c r="B157" i="15" s="1"/>
  <c r="O172" i="14"/>
  <c r="A156" i="15" s="1"/>
  <c r="N172" i="14"/>
  <c r="M172" i="14"/>
  <c r="B156" i="15" s="1"/>
  <c r="O171" i="14"/>
  <c r="A155" i="15" s="1"/>
  <c r="N171" i="14"/>
  <c r="M171" i="14"/>
  <c r="B155" i="15" s="1"/>
  <c r="O170" i="14"/>
  <c r="A154" i="15" s="1"/>
  <c r="N170" i="14"/>
  <c r="M170" i="14"/>
  <c r="B154" i="15" s="1"/>
  <c r="O169" i="14"/>
  <c r="A153" i="15" s="1"/>
  <c r="N169" i="14"/>
  <c r="M169" i="14"/>
  <c r="B153" i="15" s="1"/>
  <c r="O168" i="14"/>
  <c r="A152" i="15" s="1"/>
  <c r="N168" i="14"/>
  <c r="M168" i="14"/>
  <c r="B152" i="15" s="1"/>
  <c r="O167" i="14"/>
  <c r="A151" i="15" s="1"/>
  <c r="N167" i="14"/>
  <c r="M167" i="14"/>
  <c r="B151" i="15" s="1"/>
  <c r="O166" i="14"/>
  <c r="A150" i="15" s="1"/>
  <c r="N166" i="14"/>
  <c r="M166" i="14"/>
  <c r="B150" i="15" s="1"/>
  <c r="O165" i="14"/>
  <c r="A149" i="15" s="1"/>
  <c r="N165" i="14"/>
  <c r="M165" i="14"/>
  <c r="B149" i="15" s="1"/>
  <c r="O164" i="14"/>
  <c r="A148" i="15" s="1"/>
  <c r="N164" i="14"/>
  <c r="M164" i="14"/>
  <c r="B148" i="15" s="1"/>
  <c r="O163" i="14"/>
  <c r="A147" i="15" s="1"/>
  <c r="N163" i="14"/>
  <c r="M163" i="14"/>
  <c r="B147" i="15" s="1"/>
  <c r="O162" i="14"/>
  <c r="A146" i="15" s="1"/>
  <c r="N162" i="14"/>
  <c r="M162" i="14"/>
  <c r="B146" i="15" s="1"/>
  <c r="O161" i="14"/>
  <c r="A145" i="15" s="1"/>
  <c r="N161" i="14"/>
  <c r="M161" i="14"/>
  <c r="B145" i="15" s="1"/>
  <c r="O160" i="14"/>
  <c r="A144" i="15" s="1"/>
  <c r="N160" i="14"/>
  <c r="M160" i="14"/>
  <c r="B144" i="15" s="1"/>
  <c r="O159" i="14"/>
  <c r="A143" i="15" s="1"/>
  <c r="N159" i="14"/>
  <c r="M159" i="14"/>
  <c r="B143" i="15" s="1"/>
  <c r="O158" i="14"/>
  <c r="A142" i="15" s="1"/>
  <c r="N158" i="14"/>
  <c r="M158" i="14"/>
  <c r="B142" i="15" s="1"/>
  <c r="O157" i="14"/>
  <c r="A141" i="15" s="1"/>
  <c r="N157" i="14"/>
  <c r="M157" i="14"/>
  <c r="B141" i="15" s="1"/>
  <c r="O156" i="14"/>
  <c r="A140" i="15" s="1"/>
  <c r="N156" i="14"/>
  <c r="M156" i="14"/>
  <c r="B140" i="15" s="1"/>
  <c r="O155" i="14"/>
  <c r="A139" i="15" s="1"/>
  <c r="N155" i="14"/>
  <c r="M155" i="14"/>
  <c r="B139" i="15" s="1"/>
  <c r="O154" i="14"/>
  <c r="A138" i="15" s="1"/>
  <c r="N154" i="14"/>
  <c r="M154" i="14"/>
  <c r="B138" i="15" s="1"/>
  <c r="O153" i="14"/>
  <c r="A137" i="15" s="1"/>
  <c r="N153" i="14"/>
  <c r="M153" i="14"/>
  <c r="B137" i="15" s="1"/>
  <c r="O152" i="14"/>
  <c r="A136" i="15" s="1"/>
  <c r="N152" i="14"/>
  <c r="M152" i="14"/>
  <c r="B136" i="15" s="1"/>
  <c r="O151" i="14"/>
  <c r="A135" i="15" s="1"/>
  <c r="N151" i="14"/>
  <c r="M151" i="14"/>
  <c r="B135" i="15" s="1"/>
  <c r="O150" i="14"/>
  <c r="A134" i="15" s="1"/>
  <c r="N150" i="14"/>
  <c r="M150" i="14"/>
  <c r="B134" i="15" s="1"/>
  <c r="O149" i="14"/>
  <c r="A133" i="15" s="1"/>
  <c r="N149" i="14"/>
  <c r="M149" i="14"/>
  <c r="B133" i="15" s="1"/>
  <c r="O148" i="14"/>
  <c r="A132" i="15" s="1"/>
  <c r="N148" i="14"/>
  <c r="M148" i="14"/>
  <c r="B132" i="15" s="1"/>
  <c r="O147" i="14"/>
  <c r="A131" i="15" s="1"/>
  <c r="N147" i="14"/>
  <c r="M147" i="14"/>
  <c r="B131" i="15" s="1"/>
  <c r="O146" i="14"/>
  <c r="A130" i="15" s="1"/>
  <c r="N146" i="14"/>
  <c r="M146" i="14"/>
  <c r="B130" i="15" s="1"/>
  <c r="O145" i="14"/>
  <c r="A129" i="15" s="1"/>
  <c r="N145" i="14"/>
  <c r="M145" i="14"/>
  <c r="B129" i="15" s="1"/>
  <c r="O144" i="14"/>
  <c r="A128" i="15" s="1"/>
  <c r="N144" i="14"/>
  <c r="M144" i="14"/>
  <c r="B128" i="15" s="1"/>
  <c r="O143" i="14"/>
  <c r="A127" i="15" s="1"/>
  <c r="N143" i="14"/>
  <c r="M143" i="14"/>
  <c r="B127" i="15" s="1"/>
  <c r="O142" i="14"/>
  <c r="A126" i="15" s="1"/>
  <c r="N142" i="14"/>
  <c r="M142" i="14"/>
  <c r="B126" i="15" s="1"/>
  <c r="O141" i="14"/>
  <c r="A125" i="15" s="1"/>
  <c r="N141" i="14"/>
  <c r="M141" i="14"/>
  <c r="B125" i="15" s="1"/>
  <c r="O140" i="14"/>
  <c r="A124" i="15" s="1"/>
  <c r="N140" i="14"/>
  <c r="M140" i="14"/>
  <c r="B124" i="15" s="1"/>
  <c r="O139" i="14"/>
  <c r="A123" i="15" s="1"/>
  <c r="N139" i="14"/>
  <c r="M139" i="14"/>
  <c r="B123" i="15" s="1"/>
  <c r="O138" i="14"/>
  <c r="A122" i="15" s="1"/>
  <c r="N138" i="14"/>
  <c r="M138" i="14"/>
  <c r="B122" i="15" s="1"/>
  <c r="O137" i="14"/>
  <c r="A121" i="15" s="1"/>
  <c r="N137" i="14"/>
  <c r="M137" i="14"/>
  <c r="B121" i="15" s="1"/>
  <c r="O136" i="14"/>
  <c r="A120" i="15" s="1"/>
  <c r="N136" i="14"/>
  <c r="M136" i="14"/>
  <c r="B120" i="15" s="1"/>
  <c r="O135" i="14"/>
  <c r="A119" i="15" s="1"/>
  <c r="N135" i="14"/>
  <c r="M135" i="14"/>
  <c r="B119" i="15" s="1"/>
  <c r="O134" i="14"/>
  <c r="A118" i="15" s="1"/>
  <c r="N134" i="14"/>
  <c r="M134" i="14"/>
  <c r="B118" i="15" s="1"/>
  <c r="O133" i="14"/>
  <c r="A117" i="15" s="1"/>
  <c r="N133" i="14"/>
  <c r="M133" i="14"/>
  <c r="B117" i="15" s="1"/>
  <c r="O132" i="14"/>
  <c r="A116" i="15" s="1"/>
  <c r="N132" i="14"/>
  <c r="M132" i="14"/>
  <c r="B116" i="15" s="1"/>
  <c r="O131" i="14"/>
  <c r="A115" i="15" s="1"/>
  <c r="N131" i="14"/>
  <c r="M131" i="14"/>
  <c r="B115" i="15" s="1"/>
  <c r="O130" i="14"/>
  <c r="A114" i="15" s="1"/>
  <c r="N130" i="14"/>
  <c r="M130" i="14"/>
  <c r="B114" i="15" s="1"/>
  <c r="O129" i="14"/>
  <c r="A113" i="15" s="1"/>
  <c r="N129" i="14"/>
  <c r="M129" i="14"/>
  <c r="B113" i="15" s="1"/>
  <c r="O128" i="14"/>
  <c r="A112" i="15" s="1"/>
  <c r="N128" i="14"/>
  <c r="M128" i="14"/>
  <c r="B112" i="15" s="1"/>
  <c r="O127" i="14"/>
  <c r="A111" i="15" s="1"/>
  <c r="N127" i="14"/>
  <c r="M127" i="14"/>
  <c r="B111" i="15" s="1"/>
  <c r="O126" i="14"/>
  <c r="A110" i="15" s="1"/>
  <c r="N126" i="14"/>
  <c r="M126" i="14"/>
  <c r="B110" i="15" s="1"/>
  <c r="O125" i="14"/>
  <c r="A109" i="15" s="1"/>
  <c r="N125" i="14"/>
  <c r="M125" i="14"/>
  <c r="B109" i="15" s="1"/>
  <c r="O124" i="14"/>
  <c r="A108" i="15" s="1"/>
  <c r="N124" i="14"/>
  <c r="M124" i="14"/>
  <c r="B108" i="15" s="1"/>
  <c r="O123" i="14"/>
  <c r="A107" i="15" s="1"/>
  <c r="N123" i="14"/>
  <c r="M123" i="14"/>
  <c r="B107" i="15" s="1"/>
  <c r="O122" i="14"/>
  <c r="A106" i="15" s="1"/>
  <c r="N122" i="14"/>
  <c r="M122" i="14"/>
  <c r="B106" i="15" s="1"/>
  <c r="O121" i="14"/>
  <c r="A105" i="15" s="1"/>
  <c r="N121" i="14"/>
  <c r="M121" i="14"/>
  <c r="B105" i="15" s="1"/>
  <c r="O120" i="14"/>
  <c r="A104" i="15" s="1"/>
  <c r="N120" i="14"/>
  <c r="M120" i="14"/>
  <c r="B104" i="15" s="1"/>
  <c r="O119" i="14"/>
  <c r="A103" i="15" s="1"/>
  <c r="N119" i="14"/>
  <c r="M119" i="14"/>
  <c r="B103" i="15" s="1"/>
  <c r="O118" i="14"/>
  <c r="A102" i="15" s="1"/>
  <c r="N118" i="14"/>
  <c r="M118" i="14"/>
  <c r="B102" i="15" s="1"/>
  <c r="O117" i="14"/>
  <c r="A101" i="15" s="1"/>
  <c r="N117" i="14"/>
  <c r="M117" i="14"/>
  <c r="B101" i="15" s="1"/>
  <c r="O116" i="14"/>
  <c r="A100" i="15" s="1"/>
  <c r="N116" i="14"/>
  <c r="M116" i="14"/>
  <c r="B100" i="15" s="1"/>
  <c r="O115" i="14"/>
  <c r="A99" i="15" s="1"/>
  <c r="N115" i="14"/>
  <c r="M115" i="14"/>
  <c r="B99" i="15" s="1"/>
  <c r="O114" i="14"/>
  <c r="A98" i="15" s="1"/>
  <c r="N114" i="14"/>
  <c r="M114" i="14"/>
  <c r="B98" i="15" s="1"/>
  <c r="O113" i="14"/>
  <c r="A97" i="15" s="1"/>
  <c r="N113" i="14"/>
  <c r="M113" i="14"/>
  <c r="B97" i="15" s="1"/>
  <c r="O112" i="14"/>
  <c r="A96" i="15" s="1"/>
  <c r="N112" i="14"/>
  <c r="M112" i="14"/>
  <c r="B96" i="15" s="1"/>
  <c r="O111" i="14"/>
  <c r="A95" i="15" s="1"/>
  <c r="N111" i="14"/>
  <c r="M111" i="14"/>
  <c r="B95" i="15" s="1"/>
  <c r="O110" i="14"/>
  <c r="A94" i="15" s="1"/>
  <c r="N110" i="14"/>
  <c r="M110" i="14"/>
  <c r="B94" i="15" s="1"/>
  <c r="O109" i="14"/>
  <c r="A93" i="15" s="1"/>
  <c r="N109" i="14"/>
  <c r="M109" i="14"/>
  <c r="B93" i="15" s="1"/>
  <c r="O108" i="14"/>
  <c r="A92" i="15" s="1"/>
  <c r="N108" i="14"/>
  <c r="M108" i="14"/>
  <c r="B92" i="15" s="1"/>
  <c r="O107" i="14"/>
  <c r="A91" i="15" s="1"/>
  <c r="N107" i="14"/>
  <c r="M107" i="14"/>
  <c r="B91" i="15" s="1"/>
  <c r="O106" i="14"/>
  <c r="A90" i="15" s="1"/>
  <c r="N106" i="14"/>
  <c r="M106" i="14"/>
  <c r="B90" i="15" s="1"/>
  <c r="O105" i="14"/>
  <c r="A89" i="15" s="1"/>
  <c r="N105" i="14"/>
  <c r="M105" i="14"/>
  <c r="B89" i="15" s="1"/>
  <c r="O104" i="14"/>
  <c r="A88" i="15" s="1"/>
  <c r="N104" i="14"/>
  <c r="M104" i="14"/>
  <c r="B88" i="15" s="1"/>
  <c r="O103" i="14"/>
  <c r="A87" i="15" s="1"/>
  <c r="N103" i="14"/>
  <c r="M103" i="14"/>
  <c r="B87" i="15" s="1"/>
  <c r="O102" i="14"/>
  <c r="A86" i="15" s="1"/>
  <c r="N102" i="14"/>
  <c r="M102" i="14"/>
  <c r="B86" i="15" s="1"/>
  <c r="O101" i="14"/>
  <c r="A85" i="15" s="1"/>
  <c r="N101" i="14"/>
  <c r="M101" i="14"/>
  <c r="B85" i="15" s="1"/>
  <c r="O100" i="14"/>
  <c r="A84" i="15" s="1"/>
  <c r="N100" i="14"/>
  <c r="M100" i="14"/>
  <c r="B84" i="15" s="1"/>
  <c r="O99" i="14"/>
  <c r="A83" i="15" s="1"/>
  <c r="N99" i="14"/>
  <c r="M99" i="14"/>
  <c r="B83" i="15" s="1"/>
  <c r="O98" i="14"/>
  <c r="A82" i="15" s="1"/>
  <c r="N98" i="14"/>
  <c r="M98" i="14"/>
  <c r="B82" i="15" s="1"/>
  <c r="O97" i="14"/>
  <c r="A81" i="15" s="1"/>
  <c r="N97" i="14"/>
  <c r="M97" i="14"/>
  <c r="B81" i="15" s="1"/>
  <c r="O96" i="14"/>
  <c r="A80" i="15" s="1"/>
  <c r="N96" i="14"/>
  <c r="M96" i="14"/>
  <c r="B80" i="15" s="1"/>
  <c r="O95" i="14"/>
  <c r="A79" i="15" s="1"/>
  <c r="N95" i="14"/>
  <c r="M95" i="14"/>
  <c r="B79" i="15" s="1"/>
  <c r="O94" i="14"/>
  <c r="A78" i="15" s="1"/>
  <c r="N94" i="14"/>
  <c r="M94" i="14"/>
  <c r="B78" i="15" s="1"/>
  <c r="O93" i="14"/>
  <c r="A77" i="15" s="1"/>
  <c r="N93" i="14"/>
  <c r="M93" i="14"/>
  <c r="B77" i="15" s="1"/>
  <c r="O92" i="14"/>
  <c r="A76" i="15" s="1"/>
  <c r="N92" i="14"/>
  <c r="M92" i="14"/>
  <c r="B76" i="15" s="1"/>
  <c r="O91" i="14"/>
  <c r="A75" i="15" s="1"/>
  <c r="N91" i="14"/>
  <c r="M91" i="14"/>
  <c r="B75" i="15" s="1"/>
  <c r="O90" i="14"/>
  <c r="A74" i="15" s="1"/>
  <c r="N90" i="14"/>
  <c r="M90" i="14"/>
  <c r="B74" i="15" s="1"/>
  <c r="O89" i="14"/>
  <c r="A73" i="15" s="1"/>
  <c r="N89" i="14"/>
  <c r="M89" i="14"/>
  <c r="B73" i="15" s="1"/>
  <c r="O88" i="14"/>
  <c r="A72" i="15" s="1"/>
  <c r="N88" i="14"/>
  <c r="M88" i="14"/>
  <c r="B72" i="15" s="1"/>
  <c r="O87" i="14"/>
  <c r="A71" i="15" s="1"/>
  <c r="N87" i="14"/>
  <c r="M87" i="14"/>
  <c r="B71" i="15" s="1"/>
  <c r="O86" i="14"/>
  <c r="A70" i="15" s="1"/>
  <c r="N86" i="14"/>
  <c r="M86" i="14"/>
  <c r="B70" i="15" s="1"/>
  <c r="O85" i="14"/>
  <c r="A69" i="15" s="1"/>
  <c r="N85" i="14"/>
  <c r="M85" i="14"/>
  <c r="B69" i="15" s="1"/>
  <c r="O84" i="14"/>
  <c r="A68" i="15" s="1"/>
  <c r="N84" i="14"/>
  <c r="M84" i="14"/>
  <c r="B68" i="15" s="1"/>
  <c r="O83" i="14"/>
  <c r="A67" i="15" s="1"/>
  <c r="N83" i="14"/>
  <c r="M83" i="14"/>
  <c r="B67" i="15" s="1"/>
  <c r="O82" i="14"/>
  <c r="A66" i="15" s="1"/>
  <c r="N82" i="14"/>
  <c r="M82" i="14"/>
  <c r="B66" i="15" s="1"/>
  <c r="O81" i="14"/>
  <c r="A65" i="15" s="1"/>
  <c r="N81" i="14"/>
  <c r="M81" i="14"/>
  <c r="B65" i="15" s="1"/>
  <c r="O80" i="14"/>
  <c r="A64" i="15" s="1"/>
  <c r="N80" i="14"/>
  <c r="M80" i="14"/>
  <c r="B64" i="15" s="1"/>
  <c r="O79" i="14"/>
  <c r="A63" i="15" s="1"/>
  <c r="N79" i="14"/>
  <c r="M79" i="14"/>
  <c r="B63" i="15" s="1"/>
  <c r="O78" i="14"/>
  <c r="A62" i="15" s="1"/>
  <c r="N78" i="14"/>
  <c r="M78" i="14"/>
  <c r="B62" i="15" s="1"/>
  <c r="O77" i="14"/>
  <c r="A61" i="15" s="1"/>
  <c r="N77" i="14"/>
  <c r="M77" i="14"/>
  <c r="B61" i="15" s="1"/>
  <c r="O76" i="14"/>
  <c r="A60" i="15" s="1"/>
  <c r="N76" i="14"/>
  <c r="M76" i="14"/>
  <c r="B60" i="15" s="1"/>
  <c r="O75" i="14"/>
  <c r="A59" i="15" s="1"/>
  <c r="N75" i="14"/>
  <c r="M75" i="14"/>
  <c r="B59" i="15" s="1"/>
  <c r="O74" i="14"/>
  <c r="A58" i="15" s="1"/>
  <c r="N74" i="14"/>
  <c r="M74" i="14"/>
  <c r="B58" i="15" s="1"/>
  <c r="O73" i="14"/>
  <c r="A57" i="15" s="1"/>
  <c r="N73" i="14"/>
  <c r="M73" i="14"/>
  <c r="B57" i="15" s="1"/>
  <c r="O72" i="14"/>
  <c r="A56" i="15" s="1"/>
  <c r="N72" i="14"/>
  <c r="M72" i="14"/>
  <c r="B56" i="15" s="1"/>
  <c r="O71" i="14"/>
  <c r="A55" i="15" s="1"/>
  <c r="N71" i="14"/>
  <c r="M71" i="14"/>
  <c r="B55" i="15" s="1"/>
  <c r="O70" i="14"/>
  <c r="A54" i="15" s="1"/>
  <c r="N70" i="14"/>
  <c r="M70" i="14"/>
  <c r="B54" i="15" s="1"/>
  <c r="O69" i="14"/>
  <c r="A53" i="15" s="1"/>
  <c r="N69" i="14"/>
  <c r="M69" i="14"/>
  <c r="B53" i="15" s="1"/>
  <c r="O68" i="14"/>
  <c r="A52" i="15" s="1"/>
  <c r="N68" i="14"/>
  <c r="M68" i="14"/>
  <c r="B52" i="15" s="1"/>
  <c r="O67" i="14"/>
  <c r="A51" i="15" s="1"/>
  <c r="N67" i="14"/>
  <c r="M67" i="14"/>
  <c r="B51" i="15" s="1"/>
  <c r="O66" i="14"/>
  <c r="A50" i="15" s="1"/>
  <c r="N66" i="14"/>
  <c r="M66" i="14"/>
  <c r="B50" i="15" s="1"/>
  <c r="O65" i="14"/>
  <c r="A49" i="15" s="1"/>
  <c r="N65" i="14"/>
  <c r="M65" i="14"/>
  <c r="B49" i="15" s="1"/>
  <c r="O64" i="14"/>
  <c r="A48" i="15" s="1"/>
  <c r="N64" i="14"/>
  <c r="M64" i="14"/>
  <c r="B48" i="15" s="1"/>
  <c r="O63" i="14"/>
  <c r="A47" i="15" s="1"/>
  <c r="N63" i="14"/>
  <c r="M63" i="14"/>
  <c r="B47" i="15" s="1"/>
  <c r="O62" i="14"/>
  <c r="A46" i="15" s="1"/>
  <c r="N62" i="14"/>
  <c r="M62" i="14"/>
  <c r="B46" i="15" s="1"/>
  <c r="O61" i="14"/>
  <c r="A45" i="15" s="1"/>
  <c r="N61" i="14"/>
  <c r="M61" i="14"/>
  <c r="B45" i="15" s="1"/>
  <c r="O60" i="14"/>
  <c r="A44" i="15" s="1"/>
  <c r="N60" i="14"/>
  <c r="M60" i="14"/>
  <c r="B44" i="15" s="1"/>
  <c r="O59" i="14"/>
  <c r="A43" i="15" s="1"/>
  <c r="N59" i="14"/>
  <c r="M59" i="14"/>
  <c r="B43" i="15" s="1"/>
  <c r="O58" i="14"/>
  <c r="A42" i="15" s="1"/>
  <c r="N58" i="14"/>
  <c r="M58" i="14"/>
  <c r="B42" i="15" s="1"/>
  <c r="O57" i="14"/>
  <c r="A41" i="15" s="1"/>
  <c r="N57" i="14"/>
  <c r="M57" i="14"/>
  <c r="B41" i="15" s="1"/>
  <c r="O56" i="14"/>
  <c r="A40" i="15" s="1"/>
  <c r="N56" i="14"/>
  <c r="M56" i="14"/>
  <c r="B40" i="15" s="1"/>
  <c r="O55" i="14"/>
  <c r="A39" i="15" s="1"/>
  <c r="N55" i="14"/>
  <c r="M55" i="14"/>
  <c r="B39" i="15" s="1"/>
  <c r="O54" i="14"/>
  <c r="A38" i="15" s="1"/>
  <c r="N54" i="14"/>
  <c r="M54" i="14"/>
  <c r="B38" i="15" s="1"/>
  <c r="O53" i="14"/>
  <c r="A37" i="15" s="1"/>
  <c r="N53" i="14"/>
  <c r="M53" i="14"/>
  <c r="B37" i="15" s="1"/>
  <c r="O52" i="14"/>
  <c r="A36" i="15" s="1"/>
  <c r="N52" i="14"/>
  <c r="M52" i="14"/>
  <c r="B36" i="15" s="1"/>
  <c r="O51" i="14"/>
  <c r="A35" i="15" s="1"/>
  <c r="N51" i="14"/>
  <c r="M51" i="14"/>
  <c r="B35" i="15" s="1"/>
  <c r="O50" i="14"/>
  <c r="A34" i="15" s="1"/>
  <c r="N50" i="14"/>
  <c r="M50" i="14"/>
  <c r="B34" i="15" s="1"/>
  <c r="O49" i="14"/>
  <c r="A33" i="15" s="1"/>
  <c r="N49" i="14"/>
  <c r="M49" i="14"/>
  <c r="B33" i="15" s="1"/>
  <c r="O48" i="14"/>
  <c r="A32" i="15" s="1"/>
  <c r="N48" i="14"/>
  <c r="M48" i="14"/>
  <c r="B32" i="15" s="1"/>
  <c r="O47" i="14"/>
  <c r="A31" i="15" s="1"/>
  <c r="N47" i="14"/>
  <c r="M47" i="14"/>
  <c r="B31" i="15" s="1"/>
  <c r="O46" i="14"/>
  <c r="A30" i="15" s="1"/>
  <c r="N46" i="14"/>
  <c r="M46" i="14"/>
  <c r="B30" i="15" s="1"/>
  <c r="O45" i="14"/>
  <c r="A29" i="15" s="1"/>
  <c r="N45" i="14"/>
  <c r="M45" i="14"/>
  <c r="B29" i="15" s="1"/>
  <c r="O44" i="14"/>
  <c r="A28" i="15" s="1"/>
  <c r="N44" i="14"/>
  <c r="M44" i="14"/>
  <c r="B28" i="15" s="1"/>
  <c r="O43" i="14"/>
  <c r="A27" i="15" s="1"/>
  <c r="N43" i="14"/>
  <c r="M43" i="14"/>
  <c r="B27" i="15" s="1"/>
  <c r="O42" i="14"/>
  <c r="A26" i="15" s="1"/>
  <c r="N42" i="14"/>
  <c r="M42" i="14"/>
  <c r="B26" i="15" s="1"/>
  <c r="O41" i="14"/>
  <c r="A25" i="15" s="1"/>
  <c r="N41" i="14"/>
  <c r="M41" i="14"/>
  <c r="B25" i="15" s="1"/>
  <c r="O40" i="14"/>
  <c r="A24" i="15" s="1"/>
  <c r="N40" i="14"/>
  <c r="M40" i="14"/>
  <c r="B24" i="15" s="1"/>
  <c r="O39" i="14"/>
  <c r="A23" i="15" s="1"/>
  <c r="N39" i="14"/>
  <c r="M39" i="14"/>
  <c r="B23" i="15" s="1"/>
  <c r="O38" i="14"/>
  <c r="A22" i="15" s="1"/>
  <c r="N38" i="14"/>
  <c r="M38" i="14"/>
  <c r="B22" i="15" s="1"/>
  <c r="O37" i="14"/>
  <c r="A21" i="15" s="1"/>
  <c r="N37" i="14"/>
  <c r="M37" i="14"/>
  <c r="B21" i="15" s="1"/>
  <c r="O36" i="14"/>
  <c r="A20" i="15" s="1"/>
  <c r="N36" i="14"/>
  <c r="M36" i="14"/>
  <c r="B20" i="15" s="1"/>
  <c r="O35" i="14"/>
  <c r="A19" i="15" s="1"/>
  <c r="N35" i="14"/>
  <c r="M35" i="14"/>
  <c r="B19" i="15" s="1"/>
  <c r="O34" i="14"/>
  <c r="A18" i="15" s="1"/>
  <c r="N34" i="14"/>
  <c r="M34" i="14"/>
  <c r="B18" i="15" s="1"/>
  <c r="O33" i="14"/>
  <c r="A17" i="15" s="1"/>
  <c r="N33" i="14"/>
  <c r="M33" i="14"/>
  <c r="B17" i="15" s="1"/>
  <c r="O32" i="14"/>
  <c r="A16" i="15" s="1"/>
  <c r="N32" i="14"/>
  <c r="M32" i="14"/>
  <c r="B16" i="15" s="1"/>
  <c r="O31" i="14"/>
  <c r="A15" i="15" s="1"/>
  <c r="N31" i="14"/>
  <c r="M31" i="14"/>
  <c r="B15" i="15" s="1"/>
  <c r="O30" i="14"/>
  <c r="A14" i="15" s="1"/>
  <c r="N30" i="14"/>
  <c r="M30" i="14"/>
  <c r="B14" i="15" s="1"/>
  <c r="O29" i="14"/>
  <c r="A13" i="15" s="1"/>
  <c r="N29" i="14"/>
  <c r="M29" i="14"/>
  <c r="B13" i="15" s="1"/>
  <c r="O28" i="14"/>
  <c r="A12" i="15" s="1"/>
  <c r="N28" i="14"/>
  <c r="M28" i="14"/>
  <c r="B12" i="15" s="1"/>
  <c r="O27" i="14"/>
  <c r="A11" i="15" s="1"/>
  <c r="N27" i="14"/>
  <c r="M27" i="14"/>
  <c r="B11" i="15" s="1"/>
  <c r="O26" i="14"/>
  <c r="A10" i="15" s="1"/>
  <c r="N26" i="14"/>
  <c r="M26" i="14"/>
  <c r="B10" i="15" s="1"/>
  <c r="O25" i="14"/>
  <c r="A9" i="15" s="1"/>
  <c r="N25" i="14"/>
  <c r="M25" i="14"/>
  <c r="B9" i="15" s="1"/>
  <c r="O24" i="14"/>
  <c r="A8" i="15" s="1"/>
  <c r="N24" i="14"/>
  <c r="M24" i="14"/>
  <c r="B8" i="15" s="1"/>
  <c r="O23" i="14"/>
  <c r="A7" i="15" s="1"/>
  <c r="N23" i="14"/>
  <c r="M23" i="14"/>
  <c r="B7" i="15" s="1"/>
  <c r="O22" i="14"/>
  <c r="A6" i="15" s="1"/>
  <c r="N22" i="14"/>
  <c r="M22" i="14"/>
  <c r="B6" i="15" s="1"/>
  <c r="O21" i="14"/>
  <c r="A5" i="15" s="1"/>
  <c r="N21" i="14"/>
  <c r="M21" i="14"/>
  <c r="B5" i="15" s="1"/>
  <c r="O20" i="14"/>
  <c r="A4" i="15" s="1"/>
  <c r="N20" i="14"/>
  <c r="M20" i="14"/>
  <c r="B4" i="15" s="1"/>
  <c r="O19" i="14"/>
  <c r="A3" i="15" s="1"/>
  <c r="N19" i="14"/>
  <c r="M19" i="14"/>
  <c r="B3" i="15" s="1"/>
  <c r="O18" i="14"/>
  <c r="N18" i="14"/>
  <c r="M18" i="14"/>
  <c r="B2" i="15" s="1"/>
  <c r="I16" i="14"/>
  <c r="H16" i="14"/>
  <c r="G16" i="14"/>
  <c r="F16" i="14"/>
  <c r="E16" i="14"/>
  <c r="D16" i="14"/>
  <c r="I15" i="14"/>
  <c r="H15" i="14"/>
  <c r="G15" i="14"/>
  <c r="F15" i="14"/>
  <c r="E15" i="14"/>
  <c r="D15" i="14"/>
  <c r="I14" i="14"/>
  <c r="H14" i="14"/>
  <c r="G14" i="14"/>
  <c r="F14" i="14"/>
  <c r="E14" i="14"/>
  <c r="D14" i="14"/>
  <c r="I13" i="14"/>
  <c r="H13" i="14"/>
  <c r="G13" i="14"/>
  <c r="F13" i="14"/>
  <c r="E13" i="14"/>
  <c r="D13" i="14"/>
  <c r="I12" i="14"/>
  <c r="H12" i="14"/>
  <c r="G12" i="14"/>
  <c r="F12" i="14"/>
  <c r="E12" i="14"/>
  <c r="D12" i="14"/>
  <c r="I11" i="14"/>
  <c r="H11" i="14"/>
  <c r="G11" i="14"/>
  <c r="F11" i="14"/>
  <c r="E11" i="14"/>
  <c r="D11" i="14"/>
  <c r="B8" i="7" l="1"/>
  <c r="A9" i="7"/>
  <c r="A10" i="7" s="1"/>
  <c r="B7" i="8"/>
  <c r="C50" i="4"/>
  <c r="B50" i="4" s="1"/>
  <c r="D16" i="6" s="1"/>
  <c r="E64" i="4"/>
  <c r="H64" i="4" s="1"/>
  <c r="E11" i="5"/>
  <c r="I11" i="5" s="1"/>
  <c r="C144" i="4"/>
  <c r="B144" i="4" s="1"/>
  <c r="E84" i="5"/>
  <c r="C136" i="4"/>
  <c r="B136" i="4" s="1"/>
  <c r="W9" i="5" s="1"/>
  <c r="C48" i="5"/>
  <c r="C155" i="4"/>
  <c r="B155" i="4" s="1"/>
  <c r="B85" i="5" s="1"/>
  <c r="D85" i="5" s="1"/>
  <c r="H6" i="8"/>
  <c r="C54" i="4"/>
  <c r="B54" i="4" s="1"/>
  <c r="D20" i="6" s="1"/>
  <c r="G20" i="6" s="1"/>
  <c r="H20" i="6" s="1"/>
  <c r="E9" i="6"/>
  <c r="F9" i="6" s="1"/>
  <c r="D74" i="5"/>
  <c r="E59" i="4"/>
  <c r="T13" i="5"/>
  <c r="E9" i="5"/>
  <c r="I9" i="5" s="1"/>
  <c r="N16" i="14"/>
  <c r="O14" i="14"/>
  <c r="N13" i="14"/>
  <c r="N15" i="14"/>
  <c r="N12" i="14"/>
  <c r="N14" i="14"/>
  <c r="U8" i="5"/>
  <c r="S12" i="5"/>
  <c r="B83" i="5"/>
  <c r="D83" i="5" s="1"/>
  <c r="I83" i="5" s="1"/>
  <c r="B82" i="5"/>
  <c r="D82" i="5" s="1"/>
  <c r="I82" i="5" s="1"/>
  <c r="B25" i="5"/>
  <c r="E25" i="5" s="1"/>
  <c r="H25" i="5" s="1"/>
  <c r="E61" i="4"/>
  <c r="E65" i="4"/>
  <c r="P39" i="5"/>
  <c r="R39" i="5" s="1"/>
  <c r="V39" i="5" s="1"/>
  <c r="B10" i="5"/>
  <c r="D10" i="5"/>
  <c r="B42" i="5"/>
  <c r="D42" i="5" s="1"/>
  <c r="B64" i="5" s="1"/>
  <c r="E7" i="6"/>
  <c r="F7" i="6" s="1"/>
  <c r="AK60" i="9"/>
  <c r="E8" i="9" s="1"/>
  <c r="F11" i="5"/>
  <c r="P12" i="5"/>
  <c r="R12" i="5" s="1"/>
  <c r="E47" i="5"/>
  <c r="E58" i="4"/>
  <c r="E62" i="4"/>
  <c r="D17" i="6"/>
  <c r="AK59" i="9"/>
  <c r="E7" i="9" s="1"/>
  <c r="I6" i="8"/>
  <c r="AS60" i="9"/>
  <c r="M8" i="9" s="1"/>
  <c r="AT60" i="9"/>
  <c r="N8" i="9" s="1"/>
  <c r="AS59" i="9"/>
  <c r="M7" i="9" s="1"/>
  <c r="AM74" i="9"/>
  <c r="AA8" i="9" s="1"/>
  <c r="AT59" i="9"/>
  <c r="N7" i="9" s="1"/>
  <c r="BE60" i="9"/>
  <c r="Y8" i="9" s="1"/>
  <c r="BF60" i="9"/>
  <c r="Z8" i="9" s="1"/>
  <c r="AM73" i="9"/>
  <c r="AA7" i="9" s="1"/>
  <c r="AK75" i="9"/>
  <c r="O9" i="9" s="1"/>
  <c r="AM75" i="9"/>
  <c r="AA9" i="9" s="1"/>
  <c r="I8" i="5"/>
  <c r="H24" i="5"/>
  <c r="G24" i="5"/>
  <c r="D55" i="5"/>
  <c r="I84" i="5"/>
  <c r="H84" i="5"/>
  <c r="P25" i="5"/>
  <c r="P30" i="5" s="1"/>
  <c r="R30" i="5" s="1"/>
  <c r="X6" i="5"/>
  <c r="W6" i="5"/>
  <c r="H63" i="4"/>
  <c r="C63" i="4"/>
  <c r="B63" i="4" s="1"/>
  <c r="D73" i="5" s="1"/>
  <c r="F73" i="5" s="1"/>
  <c r="J11" i="5"/>
  <c r="C8" i="7"/>
  <c r="AP8" i="7"/>
  <c r="H60" i="4"/>
  <c r="C60" i="4"/>
  <c r="B60" i="4" s="1"/>
  <c r="C6" i="6" s="1"/>
  <c r="G6" i="6" s="1"/>
  <c r="H6" i="6" s="1"/>
  <c r="E12" i="5"/>
  <c r="I12" i="5" s="1"/>
  <c r="D41" i="5"/>
  <c r="H19" i="5"/>
  <c r="B10" i="7"/>
  <c r="A11" i="7"/>
  <c r="I88" i="5"/>
  <c r="O12" i="14"/>
  <c r="H75" i="4"/>
  <c r="H78" i="4"/>
  <c r="H107" i="4"/>
  <c r="H123" i="4"/>
  <c r="B145" i="4"/>
  <c r="AD5" i="5" s="1"/>
  <c r="AF5" i="5" s="1"/>
  <c r="B20" i="5"/>
  <c r="D20" i="5" s="1"/>
  <c r="N11" i="14"/>
  <c r="T7" i="5"/>
  <c r="C10" i="5"/>
  <c r="E10" i="5" s="1"/>
  <c r="D5" i="6"/>
  <c r="D9" i="6"/>
  <c r="B9" i="7"/>
  <c r="O11" i="14"/>
  <c r="E20" i="5"/>
  <c r="C25" i="5"/>
  <c r="F25" i="5" s="1"/>
  <c r="H27" i="5" s="1"/>
  <c r="E86" i="5"/>
  <c r="E17" i="6"/>
  <c r="F17" i="6" s="1"/>
  <c r="E19" i="6"/>
  <c r="F19" i="6" s="1"/>
  <c r="O15" i="14"/>
  <c r="E5" i="6"/>
  <c r="F5" i="6" s="1"/>
  <c r="D19" i="6"/>
  <c r="G19" i="6" s="1"/>
  <c r="M14" i="14"/>
  <c r="F10" i="5"/>
  <c r="P38" i="5"/>
  <c r="R38" i="5" s="1"/>
  <c r="H6" i="7"/>
  <c r="AP7" i="7"/>
  <c r="M13" i="14"/>
  <c r="C47" i="4"/>
  <c r="B47" i="4" s="1"/>
  <c r="C77" i="4"/>
  <c r="B77" i="4" s="1"/>
  <c r="S39" i="5" s="1"/>
  <c r="C80" i="4"/>
  <c r="B80" i="4" s="1"/>
  <c r="C122" i="4"/>
  <c r="B122" i="4" s="1"/>
  <c r="E63" i="5" s="1"/>
  <c r="C126" i="4"/>
  <c r="B126" i="4" s="1"/>
  <c r="F63" i="5" s="1"/>
  <c r="E87" i="5"/>
  <c r="M11" i="14"/>
  <c r="P13" i="5"/>
  <c r="R13" i="5" s="1"/>
  <c r="C49" i="5"/>
  <c r="D53" i="5" s="1"/>
  <c r="D75" i="5"/>
  <c r="C52" i="4"/>
  <c r="B52" i="4" s="1"/>
  <c r="D18" i="6" s="1"/>
  <c r="C156" i="4"/>
  <c r="B156" i="4" s="1"/>
  <c r="E85" i="5" s="1"/>
  <c r="I85" i="5" s="1"/>
  <c r="E19" i="5"/>
  <c r="G19" i="5" s="1"/>
  <c r="D49" i="5"/>
  <c r="D54" i="5" s="1"/>
  <c r="O16" i="14"/>
  <c r="M15" i="14"/>
  <c r="M12" i="14"/>
  <c r="M16" i="14"/>
  <c r="P9" i="5"/>
  <c r="B88" i="5"/>
  <c r="B42" i="16"/>
  <c r="B41" i="16"/>
  <c r="B40" i="16"/>
  <c r="B28" i="16"/>
  <c r="B16" i="16"/>
  <c r="B4" i="16"/>
  <c r="B39" i="16"/>
  <c r="B38" i="16"/>
  <c r="B26" i="16"/>
  <c r="B14" i="16"/>
  <c r="B37" i="16"/>
  <c r="B25" i="16"/>
  <c r="B13" i="16"/>
  <c r="B36" i="16"/>
  <c r="B35" i="16"/>
  <c r="B23" i="16"/>
  <c r="B11" i="16"/>
  <c r="B34" i="16"/>
  <c r="B33" i="16"/>
  <c r="B21" i="16"/>
  <c r="B9" i="16"/>
  <c r="B32" i="16"/>
  <c r="B31" i="16"/>
  <c r="B19" i="16"/>
  <c r="B7" i="16"/>
  <c r="B30" i="16"/>
  <c r="B6" i="16"/>
  <c r="B29" i="16"/>
  <c r="B5" i="16"/>
  <c r="B27" i="16"/>
  <c r="B3" i="16"/>
  <c r="B24" i="16"/>
  <c r="B2" i="16"/>
  <c r="B22" i="16"/>
  <c r="B17" i="16"/>
  <c r="B12" i="16"/>
  <c r="B20" i="16"/>
  <c r="B18" i="16"/>
  <c r="B15" i="16"/>
  <c r="B10" i="16"/>
  <c r="B8" i="16"/>
  <c r="A2" i="15"/>
  <c r="O13" i="14"/>
  <c r="B8" i="8"/>
  <c r="A9" i="8"/>
  <c r="AP7" i="8"/>
  <c r="C7" i="8"/>
  <c r="AR59" i="9"/>
  <c r="L7" i="9" s="1"/>
  <c r="AR60" i="9"/>
  <c r="L8" i="9" s="1"/>
  <c r="BD59" i="9"/>
  <c r="X7" i="9" s="1"/>
  <c r="BD60" i="9"/>
  <c r="X8" i="9" s="1"/>
  <c r="C17" i="9"/>
  <c r="B16" i="9"/>
  <c r="J16" i="9"/>
  <c r="V16" i="9"/>
  <c r="AL59" i="9"/>
  <c r="F7" i="9" s="1"/>
  <c r="AL60" i="9"/>
  <c r="F8" i="9" s="1"/>
  <c r="AX59" i="9"/>
  <c r="R7" i="9" s="1"/>
  <c r="AX60" i="9"/>
  <c r="R8" i="9" s="1"/>
  <c r="AW60" i="9"/>
  <c r="Q8" i="9" s="1"/>
  <c r="AW59" i="9"/>
  <c r="Q7" i="9" s="1"/>
  <c r="AM60" i="9"/>
  <c r="G8" i="9" s="1"/>
  <c r="AZ60" i="9"/>
  <c r="T8" i="9" s="1"/>
  <c r="AZ59" i="9"/>
  <c r="T7" i="9" s="1"/>
  <c r="AN60" i="9"/>
  <c r="H8" i="9" s="1"/>
  <c r="AJ73" i="9"/>
  <c r="I7" i="9" s="1"/>
  <c r="AJ74" i="9"/>
  <c r="I8" i="9" s="1"/>
  <c r="AL74" i="9"/>
  <c r="U8" i="9" s="1"/>
  <c r="AL75" i="9"/>
  <c r="U9" i="9" s="1"/>
  <c r="AL73" i="9"/>
  <c r="U7" i="9" s="1"/>
  <c r="AY60" i="9"/>
  <c r="S8" i="9" s="1"/>
  <c r="AJ75" i="9"/>
  <c r="I9" i="9" s="1"/>
  <c r="AQ59" i="9"/>
  <c r="K7" i="9" s="1"/>
  <c r="AQ60" i="9"/>
  <c r="K8" i="9" s="1"/>
  <c r="BC60" i="9"/>
  <c r="W8" i="9" s="1"/>
  <c r="AK74" i="9"/>
  <c r="O8" i="9" s="1"/>
  <c r="X9" i="5" l="1"/>
  <c r="W16" i="9"/>
  <c r="J9" i="5"/>
  <c r="Z16" i="9"/>
  <c r="Y16" i="9"/>
  <c r="D7" i="8" s="1"/>
  <c r="I7" i="8" s="1"/>
  <c r="O7" i="8" s="1"/>
  <c r="J12" i="5"/>
  <c r="J6" i="8"/>
  <c r="C64" i="4"/>
  <c r="B64" i="4" s="1"/>
  <c r="H16" i="9"/>
  <c r="H59" i="4"/>
  <c r="C59" i="4"/>
  <c r="B59" i="4" s="1"/>
  <c r="U12" i="5"/>
  <c r="B66" i="5"/>
  <c r="D66" i="5" s="1"/>
  <c r="G66" i="5" s="1"/>
  <c r="B74" i="5" s="1"/>
  <c r="F74" i="5" s="1"/>
  <c r="H83" i="5"/>
  <c r="B67" i="5"/>
  <c r="D67" i="5" s="1"/>
  <c r="G67" i="5" s="1"/>
  <c r="B75" i="5" s="1"/>
  <c r="F75" i="5" s="1"/>
  <c r="B47" i="5"/>
  <c r="B53" i="5" s="1"/>
  <c r="N16" i="9"/>
  <c r="M16" i="9"/>
  <c r="B63" i="5"/>
  <c r="K16" i="9"/>
  <c r="H82" i="5"/>
  <c r="Q16" i="9"/>
  <c r="T16" i="9"/>
  <c r="D7" i="6"/>
  <c r="O16" i="9"/>
  <c r="E7" i="8" s="1"/>
  <c r="G7" i="8" s="1"/>
  <c r="S13" i="5"/>
  <c r="U13" i="5" s="1"/>
  <c r="V8" i="5"/>
  <c r="H65" i="4"/>
  <c r="C65" i="4"/>
  <c r="B65" i="4" s="1"/>
  <c r="C72" i="5"/>
  <c r="W7" i="5"/>
  <c r="W8" i="5" s="1"/>
  <c r="U39" i="5"/>
  <c r="X7" i="5"/>
  <c r="H62" i="4"/>
  <c r="C62" i="4"/>
  <c r="B62" i="4" s="1"/>
  <c r="C58" i="4"/>
  <c r="B58" i="4" s="1"/>
  <c r="H58" i="4"/>
  <c r="H61" i="4"/>
  <c r="C61" i="4"/>
  <c r="B61" i="4" s="1"/>
  <c r="C18" i="6"/>
  <c r="G18" i="6" s="1"/>
  <c r="H18" i="6" s="1"/>
  <c r="I10" i="5"/>
  <c r="H85" i="5"/>
  <c r="H86" i="5" s="1"/>
  <c r="G25" i="5"/>
  <c r="G28" i="5" s="1"/>
  <c r="B9" i="8"/>
  <c r="A10" i="8"/>
  <c r="B17" i="9"/>
  <c r="C18" i="9"/>
  <c r="AA16" i="9"/>
  <c r="L16" i="9"/>
  <c r="U16" i="9"/>
  <c r="S16" i="9"/>
  <c r="D7" i="7" s="1"/>
  <c r="I7" i="7" s="1"/>
  <c r="R16" i="9"/>
  <c r="P16" i="9"/>
  <c r="I16" i="9"/>
  <c r="E7" i="7" s="1"/>
  <c r="G16" i="9"/>
  <c r="F16" i="9"/>
  <c r="X16" i="9"/>
  <c r="D16" i="9"/>
  <c r="E16" i="9"/>
  <c r="AR7" i="8"/>
  <c r="BN7" i="8" s="1"/>
  <c r="AQ7" i="8"/>
  <c r="AP9" i="7"/>
  <c r="C9" i="7"/>
  <c r="J13" i="5"/>
  <c r="S6" i="8" s="1"/>
  <c r="I87" i="5"/>
  <c r="I86" i="5"/>
  <c r="J10" i="5"/>
  <c r="J14" i="5" s="1"/>
  <c r="H28" i="5"/>
  <c r="C31" i="5"/>
  <c r="T6" i="8" s="1"/>
  <c r="I13" i="5"/>
  <c r="S6" i="7" s="1"/>
  <c r="I14" i="5"/>
  <c r="V6" i="8"/>
  <c r="V6" i="7"/>
  <c r="AR7" i="7"/>
  <c r="BN7" i="7" s="1"/>
  <c r="AQ7" i="7"/>
  <c r="H19" i="6"/>
  <c r="C64" i="5"/>
  <c r="D64" i="5" s="1"/>
  <c r="G64" i="5" s="1"/>
  <c r="B72" i="5" s="1"/>
  <c r="P29" i="5"/>
  <c r="R29" i="5" s="1"/>
  <c r="R32" i="5" s="1"/>
  <c r="P33" i="5" s="1"/>
  <c r="R33" i="5" s="1"/>
  <c r="B48" i="5"/>
  <c r="C63" i="5"/>
  <c r="B11" i="7"/>
  <c r="A12" i="7"/>
  <c r="J6" i="7"/>
  <c r="C10" i="7"/>
  <c r="AP10" i="7"/>
  <c r="AP8" i="8"/>
  <c r="C8" i="8"/>
  <c r="H20" i="5"/>
  <c r="G20" i="5"/>
  <c r="G27" i="5"/>
  <c r="B31" i="5" s="1"/>
  <c r="T6" i="7" s="1"/>
  <c r="V38" i="5"/>
  <c r="U38" i="5"/>
  <c r="AH5" i="5"/>
  <c r="AG5" i="5"/>
  <c r="AQ8" i="7"/>
  <c r="AR8" i="7"/>
  <c r="BN8" i="7" s="1"/>
  <c r="C8" i="6" l="1"/>
  <c r="G8" i="6" s="1"/>
  <c r="H8" i="6" s="1"/>
  <c r="C74" i="5"/>
  <c r="L7" i="8"/>
  <c r="C16" i="6"/>
  <c r="G16" i="6" s="1"/>
  <c r="H16" i="6" s="1"/>
  <c r="D71" i="5"/>
  <c r="W15" i="5"/>
  <c r="AA6" i="7" s="1"/>
  <c r="E74" i="5"/>
  <c r="B55" i="5"/>
  <c r="B54" i="5"/>
  <c r="D63" i="5"/>
  <c r="G63" i="5" s="1"/>
  <c r="B71" i="5" s="1"/>
  <c r="F71" i="5" s="1"/>
  <c r="H87" i="5"/>
  <c r="X8" i="5"/>
  <c r="X15" i="5" s="1"/>
  <c r="AA6" i="8" s="1"/>
  <c r="BB6" i="8" s="1"/>
  <c r="B32" i="5"/>
  <c r="C75" i="5"/>
  <c r="E75" i="5" s="1"/>
  <c r="C9" i="6"/>
  <c r="G9" i="6" s="1"/>
  <c r="H9" i="6" s="1"/>
  <c r="D72" i="5"/>
  <c r="F72" i="5" s="1"/>
  <c r="C17" i="6"/>
  <c r="G17" i="6" s="1"/>
  <c r="H17" i="6" s="1"/>
  <c r="C71" i="5"/>
  <c r="C5" i="6"/>
  <c r="G5" i="6" s="1"/>
  <c r="H5" i="6" s="1"/>
  <c r="C73" i="5"/>
  <c r="E73" i="5" s="1"/>
  <c r="C7" i="6"/>
  <c r="G7" i="6" s="1"/>
  <c r="H7" i="6" s="1"/>
  <c r="AU6" i="7"/>
  <c r="C11" i="7"/>
  <c r="AP11" i="7"/>
  <c r="O7" i="7"/>
  <c r="L7" i="7"/>
  <c r="P37" i="5"/>
  <c r="R37" i="5" s="1"/>
  <c r="V33" i="5"/>
  <c r="U33" i="5"/>
  <c r="K7" i="8"/>
  <c r="H7" i="8"/>
  <c r="M7" i="8"/>
  <c r="S7" i="8"/>
  <c r="C32" i="5"/>
  <c r="V269" i="7"/>
  <c r="AW6" i="7"/>
  <c r="AW269" i="7" s="1"/>
  <c r="B48" i="3" s="1"/>
  <c r="AT6" i="8"/>
  <c r="B18" i="9"/>
  <c r="C19" i="9"/>
  <c r="C54" i="5"/>
  <c r="C55" i="5"/>
  <c r="C53" i="5"/>
  <c r="E53" i="5" s="1"/>
  <c r="AR10" i="7"/>
  <c r="BN10" i="7" s="1"/>
  <c r="AQ10" i="7"/>
  <c r="V269" i="8"/>
  <c r="AW6" i="8"/>
  <c r="AW269" i="8" s="1"/>
  <c r="C48" i="3" s="1"/>
  <c r="R17" i="9"/>
  <c r="O17" i="9"/>
  <c r="E8" i="8" s="1"/>
  <c r="L17" i="9"/>
  <c r="U17" i="9"/>
  <c r="T17" i="9"/>
  <c r="S17" i="9"/>
  <c r="D8" i="7" s="1"/>
  <c r="I8" i="7" s="1"/>
  <c r="Y17" i="9"/>
  <c r="D8" i="8" s="1"/>
  <c r="I8" i="8" s="1"/>
  <c r="X17" i="9"/>
  <c r="W17" i="9"/>
  <c r="G17" i="9"/>
  <c r="F17" i="9"/>
  <c r="D17" i="9"/>
  <c r="I17" i="9"/>
  <c r="E8" i="7" s="1"/>
  <c r="H17" i="9"/>
  <c r="J17" i="9"/>
  <c r="V17" i="9"/>
  <c r="E17" i="9"/>
  <c r="K17" i="9"/>
  <c r="Z17" i="9"/>
  <c r="Q17" i="9"/>
  <c r="P17" i="9"/>
  <c r="M17" i="9"/>
  <c r="AA17" i="9"/>
  <c r="N17" i="9"/>
  <c r="G7" i="7"/>
  <c r="E72" i="5"/>
  <c r="AR8" i="8"/>
  <c r="BN8" i="8" s="1"/>
  <c r="AQ8" i="8"/>
  <c r="AT6" i="7"/>
  <c r="A11" i="8"/>
  <c r="B10" i="8"/>
  <c r="AE6" i="8"/>
  <c r="AE7" i="8"/>
  <c r="BF7" i="8" s="1"/>
  <c r="AE6" i="7"/>
  <c r="A13" i="7"/>
  <c r="B12" i="7"/>
  <c r="AU6" i="8"/>
  <c r="AQ9" i="7"/>
  <c r="AR9" i="7"/>
  <c r="BN9" i="7" s="1"/>
  <c r="C9" i="8"/>
  <c r="AP9" i="8"/>
  <c r="H21" i="6" l="1"/>
  <c r="AM6" i="8" s="1"/>
  <c r="AM269" i="8" s="1"/>
  <c r="F54" i="5"/>
  <c r="U7" i="8" s="1"/>
  <c r="AV7" i="8" s="1"/>
  <c r="F55" i="5"/>
  <c r="E71" i="5"/>
  <c r="E76" i="5" s="1"/>
  <c r="Y6" i="7" s="1"/>
  <c r="T7" i="7"/>
  <c r="AU7" i="7" s="1"/>
  <c r="X7" i="8"/>
  <c r="AY7" i="8" s="1"/>
  <c r="AF6" i="8"/>
  <c r="BG6" i="8" s="1"/>
  <c r="AN6" i="8"/>
  <c r="BO6" i="8" s="1"/>
  <c r="BN6" i="8"/>
  <c r="G8" i="8"/>
  <c r="H8" i="8" s="1"/>
  <c r="N8" i="8" s="1"/>
  <c r="H10" i="6"/>
  <c r="AM6" i="7" s="1"/>
  <c r="G8" i="7"/>
  <c r="S8" i="7" s="1"/>
  <c r="AT8" i="7" s="1"/>
  <c r="S7" i="7"/>
  <c r="AT7" i="7" s="1"/>
  <c r="B13" i="7"/>
  <c r="A14" i="7"/>
  <c r="BF6" i="7"/>
  <c r="AT7" i="8"/>
  <c r="V37" i="5"/>
  <c r="V40" i="5" s="1"/>
  <c r="U37" i="5"/>
  <c r="U40" i="5" s="1"/>
  <c r="F53" i="5"/>
  <c r="BF6" i="8"/>
  <c r="E55" i="5"/>
  <c r="C20" i="9"/>
  <c r="B19" i="9"/>
  <c r="AQ11" i="7"/>
  <c r="AR11" i="7"/>
  <c r="BN11" i="7" s="1"/>
  <c r="E54" i="5"/>
  <c r="R18" i="9"/>
  <c r="L18" i="9"/>
  <c r="I18" i="9"/>
  <c r="E9" i="7" s="1"/>
  <c r="H18" i="9"/>
  <c r="AA18" i="9"/>
  <c r="Y18" i="9"/>
  <c r="D9" i="8" s="1"/>
  <c r="I9" i="8" s="1"/>
  <c r="X18" i="9"/>
  <c r="U18" i="9"/>
  <c r="T18" i="9"/>
  <c r="F18" i="9"/>
  <c r="G18" i="9"/>
  <c r="P18" i="9"/>
  <c r="M18" i="9"/>
  <c r="S18" i="9"/>
  <c r="D9" i="7" s="1"/>
  <c r="I9" i="7" s="1"/>
  <c r="D18" i="9"/>
  <c r="J18" i="9"/>
  <c r="N18" i="9"/>
  <c r="V18" i="9"/>
  <c r="W18" i="9"/>
  <c r="Z18" i="9"/>
  <c r="K18" i="9"/>
  <c r="Q18" i="9"/>
  <c r="E18" i="9"/>
  <c r="O18" i="9"/>
  <c r="E9" i="8" s="1"/>
  <c r="AH7" i="8"/>
  <c r="W7" i="8"/>
  <c r="BB6" i="7"/>
  <c r="AF6" i="7"/>
  <c r="T7" i="8"/>
  <c r="AR9" i="8"/>
  <c r="BN9" i="8" s="1"/>
  <c r="AQ9" i="8"/>
  <c r="O8" i="8"/>
  <c r="L8" i="8"/>
  <c r="AP10" i="8"/>
  <c r="C10" i="8"/>
  <c r="M7" i="7"/>
  <c r="H7" i="7"/>
  <c r="J7" i="7" s="1"/>
  <c r="K7" i="7"/>
  <c r="O8" i="7"/>
  <c r="L8" i="7"/>
  <c r="AE8" i="7" s="1"/>
  <c r="BF8" i="7" s="1"/>
  <c r="N7" i="8"/>
  <c r="B11" i="8"/>
  <c r="A12" i="8"/>
  <c r="J7" i="8"/>
  <c r="AP12" i="7"/>
  <c r="C12" i="7"/>
  <c r="AE7" i="7"/>
  <c r="BF7" i="7" s="1"/>
  <c r="D48" i="3"/>
  <c r="AA7" i="8"/>
  <c r="F76" i="5"/>
  <c r="Y6" i="8" s="1"/>
  <c r="T8" i="8" l="1"/>
  <c r="AU8" i="8" s="1"/>
  <c r="Z7" i="8"/>
  <c r="BA7" i="8" s="1"/>
  <c r="U8" i="8"/>
  <c r="AV8" i="8" s="1"/>
  <c r="M8" i="8"/>
  <c r="W8" i="8" s="1"/>
  <c r="AX8" i="8" s="1"/>
  <c r="K8" i="8"/>
  <c r="AA8" i="8" s="1"/>
  <c r="BB8" i="8" s="1"/>
  <c r="G9" i="7"/>
  <c r="H9" i="7" s="1"/>
  <c r="S8" i="8"/>
  <c r="AT8" i="8" s="1"/>
  <c r="M8" i="7"/>
  <c r="AH8" i="7" s="1"/>
  <c r="H8" i="7"/>
  <c r="J8" i="7" s="1"/>
  <c r="T8" i="7"/>
  <c r="AU8" i="7" s="1"/>
  <c r="BN6" i="7"/>
  <c r="AN6" i="7"/>
  <c r="BO6" i="7" s="1"/>
  <c r="AM269" i="7"/>
  <c r="K8" i="7"/>
  <c r="AA8" i="7" s="1"/>
  <c r="BB8" i="7" s="1"/>
  <c r="G9" i="8"/>
  <c r="T9" i="8" s="1"/>
  <c r="AU9" i="8" s="1"/>
  <c r="F19" i="9"/>
  <c r="R19" i="9"/>
  <c r="L19" i="9"/>
  <c r="I19" i="9"/>
  <c r="E10" i="7" s="1"/>
  <c r="G19" i="9"/>
  <c r="O19" i="9"/>
  <c r="E10" i="8" s="1"/>
  <c r="X19" i="9"/>
  <c r="AA19" i="9"/>
  <c r="Z19" i="9"/>
  <c r="Y19" i="9"/>
  <c r="D10" i="8" s="1"/>
  <c r="I10" i="8" s="1"/>
  <c r="K19" i="9"/>
  <c r="P19" i="9"/>
  <c r="D19" i="9"/>
  <c r="T19" i="9"/>
  <c r="J19" i="9"/>
  <c r="M19" i="9"/>
  <c r="E19" i="9"/>
  <c r="S19" i="9"/>
  <c r="D10" i="7" s="1"/>
  <c r="I10" i="7" s="1"/>
  <c r="W19" i="9"/>
  <c r="U19" i="9"/>
  <c r="Q19" i="9"/>
  <c r="H19" i="9"/>
  <c r="V19" i="9"/>
  <c r="N19" i="9"/>
  <c r="AB7" i="8"/>
  <c r="AB8" i="8"/>
  <c r="BC8" i="8" s="1"/>
  <c r="B14" i="7"/>
  <c r="A15" i="7"/>
  <c r="AH7" i="7"/>
  <c r="W7" i="7"/>
  <c r="X7" i="7"/>
  <c r="B12" i="8"/>
  <c r="A13" i="8"/>
  <c r="O9" i="8"/>
  <c r="L9" i="8"/>
  <c r="AE9" i="8" s="1"/>
  <c r="BF9" i="8" s="1"/>
  <c r="C21" i="9"/>
  <c r="B20" i="9"/>
  <c r="C13" i="7"/>
  <c r="AP13" i="7"/>
  <c r="N7" i="7"/>
  <c r="AP11" i="8"/>
  <c r="C11" i="8"/>
  <c r="Y269" i="7"/>
  <c r="AZ6" i="7"/>
  <c r="AZ269" i="7" s="1"/>
  <c r="B43" i="3" s="1"/>
  <c r="Z6" i="7"/>
  <c r="Y269" i="8"/>
  <c r="AZ6" i="8"/>
  <c r="AZ269" i="8" s="1"/>
  <c r="C43" i="3" s="1"/>
  <c r="Z6" i="8"/>
  <c r="AX7" i="8"/>
  <c r="AI8" i="8"/>
  <c r="AC8" i="8"/>
  <c r="BD8" i="8" s="1"/>
  <c r="AD8" i="8"/>
  <c r="BE8" i="8" s="1"/>
  <c r="BG6" i="7"/>
  <c r="BB7" i="8"/>
  <c r="AI7" i="8"/>
  <c r="AJ7" i="8" s="1"/>
  <c r="AC7" i="8"/>
  <c r="AD7" i="8"/>
  <c r="AK7" i="8"/>
  <c r="BI7" i="8"/>
  <c r="L9" i="7"/>
  <c r="O9" i="7"/>
  <c r="J8" i="8"/>
  <c r="AQ10" i="8"/>
  <c r="AR10" i="8"/>
  <c r="BN10" i="8" s="1"/>
  <c r="AE8" i="8"/>
  <c r="AA7" i="7"/>
  <c r="AU7" i="8"/>
  <c r="AQ12" i="7"/>
  <c r="AR12" i="7"/>
  <c r="BN12" i="7" s="1"/>
  <c r="U7" i="7"/>
  <c r="X8" i="8" l="1"/>
  <c r="AH8" i="8"/>
  <c r="AJ8" i="8" s="1"/>
  <c r="BK8" i="8" s="1"/>
  <c r="K9" i="7"/>
  <c r="AA9" i="7" s="1"/>
  <c r="BB9" i="7" s="1"/>
  <c r="T9" i="7"/>
  <c r="AU9" i="7" s="1"/>
  <c r="U8" i="7"/>
  <c r="AV8" i="7" s="1"/>
  <c r="X8" i="7"/>
  <c r="AY8" i="7" s="1"/>
  <c r="W8" i="7"/>
  <c r="AX8" i="7" s="1"/>
  <c r="S9" i="7"/>
  <c r="AT9" i="7" s="1"/>
  <c r="M9" i="7"/>
  <c r="U9" i="7" s="1"/>
  <c r="AV9" i="7" s="1"/>
  <c r="U9" i="8"/>
  <c r="AV9" i="8" s="1"/>
  <c r="N8" i="7"/>
  <c r="AC8" i="7" s="1"/>
  <c r="BD8" i="7" s="1"/>
  <c r="N9" i="7"/>
  <c r="AI9" i="7" s="1"/>
  <c r="M9" i="8"/>
  <c r="X9" i="8" s="1"/>
  <c r="AY9" i="8" s="1"/>
  <c r="K9" i="8"/>
  <c r="AA9" i="8" s="1"/>
  <c r="BB9" i="8" s="1"/>
  <c r="S9" i="8"/>
  <c r="AT9" i="8" s="1"/>
  <c r="D43" i="3"/>
  <c r="H9" i="8"/>
  <c r="J9" i="8" s="1"/>
  <c r="AF8" i="8"/>
  <c r="BG8" i="8" s="1"/>
  <c r="AF7" i="8"/>
  <c r="BG7" i="8" s="1"/>
  <c r="BK7" i="8"/>
  <c r="AR11" i="8"/>
  <c r="BN11" i="8" s="1"/>
  <c r="AQ11" i="8"/>
  <c r="AE9" i="7"/>
  <c r="AY7" i="7"/>
  <c r="AX7" i="7"/>
  <c r="BB7" i="7"/>
  <c r="BI7" i="7"/>
  <c r="AK7" i="7"/>
  <c r="BC7" i="8"/>
  <c r="AR13" i="7"/>
  <c r="BN13" i="7" s="1"/>
  <c r="AQ13" i="7"/>
  <c r="A16" i="7"/>
  <c r="B15" i="7"/>
  <c r="O10" i="8"/>
  <c r="L10" i="8"/>
  <c r="Z8" i="8"/>
  <c r="BF8" i="8"/>
  <c r="BI8" i="8"/>
  <c r="AK8" i="8"/>
  <c r="J9" i="7"/>
  <c r="C14" i="7"/>
  <c r="AP14" i="7"/>
  <c r="AI7" i="7"/>
  <c r="AJ7" i="7" s="1"/>
  <c r="AC7" i="7"/>
  <c r="AD7" i="7"/>
  <c r="BL7" i="8"/>
  <c r="F20" i="9"/>
  <c r="S20" i="9"/>
  <c r="D11" i="7" s="1"/>
  <c r="I11" i="7" s="1"/>
  <c r="R20" i="9"/>
  <c r="L20" i="9"/>
  <c r="AA20" i="9"/>
  <c r="X20" i="9"/>
  <c r="P20" i="9"/>
  <c r="O20" i="9"/>
  <c r="E11" i="8" s="1"/>
  <c r="N20" i="9"/>
  <c r="M20" i="9"/>
  <c r="V20" i="9"/>
  <c r="Y20" i="9"/>
  <c r="D11" i="8" s="1"/>
  <c r="I11" i="8" s="1"/>
  <c r="D20" i="9"/>
  <c r="Z20" i="9"/>
  <c r="W20" i="9"/>
  <c r="I20" i="9"/>
  <c r="E11" i="7" s="1"/>
  <c r="T20" i="9"/>
  <c r="J20" i="9"/>
  <c r="Q20" i="9"/>
  <c r="G20" i="9"/>
  <c r="U20" i="9"/>
  <c r="K20" i="9"/>
  <c r="H20" i="9"/>
  <c r="E20" i="9"/>
  <c r="B21" i="9"/>
  <c r="C22" i="9"/>
  <c r="AY8" i="8"/>
  <c r="BE7" i="8"/>
  <c r="AL8" i="8"/>
  <c r="BM8" i="8" s="1"/>
  <c r="BJ8" i="8"/>
  <c r="AG6" i="8"/>
  <c r="BA6" i="8"/>
  <c r="AB7" i="7"/>
  <c r="O10" i="7"/>
  <c r="L10" i="7"/>
  <c r="AE10" i="7" s="1"/>
  <c r="BF10" i="7" s="1"/>
  <c r="G10" i="8"/>
  <c r="BD7" i="8"/>
  <c r="AV7" i="7"/>
  <c r="Z7" i="7"/>
  <c r="A14" i="8"/>
  <c r="B13" i="8"/>
  <c r="G10" i="7"/>
  <c r="AL7" i="8"/>
  <c r="AN7" i="8" s="1"/>
  <c r="BJ7" i="8"/>
  <c r="AK8" i="7"/>
  <c r="BI8" i="7"/>
  <c r="AG6" i="7"/>
  <c r="BA6" i="7"/>
  <c r="C12" i="8"/>
  <c r="AP12" i="8"/>
  <c r="Z8" i="7" l="1"/>
  <c r="AH9" i="7"/>
  <c r="W9" i="8"/>
  <c r="AX9" i="8" s="1"/>
  <c r="AH9" i="8"/>
  <c r="AK9" i="8" s="1"/>
  <c r="W9" i="7"/>
  <c r="AX9" i="7" s="1"/>
  <c r="X9" i="7"/>
  <c r="AY9" i="7" s="1"/>
  <c r="AI8" i="7"/>
  <c r="AJ8" i="7" s="1"/>
  <c r="BK8" i="7" s="1"/>
  <c r="AB9" i="7"/>
  <c r="BC9" i="7" s="1"/>
  <c r="AB8" i="7"/>
  <c r="BC8" i="7" s="1"/>
  <c r="G11" i="7"/>
  <c r="K11" i="7" s="1"/>
  <c r="AA11" i="7" s="1"/>
  <c r="AD8" i="7"/>
  <c r="BE8" i="7" s="1"/>
  <c r="AD9" i="7"/>
  <c r="BE9" i="7" s="1"/>
  <c r="AC9" i="7"/>
  <c r="BD9" i="7" s="1"/>
  <c r="N9" i="8"/>
  <c r="AC9" i="8" s="1"/>
  <c r="AG7" i="8"/>
  <c r="BH7" i="8" s="1"/>
  <c r="G11" i="8"/>
  <c r="K11" i="8" s="1"/>
  <c r="AA11" i="8" s="1"/>
  <c r="AF7" i="7"/>
  <c r="BG7" i="7" s="1"/>
  <c r="BO7" i="8"/>
  <c r="H10" i="8"/>
  <c r="J10" i="8" s="1"/>
  <c r="M10" i="8"/>
  <c r="S10" i="8"/>
  <c r="T10" i="8"/>
  <c r="U10" i="8"/>
  <c r="K10" i="8"/>
  <c r="BK7" i="7"/>
  <c r="AN8" i="8"/>
  <c r="BO8" i="8" s="1"/>
  <c r="BL8" i="8"/>
  <c r="AP15" i="7"/>
  <c r="C15" i="7"/>
  <c r="BL7" i="7"/>
  <c r="AE10" i="8"/>
  <c r="BL8" i="7"/>
  <c r="O11" i="7"/>
  <c r="L11" i="7"/>
  <c r="AE11" i="7" s="1"/>
  <c r="BF11" i="7" s="1"/>
  <c r="BA8" i="7"/>
  <c r="B16" i="7"/>
  <c r="A17" i="7"/>
  <c r="BM7" i="8"/>
  <c r="AP13" i="8"/>
  <c r="C13" i="8"/>
  <c r="BH6" i="8"/>
  <c r="BF9" i="7"/>
  <c r="BC7" i="7"/>
  <c r="BH6" i="7"/>
  <c r="AQ14" i="7"/>
  <c r="AR14" i="7"/>
  <c r="BN14" i="7" s="1"/>
  <c r="M10" i="7"/>
  <c r="H10" i="7"/>
  <c r="J10" i="7" s="1"/>
  <c r="T10" i="7"/>
  <c r="S10" i="7"/>
  <c r="K10" i="7"/>
  <c r="B14" i="8"/>
  <c r="A15" i="8"/>
  <c r="BA7" i="7"/>
  <c r="BD7" i="7"/>
  <c r="AG8" i="8"/>
  <c r="BH8" i="8" s="1"/>
  <c r="BA8" i="8"/>
  <c r="B22" i="9"/>
  <c r="C23" i="9"/>
  <c r="O11" i="8"/>
  <c r="L11" i="8"/>
  <c r="AE11" i="8" s="1"/>
  <c r="BF11" i="8" s="1"/>
  <c r="BE7" i="7"/>
  <c r="BJ7" i="7"/>
  <c r="AL7" i="7"/>
  <c r="AN7" i="7" s="1"/>
  <c r="AK9" i="7"/>
  <c r="AJ9" i="7"/>
  <c r="BK9" i="7" s="1"/>
  <c r="BI9" i="7"/>
  <c r="X21" i="9"/>
  <c r="H21" i="9"/>
  <c r="T21" i="9"/>
  <c r="F21" i="9"/>
  <c r="D21" i="9"/>
  <c r="AA21" i="9"/>
  <c r="L21" i="9"/>
  <c r="Y21" i="9"/>
  <c r="D12" i="8" s="1"/>
  <c r="I12" i="8" s="1"/>
  <c r="S21" i="9"/>
  <c r="D12" i="7" s="1"/>
  <c r="I12" i="7" s="1"/>
  <c r="R21" i="9"/>
  <c r="P21" i="9"/>
  <c r="O21" i="9"/>
  <c r="E12" i="8" s="1"/>
  <c r="M21" i="9"/>
  <c r="E21" i="9"/>
  <c r="J21" i="9"/>
  <c r="G21" i="9"/>
  <c r="W21" i="9"/>
  <c r="N21" i="9"/>
  <c r="I21" i="9"/>
  <c r="E12" i="7" s="1"/>
  <c r="Q21" i="9"/>
  <c r="K21" i="9"/>
  <c r="V21" i="9"/>
  <c r="U21" i="9"/>
  <c r="Z21" i="9"/>
  <c r="AR12" i="8"/>
  <c r="BN12" i="8" s="1"/>
  <c r="AQ12" i="8"/>
  <c r="Z9" i="8"/>
  <c r="AL9" i="7"/>
  <c r="BM9" i="7" s="1"/>
  <c r="BJ9" i="7"/>
  <c r="BI9" i="8" l="1"/>
  <c r="H11" i="7"/>
  <c r="J11" i="7" s="1"/>
  <c r="Z9" i="7"/>
  <c r="BA9" i="7" s="1"/>
  <c r="M11" i="7"/>
  <c r="AH11" i="7" s="1"/>
  <c r="T11" i="7"/>
  <c r="AU11" i="7" s="1"/>
  <c r="S11" i="7"/>
  <c r="AT11" i="7" s="1"/>
  <c r="BJ8" i="7"/>
  <c r="AL8" i="7"/>
  <c r="BM8" i="7" s="1"/>
  <c r="M11" i="8"/>
  <c r="X11" i="8" s="1"/>
  <c r="AY11" i="8" s="1"/>
  <c r="AF9" i="7"/>
  <c r="BG9" i="7" s="1"/>
  <c r="H11" i="8"/>
  <c r="J11" i="8" s="1"/>
  <c r="AG7" i="7"/>
  <c r="BH7" i="7" s="1"/>
  <c r="S11" i="8"/>
  <c r="AT11" i="8" s="1"/>
  <c r="AF8" i="7"/>
  <c r="BG8" i="7" s="1"/>
  <c r="T11" i="8"/>
  <c r="AU11" i="8" s="1"/>
  <c r="AB9" i="8"/>
  <c r="BC9" i="8" s="1"/>
  <c r="AI9" i="8"/>
  <c r="BJ9" i="8" s="1"/>
  <c r="U11" i="8"/>
  <c r="AV11" i="8" s="1"/>
  <c r="AD9" i="8"/>
  <c r="BO7" i="7"/>
  <c r="C24" i="9"/>
  <c r="B23" i="9"/>
  <c r="BD9" i="8"/>
  <c r="N10" i="7"/>
  <c r="B17" i="7"/>
  <c r="A18" i="7"/>
  <c r="AA10" i="8"/>
  <c r="L12" i="7"/>
  <c r="AE12" i="7" s="1"/>
  <c r="BF12" i="7" s="1"/>
  <c r="O12" i="7"/>
  <c r="AH10" i="7"/>
  <c r="W10" i="7"/>
  <c r="X10" i="7"/>
  <c r="U10" i="7"/>
  <c r="AV10" i="8"/>
  <c r="AT10" i="8"/>
  <c r="BA9" i="8"/>
  <c r="AH10" i="8"/>
  <c r="W10" i="8"/>
  <c r="X10" i="8"/>
  <c r="AN9" i="7"/>
  <c r="BO9" i="7" s="1"/>
  <c r="BL9" i="7"/>
  <c r="AP14" i="8"/>
  <c r="C14" i="8"/>
  <c r="AR13" i="8"/>
  <c r="BN13" i="8" s="1"/>
  <c r="AQ13" i="8"/>
  <c r="BB11" i="8"/>
  <c r="O12" i="8"/>
  <c r="L12" i="8"/>
  <c r="AE12" i="8" s="1"/>
  <c r="BF12" i="8" s="1"/>
  <c r="AU10" i="8"/>
  <c r="L22" i="9"/>
  <c r="X22" i="9"/>
  <c r="I22" i="9"/>
  <c r="E13" i="7" s="1"/>
  <c r="H22" i="9"/>
  <c r="E22" i="9"/>
  <c r="D22" i="9"/>
  <c r="T22" i="9"/>
  <c r="R22" i="9"/>
  <c r="Q22" i="9"/>
  <c r="P22" i="9"/>
  <c r="O22" i="9"/>
  <c r="E13" i="8" s="1"/>
  <c r="M22" i="9"/>
  <c r="S22" i="9"/>
  <c r="D13" i="7" s="1"/>
  <c r="I13" i="7" s="1"/>
  <c r="F22" i="9"/>
  <c r="V22" i="9"/>
  <c r="Y22" i="9"/>
  <c r="D13" i="8" s="1"/>
  <c r="I13" i="8" s="1"/>
  <c r="AA22" i="9"/>
  <c r="W22" i="9"/>
  <c r="Z22" i="9"/>
  <c r="K22" i="9"/>
  <c r="G22" i="9"/>
  <c r="N22" i="9"/>
  <c r="U22" i="9"/>
  <c r="J22" i="9"/>
  <c r="AA10" i="7"/>
  <c r="C16" i="7"/>
  <c r="AP16" i="7"/>
  <c r="G12" i="7"/>
  <c r="AT10" i="7"/>
  <c r="AQ15" i="7"/>
  <c r="AR15" i="7"/>
  <c r="BN15" i="7" s="1"/>
  <c r="B15" i="8"/>
  <c r="A16" i="8"/>
  <c r="N10" i="8"/>
  <c r="AU10" i="7"/>
  <c r="BL9" i="8"/>
  <c r="BM7" i="7"/>
  <c r="G12" i="8"/>
  <c r="BB11" i="7"/>
  <c r="BF10" i="8"/>
  <c r="N11" i="7" l="1"/>
  <c r="U11" i="7"/>
  <c r="AV11" i="7" s="1"/>
  <c r="X11" i="7"/>
  <c r="AY11" i="7" s="1"/>
  <c r="W11" i="7"/>
  <c r="AX11" i="7" s="1"/>
  <c r="AN8" i="7"/>
  <c r="BO8" i="7" s="1"/>
  <c r="W11" i="8"/>
  <c r="AX11" i="8" s="1"/>
  <c r="AH11" i="8"/>
  <c r="BI11" i="8" s="1"/>
  <c r="N11" i="8"/>
  <c r="AC11" i="8" s="1"/>
  <c r="BD11" i="8" s="1"/>
  <c r="AF9" i="8"/>
  <c r="AG9" i="8" s="1"/>
  <c r="BH9" i="8" s="1"/>
  <c r="AG9" i="7"/>
  <c r="BH9" i="7" s="1"/>
  <c r="AG8" i="7"/>
  <c r="BH8" i="7" s="1"/>
  <c r="BE9" i="8"/>
  <c r="AJ9" i="8"/>
  <c r="BK9" i="8" s="1"/>
  <c r="AL9" i="8"/>
  <c r="AN9" i="8" s="1"/>
  <c r="BO9" i="8" s="1"/>
  <c r="G13" i="8"/>
  <c r="T13" i="8" s="1"/>
  <c r="AU13" i="8" s="1"/>
  <c r="AK10" i="8"/>
  <c r="BI10" i="8"/>
  <c r="AV10" i="7"/>
  <c r="C17" i="7"/>
  <c r="AP17" i="7"/>
  <c r="AX10" i="7"/>
  <c r="AI10" i="7"/>
  <c r="AJ10" i="7" s="1"/>
  <c r="AC10" i="7"/>
  <c r="AD10" i="7"/>
  <c r="AB10" i="7"/>
  <c r="AI10" i="8"/>
  <c r="AC10" i="8"/>
  <c r="AD10" i="8"/>
  <c r="AB10" i="8"/>
  <c r="AY10" i="7"/>
  <c r="M12" i="8"/>
  <c r="H12" i="8"/>
  <c r="J12" i="8" s="1"/>
  <c r="S12" i="8"/>
  <c r="T12" i="8"/>
  <c r="U12" i="8"/>
  <c r="K12" i="8"/>
  <c r="AR14" i="8"/>
  <c r="BN14" i="8" s="1"/>
  <c r="AQ14" i="8"/>
  <c r="AA23" i="9"/>
  <c r="L23" i="9"/>
  <c r="D23" i="9"/>
  <c r="X23" i="9"/>
  <c r="U23" i="9"/>
  <c r="S23" i="9"/>
  <c r="D14" i="7" s="1"/>
  <c r="I14" i="7" s="1"/>
  <c r="R23" i="9"/>
  <c r="Q23" i="9"/>
  <c r="P23" i="9"/>
  <c r="E23" i="9"/>
  <c r="G23" i="9"/>
  <c r="F23" i="9"/>
  <c r="I23" i="9"/>
  <c r="E14" i="7" s="1"/>
  <c r="Y23" i="9"/>
  <c r="D14" i="8" s="1"/>
  <c r="I14" i="8" s="1"/>
  <c r="J23" i="9"/>
  <c r="W23" i="9"/>
  <c r="V23" i="9"/>
  <c r="T23" i="9"/>
  <c r="Z23" i="9"/>
  <c r="K23" i="9"/>
  <c r="N23" i="9"/>
  <c r="M23" i="9"/>
  <c r="H23" i="9"/>
  <c r="O23" i="9"/>
  <c r="E14" i="8" s="1"/>
  <c r="A17" i="8"/>
  <c r="B16" i="8"/>
  <c r="C15" i="8"/>
  <c r="AP15" i="8"/>
  <c r="AI11" i="7"/>
  <c r="AC11" i="7"/>
  <c r="BD11" i="7" s="1"/>
  <c r="AD11" i="7"/>
  <c r="BE11" i="7" s="1"/>
  <c r="AB11" i="7"/>
  <c r="BI10" i="7"/>
  <c r="AK10" i="7"/>
  <c r="B24" i="9"/>
  <c r="C25" i="9"/>
  <c r="O13" i="7"/>
  <c r="L13" i="7"/>
  <c r="AE13" i="7" s="1"/>
  <c r="H12" i="7"/>
  <c r="M12" i="7"/>
  <c r="S12" i="7"/>
  <c r="T12" i="7"/>
  <c r="K12" i="7"/>
  <c r="AK11" i="7"/>
  <c r="BI11" i="7"/>
  <c r="Z10" i="7"/>
  <c r="BB10" i="8"/>
  <c r="BB10" i="7"/>
  <c r="O13" i="8"/>
  <c r="L13" i="8"/>
  <c r="AE13" i="8" s="1"/>
  <c r="AY10" i="8"/>
  <c r="AR16" i="7"/>
  <c r="BN16" i="7" s="1"/>
  <c r="AQ16" i="7"/>
  <c r="G13" i="7"/>
  <c r="K13" i="7" s="1"/>
  <c r="AA13" i="7" s="1"/>
  <c r="AX10" i="8"/>
  <c r="Z10" i="8"/>
  <c r="A19" i="7"/>
  <c r="B18" i="7"/>
  <c r="Z11" i="7" l="1"/>
  <c r="BA11" i="7" s="1"/>
  <c r="AB11" i="8"/>
  <c r="BC11" i="8" s="1"/>
  <c r="Z11" i="8"/>
  <c r="BA11" i="8" s="1"/>
  <c r="AD11" i="8"/>
  <c r="BE11" i="8" s="1"/>
  <c r="AK11" i="8"/>
  <c r="BL11" i="8" s="1"/>
  <c r="BG9" i="8"/>
  <c r="AI11" i="8"/>
  <c r="BJ11" i="8" s="1"/>
  <c r="AF10" i="8"/>
  <c r="BG10" i="8" s="1"/>
  <c r="H13" i="8"/>
  <c r="N13" i="8" s="1"/>
  <c r="M13" i="8"/>
  <c r="AH13" i="8" s="1"/>
  <c r="S13" i="8"/>
  <c r="AT13" i="8" s="1"/>
  <c r="K13" i="8"/>
  <c r="AA13" i="8" s="1"/>
  <c r="BB13" i="8" s="1"/>
  <c r="U13" i="8"/>
  <c r="AV13" i="8" s="1"/>
  <c r="BM9" i="8"/>
  <c r="O14" i="7"/>
  <c r="L14" i="7"/>
  <c r="AE14" i="7" s="1"/>
  <c r="BF14" i="7" s="1"/>
  <c r="N12" i="8"/>
  <c r="AL10" i="8"/>
  <c r="BJ10" i="8"/>
  <c r="AH12" i="8"/>
  <c r="W12" i="8"/>
  <c r="X12" i="8"/>
  <c r="BC10" i="7"/>
  <c r="BB13" i="7"/>
  <c r="AP18" i="7"/>
  <c r="C18" i="7"/>
  <c r="BJ11" i="7"/>
  <c r="AL11" i="7"/>
  <c r="BM11" i="7" s="1"/>
  <c r="BA10" i="8"/>
  <c r="BD10" i="7"/>
  <c r="AJ10" i="8"/>
  <c r="G14" i="7"/>
  <c r="BJ10" i="7"/>
  <c r="AL10" i="7"/>
  <c r="BL10" i="8"/>
  <c r="G14" i="8"/>
  <c r="N12" i="7"/>
  <c r="B25" i="9"/>
  <c r="C26" i="9"/>
  <c r="M13" i="7"/>
  <c r="H13" i="7"/>
  <c r="N13" i="7" s="1"/>
  <c r="T13" i="7"/>
  <c r="AU13" i="7" s="1"/>
  <c r="S13" i="7"/>
  <c r="J12" i="7"/>
  <c r="R24" i="9"/>
  <c r="F24" i="9"/>
  <c r="AA24" i="9"/>
  <c r="D24" i="9"/>
  <c r="X24" i="9"/>
  <c r="L24" i="9"/>
  <c r="I24" i="9"/>
  <c r="E15" i="7" s="1"/>
  <c r="W24" i="9"/>
  <c r="M24" i="9"/>
  <c r="Z24" i="9"/>
  <c r="J24" i="9"/>
  <c r="V24" i="9"/>
  <c r="Q24" i="9"/>
  <c r="O24" i="9"/>
  <c r="E15" i="8" s="1"/>
  <c r="T24" i="9"/>
  <c r="Y24" i="9"/>
  <c r="D15" i="8" s="1"/>
  <c r="I15" i="8" s="1"/>
  <c r="E24" i="9"/>
  <c r="G24" i="9"/>
  <c r="U24" i="9"/>
  <c r="S24" i="9"/>
  <c r="D15" i="7" s="1"/>
  <c r="I15" i="7" s="1"/>
  <c r="K24" i="9"/>
  <c r="H24" i="9"/>
  <c r="P24" i="9"/>
  <c r="N24" i="9"/>
  <c r="BE10" i="7"/>
  <c r="AA12" i="7"/>
  <c r="BL10" i="7"/>
  <c r="AA12" i="8"/>
  <c r="O14" i="8"/>
  <c r="L14" i="8"/>
  <c r="AE14" i="8" s="1"/>
  <c r="BF14" i="8" s="1"/>
  <c r="B17" i="8"/>
  <c r="A18" i="8"/>
  <c r="BF13" i="7"/>
  <c r="BK10" i="7"/>
  <c r="AU12" i="7"/>
  <c r="AV12" i="8"/>
  <c r="BC10" i="8"/>
  <c r="BF13" i="8"/>
  <c r="AP16" i="8"/>
  <c r="C16" i="8"/>
  <c r="AF10" i="7"/>
  <c r="AG10" i="7" s="1"/>
  <c r="AT12" i="7"/>
  <c r="BC11" i="7"/>
  <c r="AF11" i="7"/>
  <c r="AU12" i="8"/>
  <c r="BE10" i="8"/>
  <c r="AQ17" i="7"/>
  <c r="AR17" i="7"/>
  <c r="BN17" i="7" s="1"/>
  <c r="BL11" i="7"/>
  <c r="B19" i="7"/>
  <c r="A20" i="7"/>
  <c r="AR15" i="8"/>
  <c r="BN15" i="8" s="1"/>
  <c r="AQ15" i="8"/>
  <c r="BA10" i="7"/>
  <c r="AJ11" i="7"/>
  <c r="BK11" i="7" s="1"/>
  <c r="AH12" i="7"/>
  <c r="W12" i="7"/>
  <c r="X12" i="7"/>
  <c r="U12" i="7"/>
  <c r="AT12" i="8"/>
  <c r="BD10" i="8"/>
  <c r="X13" i="8" l="1"/>
  <c r="AY13" i="8" s="1"/>
  <c r="W13" i="8"/>
  <c r="AX13" i="8" s="1"/>
  <c r="AF11" i="8"/>
  <c r="BG11" i="8" s="1"/>
  <c r="AJ11" i="8"/>
  <c r="BK11" i="8" s="1"/>
  <c r="AL11" i="8"/>
  <c r="AG10" i="8"/>
  <c r="BH10" i="8" s="1"/>
  <c r="J13" i="8"/>
  <c r="J13" i="7"/>
  <c r="AK12" i="7"/>
  <c r="BI12" i="7"/>
  <c r="B26" i="9"/>
  <c r="C27" i="9"/>
  <c r="H14" i="7"/>
  <c r="N14" i="7" s="1"/>
  <c r="M14" i="7"/>
  <c r="S14" i="7"/>
  <c r="T14" i="7"/>
  <c r="AU14" i="7" s="1"/>
  <c r="AX12" i="8"/>
  <c r="X25" i="9"/>
  <c r="H25" i="9"/>
  <c r="F25" i="9"/>
  <c r="T25" i="9"/>
  <c r="AA25" i="9"/>
  <c r="S25" i="9"/>
  <c r="D16" i="7" s="1"/>
  <c r="I16" i="7" s="1"/>
  <c r="R25" i="9"/>
  <c r="O25" i="9"/>
  <c r="E16" i="8" s="1"/>
  <c r="M25" i="9"/>
  <c r="L25" i="9"/>
  <c r="K25" i="9"/>
  <c r="G25" i="9"/>
  <c r="Z25" i="9"/>
  <c r="Q25" i="9"/>
  <c r="W25" i="9"/>
  <c r="N25" i="9"/>
  <c r="V25" i="9"/>
  <c r="U25" i="9"/>
  <c r="Y25" i="9"/>
  <c r="D16" i="8" s="1"/>
  <c r="I16" i="8" s="1"/>
  <c r="D25" i="9"/>
  <c r="P25" i="9"/>
  <c r="J25" i="9"/>
  <c r="E25" i="9"/>
  <c r="I25" i="9"/>
  <c r="E16" i="7" s="1"/>
  <c r="BI12" i="8"/>
  <c r="AK12" i="8"/>
  <c r="BM10" i="7"/>
  <c r="AK13" i="8"/>
  <c r="BI13" i="8"/>
  <c r="AH13" i="7"/>
  <c r="W13" i="7"/>
  <c r="AX13" i="7" s="1"/>
  <c r="X13" i="7"/>
  <c r="AY13" i="7" s="1"/>
  <c r="U13" i="7"/>
  <c r="AV13" i="7" s="1"/>
  <c r="AY12" i="8"/>
  <c r="AI12" i="7"/>
  <c r="AJ12" i="7" s="1"/>
  <c r="AC12" i="7"/>
  <c r="AD12" i="7"/>
  <c r="AB12" i="7"/>
  <c r="BG11" i="7"/>
  <c r="AG11" i="7"/>
  <c r="BH11" i="7" s="1"/>
  <c r="B18" i="8"/>
  <c r="A19" i="8"/>
  <c r="AI13" i="8"/>
  <c r="AC13" i="8"/>
  <c r="BD13" i="8" s="1"/>
  <c r="AD13" i="8"/>
  <c r="BE13" i="8" s="1"/>
  <c r="AB13" i="8"/>
  <c r="M14" i="8"/>
  <c r="H14" i="8"/>
  <c r="N14" i="8" s="1"/>
  <c r="S14" i="8"/>
  <c r="T14" i="8"/>
  <c r="U14" i="8"/>
  <c r="K14" i="8"/>
  <c r="BK10" i="8"/>
  <c r="BM10" i="8"/>
  <c r="AP17" i="8"/>
  <c r="C17" i="8"/>
  <c r="AT13" i="7"/>
  <c r="AQ18" i="7"/>
  <c r="AR18" i="7"/>
  <c r="BN18" i="7" s="1"/>
  <c r="O15" i="8"/>
  <c r="L15" i="8"/>
  <c r="AE15" i="8" s="1"/>
  <c r="BH10" i="7"/>
  <c r="B20" i="7"/>
  <c r="A21" i="7"/>
  <c r="L15" i="7"/>
  <c r="AE15" i="7" s="1"/>
  <c r="O15" i="7"/>
  <c r="AI12" i="8"/>
  <c r="AC12" i="8"/>
  <c r="AD12" i="8"/>
  <c r="AB12" i="8"/>
  <c r="BB12" i="8"/>
  <c r="G15" i="8"/>
  <c r="K15" i="8" s="1"/>
  <c r="AA15" i="8" s="1"/>
  <c r="AV12" i="7"/>
  <c r="AY12" i="7"/>
  <c r="G15" i="7"/>
  <c r="K15" i="7" s="1"/>
  <c r="AA15" i="7" s="1"/>
  <c r="K14" i="7"/>
  <c r="AQ16" i="8"/>
  <c r="AR16" i="8"/>
  <c r="BN16" i="8" s="1"/>
  <c r="AN10" i="7"/>
  <c r="BB12" i="7"/>
  <c r="Z12" i="8"/>
  <c r="C19" i="7"/>
  <c r="AP19" i="7"/>
  <c r="Z12" i="7"/>
  <c r="AX12" i="7"/>
  <c r="AN11" i="7"/>
  <c r="BO11" i="7" s="1"/>
  <c r="BG10" i="7"/>
  <c r="AI13" i="7"/>
  <c r="AC13" i="7"/>
  <c r="BD13" i="7" s="1"/>
  <c r="AD13" i="7"/>
  <c r="BE13" i="7" s="1"/>
  <c r="AB13" i="7"/>
  <c r="AN10" i="8"/>
  <c r="AG11" i="8" l="1"/>
  <c r="BH11" i="8" s="1"/>
  <c r="Z13" i="8"/>
  <c r="BM11" i="8"/>
  <c r="AN11" i="8"/>
  <c r="BO11" i="8" s="1"/>
  <c r="Z13" i="7"/>
  <c r="BA13" i="7" s="1"/>
  <c r="AF12" i="7"/>
  <c r="BG12" i="7" s="1"/>
  <c r="J14" i="7"/>
  <c r="AF12" i="8"/>
  <c r="BG12" i="8" s="1"/>
  <c r="BK12" i="7"/>
  <c r="BB15" i="7"/>
  <c r="BB15" i="8"/>
  <c r="O16" i="8"/>
  <c r="L16" i="8"/>
  <c r="AE16" i="8" s="1"/>
  <c r="BF16" i="8" s="1"/>
  <c r="AT14" i="7"/>
  <c r="O16" i="7"/>
  <c r="L16" i="7"/>
  <c r="AE16" i="7" s="1"/>
  <c r="BF16" i="7" s="1"/>
  <c r="BE12" i="8"/>
  <c r="AA14" i="8"/>
  <c r="BJ13" i="7"/>
  <c r="AL13" i="7"/>
  <c r="BM13" i="7" s="1"/>
  <c r="AI14" i="7"/>
  <c r="AC14" i="7"/>
  <c r="BD14" i="7" s="1"/>
  <c r="AD14" i="7"/>
  <c r="BE14" i="7" s="1"/>
  <c r="AB14" i="7"/>
  <c r="BC14" i="7" s="1"/>
  <c r="BO10" i="8"/>
  <c r="BL13" i="8"/>
  <c r="AH14" i="7"/>
  <c r="W14" i="7"/>
  <c r="X14" i="7"/>
  <c r="U14" i="7"/>
  <c r="AT14" i="8"/>
  <c r="AR17" i="8"/>
  <c r="BN17" i="8" s="1"/>
  <c r="AQ17" i="8"/>
  <c r="B27" i="9"/>
  <c r="C28" i="9"/>
  <c r="C18" i="8"/>
  <c r="AP18" i="8"/>
  <c r="AI14" i="8"/>
  <c r="AC14" i="8"/>
  <c r="BD14" i="8" s="1"/>
  <c r="AD14" i="8"/>
  <c r="BE14" i="8" s="1"/>
  <c r="AB14" i="8"/>
  <c r="BC14" i="8" s="1"/>
  <c r="L26" i="9"/>
  <c r="X26" i="9"/>
  <c r="H26" i="9"/>
  <c r="E26" i="9"/>
  <c r="D26" i="9"/>
  <c r="U26" i="9"/>
  <c r="G26" i="9"/>
  <c r="F26" i="9"/>
  <c r="T26" i="9"/>
  <c r="S26" i="9"/>
  <c r="D17" i="7" s="1"/>
  <c r="I17" i="7" s="1"/>
  <c r="R26" i="9"/>
  <c r="Q26" i="9"/>
  <c r="P26" i="9"/>
  <c r="J26" i="9"/>
  <c r="M26" i="9"/>
  <c r="W26" i="9"/>
  <c r="Z26" i="9"/>
  <c r="V26" i="9"/>
  <c r="N26" i="9"/>
  <c r="AA26" i="9"/>
  <c r="K26" i="9"/>
  <c r="O26" i="9"/>
  <c r="E17" i="8" s="1"/>
  <c r="I26" i="9"/>
  <c r="E17" i="7" s="1"/>
  <c r="Y26" i="9"/>
  <c r="D17" i="8" s="1"/>
  <c r="I17" i="8" s="1"/>
  <c r="AL13" i="8"/>
  <c r="BM13" i="8" s="1"/>
  <c r="BJ13" i="8"/>
  <c r="BL12" i="8"/>
  <c r="G16" i="7"/>
  <c r="K16" i="7" s="1"/>
  <c r="AA16" i="7" s="1"/>
  <c r="M15" i="8"/>
  <c r="H15" i="8"/>
  <c r="N15" i="8" s="1"/>
  <c r="S15" i="8"/>
  <c r="T15" i="8"/>
  <c r="AU15" i="8" s="1"/>
  <c r="U15" i="8"/>
  <c r="AV15" i="8" s="1"/>
  <c r="C20" i="7"/>
  <c r="AP20" i="7"/>
  <c r="AH14" i="8"/>
  <c r="W14" i="8"/>
  <c r="X14" i="8"/>
  <c r="BC12" i="7"/>
  <c r="BJ12" i="8"/>
  <c r="AL12" i="8"/>
  <c r="AV14" i="8"/>
  <c r="AU14" i="8"/>
  <c r="AJ12" i="8"/>
  <c r="BA13" i="8"/>
  <c r="BC13" i="8"/>
  <c r="AF13" i="8"/>
  <c r="BG13" i="8" s="1"/>
  <c r="BE12" i="7"/>
  <c r="BI13" i="7"/>
  <c r="AK13" i="7"/>
  <c r="AJ13" i="7"/>
  <c r="BK13" i="7" s="1"/>
  <c r="A20" i="8"/>
  <c r="B19" i="8"/>
  <c r="BF15" i="7"/>
  <c r="BO10" i="7"/>
  <c r="A22" i="7"/>
  <c r="B21" i="7"/>
  <c r="BA12" i="7"/>
  <c r="BF15" i="8"/>
  <c r="BD12" i="7"/>
  <c r="BL12" i="7"/>
  <c r="H15" i="7"/>
  <c r="N15" i="7" s="1"/>
  <c r="M15" i="7"/>
  <c r="S15" i="7"/>
  <c r="T15" i="7"/>
  <c r="AU15" i="7" s="1"/>
  <c r="BC13" i="7"/>
  <c r="AF13" i="7"/>
  <c r="BG13" i="7" s="1"/>
  <c r="BD12" i="8"/>
  <c r="BA12" i="8"/>
  <c r="J14" i="8"/>
  <c r="AR19" i="7"/>
  <c r="BN19" i="7" s="1"/>
  <c r="AQ19" i="7"/>
  <c r="AA14" i="7"/>
  <c r="BC12" i="8"/>
  <c r="AL12" i="7"/>
  <c r="BJ12" i="7"/>
  <c r="AJ13" i="8"/>
  <c r="BK13" i="8" s="1"/>
  <c r="G16" i="8"/>
  <c r="AG12" i="7" l="1"/>
  <c r="BH12" i="7" s="1"/>
  <c r="AG12" i="8"/>
  <c r="BH12" i="8" s="1"/>
  <c r="G17" i="7"/>
  <c r="H17" i="7" s="1"/>
  <c r="J17" i="7" s="1"/>
  <c r="Z14" i="8"/>
  <c r="BA14" i="8" s="1"/>
  <c r="Z14" i="7"/>
  <c r="BA14" i="7" s="1"/>
  <c r="AG13" i="7"/>
  <c r="BH13" i="7" s="1"/>
  <c r="BJ14" i="7"/>
  <c r="AL14" i="7"/>
  <c r="BM14" i="7" s="1"/>
  <c r="O17" i="8"/>
  <c r="L17" i="8"/>
  <c r="AE17" i="8" s="1"/>
  <c r="BF17" i="8" s="1"/>
  <c r="AV14" i="7"/>
  <c r="AL14" i="8"/>
  <c r="BM14" i="8" s="1"/>
  <c r="BJ14" i="8"/>
  <c r="AY14" i="7"/>
  <c r="BB14" i="7"/>
  <c r="AF14" i="7"/>
  <c r="BG14" i="7" s="1"/>
  <c r="BM12" i="8"/>
  <c r="AH15" i="7"/>
  <c r="W15" i="7"/>
  <c r="AX15" i="7" s="1"/>
  <c r="X15" i="7"/>
  <c r="AY15" i="7" s="1"/>
  <c r="U15" i="7"/>
  <c r="AV15" i="7" s="1"/>
  <c r="BB16" i="7"/>
  <c r="AR18" i="8"/>
  <c r="BN18" i="8" s="1"/>
  <c r="AQ18" i="8"/>
  <c r="AX14" i="7"/>
  <c r="H16" i="8"/>
  <c r="N16" i="8" s="1"/>
  <c r="M16" i="8"/>
  <c r="S16" i="8"/>
  <c r="U16" i="8"/>
  <c r="AV16" i="8" s="1"/>
  <c r="T16" i="8"/>
  <c r="AU16" i="8" s="1"/>
  <c r="AI15" i="8"/>
  <c r="AC15" i="8"/>
  <c r="BD15" i="8" s="1"/>
  <c r="AD15" i="8"/>
  <c r="BE15" i="8" s="1"/>
  <c r="AB15" i="8"/>
  <c r="BK12" i="8"/>
  <c r="A21" i="8"/>
  <c r="B20" i="8"/>
  <c r="AX14" i="8"/>
  <c r="K16" i="8"/>
  <c r="AA16" i="8" s="1"/>
  <c r="AK14" i="7"/>
  <c r="AJ14" i="7"/>
  <c r="BK14" i="7" s="1"/>
  <c r="BI14" i="7"/>
  <c r="AF14" i="8"/>
  <c r="BG14" i="8" s="1"/>
  <c r="BB14" i="8"/>
  <c r="AI15" i="7"/>
  <c r="AC15" i="7"/>
  <c r="BD15" i="7" s="1"/>
  <c r="AD15" i="7"/>
  <c r="BE15" i="7" s="1"/>
  <c r="AB15" i="7"/>
  <c r="AH15" i="8"/>
  <c r="W15" i="8"/>
  <c r="AX15" i="8" s="1"/>
  <c r="X15" i="8"/>
  <c r="AY15" i="8" s="1"/>
  <c r="M16" i="7"/>
  <c r="H16" i="7"/>
  <c r="N16" i="7" s="1"/>
  <c r="T16" i="7"/>
  <c r="AU16" i="7" s="1"/>
  <c r="S16" i="7"/>
  <c r="O17" i="7"/>
  <c r="L17" i="7"/>
  <c r="AE17" i="7" s="1"/>
  <c r="BF17" i="7" s="1"/>
  <c r="AP19" i="8"/>
  <c r="C19" i="8"/>
  <c r="BM12" i="7"/>
  <c r="AP21" i="7"/>
  <c r="C21" i="7"/>
  <c r="AN13" i="7"/>
  <c r="BO13" i="7" s="1"/>
  <c r="BL13" i="7"/>
  <c r="B28" i="9"/>
  <c r="C29" i="9"/>
  <c r="AN13" i="8"/>
  <c r="BO13" i="8" s="1"/>
  <c r="AT15" i="7"/>
  <c r="G17" i="8"/>
  <c r="K17" i="8" s="1"/>
  <c r="AA17" i="8" s="1"/>
  <c r="J15" i="8"/>
  <c r="BI14" i="8"/>
  <c r="AK14" i="8"/>
  <c r="AJ14" i="8"/>
  <c r="BK14" i="8" s="1"/>
  <c r="B22" i="7"/>
  <c r="A23" i="7"/>
  <c r="AN12" i="8"/>
  <c r="R27" i="9"/>
  <c r="F27" i="9"/>
  <c r="E27" i="9"/>
  <c r="AA27" i="9"/>
  <c r="D27" i="9"/>
  <c r="X27" i="9"/>
  <c r="U27" i="9"/>
  <c r="S27" i="9"/>
  <c r="D18" i="7" s="1"/>
  <c r="I18" i="7" s="1"/>
  <c r="M27" i="9"/>
  <c r="L27" i="9"/>
  <c r="I27" i="9"/>
  <c r="E18" i="7" s="1"/>
  <c r="G27" i="9"/>
  <c r="Y27" i="9"/>
  <c r="D18" i="8" s="1"/>
  <c r="I18" i="8" s="1"/>
  <c r="N27" i="9"/>
  <c r="J27" i="9"/>
  <c r="V27" i="9"/>
  <c r="K27" i="9"/>
  <c r="T27" i="9"/>
  <c r="W27" i="9"/>
  <c r="Q27" i="9"/>
  <c r="H27" i="9"/>
  <c r="P27" i="9"/>
  <c r="O27" i="9"/>
  <c r="E18" i="8" s="1"/>
  <c r="Z27" i="9"/>
  <c r="AT15" i="8"/>
  <c r="AG13" i="8"/>
  <c r="BH13" i="8" s="1"/>
  <c r="J15" i="7"/>
  <c r="AY14" i="8"/>
  <c r="AN12" i="7"/>
  <c r="AQ20" i="7"/>
  <c r="AR20" i="7"/>
  <c r="BN20" i="7" s="1"/>
  <c r="K17" i="7" l="1"/>
  <c r="AA17" i="7" s="1"/>
  <c r="S17" i="7"/>
  <c r="AT17" i="7" s="1"/>
  <c r="T17" i="7"/>
  <c r="AU17" i="7" s="1"/>
  <c r="M17" i="7"/>
  <c r="U17" i="7" s="1"/>
  <c r="AV17" i="7" s="1"/>
  <c r="Z15" i="7"/>
  <c r="BA15" i="7" s="1"/>
  <c r="G18" i="8"/>
  <c r="M18" i="8" s="1"/>
  <c r="B23" i="7"/>
  <c r="A24" i="7"/>
  <c r="BJ15" i="8"/>
  <c r="AL15" i="8"/>
  <c r="B29" i="9"/>
  <c r="C30" i="9"/>
  <c r="AJ15" i="8"/>
  <c r="BK15" i="8" s="1"/>
  <c r="BI15" i="8"/>
  <c r="AK15" i="8"/>
  <c r="BB16" i="8"/>
  <c r="AH16" i="8"/>
  <c r="W16" i="8"/>
  <c r="AX16" i="8" s="1"/>
  <c r="X16" i="8"/>
  <c r="AY16" i="8" s="1"/>
  <c r="BL14" i="7"/>
  <c r="AN14" i="7"/>
  <c r="BO14" i="7" s="1"/>
  <c r="AT16" i="8"/>
  <c r="AT16" i="7"/>
  <c r="C20" i="8"/>
  <c r="AP20" i="8"/>
  <c r="BB17" i="8"/>
  <c r="AL15" i="7"/>
  <c r="BM15" i="7" s="1"/>
  <c r="BJ15" i="7"/>
  <c r="B21" i="8"/>
  <c r="A22" i="8"/>
  <c r="AI16" i="8"/>
  <c r="AC16" i="8"/>
  <c r="BD16" i="8" s="1"/>
  <c r="AD16" i="8"/>
  <c r="BE16" i="8" s="1"/>
  <c r="AB16" i="8"/>
  <c r="BC16" i="8" s="1"/>
  <c r="AH17" i="7"/>
  <c r="W17" i="7"/>
  <c r="AX17" i="7" s="1"/>
  <c r="L18" i="7"/>
  <c r="AE18" i="7" s="1"/>
  <c r="BF18" i="7" s="1"/>
  <c r="O18" i="7"/>
  <c r="AQ21" i="7"/>
  <c r="AR21" i="7"/>
  <c r="BN21" i="7" s="1"/>
  <c r="BB17" i="7"/>
  <c r="J16" i="8"/>
  <c r="AQ19" i="8"/>
  <c r="AR19" i="8"/>
  <c r="BN19" i="8" s="1"/>
  <c r="X28" i="9"/>
  <c r="F28" i="9"/>
  <c r="R28" i="9"/>
  <c r="AA28" i="9"/>
  <c r="L28" i="9"/>
  <c r="K28" i="9"/>
  <c r="O28" i="9"/>
  <c r="E19" i="8" s="1"/>
  <c r="N28" i="9"/>
  <c r="M28" i="9"/>
  <c r="Y28" i="9"/>
  <c r="D19" i="8" s="1"/>
  <c r="I19" i="8" s="1"/>
  <c r="P28" i="9"/>
  <c r="S28" i="9"/>
  <c r="D19" i="7" s="1"/>
  <c r="I19" i="7" s="1"/>
  <c r="D28" i="9"/>
  <c r="V28" i="9"/>
  <c r="G28" i="9"/>
  <c r="U28" i="9"/>
  <c r="E28" i="9"/>
  <c r="J28" i="9"/>
  <c r="Z28" i="9"/>
  <c r="H28" i="9"/>
  <c r="T28" i="9"/>
  <c r="W28" i="9"/>
  <c r="I28" i="9"/>
  <c r="E19" i="7" s="1"/>
  <c r="Q28" i="9"/>
  <c r="AN14" i="8"/>
  <c r="BO14" i="8" s="1"/>
  <c r="BL14" i="8"/>
  <c r="AI16" i="7"/>
  <c r="AC16" i="7"/>
  <c r="AD16" i="7"/>
  <c r="AB16" i="7"/>
  <c r="N17" i="7"/>
  <c r="BC15" i="7"/>
  <c r="AF15" i="7"/>
  <c r="BG15" i="7" s="1"/>
  <c r="O18" i="8"/>
  <c r="L18" i="8"/>
  <c r="AE18" i="8" s="1"/>
  <c r="BF18" i="8" s="1"/>
  <c r="J16" i="7"/>
  <c r="BC15" i="8"/>
  <c r="AF15" i="8"/>
  <c r="BG15" i="8" s="1"/>
  <c r="AG14" i="8"/>
  <c r="C22" i="7"/>
  <c r="AP22" i="7"/>
  <c r="BO12" i="7"/>
  <c r="Z15" i="8"/>
  <c r="BO12" i="8"/>
  <c r="M17" i="8"/>
  <c r="H17" i="8"/>
  <c r="N17" i="8" s="1"/>
  <c r="S17" i="8"/>
  <c r="T17" i="8"/>
  <c r="AU17" i="8" s="1"/>
  <c r="U17" i="8"/>
  <c r="AV17" i="8" s="1"/>
  <c r="AH16" i="7"/>
  <c r="W16" i="7"/>
  <c r="AX16" i="7" s="1"/>
  <c r="X16" i="7"/>
  <c r="U16" i="7"/>
  <c r="AV16" i="7" s="1"/>
  <c r="AG14" i="7"/>
  <c r="BH14" i="7" s="1"/>
  <c r="G18" i="7"/>
  <c r="AK15" i="7"/>
  <c r="AJ15" i="7"/>
  <c r="BK15" i="7" s="1"/>
  <c r="BI15" i="7"/>
  <c r="X17" i="7" l="1"/>
  <c r="AY17" i="7" s="1"/>
  <c r="K18" i="8"/>
  <c r="AA18" i="8" s="1"/>
  <c r="BB18" i="8" s="1"/>
  <c r="S18" i="8"/>
  <c r="AT18" i="8" s="1"/>
  <c r="T18" i="8"/>
  <c r="AU18" i="8" s="1"/>
  <c r="U18" i="8"/>
  <c r="AV18" i="8" s="1"/>
  <c r="H18" i="8"/>
  <c r="J18" i="8" s="1"/>
  <c r="Z16" i="7"/>
  <c r="BA16" i="7" s="1"/>
  <c r="Z16" i="8"/>
  <c r="BA16" i="8" s="1"/>
  <c r="AF16" i="8"/>
  <c r="BG16" i="8" s="1"/>
  <c r="Z17" i="7"/>
  <c r="BA17" i="7" s="1"/>
  <c r="G19" i="8"/>
  <c r="H19" i="8" s="1"/>
  <c r="AI17" i="7"/>
  <c r="AJ17" i="7" s="1"/>
  <c r="BK17" i="7" s="1"/>
  <c r="AC17" i="7"/>
  <c r="BD17" i="7" s="1"/>
  <c r="AD17" i="7"/>
  <c r="BE17" i="7" s="1"/>
  <c r="AB17" i="7"/>
  <c r="AT17" i="8"/>
  <c r="L29" i="9"/>
  <c r="X29" i="9"/>
  <c r="H29" i="9"/>
  <c r="F29" i="9"/>
  <c r="S29" i="9"/>
  <c r="D20" i="7" s="1"/>
  <c r="I20" i="7" s="1"/>
  <c r="R29" i="9"/>
  <c r="O29" i="9"/>
  <c r="E20" i="8" s="1"/>
  <c r="M29" i="9"/>
  <c r="G29" i="9"/>
  <c r="U29" i="9"/>
  <c r="T29" i="9"/>
  <c r="Q29" i="9"/>
  <c r="W29" i="9"/>
  <c r="D29" i="9"/>
  <c r="P29" i="9"/>
  <c r="V29" i="9"/>
  <c r="J29" i="9"/>
  <c r="N29" i="9"/>
  <c r="Z29" i="9"/>
  <c r="Y29" i="9"/>
  <c r="D20" i="8" s="1"/>
  <c r="I20" i="8" s="1"/>
  <c r="I29" i="9"/>
  <c r="E20" i="7" s="1"/>
  <c r="AA29" i="9"/>
  <c r="K29" i="9"/>
  <c r="E29" i="9"/>
  <c r="BE16" i="7"/>
  <c r="AH18" i="8"/>
  <c r="W18" i="8"/>
  <c r="AX18" i="8" s="1"/>
  <c r="X18" i="8"/>
  <c r="AY18" i="8" s="1"/>
  <c r="AP21" i="8"/>
  <c r="C21" i="8"/>
  <c r="AN15" i="7"/>
  <c r="BO15" i="7" s="1"/>
  <c r="BL15" i="7"/>
  <c r="BM15" i="8"/>
  <c r="BH14" i="8"/>
  <c r="AL16" i="8"/>
  <c r="BM16" i="8" s="1"/>
  <c r="BJ16" i="8"/>
  <c r="AH17" i="8"/>
  <c r="W17" i="8"/>
  <c r="AX17" i="8" s="1"/>
  <c r="X17" i="8"/>
  <c r="AY17" i="8" s="1"/>
  <c r="B30" i="9"/>
  <c r="C31" i="9"/>
  <c r="AY16" i="7"/>
  <c r="G19" i="7"/>
  <c r="K19" i="7" s="1"/>
  <c r="AA19" i="7" s="1"/>
  <c r="AK17" i="7"/>
  <c r="BI17" i="7"/>
  <c r="BC16" i="7"/>
  <c r="AF16" i="7"/>
  <c r="BG16" i="7" s="1"/>
  <c r="BL15" i="8"/>
  <c r="AN15" i="8"/>
  <c r="BO15" i="8" s="1"/>
  <c r="BD16" i="7"/>
  <c r="BA15" i="8"/>
  <c r="AG15" i="8"/>
  <c r="BH15" i="8" s="1"/>
  <c r="O19" i="8"/>
  <c r="L19" i="8"/>
  <c r="AE19" i="8" s="1"/>
  <c r="BF19" i="8" s="1"/>
  <c r="AG15" i="7"/>
  <c r="BH15" i="7" s="1"/>
  <c r="A25" i="7"/>
  <c r="B24" i="7"/>
  <c r="AQ20" i="8"/>
  <c r="AR20" i="8"/>
  <c r="BN20" i="8" s="1"/>
  <c r="AI17" i="8"/>
  <c r="AC17" i="8"/>
  <c r="BD17" i="8" s="1"/>
  <c r="AD17" i="8"/>
  <c r="BE17" i="8" s="1"/>
  <c r="AB17" i="8"/>
  <c r="J17" i="8"/>
  <c r="BJ16" i="7"/>
  <c r="AL16" i="7"/>
  <c r="B22" i="8"/>
  <c r="A23" i="8"/>
  <c r="O19" i="7"/>
  <c r="L19" i="7"/>
  <c r="AE19" i="7" s="1"/>
  <c r="BF19" i="7" s="1"/>
  <c r="H18" i="7"/>
  <c r="N18" i="7" s="1"/>
  <c r="M18" i="7"/>
  <c r="S18" i="7"/>
  <c r="T18" i="7"/>
  <c r="AU18" i="7" s="1"/>
  <c r="K18" i="7"/>
  <c r="AA18" i="7" s="1"/>
  <c r="BI16" i="7"/>
  <c r="AK16" i="7"/>
  <c r="AJ16" i="7"/>
  <c r="BK16" i="7" s="1"/>
  <c r="AR22" i="7"/>
  <c r="BN22" i="7" s="1"/>
  <c r="AQ22" i="7"/>
  <c r="AK16" i="8"/>
  <c r="AJ16" i="8"/>
  <c r="BK16" i="8" s="1"/>
  <c r="BI16" i="8"/>
  <c r="C23" i="7"/>
  <c r="AP23" i="7"/>
  <c r="AG16" i="8" l="1"/>
  <c r="BH16" i="8" s="1"/>
  <c r="N18" i="8"/>
  <c r="AC18" i="8" s="1"/>
  <c r="BD18" i="8" s="1"/>
  <c r="G20" i="8"/>
  <c r="K20" i="8" s="1"/>
  <c r="AA20" i="8" s="1"/>
  <c r="BB20" i="8" s="1"/>
  <c r="T19" i="8"/>
  <c r="AU19" i="8" s="1"/>
  <c r="Z17" i="8"/>
  <c r="BA17" i="8" s="1"/>
  <c r="K19" i="8"/>
  <c r="AA19" i="8" s="1"/>
  <c r="BB19" i="8" s="1"/>
  <c r="U19" i="8"/>
  <c r="AV19" i="8" s="1"/>
  <c r="S19" i="8"/>
  <c r="N19" i="8"/>
  <c r="AI19" i="8" s="1"/>
  <c r="J19" i="8"/>
  <c r="M19" i="8"/>
  <c r="AH19" i="8" s="1"/>
  <c r="AI18" i="7"/>
  <c r="AC18" i="7"/>
  <c r="BD18" i="7" s="1"/>
  <c r="AD18" i="7"/>
  <c r="BE18" i="7" s="1"/>
  <c r="AB18" i="7"/>
  <c r="BC18" i="7" s="1"/>
  <c r="J18" i="7"/>
  <c r="R30" i="9"/>
  <c r="L30" i="9"/>
  <c r="G30" i="9"/>
  <c r="F30" i="9"/>
  <c r="E30" i="9"/>
  <c r="AA30" i="9"/>
  <c r="D30" i="9"/>
  <c r="X30" i="9"/>
  <c r="U30" i="9"/>
  <c r="T30" i="9"/>
  <c r="S30" i="9"/>
  <c r="D21" i="7" s="1"/>
  <c r="I21" i="7" s="1"/>
  <c r="I30" i="9"/>
  <c r="E21" i="7" s="1"/>
  <c r="H30" i="9"/>
  <c r="J30" i="9"/>
  <c r="M30" i="9"/>
  <c r="Q30" i="9"/>
  <c r="Y30" i="9"/>
  <c r="D21" i="8" s="1"/>
  <c r="I21" i="8" s="1"/>
  <c r="W30" i="9"/>
  <c r="K30" i="9"/>
  <c r="N30" i="9"/>
  <c r="Z30" i="9"/>
  <c r="P30" i="9"/>
  <c r="V30" i="9"/>
  <c r="O30" i="9"/>
  <c r="E21" i="8" s="1"/>
  <c r="B25" i="7"/>
  <c r="A26" i="7"/>
  <c r="Z18" i="8"/>
  <c r="B31" i="9"/>
  <c r="C32" i="9"/>
  <c r="AN16" i="7"/>
  <c r="BO16" i="7" s="1"/>
  <c r="BL16" i="7"/>
  <c r="BM16" i="7"/>
  <c r="BI17" i="8"/>
  <c r="AK17" i="8"/>
  <c r="AJ17" i="8"/>
  <c r="BK17" i="8" s="1"/>
  <c r="BC17" i="7"/>
  <c r="AF17" i="7"/>
  <c r="AN16" i="8"/>
  <c r="BO16" i="8" s="1"/>
  <c r="BL16" i="8"/>
  <c r="AR21" i="8"/>
  <c r="BN21" i="8" s="1"/>
  <c r="AQ21" i="8"/>
  <c r="C22" i="8"/>
  <c r="AP22" i="8"/>
  <c r="O20" i="7"/>
  <c r="L20" i="7"/>
  <c r="AE20" i="7" s="1"/>
  <c r="BF20" i="7" s="1"/>
  <c r="AT18" i="7"/>
  <c r="G20" i="7"/>
  <c r="K20" i="7" s="1"/>
  <c r="AA20" i="7" s="1"/>
  <c r="AL17" i="8"/>
  <c r="BM17" i="8" s="1"/>
  <c r="BJ17" i="8"/>
  <c r="B23" i="8"/>
  <c r="A24" i="8"/>
  <c r="BB18" i="7"/>
  <c r="BC17" i="8"/>
  <c r="AF17" i="8"/>
  <c r="BG17" i="8" s="1"/>
  <c r="BI18" i="8"/>
  <c r="AK18" i="8"/>
  <c r="AH18" i="7"/>
  <c r="W18" i="7"/>
  <c r="AX18" i="7" s="1"/>
  <c r="X18" i="7"/>
  <c r="AY18" i="7" s="1"/>
  <c r="U18" i="7"/>
  <c r="AV18" i="7" s="1"/>
  <c r="BL17" i="7"/>
  <c r="O20" i="8"/>
  <c r="L20" i="8"/>
  <c r="AE20" i="8" s="1"/>
  <c r="BF20" i="8" s="1"/>
  <c r="BJ17" i="7"/>
  <c r="AL17" i="7"/>
  <c r="BM17" i="7" s="1"/>
  <c r="AP24" i="7"/>
  <c r="C24" i="7"/>
  <c r="AQ23" i="7"/>
  <c r="AR23" i="7"/>
  <c r="BN23" i="7" s="1"/>
  <c r="BB19" i="7"/>
  <c r="M19" i="7"/>
  <c r="H19" i="7"/>
  <c r="N19" i="7" s="1"/>
  <c r="T19" i="7"/>
  <c r="AU19" i="7" s="1"/>
  <c r="S19" i="7"/>
  <c r="AG16" i="7"/>
  <c r="BH16" i="7" s="1"/>
  <c r="AD18" i="8" l="1"/>
  <c r="BE18" i="8" s="1"/>
  <c r="AB18" i="8"/>
  <c r="BC18" i="8" s="1"/>
  <c r="AI18" i="8"/>
  <c r="AJ18" i="8" s="1"/>
  <c r="BK18" i="8" s="1"/>
  <c r="S20" i="8"/>
  <c r="AT20" i="8" s="1"/>
  <c r="G21" i="7"/>
  <c r="T21" i="7" s="1"/>
  <c r="AU21" i="7" s="1"/>
  <c r="U20" i="8"/>
  <c r="AV20" i="8" s="1"/>
  <c r="T20" i="8"/>
  <c r="AU20" i="8" s="1"/>
  <c r="AG17" i="8"/>
  <c r="BH17" i="8" s="1"/>
  <c r="H20" i="8"/>
  <c r="N20" i="8" s="1"/>
  <c r="AB20" i="8" s="1"/>
  <c r="M20" i="8"/>
  <c r="AH20" i="8" s="1"/>
  <c r="W19" i="8"/>
  <c r="AX19" i="8" s="1"/>
  <c r="X19" i="8"/>
  <c r="AY19" i="8" s="1"/>
  <c r="AB19" i="8"/>
  <c r="BC19" i="8" s="1"/>
  <c r="G21" i="8"/>
  <c r="T21" i="8" s="1"/>
  <c r="AU21" i="8" s="1"/>
  <c r="AF18" i="7"/>
  <c r="BG18" i="7" s="1"/>
  <c r="AD19" i="8"/>
  <c r="BE19" i="8" s="1"/>
  <c r="AN17" i="7"/>
  <c r="BO17" i="7" s="1"/>
  <c r="AT19" i="8"/>
  <c r="AC19" i="8"/>
  <c r="BD19" i="8" s="1"/>
  <c r="AH19" i="7"/>
  <c r="W19" i="7"/>
  <c r="AX19" i="7" s="1"/>
  <c r="X19" i="7"/>
  <c r="AY19" i="7" s="1"/>
  <c r="U19" i="7"/>
  <c r="AV19" i="7" s="1"/>
  <c r="C25" i="7"/>
  <c r="AP25" i="7"/>
  <c r="A25" i="8"/>
  <c r="B24" i="8"/>
  <c r="AN17" i="8"/>
  <c r="BO17" i="8" s="1"/>
  <c r="BL17" i="8"/>
  <c r="B26" i="7"/>
  <c r="A27" i="7"/>
  <c r="AQ22" i="8"/>
  <c r="AR22" i="8"/>
  <c r="BN22" i="8" s="1"/>
  <c r="L21" i="7"/>
  <c r="AE21" i="7" s="1"/>
  <c r="BF21" i="7" s="1"/>
  <c r="O21" i="7"/>
  <c r="AK18" i="7"/>
  <c r="AJ18" i="7"/>
  <c r="BK18" i="7" s="1"/>
  <c r="BI18" i="7"/>
  <c r="BL18" i="8"/>
  <c r="B32" i="9"/>
  <c r="C33" i="9"/>
  <c r="AQ24" i="7"/>
  <c r="AR24" i="7"/>
  <c r="BN24" i="7" s="1"/>
  <c r="BI19" i="8"/>
  <c r="AK19" i="8"/>
  <c r="AJ19" i="8"/>
  <c r="BK19" i="8" s="1"/>
  <c r="X31" i="9"/>
  <c r="F31" i="9"/>
  <c r="R31" i="9"/>
  <c r="I31" i="9"/>
  <c r="E22" i="7" s="1"/>
  <c r="G31" i="9"/>
  <c r="AA31" i="9"/>
  <c r="M31" i="9"/>
  <c r="L31" i="9"/>
  <c r="Y31" i="9"/>
  <c r="D22" i="8" s="1"/>
  <c r="I22" i="8" s="1"/>
  <c r="P31" i="9"/>
  <c r="Z31" i="9"/>
  <c r="O31" i="9"/>
  <c r="E22" i="8" s="1"/>
  <c r="Q31" i="9"/>
  <c r="V31" i="9"/>
  <c r="K31" i="9"/>
  <c r="U31" i="9"/>
  <c r="N31" i="9"/>
  <c r="D31" i="9"/>
  <c r="H31" i="9"/>
  <c r="W31" i="9"/>
  <c r="S31" i="9"/>
  <c r="D22" i="7" s="1"/>
  <c r="I22" i="7" s="1"/>
  <c r="E31" i="9"/>
  <c r="J31" i="9"/>
  <c r="T31" i="9"/>
  <c r="AL18" i="7"/>
  <c r="BM18" i="7" s="1"/>
  <c r="BJ18" i="7"/>
  <c r="H20" i="7"/>
  <c r="N20" i="7" s="1"/>
  <c r="M20" i="7"/>
  <c r="T20" i="7"/>
  <c r="AU20" i="7" s="1"/>
  <c r="S20" i="7"/>
  <c r="BA18" i="8"/>
  <c r="AT19" i="7"/>
  <c r="AL19" i="8"/>
  <c r="BM19" i="8" s="1"/>
  <c r="BJ19" i="8"/>
  <c r="C23" i="8"/>
  <c r="AP23" i="8"/>
  <c r="BB20" i="7"/>
  <c r="AI19" i="7"/>
  <c r="AC19" i="7"/>
  <c r="BD19" i="7" s="1"/>
  <c r="AD19" i="7"/>
  <c r="BE19" i="7" s="1"/>
  <c r="AB19" i="7"/>
  <c r="BG17" i="7"/>
  <c r="AG17" i="7"/>
  <c r="BH17" i="7" s="1"/>
  <c r="J19" i="7"/>
  <c r="Z18" i="7"/>
  <c r="O21" i="8"/>
  <c r="L21" i="8"/>
  <c r="AE21" i="8" s="1"/>
  <c r="BF21" i="8" s="1"/>
  <c r="AF18" i="8" l="1"/>
  <c r="BG18" i="8" s="1"/>
  <c r="AL18" i="8"/>
  <c r="BJ18" i="8"/>
  <c r="H21" i="7"/>
  <c r="N21" i="7" s="1"/>
  <c r="K21" i="7"/>
  <c r="AA21" i="7" s="1"/>
  <c r="BB21" i="7" s="1"/>
  <c r="AI20" i="8"/>
  <c r="AL20" i="8" s="1"/>
  <c r="BM20" i="8" s="1"/>
  <c r="S21" i="7"/>
  <c r="AT21" i="7" s="1"/>
  <c r="AC20" i="8"/>
  <c r="BD20" i="8" s="1"/>
  <c r="M21" i="7"/>
  <c r="AH21" i="7" s="1"/>
  <c r="X20" i="8"/>
  <c r="AY20" i="8" s="1"/>
  <c r="W20" i="8"/>
  <c r="AX20" i="8" s="1"/>
  <c r="Z19" i="8"/>
  <c r="BA19" i="8" s="1"/>
  <c r="AD20" i="8"/>
  <c r="BE20" i="8" s="1"/>
  <c r="J20" i="8"/>
  <c r="S21" i="8"/>
  <c r="AT21" i="8" s="1"/>
  <c r="K21" i="8"/>
  <c r="AA21" i="8" s="1"/>
  <c r="BB21" i="8" s="1"/>
  <c r="AF19" i="8"/>
  <c r="BG19" i="8" s="1"/>
  <c r="H21" i="8"/>
  <c r="N21" i="8" s="1"/>
  <c r="AI21" i="8" s="1"/>
  <c r="M21" i="8"/>
  <c r="X21" i="8" s="1"/>
  <c r="AY21" i="8" s="1"/>
  <c r="U21" i="8"/>
  <c r="AV21" i="8" s="1"/>
  <c r="Z19" i="7"/>
  <c r="BA19" i="7" s="1"/>
  <c r="G22" i="7"/>
  <c r="K22" i="7" s="1"/>
  <c r="AA22" i="7" s="1"/>
  <c r="BB22" i="7" s="1"/>
  <c r="G22" i="8"/>
  <c r="T22" i="8" s="1"/>
  <c r="AU22" i="8" s="1"/>
  <c r="B33" i="9"/>
  <c r="C34" i="9"/>
  <c r="BC20" i="8"/>
  <c r="A28" i="7"/>
  <c r="B27" i="7"/>
  <c r="AH20" i="7"/>
  <c r="W20" i="7"/>
  <c r="AX20" i="7" s="1"/>
  <c r="X20" i="7"/>
  <c r="AY20" i="7" s="1"/>
  <c r="U20" i="7"/>
  <c r="AV20" i="7" s="1"/>
  <c r="AQ23" i="8"/>
  <c r="AR23" i="8"/>
  <c r="BN23" i="8" s="1"/>
  <c r="C26" i="7"/>
  <c r="AP26" i="7"/>
  <c r="BA18" i="7"/>
  <c r="AG18" i="7"/>
  <c r="BH18" i="7" s="1"/>
  <c r="AN18" i="7"/>
  <c r="BO18" i="7" s="1"/>
  <c r="BL18" i="7"/>
  <c r="L32" i="9"/>
  <c r="X32" i="9"/>
  <c r="F32" i="9"/>
  <c r="D32" i="9"/>
  <c r="U32" i="9"/>
  <c r="R32" i="9"/>
  <c r="P32" i="9"/>
  <c r="O32" i="9"/>
  <c r="E23" i="8" s="1"/>
  <c r="N32" i="9"/>
  <c r="M32" i="9"/>
  <c r="K32" i="9"/>
  <c r="Z32" i="9"/>
  <c r="Q32" i="9"/>
  <c r="I32" i="9"/>
  <c r="E23" i="7" s="1"/>
  <c r="T32" i="9"/>
  <c r="W32" i="9"/>
  <c r="G32" i="9"/>
  <c r="J32" i="9"/>
  <c r="H32" i="9"/>
  <c r="Y32" i="9"/>
  <c r="D23" i="8" s="1"/>
  <c r="I23" i="8" s="1"/>
  <c r="E32" i="9"/>
  <c r="S32" i="9"/>
  <c r="D23" i="7" s="1"/>
  <c r="I23" i="7" s="1"/>
  <c r="V32" i="9"/>
  <c r="AA32" i="9"/>
  <c r="AI20" i="7"/>
  <c r="AC20" i="7"/>
  <c r="BD20" i="7" s="1"/>
  <c r="AD20" i="7"/>
  <c r="BE20" i="7" s="1"/>
  <c r="AB20" i="7"/>
  <c r="BC19" i="7"/>
  <c r="AF19" i="7"/>
  <c r="BG19" i="7" s="1"/>
  <c r="AN19" i="8"/>
  <c r="BO19" i="8" s="1"/>
  <c r="BL19" i="8"/>
  <c r="AP24" i="8"/>
  <c r="C24" i="8"/>
  <c r="AT20" i="7"/>
  <c r="B25" i="8"/>
  <c r="A26" i="8"/>
  <c r="O22" i="7"/>
  <c r="L22" i="7"/>
  <c r="AE22" i="7" s="1"/>
  <c r="BF22" i="7" s="1"/>
  <c r="O22" i="8"/>
  <c r="L22" i="8"/>
  <c r="AE22" i="8" s="1"/>
  <c r="BF22" i="8" s="1"/>
  <c r="AR25" i="7"/>
  <c r="BN25" i="7" s="1"/>
  <c r="AQ25" i="7"/>
  <c r="AK20" i="8"/>
  <c r="BI20" i="8"/>
  <c r="BJ19" i="7"/>
  <c r="AL19" i="7"/>
  <c r="BM19" i="7" s="1"/>
  <c r="J20" i="7"/>
  <c r="BI19" i="7"/>
  <c r="AK19" i="7"/>
  <c r="AJ19" i="7"/>
  <c r="BK19" i="7" s="1"/>
  <c r="AG18" i="8" l="1"/>
  <c r="BH18" i="8" s="1"/>
  <c r="J21" i="7"/>
  <c r="BM18" i="8"/>
  <c r="AN18" i="8"/>
  <c r="BO18" i="8" s="1"/>
  <c r="Z20" i="8"/>
  <c r="BA20" i="8" s="1"/>
  <c r="BJ20" i="8"/>
  <c r="AJ20" i="8"/>
  <c r="BK20" i="8" s="1"/>
  <c r="U21" i="7"/>
  <c r="AV21" i="7" s="1"/>
  <c r="X21" i="7"/>
  <c r="AY21" i="7" s="1"/>
  <c r="W21" i="7"/>
  <c r="AX21" i="7" s="1"/>
  <c r="AF20" i="8"/>
  <c r="BG20" i="8" s="1"/>
  <c r="AD21" i="8"/>
  <c r="BE21" i="8" s="1"/>
  <c r="AG19" i="8"/>
  <c r="BH19" i="8" s="1"/>
  <c r="AH21" i="8"/>
  <c r="AJ21" i="8" s="1"/>
  <c r="BK21" i="8" s="1"/>
  <c r="W21" i="8"/>
  <c r="AX21" i="8" s="1"/>
  <c r="H22" i="8"/>
  <c r="N22" i="8" s="1"/>
  <c r="AI22" i="8" s="1"/>
  <c r="J21" i="8"/>
  <c r="AB21" i="8"/>
  <c r="BC21" i="8" s="1"/>
  <c r="AC21" i="8"/>
  <c r="BD21" i="8" s="1"/>
  <c r="S22" i="8"/>
  <c r="AT22" i="8" s="1"/>
  <c r="M22" i="8"/>
  <c r="AH22" i="8" s="1"/>
  <c r="K22" i="8"/>
  <c r="AA22" i="8" s="1"/>
  <c r="BB22" i="8" s="1"/>
  <c r="U22" i="8"/>
  <c r="AV22" i="8" s="1"/>
  <c r="H22" i="7"/>
  <c r="N22" i="7" s="1"/>
  <c r="AD22" i="7" s="1"/>
  <c r="BE22" i="7" s="1"/>
  <c r="T22" i="7"/>
  <c r="AU22" i="7" s="1"/>
  <c r="S22" i="7"/>
  <c r="AT22" i="7" s="1"/>
  <c r="M22" i="7"/>
  <c r="W22" i="7" s="1"/>
  <c r="AX22" i="7" s="1"/>
  <c r="AK21" i="7"/>
  <c r="BI21" i="7"/>
  <c r="B28" i="7"/>
  <c r="A29" i="7"/>
  <c r="O23" i="7"/>
  <c r="L23" i="7"/>
  <c r="AE23" i="7" s="1"/>
  <c r="BF23" i="7" s="1"/>
  <c r="AP27" i="7"/>
  <c r="C27" i="7"/>
  <c r="AR24" i="8"/>
  <c r="BN24" i="8" s="1"/>
  <c r="AQ24" i="8"/>
  <c r="BJ20" i="7"/>
  <c r="AL20" i="7"/>
  <c r="BM20" i="7" s="1"/>
  <c r="G23" i="8"/>
  <c r="B26" i="8"/>
  <c r="A27" i="8"/>
  <c r="AP25" i="8"/>
  <c r="C25" i="8"/>
  <c r="BC20" i="7"/>
  <c r="AF20" i="7"/>
  <c r="BG20" i="7" s="1"/>
  <c r="AK20" i="7"/>
  <c r="AJ20" i="7"/>
  <c r="BK20" i="7" s="1"/>
  <c r="BI20" i="7"/>
  <c r="B34" i="9"/>
  <c r="C35" i="9"/>
  <c r="BJ21" i="8"/>
  <c r="AL21" i="8"/>
  <c r="BM21" i="8" s="1"/>
  <c r="G23" i="7"/>
  <c r="R33" i="9"/>
  <c r="L33" i="9"/>
  <c r="H33" i="9"/>
  <c r="G33" i="9"/>
  <c r="F33" i="9"/>
  <c r="X33" i="9"/>
  <c r="I33" i="9"/>
  <c r="E24" i="7" s="1"/>
  <c r="U33" i="9"/>
  <c r="T33" i="9"/>
  <c r="S33" i="9"/>
  <c r="D24" i="7" s="1"/>
  <c r="I24" i="7" s="1"/>
  <c r="W33" i="9"/>
  <c r="V33" i="9"/>
  <c r="Z33" i="9"/>
  <c r="N33" i="9"/>
  <c r="K33" i="9"/>
  <c r="Y33" i="9"/>
  <c r="D24" i="8" s="1"/>
  <c r="I24" i="8" s="1"/>
  <c r="P33" i="9"/>
  <c r="D33" i="9"/>
  <c r="J33" i="9"/>
  <c r="E33" i="9"/>
  <c r="M33" i="9"/>
  <c r="O33" i="9"/>
  <c r="E24" i="8" s="1"/>
  <c r="Q33" i="9"/>
  <c r="AA33" i="9"/>
  <c r="L23" i="8"/>
  <c r="AE23" i="8" s="1"/>
  <c r="BF23" i="8" s="1"/>
  <c r="O23" i="8"/>
  <c r="AN19" i="7"/>
  <c r="BO19" i="7" s="1"/>
  <c r="BL19" i="7"/>
  <c r="AQ26" i="7"/>
  <c r="AR26" i="7"/>
  <c r="BN26" i="7" s="1"/>
  <c r="BL20" i="8"/>
  <c r="AN20" i="8"/>
  <c r="BO20" i="8" s="1"/>
  <c r="Z20" i="7"/>
  <c r="AG19" i="7"/>
  <c r="BH19" i="7" s="1"/>
  <c r="AI21" i="7"/>
  <c r="AJ21" i="7" s="1"/>
  <c r="BK21" i="7" s="1"/>
  <c r="AC21" i="7"/>
  <c r="BD21" i="7" s="1"/>
  <c r="AD21" i="7"/>
  <c r="BE21" i="7" s="1"/>
  <c r="AB21" i="7"/>
  <c r="Z21" i="7" l="1"/>
  <c r="BA21" i="7" s="1"/>
  <c r="AD22" i="8"/>
  <c r="BE22" i="8" s="1"/>
  <c r="AG20" i="8"/>
  <c r="BH20" i="8" s="1"/>
  <c r="AB22" i="8"/>
  <c r="BC22" i="8" s="1"/>
  <c r="AC22" i="8"/>
  <c r="BD22" i="8" s="1"/>
  <c r="J22" i="8"/>
  <c r="AK21" i="8"/>
  <c r="AN21" i="8" s="1"/>
  <c r="BO21" i="8" s="1"/>
  <c r="BI21" i="8"/>
  <c r="Z21" i="8"/>
  <c r="BA21" i="8" s="1"/>
  <c r="X22" i="8"/>
  <c r="AY22" i="8" s="1"/>
  <c r="AF21" i="8"/>
  <c r="BG21" i="8" s="1"/>
  <c r="W22" i="8"/>
  <c r="AX22" i="8" s="1"/>
  <c r="AH22" i="7"/>
  <c r="BI22" i="7" s="1"/>
  <c r="U22" i="7"/>
  <c r="AV22" i="7" s="1"/>
  <c r="X22" i="7"/>
  <c r="AY22" i="7" s="1"/>
  <c r="AC22" i="7"/>
  <c r="BD22" i="7" s="1"/>
  <c r="AI22" i="7"/>
  <c r="BJ22" i="7" s="1"/>
  <c r="J22" i="7"/>
  <c r="AB22" i="7"/>
  <c r="BC22" i="7" s="1"/>
  <c r="G24" i="8"/>
  <c r="S24" i="8" s="1"/>
  <c r="BI22" i="8"/>
  <c r="AK22" i="8"/>
  <c r="AJ22" i="8"/>
  <c r="BK22" i="8" s="1"/>
  <c r="C28" i="7"/>
  <c r="AP28" i="7"/>
  <c r="G24" i="7"/>
  <c r="K24" i="7" s="1"/>
  <c r="AA24" i="7" s="1"/>
  <c r="C26" i="8"/>
  <c r="AP26" i="8"/>
  <c r="BL21" i="7"/>
  <c r="AQ25" i="8"/>
  <c r="AR25" i="8"/>
  <c r="BN25" i="8" s="1"/>
  <c r="M23" i="8"/>
  <c r="H23" i="8"/>
  <c r="N23" i="8" s="1"/>
  <c r="S23" i="8"/>
  <c r="U23" i="8"/>
  <c r="AV23" i="8" s="1"/>
  <c r="T23" i="8"/>
  <c r="AU23" i="8" s="1"/>
  <c r="K23" i="8"/>
  <c r="AA23" i="8" s="1"/>
  <c r="AQ27" i="7"/>
  <c r="AR27" i="7"/>
  <c r="BN27" i="7" s="1"/>
  <c r="AL21" i="7"/>
  <c r="BM21" i="7" s="1"/>
  <c r="BJ21" i="7"/>
  <c r="L24" i="7"/>
  <c r="AE24" i="7" s="1"/>
  <c r="BF24" i="7" s="1"/>
  <c r="O24" i="7"/>
  <c r="L24" i="8"/>
  <c r="AE24" i="8" s="1"/>
  <c r="BF24" i="8" s="1"/>
  <c r="O24" i="8"/>
  <c r="BA20" i="7"/>
  <c r="AG20" i="7"/>
  <c r="BH20" i="7" s="1"/>
  <c r="BL20" i="7"/>
  <c r="AN20" i="7"/>
  <c r="BO20" i="7" s="1"/>
  <c r="B29" i="7"/>
  <c r="A30" i="7"/>
  <c r="C36" i="9"/>
  <c r="B35" i="9"/>
  <c r="X34" i="9"/>
  <c r="L34" i="9"/>
  <c r="F34" i="9"/>
  <c r="T34" i="9"/>
  <c r="I34" i="9"/>
  <c r="E25" i="7" s="1"/>
  <c r="H34" i="9"/>
  <c r="R34" i="9"/>
  <c r="Q34" i="9"/>
  <c r="P34" i="9"/>
  <c r="O34" i="9"/>
  <c r="E25" i="8" s="1"/>
  <c r="D34" i="9"/>
  <c r="J34" i="9"/>
  <c r="Y34" i="9"/>
  <c r="D25" i="8" s="1"/>
  <c r="I25" i="8" s="1"/>
  <c r="V34" i="9"/>
  <c r="G34" i="9"/>
  <c r="W34" i="9"/>
  <c r="Z34" i="9"/>
  <c r="N34" i="9"/>
  <c r="K34" i="9"/>
  <c r="AA34" i="9"/>
  <c r="S34" i="9"/>
  <c r="D25" i="7" s="1"/>
  <c r="I25" i="7" s="1"/>
  <c r="E34" i="9"/>
  <c r="M34" i="9"/>
  <c r="U34" i="9"/>
  <c r="B27" i="8"/>
  <c r="A28" i="8"/>
  <c r="BC21" i="7"/>
  <c r="AF21" i="7"/>
  <c r="H23" i="7"/>
  <c r="N23" i="7" s="1"/>
  <c r="M23" i="7"/>
  <c r="T23" i="7"/>
  <c r="AU23" i="7" s="1"/>
  <c r="S23" i="7"/>
  <c r="K23" i="7"/>
  <c r="AA23" i="7" s="1"/>
  <c r="AL22" i="8"/>
  <c r="BM22" i="8" s="1"/>
  <c r="BJ22" i="8"/>
  <c r="AF22" i="8" l="1"/>
  <c r="BG22" i="8" s="1"/>
  <c r="BL21" i="8"/>
  <c r="AK22" i="7"/>
  <c r="BL22" i="7" s="1"/>
  <c r="AG21" i="8"/>
  <c r="BH21" i="8" s="1"/>
  <c r="Z22" i="8"/>
  <c r="BA22" i="8" s="1"/>
  <c r="K24" i="8"/>
  <c r="AA24" i="8" s="1"/>
  <c r="BB24" i="8" s="1"/>
  <c r="Z22" i="7"/>
  <c r="BA22" i="7" s="1"/>
  <c r="AJ22" i="7"/>
  <c r="BK22" i="7" s="1"/>
  <c r="AF22" i="7"/>
  <c r="BG22" i="7" s="1"/>
  <c r="AL22" i="7"/>
  <c r="BM22" i="7" s="1"/>
  <c r="M24" i="8"/>
  <c r="X24" i="8" s="1"/>
  <c r="AY24" i="8" s="1"/>
  <c r="H24" i="8"/>
  <c r="J24" i="8" s="1"/>
  <c r="J23" i="7"/>
  <c r="U24" i="8"/>
  <c r="AV24" i="8" s="1"/>
  <c r="T24" i="8"/>
  <c r="AU24" i="8" s="1"/>
  <c r="G25" i="8"/>
  <c r="K25" i="8" s="1"/>
  <c r="AA25" i="8" s="1"/>
  <c r="BB25" i="8" s="1"/>
  <c r="C29" i="7"/>
  <c r="AP29" i="7"/>
  <c r="B28" i="8"/>
  <c r="A29" i="8"/>
  <c r="AT23" i="8"/>
  <c r="AP27" i="8"/>
  <c r="C27" i="8"/>
  <c r="G25" i="7"/>
  <c r="AR28" i="7"/>
  <c r="BN28" i="7" s="1"/>
  <c r="AQ28" i="7"/>
  <c r="O25" i="7"/>
  <c r="L25" i="7"/>
  <c r="AE25" i="7" s="1"/>
  <c r="BF25" i="7" s="1"/>
  <c r="AI23" i="8"/>
  <c r="AC23" i="8"/>
  <c r="BD23" i="8" s="1"/>
  <c r="AD23" i="8"/>
  <c r="BE23" i="8" s="1"/>
  <c r="AB23" i="8"/>
  <c r="BC23" i="8" s="1"/>
  <c r="AT24" i="8"/>
  <c r="AH23" i="8"/>
  <c r="W23" i="8"/>
  <c r="AX23" i="8" s="1"/>
  <c r="X23" i="8"/>
  <c r="AY23" i="8" s="1"/>
  <c r="AN21" i="7"/>
  <c r="BO21" i="7" s="1"/>
  <c r="A31" i="7"/>
  <c r="B30" i="7"/>
  <c r="J23" i="8"/>
  <c r="BB23" i="7"/>
  <c r="AH23" i="7"/>
  <c r="W23" i="7"/>
  <c r="AX23" i="7" s="1"/>
  <c r="X23" i="7"/>
  <c r="AY23" i="7" s="1"/>
  <c r="U23" i="7"/>
  <c r="AV23" i="7" s="1"/>
  <c r="BB23" i="8"/>
  <c r="AQ26" i="8"/>
  <c r="AR26" i="8"/>
  <c r="BN26" i="8" s="1"/>
  <c r="AT23" i="7"/>
  <c r="BB24" i="7"/>
  <c r="L35" i="9"/>
  <c r="Q35" i="9"/>
  <c r="G35" i="9"/>
  <c r="F35" i="9"/>
  <c r="E35" i="9"/>
  <c r="D35" i="9"/>
  <c r="AA35" i="9"/>
  <c r="Z35" i="9"/>
  <c r="Y35" i="9"/>
  <c r="D26" i="8" s="1"/>
  <c r="I26" i="8" s="1"/>
  <c r="X35" i="9"/>
  <c r="S35" i="9"/>
  <c r="D26" i="7" s="1"/>
  <c r="I26" i="7" s="1"/>
  <c r="R35" i="9"/>
  <c r="W35" i="9"/>
  <c r="J35" i="9"/>
  <c r="P35" i="9"/>
  <c r="V35" i="9"/>
  <c r="O35" i="9"/>
  <c r="E26" i="8" s="1"/>
  <c r="H35" i="9"/>
  <c r="T35" i="9"/>
  <c r="N35" i="9"/>
  <c r="K35" i="9"/>
  <c r="U35" i="9"/>
  <c r="I35" i="9"/>
  <c r="E26" i="7" s="1"/>
  <c r="M35" i="9"/>
  <c r="BL22" i="8"/>
  <c r="AN22" i="8"/>
  <c r="BO22" i="8" s="1"/>
  <c r="O25" i="8"/>
  <c r="L25" i="8"/>
  <c r="AE25" i="8" s="1"/>
  <c r="BF25" i="8" s="1"/>
  <c r="AI23" i="7"/>
  <c r="AC23" i="7"/>
  <c r="BD23" i="7" s="1"/>
  <c r="AD23" i="7"/>
  <c r="BE23" i="7" s="1"/>
  <c r="AB23" i="7"/>
  <c r="BC23" i="7" s="1"/>
  <c r="BG21" i="7"/>
  <c r="AG21" i="7"/>
  <c r="BH21" i="7" s="1"/>
  <c r="C37" i="9"/>
  <c r="B36" i="9"/>
  <c r="H24" i="7"/>
  <c r="N24" i="7" s="1"/>
  <c r="M24" i="7"/>
  <c r="T24" i="7"/>
  <c r="AU24" i="7" s="1"/>
  <c r="S24" i="7"/>
  <c r="AG22" i="8" l="1"/>
  <c r="BH22" i="8" s="1"/>
  <c r="AG22" i="7"/>
  <c r="BH22" i="7" s="1"/>
  <c r="N24" i="8"/>
  <c r="AI24" i="8" s="1"/>
  <c r="AH24" i="8"/>
  <c r="AK24" i="8" s="1"/>
  <c r="W24" i="8"/>
  <c r="AX24" i="8" s="1"/>
  <c r="T25" i="8"/>
  <c r="AU25" i="8" s="1"/>
  <c r="U25" i="8"/>
  <c r="AV25" i="8" s="1"/>
  <c r="S25" i="8"/>
  <c r="AT25" i="8" s="1"/>
  <c r="G26" i="7"/>
  <c r="H26" i="7" s="1"/>
  <c r="AN22" i="7"/>
  <c r="BO22" i="7" s="1"/>
  <c r="M25" i="8"/>
  <c r="X25" i="8" s="1"/>
  <c r="AY25" i="8" s="1"/>
  <c r="H25" i="8"/>
  <c r="N25" i="8" s="1"/>
  <c r="AD25" i="8" s="1"/>
  <c r="BE25" i="8" s="1"/>
  <c r="Z23" i="8"/>
  <c r="BA23" i="8" s="1"/>
  <c r="AF23" i="7"/>
  <c r="BG23" i="7" s="1"/>
  <c r="J24" i="7"/>
  <c r="AR27" i="8"/>
  <c r="BN27" i="8" s="1"/>
  <c r="AQ27" i="8"/>
  <c r="B37" i="9"/>
  <c r="C38" i="9"/>
  <c r="M25" i="7"/>
  <c r="H25" i="7"/>
  <c r="N25" i="7" s="1"/>
  <c r="S25" i="7"/>
  <c r="T25" i="7"/>
  <c r="AU25" i="7" s="1"/>
  <c r="AP28" i="8"/>
  <c r="C28" i="8"/>
  <c r="R36" i="9"/>
  <c r="F36" i="9"/>
  <c r="X36" i="9"/>
  <c r="O36" i="9"/>
  <c r="E27" i="8" s="1"/>
  <c r="L36" i="9"/>
  <c r="AA36" i="9"/>
  <c r="P36" i="9"/>
  <c r="W36" i="9"/>
  <c r="Q36" i="9"/>
  <c r="U36" i="9"/>
  <c r="J36" i="9"/>
  <c r="H36" i="9"/>
  <c r="D36" i="9"/>
  <c r="Z36" i="9"/>
  <c r="N36" i="9"/>
  <c r="I36" i="9"/>
  <c r="E27" i="7" s="1"/>
  <c r="M36" i="9"/>
  <c r="Y36" i="9"/>
  <c r="D27" i="8" s="1"/>
  <c r="I27" i="8" s="1"/>
  <c r="E36" i="9"/>
  <c r="T36" i="9"/>
  <c r="V36" i="9"/>
  <c r="K36" i="9"/>
  <c r="G36" i="9"/>
  <c r="S36" i="9"/>
  <c r="D27" i="7" s="1"/>
  <c r="I27" i="7" s="1"/>
  <c r="AK23" i="7"/>
  <c r="AJ23" i="7"/>
  <c r="BK23" i="7" s="1"/>
  <c r="BI23" i="7"/>
  <c r="Z23" i="7"/>
  <c r="AQ29" i="7"/>
  <c r="AR29" i="7"/>
  <c r="BN29" i="7" s="1"/>
  <c r="O26" i="7"/>
  <c r="L26" i="7"/>
  <c r="AE26" i="7" s="1"/>
  <c r="BF26" i="7" s="1"/>
  <c r="AJ23" i="8"/>
  <c r="BK23" i="8" s="1"/>
  <c r="BI23" i="8"/>
  <c r="AK23" i="8"/>
  <c r="AF23" i="8"/>
  <c r="BG23" i="8" s="1"/>
  <c r="B31" i="7"/>
  <c r="A32" i="7"/>
  <c r="O26" i="8"/>
  <c r="L26" i="8"/>
  <c r="AE26" i="8" s="1"/>
  <c r="BF26" i="8" s="1"/>
  <c r="AP30" i="7"/>
  <c r="C30" i="7"/>
  <c r="B29" i="8"/>
  <c r="A30" i="8"/>
  <c r="G26" i="8"/>
  <c r="AH24" i="7"/>
  <c r="W24" i="7"/>
  <c r="AX24" i="7" s="1"/>
  <c r="X24" i="7"/>
  <c r="AY24" i="7" s="1"/>
  <c r="U24" i="7"/>
  <c r="AV24" i="7" s="1"/>
  <c r="BJ23" i="8"/>
  <c r="AL23" i="8"/>
  <c r="BM23" i="8" s="1"/>
  <c r="AT24" i="7"/>
  <c r="BJ23" i="7"/>
  <c r="AL23" i="7"/>
  <c r="BM23" i="7" s="1"/>
  <c r="K25" i="7"/>
  <c r="AA25" i="7" s="1"/>
  <c r="AI24" i="7"/>
  <c r="AC24" i="7"/>
  <c r="BD24" i="7" s="1"/>
  <c r="AD24" i="7"/>
  <c r="BE24" i="7" s="1"/>
  <c r="AB24" i="7"/>
  <c r="BI24" i="8" l="1"/>
  <c r="AB24" i="8"/>
  <c r="AD24" i="8"/>
  <c r="BE24" i="8" s="1"/>
  <c r="AC24" i="8"/>
  <c r="BD24" i="8" s="1"/>
  <c r="Z24" i="8"/>
  <c r="BA24" i="8" s="1"/>
  <c r="K26" i="7"/>
  <c r="AA26" i="7" s="1"/>
  <c r="BB26" i="7" s="1"/>
  <c r="W25" i="8"/>
  <c r="AX25" i="8" s="1"/>
  <c r="AH25" i="8"/>
  <c r="BI25" i="8" s="1"/>
  <c r="J25" i="8"/>
  <c r="AB25" i="8"/>
  <c r="BC25" i="8" s="1"/>
  <c r="AC25" i="8"/>
  <c r="BD25" i="8" s="1"/>
  <c r="AI25" i="8"/>
  <c r="S26" i="7"/>
  <c r="AT26" i="7" s="1"/>
  <c r="T26" i="7"/>
  <c r="AU26" i="7" s="1"/>
  <c r="N26" i="7"/>
  <c r="AD26" i="7" s="1"/>
  <c r="BE26" i="7" s="1"/>
  <c r="M26" i="7"/>
  <c r="U26" i="7" s="1"/>
  <c r="AV26" i="7" s="1"/>
  <c r="J26" i="7"/>
  <c r="G27" i="7"/>
  <c r="H27" i="7" s="1"/>
  <c r="N27" i="7" s="1"/>
  <c r="G27" i="8"/>
  <c r="T27" i="8" s="1"/>
  <c r="AU27" i="8" s="1"/>
  <c r="Z24" i="7"/>
  <c r="BA24" i="7" s="1"/>
  <c r="AG23" i="8"/>
  <c r="BH23" i="8" s="1"/>
  <c r="J25" i="7"/>
  <c r="R37" i="9"/>
  <c r="L37" i="9"/>
  <c r="U37" i="9"/>
  <c r="T37" i="9"/>
  <c r="S37" i="9"/>
  <c r="D28" i="7" s="1"/>
  <c r="I28" i="7" s="1"/>
  <c r="I37" i="9"/>
  <c r="E28" i="7" s="1"/>
  <c r="H37" i="9"/>
  <c r="G37" i="9"/>
  <c r="F37" i="9"/>
  <c r="Y37" i="9"/>
  <c r="D28" i="8" s="1"/>
  <c r="I28" i="8" s="1"/>
  <c r="X37" i="9"/>
  <c r="W37" i="9"/>
  <c r="Q37" i="9"/>
  <c r="D37" i="9"/>
  <c r="O37" i="9"/>
  <c r="E28" i="8" s="1"/>
  <c r="AA37" i="9"/>
  <c r="J37" i="9"/>
  <c r="M37" i="9"/>
  <c r="V37" i="9"/>
  <c r="E37" i="9"/>
  <c r="N37" i="9"/>
  <c r="Z37" i="9"/>
  <c r="P37" i="9"/>
  <c r="K37" i="9"/>
  <c r="B30" i="8"/>
  <c r="A31" i="8"/>
  <c r="AH25" i="7"/>
  <c r="W25" i="7"/>
  <c r="AX25" i="7" s="1"/>
  <c r="X25" i="7"/>
  <c r="AY25" i="7" s="1"/>
  <c r="U25" i="7"/>
  <c r="AV25" i="7" s="1"/>
  <c r="AL24" i="7"/>
  <c r="BM24" i="7" s="1"/>
  <c r="BJ24" i="7"/>
  <c r="L27" i="7"/>
  <c r="AE27" i="7" s="1"/>
  <c r="BF27" i="7" s="1"/>
  <c r="O27" i="7"/>
  <c r="BB25" i="7"/>
  <c r="BC24" i="8"/>
  <c r="AF24" i="8"/>
  <c r="AQ30" i="7"/>
  <c r="AR30" i="7"/>
  <c r="BN30" i="7" s="1"/>
  <c r="AQ28" i="8"/>
  <c r="AR28" i="8"/>
  <c r="BN28" i="8" s="1"/>
  <c r="BL23" i="8"/>
  <c r="AN23" i="8"/>
  <c r="BO23" i="8" s="1"/>
  <c r="AT25" i="7"/>
  <c r="M26" i="8"/>
  <c r="H26" i="8"/>
  <c r="N26" i="8" s="1"/>
  <c r="S26" i="8"/>
  <c r="U26" i="8"/>
  <c r="AV26" i="8" s="1"/>
  <c r="T26" i="8"/>
  <c r="AU26" i="8" s="1"/>
  <c r="K26" i="8"/>
  <c r="AA26" i="8" s="1"/>
  <c r="BA23" i="7"/>
  <c r="AG23" i="7"/>
  <c r="BH23" i="7" s="1"/>
  <c r="C29" i="8"/>
  <c r="AP29" i="8"/>
  <c r="BL23" i="7"/>
  <c r="AN23" i="7"/>
  <c r="BO23" i="7" s="1"/>
  <c r="BJ24" i="8"/>
  <c r="AL24" i="8"/>
  <c r="BM24" i="8" s="1"/>
  <c r="B32" i="7"/>
  <c r="A33" i="7"/>
  <c r="L27" i="8"/>
  <c r="AE27" i="8" s="1"/>
  <c r="BF27" i="8" s="1"/>
  <c r="O27" i="8"/>
  <c r="BL24" i="8"/>
  <c r="B38" i="9"/>
  <c r="C39" i="9"/>
  <c r="BC24" i="7"/>
  <c r="AF24" i="7"/>
  <c r="BG24" i="7" s="1"/>
  <c r="AJ24" i="8"/>
  <c r="BK24" i="8" s="1"/>
  <c r="AK24" i="7"/>
  <c r="AJ24" i="7"/>
  <c r="BK24" i="7" s="1"/>
  <c r="BI24" i="7"/>
  <c r="C31" i="7"/>
  <c r="AP31" i="7"/>
  <c r="AI25" i="7"/>
  <c r="AC25" i="7"/>
  <c r="BD25" i="7" s="1"/>
  <c r="AD25" i="7"/>
  <c r="BE25" i="7" s="1"/>
  <c r="AB25" i="7"/>
  <c r="BC25" i="7" s="1"/>
  <c r="Z25" i="8" l="1"/>
  <c r="AJ25" i="8"/>
  <c r="BK25" i="8" s="1"/>
  <c r="AK25" i="8"/>
  <c r="AF25" i="8"/>
  <c r="BG25" i="8" s="1"/>
  <c r="AL25" i="8"/>
  <c r="BM25" i="8" s="1"/>
  <c r="BJ25" i="8"/>
  <c r="AB26" i="7"/>
  <c r="BC26" i="7" s="1"/>
  <c r="AC26" i="7"/>
  <c r="BD26" i="7" s="1"/>
  <c r="AH26" i="7"/>
  <c r="AK26" i="7" s="1"/>
  <c r="AI26" i="7"/>
  <c r="BJ26" i="7" s="1"/>
  <c r="W26" i="7"/>
  <c r="AX26" i="7" s="1"/>
  <c r="X26" i="7"/>
  <c r="AY26" i="7" s="1"/>
  <c r="H27" i="8"/>
  <c r="J27" i="8" s="1"/>
  <c r="M27" i="8"/>
  <c r="AH27" i="8" s="1"/>
  <c r="K27" i="7"/>
  <c r="AA27" i="7" s="1"/>
  <c r="BB27" i="7" s="1"/>
  <c r="T27" i="7"/>
  <c r="AU27" i="7" s="1"/>
  <c r="M27" i="7"/>
  <c r="W27" i="7" s="1"/>
  <c r="AX27" i="7" s="1"/>
  <c r="S27" i="7"/>
  <c r="AT27" i="7" s="1"/>
  <c r="S27" i="8"/>
  <c r="AT27" i="8" s="1"/>
  <c r="K27" i="8"/>
  <c r="AA27" i="8" s="1"/>
  <c r="BB27" i="8" s="1"/>
  <c r="U27" i="8"/>
  <c r="AV27" i="8" s="1"/>
  <c r="G28" i="8"/>
  <c r="H28" i="8" s="1"/>
  <c r="Z25" i="7"/>
  <c r="BA25" i="7" s="1"/>
  <c r="O28" i="7"/>
  <c r="L28" i="7"/>
  <c r="AE28" i="7" s="1"/>
  <c r="BF28" i="7" s="1"/>
  <c r="BI25" i="7"/>
  <c r="AK25" i="7"/>
  <c r="AJ25" i="7"/>
  <c r="BK25" i="7" s="1"/>
  <c r="AI27" i="7"/>
  <c r="AC27" i="7"/>
  <c r="BD27" i="7" s="1"/>
  <c r="AD27" i="7"/>
  <c r="BE27" i="7" s="1"/>
  <c r="AB27" i="7"/>
  <c r="BC27" i="7" s="1"/>
  <c r="AI26" i="8"/>
  <c r="AC26" i="8"/>
  <c r="BD26" i="8" s="1"/>
  <c r="AD26" i="8"/>
  <c r="BE26" i="8" s="1"/>
  <c r="AB26" i="8"/>
  <c r="BC26" i="8" s="1"/>
  <c r="BG24" i="8"/>
  <c r="AG24" i="8"/>
  <c r="BH24" i="8" s="1"/>
  <c r="BJ25" i="7"/>
  <c r="AL25" i="7"/>
  <c r="BM25" i="7" s="1"/>
  <c r="B31" i="8"/>
  <c r="A32" i="8"/>
  <c r="BA25" i="8"/>
  <c r="AG25" i="8"/>
  <c r="BH25" i="8" s="1"/>
  <c r="B33" i="7"/>
  <c r="A34" i="7"/>
  <c r="AP32" i="7"/>
  <c r="C32" i="7"/>
  <c r="BL25" i="8"/>
  <c r="O28" i="8"/>
  <c r="L28" i="8"/>
  <c r="AE28" i="8" s="1"/>
  <c r="BF28" i="8" s="1"/>
  <c r="AT26" i="8"/>
  <c r="AF25" i="7"/>
  <c r="BG25" i="7" s="1"/>
  <c r="AP30" i="8"/>
  <c r="C30" i="8"/>
  <c r="C40" i="9"/>
  <c r="B39" i="9"/>
  <c r="AH26" i="8"/>
  <c r="W26" i="8"/>
  <c r="AX26" i="8" s="1"/>
  <c r="X26" i="8"/>
  <c r="AY26" i="8" s="1"/>
  <c r="J27" i="7"/>
  <c r="J26" i="8"/>
  <c r="X38" i="9"/>
  <c r="L38" i="9"/>
  <c r="F38" i="9"/>
  <c r="T38" i="9"/>
  <c r="R38" i="9"/>
  <c r="Q38" i="9"/>
  <c r="P38" i="9"/>
  <c r="O38" i="9"/>
  <c r="E29" i="8" s="1"/>
  <c r="I38" i="9"/>
  <c r="E29" i="7" s="1"/>
  <c r="H38" i="9"/>
  <c r="N38" i="9"/>
  <c r="M38" i="9"/>
  <c r="J38" i="9"/>
  <c r="G38" i="9"/>
  <c r="AA38" i="9"/>
  <c r="U38" i="9"/>
  <c r="W38" i="9"/>
  <c r="D38" i="9"/>
  <c r="E38" i="9"/>
  <c r="Z38" i="9"/>
  <c r="K38" i="9"/>
  <c r="V38" i="9"/>
  <c r="Y38" i="9"/>
  <c r="D29" i="8" s="1"/>
  <c r="I29" i="8" s="1"/>
  <c r="S38" i="9"/>
  <c r="D29" i="7" s="1"/>
  <c r="I29" i="7" s="1"/>
  <c r="AN24" i="8"/>
  <c r="BO24" i="8" s="1"/>
  <c r="AQ29" i="8"/>
  <c r="AR29" i="8"/>
  <c r="BN29" i="8" s="1"/>
  <c r="BB26" i="8"/>
  <c r="AG24" i="7"/>
  <c r="BH24" i="7" s="1"/>
  <c r="AR31" i="7"/>
  <c r="BN31" i="7" s="1"/>
  <c r="AQ31" i="7"/>
  <c r="AN24" i="7"/>
  <c r="BO24" i="7" s="1"/>
  <c r="BL24" i="7"/>
  <c r="G28" i="7"/>
  <c r="BI26" i="7" l="1"/>
  <c r="AF26" i="7"/>
  <c r="BG26" i="7" s="1"/>
  <c r="AN25" i="8"/>
  <c r="BO25" i="8" s="1"/>
  <c r="AJ26" i="7"/>
  <c r="BK26" i="7" s="1"/>
  <c r="N27" i="8"/>
  <c r="AB27" i="8" s="1"/>
  <c r="W27" i="8"/>
  <c r="AX27" i="8" s="1"/>
  <c r="X27" i="8"/>
  <c r="AY27" i="8" s="1"/>
  <c r="AL26" i="7"/>
  <c r="BM26" i="7" s="1"/>
  <c r="Z26" i="7"/>
  <c r="N28" i="8"/>
  <c r="AI28" i="8" s="1"/>
  <c r="AH27" i="7"/>
  <c r="AK27" i="7" s="1"/>
  <c r="X27" i="7"/>
  <c r="AY27" i="7" s="1"/>
  <c r="U27" i="7"/>
  <c r="AV27" i="7" s="1"/>
  <c r="T28" i="8"/>
  <c r="AU28" i="8" s="1"/>
  <c r="U28" i="8"/>
  <c r="AV28" i="8" s="1"/>
  <c r="S28" i="8"/>
  <c r="AT28" i="8" s="1"/>
  <c r="K28" i="8"/>
  <c r="AA28" i="8" s="1"/>
  <c r="BB28" i="8" s="1"/>
  <c r="M28" i="8"/>
  <c r="AH28" i="8" s="1"/>
  <c r="AF26" i="8"/>
  <c r="BG26" i="8" s="1"/>
  <c r="G29" i="8"/>
  <c r="U29" i="8" s="1"/>
  <c r="AV29" i="8" s="1"/>
  <c r="Z26" i="8"/>
  <c r="AL27" i="7"/>
  <c r="BM27" i="7" s="1"/>
  <c r="BJ27" i="7"/>
  <c r="B32" i="8"/>
  <c r="A33" i="8"/>
  <c r="AG25" i="7"/>
  <c r="BH25" i="7" s="1"/>
  <c r="L39" i="9"/>
  <c r="AA39" i="9"/>
  <c r="X39" i="9"/>
  <c r="S39" i="9"/>
  <c r="D30" i="7" s="1"/>
  <c r="I30" i="7" s="1"/>
  <c r="D39" i="9"/>
  <c r="R39" i="9"/>
  <c r="Q39" i="9"/>
  <c r="G39" i="9"/>
  <c r="F39" i="9"/>
  <c r="E39" i="9"/>
  <c r="N39" i="9"/>
  <c r="I39" i="9"/>
  <c r="E30" i="7" s="1"/>
  <c r="Z39" i="9"/>
  <c r="W39" i="9"/>
  <c r="T39" i="9"/>
  <c r="K39" i="9"/>
  <c r="M39" i="9"/>
  <c r="O39" i="9"/>
  <c r="E30" i="8" s="1"/>
  <c r="J39" i="9"/>
  <c r="P39" i="9"/>
  <c r="U39" i="9"/>
  <c r="H39" i="9"/>
  <c r="Y39" i="9"/>
  <c r="D30" i="8" s="1"/>
  <c r="I30" i="8" s="1"/>
  <c r="V39" i="9"/>
  <c r="AN25" i="7"/>
  <c r="BO25" i="7" s="1"/>
  <c r="BL25" i="7"/>
  <c r="C41" i="9"/>
  <c r="B40" i="9"/>
  <c r="AR32" i="7"/>
  <c r="BN32" i="7" s="1"/>
  <c r="AQ32" i="7"/>
  <c r="O29" i="7"/>
  <c r="L29" i="7"/>
  <c r="AE29" i="7" s="1"/>
  <c r="BF29" i="7" s="1"/>
  <c r="AF27" i="7"/>
  <c r="BG27" i="7" s="1"/>
  <c r="AR30" i="8"/>
  <c r="BN30" i="8" s="1"/>
  <c r="AQ30" i="8"/>
  <c r="B34" i="7"/>
  <c r="A35" i="7"/>
  <c r="AJ26" i="8"/>
  <c r="BK26" i="8" s="1"/>
  <c r="BI26" i="8"/>
  <c r="AK26" i="8"/>
  <c r="O29" i="8"/>
  <c r="L29" i="8"/>
  <c r="AE29" i="8" s="1"/>
  <c r="BF29" i="8" s="1"/>
  <c r="AP33" i="7"/>
  <c r="C33" i="7"/>
  <c r="AP31" i="8"/>
  <c r="C31" i="8"/>
  <c r="M28" i="7"/>
  <c r="H28" i="7"/>
  <c r="N28" i="7" s="1"/>
  <c r="S28" i="7"/>
  <c r="T28" i="7"/>
  <c r="AU28" i="7" s="1"/>
  <c r="K28" i="7"/>
  <c r="AA28" i="7" s="1"/>
  <c r="G29" i="7"/>
  <c r="AK27" i="8"/>
  <c r="BI27" i="8"/>
  <c r="J28" i="8"/>
  <c r="BJ26" i="8"/>
  <c r="AL26" i="8"/>
  <c r="BM26" i="8" s="1"/>
  <c r="BL26" i="7"/>
  <c r="AC27" i="8" l="1"/>
  <c r="BD27" i="8" s="1"/>
  <c r="AI27" i="8"/>
  <c r="AL27" i="8" s="1"/>
  <c r="BM27" i="8" s="1"/>
  <c r="AG26" i="7"/>
  <c r="BH26" i="7" s="1"/>
  <c r="AD27" i="8"/>
  <c r="BE27" i="8" s="1"/>
  <c r="W28" i="8"/>
  <c r="AX28" i="8" s="1"/>
  <c r="Z27" i="8"/>
  <c r="BA27" i="8" s="1"/>
  <c r="AN26" i="7"/>
  <c r="BO26" i="7" s="1"/>
  <c r="AB28" i="8"/>
  <c r="BC28" i="8" s="1"/>
  <c r="AD28" i="8"/>
  <c r="BE28" i="8" s="1"/>
  <c r="AC28" i="8"/>
  <c r="BD28" i="8" s="1"/>
  <c r="BA26" i="7"/>
  <c r="BI27" i="7"/>
  <c r="Z27" i="7"/>
  <c r="AG27" i="7" s="1"/>
  <c r="BH27" i="7" s="1"/>
  <c r="AJ27" i="7"/>
  <c r="BK27" i="7" s="1"/>
  <c r="X28" i="8"/>
  <c r="AY28" i="8" s="1"/>
  <c r="H29" i="8"/>
  <c r="N29" i="8" s="1"/>
  <c r="AB29" i="8" s="1"/>
  <c r="BC29" i="8" s="1"/>
  <c r="K29" i="8"/>
  <c r="AA29" i="8" s="1"/>
  <c r="BB29" i="8" s="1"/>
  <c r="G30" i="7"/>
  <c r="K30" i="7" s="1"/>
  <c r="AA30" i="7" s="1"/>
  <c r="T29" i="8"/>
  <c r="AU29" i="8" s="1"/>
  <c r="S29" i="8"/>
  <c r="AT29" i="8" s="1"/>
  <c r="M29" i="8"/>
  <c r="AH29" i="8" s="1"/>
  <c r="AR33" i="7"/>
  <c r="BN33" i="7" s="1"/>
  <c r="AQ33" i="7"/>
  <c r="AN27" i="7"/>
  <c r="BO27" i="7" s="1"/>
  <c r="BL27" i="7"/>
  <c r="AI28" i="7"/>
  <c r="AC28" i="7"/>
  <c r="BD28" i="7" s="1"/>
  <c r="AD28" i="7"/>
  <c r="BE28" i="7" s="1"/>
  <c r="AB28" i="7"/>
  <c r="BC28" i="7" s="1"/>
  <c r="B41" i="9"/>
  <c r="C42" i="9"/>
  <c r="BL27" i="8"/>
  <c r="H29" i="7"/>
  <c r="N29" i="7" s="1"/>
  <c r="M29" i="7"/>
  <c r="S29" i="7"/>
  <c r="T29" i="7"/>
  <c r="AU29" i="7" s="1"/>
  <c r="B33" i="8"/>
  <c r="A34" i="8"/>
  <c r="C32" i="8"/>
  <c r="AP32" i="8"/>
  <c r="O30" i="8"/>
  <c r="L30" i="8"/>
  <c r="AE30" i="8" s="1"/>
  <c r="BF30" i="8" s="1"/>
  <c r="AN26" i="8"/>
  <c r="BO26" i="8" s="1"/>
  <c r="BL26" i="8"/>
  <c r="AL28" i="8"/>
  <c r="BM28" i="8" s="1"/>
  <c r="BJ28" i="8"/>
  <c r="G30" i="8"/>
  <c r="J28" i="7"/>
  <c r="AQ31" i="8"/>
  <c r="AR31" i="8"/>
  <c r="BN31" i="8" s="1"/>
  <c r="BB28" i="7"/>
  <c r="BC27" i="8"/>
  <c r="BI28" i="8"/>
  <c r="AK28" i="8"/>
  <c r="AJ28" i="8"/>
  <c r="BK28" i="8" s="1"/>
  <c r="AT28" i="7"/>
  <c r="AH28" i="7"/>
  <c r="W28" i="7"/>
  <c r="AX28" i="7" s="1"/>
  <c r="X28" i="7"/>
  <c r="AY28" i="7" s="1"/>
  <c r="U28" i="7"/>
  <c r="AV28" i="7" s="1"/>
  <c r="B35" i="7"/>
  <c r="A36" i="7"/>
  <c r="AP34" i="7"/>
  <c r="C34" i="7"/>
  <c r="K29" i="7"/>
  <c r="AA29" i="7" s="1"/>
  <c r="R40" i="9"/>
  <c r="F40" i="9"/>
  <c r="X40" i="9"/>
  <c r="AA40" i="9"/>
  <c r="P40" i="9"/>
  <c r="O40" i="9"/>
  <c r="E31" i="8" s="1"/>
  <c r="M40" i="9"/>
  <c r="L40" i="9"/>
  <c r="K40" i="9"/>
  <c r="N40" i="9"/>
  <c r="T40" i="9"/>
  <c r="G40" i="9"/>
  <c r="U40" i="9"/>
  <c r="E40" i="9"/>
  <c r="V40" i="9"/>
  <c r="Y40" i="9"/>
  <c r="D31" i="8" s="1"/>
  <c r="I31" i="8" s="1"/>
  <c r="Z40" i="9"/>
  <c r="S40" i="9"/>
  <c r="D31" i="7" s="1"/>
  <c r="I31" i="7" s="1"/>
  <c r="Q40" i="9"/>
  <c r="H40" i="9"/>
  <c r="I40" i="9"/>
  <c r="E31" i="7" s="1"/>
  <c r="J40" i="9"/>
  <c r="W40" i="9"/>
  <c r="D40" i="9"/>
  <c r="L30" i="7"/>
  <c r="AE30" i="7" s="1"/>
  <c r="BF30" i="7" s="1"/>
  <c r="O30" i="7"/>
  <c r="BA26" i="8"/>
  <c r="AG26" i="8"/>
  <c r="BH26" i="8" s="1"/>
  <c r="BJ27" i="8" l="1"/>
  <c r="AJ27" i="8"/>
  <c r="BK27" i="8" s="1"/>
  <c r="AF27" i="8"/>
  <c r="BA27" i="7"/>
  <c r="AD29" i="8"/>
  <c r="BE29" i="8" s="1"/>
  <c r="AC29" i="8"/>
  <c r="BD29" i="8" s="1"/>
  <c r="Z28" i="8"/>
  <c r="AI29" i="8"/>
  <c r="BJ29" i="8" s="1"/>
  <c r="AF28" i="8"/>
  <c r="BG28" i="8" s="1"/>
  <c r="J29" i="8"/>
  <c r="S30" i="7"/>
  <c r="AT30" i="7" s="1"/>
  <c r="M30" i="7"/>
  <c r="U30" i="7" s="1"/>
  <c r="AV30" i="7" s="1"/>
  <c r="H30" i="7"/>
  <c r="J30" i="7" s="1"/>
  <c r="T30" i="7"/>
  <c r="AU30" i="7" s="1"/>
  <c r="G31" i="7"/>
  <c r="M31" i="7" s="1"/>
  <c r="X29" i="8"/>
  <c r="AY29" i="8" s="1"/>
  <c r="W29" i="8"/>
  <c r="AX29" i="8" s="1"/>
  <c r="AN27" i="8"/>
  <c r="BO27" i="8" s="1"/>
  <c r="G31" i="8"/>
  <c r="K31" i="8" s="1"/>
  <c r="AA31" i="8" s="1"/>
  <c r="AI29" i="7"/>
  <c r="AC29" i="7"/>
  <c r="BD29" i="7" s="1"/>
  <c r="AD29" i="7"/>
  <c r="BE29" i="7" s="1"/>
  <c r="AB29" i="7"/>
  <c r="BC29" i="7" s="1"/>
  <c r="BA28" i="8"/>
  <c r="BG27" i="8"/>
  <c r="AG27" i="8"/>
  <c r="BH27" i="8" s="1"/>
  <c r="A37" i="7"/>
  <c r="B36" i="7"/>
  <c r="C35" i="7"/>
  <c r="AP35" i="7"/>
  <c r="O31" i="8"/>
  <c r="L31" i="8"/>
  <c r="AE31" i="8" s="1"/>
  <c r="BF31" i="8" s="1"/>
  <c r="AP33" i="8"/>
  <c r="C33" i="8"/>
  <c r="B42" i="9"/>
  <c r="C43" i="9"/>
  <c r="B34" i="8"/>
  <c r="A35" i="8"/>
  <c r="H30" i="8"/>
  <c r="N30" i="8" s="1"/>
  <c r="M30" i="8"/>
  <c r="S30" i="8"/>
  <c r="T30" i="8"/>
  <c r="AU30" i="8" s="1"/>
  <c r="U30" i="8"/>
  <c r="AV30" i="8" s="1"/>
  <c r="K30" i="8"/>
  <c r="AA30" i="8" s="1"/>
  <c r="AN28" i="8"/>
  <c r="BO28" i="8" s="1"/>
  <c r="BL28" i="8"/>
  <c r="R41" i="9"/>
  <c r="L41" i="9"/>
  <c r="G41" i="9"/>
  <c r="F41" i="9"/>
  <c r="X41" i="9"/>
  <c r="H41" i="9"/>
  <c r="W41" i="9"/>
  <c r="T41" i="9"/>
  <c r="S41" i="9"/>
  <c r="D32" i="7" s="1"/>
  <c r="I32" i="7" s="1"/>
  <c r="I41" i="9"/>
  <c r="E32" i="7" s="1"/>
  <c r="V41" i="9"/>
  <c r="U41" i="9"/>
  <c r="K41" i="9"/>
  <c r="N41" i="9"/>
  <c r="O41" i="9"/>
  <c r="E32" i="8" s="1"/>
  <c r="P41" i="9"/>
  <c r="AA41" i="9"/>
  <c r="E41" i="9"/>
  <c r="M41" i="9"/>
  <c r="Y41" i="9"/>
  <c r="D32" i="8" s="1"/>
  <c r="I32" i="8" s="1"/>
  <c r="Q41" i="9"/>
  <c r="Z41" i="9"/>
  <c r="J41" i="9"/>
  <c r="D41" i="9"/>
  <c r="AF28" i="7"/>
  <c r="BG28" i="7" s="1"/>
  <c r="BJ28" i="7"/>
  <c r="AL28" i="7"/>
  <c r="BM28" i="7" s="1"/>
  <c r="BI29" i="8"/>
  <c r="AK29" i="8"/>
  <c r="BB29" i="7"/>
  <c r="J29" i="7"/>
  <c r="BI28" i="7"/>
  <c r="AK28" i="7"/>
  <c r="AJ28" i="7"/>
  <c r="BK28" i="7" s="1"/>
  <c r="AH29" i="7"/>
  <c r="W29" i="7"/>
  <c r="AX29" i="7" s="1"/>
  <c r="X29" i="7"/>
  <c r="AY29" i="7" s="1"/>
  <c r="U29" i="7"/>
  <c r="AV29" i="7" s="1"/>
  <c r="O31" i="7"/>
  <c r="L31" i="7"/>
  <c r="AE31" i="7" s="1"/>
  <c r="BF31" i="7" s="1"/>
  <c r="AQ32" i="8"/>
  <c r="AR32" i="8"/>
  <c r="BN32" i="8" s="1"/>
  <c r="AT29" i="7"/>
  <c r="AR34" i="7"/>
  <c r="BN34" i="7" s="1"/>
  <c r="AQ34" i="7"/>
  <c r="Z28" i="7"/>
  <c r="BB30" i="7"/>
  <c r="AG28" i="8" l="1"/>
  <c r="BH28" i="8" s="1"/>
  <c r="AF29" i="8"/>
  <c r="BG29" i="8" s="1"/>
  <c r="AH30" i="7"/>
  <c r="AK30" i="7" s="1"/>
  <c r="W30" i="7"/>
  <c r="AX30" i="7" s="1"/>
  <c r="AJ29" i="8"/>
  <c r="BK29" i="8" s="1"/>
  <c r="K31" i="7"/>
  <c r="AA31" i="7" s="1"/>
  <c r="BB31" i="7" s="1"/>
  <c r="N30" i="7"/>
  <c r="AI30" i="7" s="1"/>
  <c r="AL29" i="8"/>
  <c r="BM29" i="8" s="1"/>
  <c r="S31" i="7"/>
  <c r="AT31" i="7" s="1"/>
  <c r="X30" i="7"/>
  <c r="AY30" i="7" s="1"/>
  <c r="H31" i="7"/>
  <c r="N31" i="7" s="1"/>
  <c r="AI31" i="7" s="1"/>
  <c r="T31" i="7"/>
  <c r="AU31" i="7" s="1"/>
  <c r="AF29" i="7"/>
  <c r="BG29" i="7" s="1"/>
  <c r="Z29" i="8"/>
  <c r="AG29" i="8" s="1"/>
  <c r="BH29" i="8" s="1"/>
  <c r="T31" i="8"/>
  <c r="AU31" i="8" s="1"/>
  <c r="M31" i="8"/>
  <c r="W31" i="8" s="1"/>
  <c r="AX31" i="8" s="1"/>
  <c r="S31" i="8"/>
  <c r="AT31" i="8" s="1"/>
  <c r="H31" i="8"/>
  <c r="J31" i="8" s="1"/>
  <c r="U31" i="8"/>
  <c r="AV31" i="8" s="1"/>
  <c r="J30" i="8"/>
  <c r="X42" i="9"/>
  <c r="L42" i="9"/>
  <c r="F42" i="9"/>
  <c r="T42" i="9"/>
  <c r="I42" i="9"/>
  <c r="E33" i="7" s="1"/>
  <c r="H42" i="9"/>
  <c r="R42" i="9"/>
  <c r="Q42" i="9"/>
  <c r="P42" i="9"/>
  <c r="O42" i="9"/>
  <c r="E33" i="8" s="1"/>
  <c r="W42" i="9"/>
  <c r="Z42" i="9"/>
  <c r="V42" i="9"/>
  <c r="J42" i="9"/>
  <c r="D42" i="9"/>
  <c r="N42" i="9"/>
  <c r="K42" i="9"/>
  <c r="S42" i="9"/>
  <c r="D33" i="7" s="1"/>
  <c r="I33" i="7" s="1"/>
  <c r="Y42" i="9"/>
  <c r="D33" i="8" s="1"/>
  <c r="I33" i="8" s="1"/>
  <c r="AA42" i="9"/>
  <c r="M42" i="9"/>
  <c r="E42" i="9"/>
  <c r="U42" i="9"/>
  <c r="G42" i="9"/>
  <c r="BL29" i="8"/>
  <c r="AK29" i="7"/>
  <c r="AJ29" i="7"/>
  <c r="BK29" i="7" s="1"/>
  <c r="BI29" i="7"/>
  <c r="AT30" i="8"/>
  <c r="AR35" i="7"/>
  <c r="BN35" i="7" s="1"/>
  <c r="AQ35" i="7"/>
  <c r="O32" i="7"/>
  <c r="L32" i="7"/>
  <c r="AE32" i="7" s="1"/>
  <c r="BF32" i="7" s="1"/>
  <c r="AG28" i="7"/>
  <c r="BH28" i="7" s="1"/>
  <c r="BA28" i="7"/>
  <c r="AN28" i="7"/>
  <c r="BO28" i="7" s="1"/>
  <c r="BL28" i="7"/>
  <c r="AH30" i="8"/>
  <c r="W30" i="8"/>
  <c r="AX30" i="8" s="1"/>
  <c r="X30" i="8"/>
  <c r="AY30" i="8" s="1"/>
  <c r="AP36" i="7"/>
  <c r="C36" i="7"/>
  <c r="AH31" i="7"/>
  <c r="W31" i="7"/>
  <c r="AX31" i="7" s="1"/>
  <c r="X31" i="7"/>
  <c r="AY31" i="7" s="1"/>
  <c r="U31" i="7"/>
  <c r="AV31" i="7" s="1"/>
  <c r="BB31" i="8"/>
  <c r="B37" i="7"/>
  <c r="A38" i="7"/>
  <c r="O32" i="8"/>
  <c r="L32" i="8"/>
  <c r="AE32" i="8" s="1"/>
  <c r="BF32" i="8" s="1"/>
  <c r="AR33" i="8"/>
  <c r="BN33" i="8" s="1"/>
  <c r="AQ33" i="8"/>
  <c r="Z29" i="7"/>
  <c r="AI30" i="8"/>
  <c r="AC30" i="8"/>
  <c r="BD30" i="8" s="1"/>
  <c r="AD30" i="8"/>
  <c r="BE30" i="8" s="1"/>
  <c r="AB30" i="8"/>
  <c r="BC30" i="8" s="1"/>
  <c r="BB30" i="8"/>
  <c r="B35" i="8"/>
  <c r="A36" i="8"/>
  <c r="AP34" i="8"/>
  <c r="C34" i="8"/>
  <c r="G32" i="8"/>
  <c r="G32" i="7"/>
  <c r="C44" i="9"/>
  <c r="B43" i="9"/>
  <c r="BJ29" i="7"/>
  <c r="AL29" i="7"/>
  <c r="BM29" i="7" s="1"/>
  <c r="BI30" i="7" l="1"/>
  <c r="AJ30" i="7"/>
  <c r="BK30" i="7" s="1"/>
  <c r="AB30" i="7"/>
  <c r="AC30" i="7"/>
  <c r="BD30" i="7" s="1"/>
  <c r="AD30" i="7"/>
  <c r="BE30" i="7" s="1"/>
  <c r="AN29" i="8"/>
  <c r="BO29" i="8" s="1"/>
  <c r="AH31" i="8"/>
  <c r="BI31" i="8" s="1"/>
  <c r="AB31" i="7"/>
  <c r="BC31" i="7" s="1"/>
  <c r="AD31" i="7"/>
  <c r="BE31" i="7" s="1"/>
  <c r="AC31" i="7"/>
  <c r="BD31" i="7" s="1"/>
  <c r="J31" i="7"/>
  <c r="BA29" i="8"/>
  <c r="N31" i="8"/>
  <c r="AI31" i="8" s="1"/>
  <c r="AL31" i="8" s="1"/>
  <c r="BM31" i="8" s="1"/>
  <c r="X31" i="8"/>
  <c r="AY31" i="8" s="1"/>
  <c r="Z30" i="7"/>
  <c r="BA30" i="7" s="1"/>
  <c r="G33" i="8"/>
  <c r="T33" i="8" s="1"/>
  <c r="AU33" i="8" s="1"/>
  <c r="Z31" i="7"/>
  <c r="BA31" i="7" s="1"/>
  <c r="BJ30" i="8"/>
  <c r="AL30" i="8"/>
  <c r="BM30" i="8" s="1"/>
  <c r="BA29" i="7"/>
  <c r="AG29" i="7"/>
  <c r="BH29" i="7" s="1"/>
  <c r="Z30" i="8"/>
  <c r="G33" i="7"/>
  <c r="C35" i="8"/>
  <c r="AP35" i="8"/>
  <c r="BI31" i="7"/>
  <c r="AK31" i="7"/>
  <c r="AJ31" i="7"/>
  <c r="BK31" i="7" s="1"/>
  <c r="O33" i="8"/>
  <c r="L33" i="8"/>
  <c r="AE33" i="8" s="1"/>
  <c r="BF33" i="8" s="1"/>
  <c r="BL29" i="7"/>
  <c r="AN29" i="7"/>
  <c r="BO29" i="7" s="1"/>
  <c r="B36" i="8"/>
  <c r="A37" i="8"/>
  <c r="AK30" i="8"/>
  <c r="AJ30" i="8"/>
  <c r="BK30" i="8" s="1"/>
  <c r="BI30" i="8"/>
  <c r="AP37" i="7"/>
  <c r="C37" i="7"/>
  <c r="H32" i="8"/>
  <c r="N32" i="8" s="1"/>
  <c r="M32" i="8"/>
  <c r="S32" i="8"/>
  <c r="T32" i="8"/>
  <c r="AU32" i="8" s="1"/>
  <c r="U32" i="8"/>
  <c r="AV32" i="8" s="1"/>
  <c r="K32" i="8"/>
  <c r="AA32" i="8" s="1"/>
  <c r="O33" i="7"/>
  <c r="L33" i="7"/>
  <c r="AE33" i="7" s="1"/>
  <c r="BF33" i="7" s="1"/>
  <c r="AL31" i="7"/>
  <c r="BM31" i="7" s="1"/>
  <c r="BJ31" i="7"/>
  <c r="AF30" i="8"/>
  <c r="BG30" i="8" s="1"/>
  <c r="AQ34" i="8"/>
  <c r="AR34" i="8"/>
  <c r="BN34" i="8" s="1"/>
  <c r="C45" i="9"/>
  <c r="B44" i="9"/>
  <c r="M32" i="7"/>
  <c r="H32" i="7"/>
  <c r="N32" i="7" s="1"/>
  <c r="T32" i="7"/>
  <c r="AU32" i="7" s="1"/>
  <c r="S32" i="7"/>
  <c r="K32" i="7"/>
  <c r="AA32" i="7" s="1"/>
  <c r="BC30" i="7"/>
  <c r="AL30" i="7"/>
  <c r="BM30" i="7" s="1"/>
  <c r="BJ30" i="7"/>
  <c r="B38" i="7"/>
  <c r="A39" i="7"/>
  <c r="AQ36" i="7"/>
  <c r="AR36" i="7"/>
  <c r="BN36" i="7" s="1"/>
  <c r="BL30" i="7"/>
  <c r="L43" i="9"/>
  <c r="Q43" i="9"/>
  <c r="G43" i="9"/>
  <c r="F43" i="9"/>
  <c r="E43" i="9"/>
  <c r="D43" i="9"/>
  <c r="AA43" i="9"/>
  <c r="Y43" i="9"/>
  <c r="D34" i="8" s="1"/>
  <c r="I34" i="8" s="1"/>
  <c r="X43" i="9"/>
  <c r="S43" i="9"/>
  <c r="D34" i="7" s="1"/>
  <c r="I34" i="7" s="1"/>
  <c r="R43" i="9"/>
  <c r="Z43" i="9"/>
  <c r="J43" i="9"/>
  <c r="M43" i="9"/>
  <c r="V43" i="9"/>
  <c r="H43" i="9"/>
  <c r="K43" i="9"/>
  <c r="U43" i="9"/>
  <c r="O43" i="9"/>
  <c r="E34" i="8" s="1"/>
  <c r="W43" i="9"/>
  <c r="P43" i="9"/>
  <c r="N43" i="9"/>
  <c r="I43" i="9"/>
  <c r="E34" i="7" s="1"/>
  <c r="T43" i="9"/>
  <c r="AF30" i="7" l="1"/>
  <c r="BG30" i="7" s="1"/>
  <c r="AK31" i="8"/>
  <c r="AN31" i="8" s="1"/>
  <c r="BO31" i="8" s="1"/>
  <c r="G34" i="7"/>
  <c r="S34" i="7" s="1"/>
  <c r="AF31" i="7"/>
  <c r="BG31" i="7" s="1"/>
  <c r="AB31" i="8"/>
  <c r="BC31" i="8" s="1"/>
  <c r="AJ31" i="8"/>
  <c r="BK31" i="8" s="1"/>
  <c r="AD31" i="8"/>
  <c r="BE31" i="8" s="1"/>
  <c r="AC31" i="8"/>
  <c r="BD31" i="8" s="1"/>
  <c r="Z31" i="8"/>
  <c r="BA31" i="8" s="1"/>
  <c r="BJ31" i="8"/>
  <c r="H33" i="8"/>
  <c r="J33" i="8" s="1"/>
  <c r="U33" i="8"/>
  <c r="AV33" i="8" s="1"/>
  <c r="S33" i="8"/>
  <c r="AT33" i="8" s="1"/>
  <c r="K33" i="8"/>
  <c r="AA33" i="8" s="1"/>
  <c r="BB33" i="8" s="1"/>
  <c r="M33" i="8"/>
  <c r="AH33" i="8" s="1"/>
  <c r="AN30" i="7"/>
  <c r="BO30" i="7" s="1"/>
  <c r="G34" i="8"/>
  <c r="K34" i="8" s="1"/>
  <c r="AA34" i="8" s="1"/>
  <c r="BB34" i="8" s="1"/>
  <c r="J32" i="8"/>
  <c r="AI32" i="7"/>
  <c r="AC32" i="7"/>
  <c r="BD32" i="7" s="1"/>
  <c r="AD32" i="7"/>
  <c r="BE32" i="7" s="1"/>
  <c r="AB32" i="7"/>
  <c r="BC32" i="7" s="1"/>
  <c r="AQ35" i="8"/>
  <c r="AR35" i="8"/>
  <c r="BN35" i="8" s="1"/>
  <c r="O34" i="7"/>
  <c r="L34" i="7"/>
  <c r="AE34" i="7" s="1"/>
  <c r="BF34" i="7" s="1"/>
  <c r="BL31" i="7"/>
  <c r="AN31" i="7"/>
  <c r="BO31" i="7" s="1"/>
  <c r="M33" i="7"/>
  <c r="H33" i="7"/>
  <c r="N33" i="7" s="1"/>
  <c r="T33" i="7"/>
  <c r="AU33" i="7" s="1"/>
  <c r="S33" i="7"/>
  <c r="AH32" i="7"/>
  <c r="W32" i="7"/>
  <c r="AX32" i="7" s="1"/>
  <c r="X32" i="7"/>
  <c r="AY32" i="7" s="1"/>
  <c r="U32" i="7"/>
  <c r="AV32" i="7" s="1"/>
  <c r="K33" i="7"/>
  <c r="AA33" i="7" s="1"/>
  <c r="AR37" i="7"/>
  <c r="BN37" i="7" s="1"/>
  <c r="AQ37" i="7"/>
  <c r="BA30" i="8"/>
  <c r="AG30" i="8"/>
  <c r="BH30" i="8" s="1"/>
  <c r="BB32" i="8"/>
  <c r="O34" i="8"/>
  <c r="L34" i="8"/>
  <c r="AE34" i="8" s="1"/>
  <c r="BF34" i="8" s="1"/>
  <c r="BL30" i="8"/>
  <c r="AN30" i="8"/>
  <c r="BO30" i="8" s="1"/>
  <c r="AT32" i="8"/>
  <c r="B37" i="8"/>
  <c r="A38" i="8"/>
  <c r="AT32" i="7"/>
  <c r="AH32" i="8"/>
  <c r="W32" i="8"/>
  <c r="AX32" i="8" s="1"/>
  <c r="X32" i="8"/>
  <c r="AY32" i="8" s="1"/>
  <c r="AP36" i="8"/>
  <c r="C36" i="8"/>
  <c r="J32" i="7"/>
  <c r="A40" i="7"/>
  <c r="B39" i="7"/>
  <c r="C38" i="7"/>
  <c r="AP38" i="7"/>
  <c r="R44" i="9"/>
  <c r="F44" i="9"/>
  <c r="X44" i="9"/>
  <c r="O44" i="9"/>
  <c r="E35" i="8" s="1"/>
  <c r="L44" i="9"/>
  <c r="AA44" i="9"/>
  <c r="P44" i="9"/>
  <c r="V44" i="9"/>
  <c r="Z44" i="9"/>
  <c r="H44" i="9"/>
  <c r="E44" i="9"/>
  <c r="K44" i="9"/>
  <c r="N44" i="9"/>
  <c r="W44" i="9"/>
  <c r="M44" i="9"/>
  <c r="D44" i="9"/>
  <c r="U44" i="9"/>
  <c r="T44" i="9"/>
  <c r="I44" i="9"/>
  <c r="E35" i="7" s="1"/>
  <c r="J44" i="9"/>
  <c r="Y44" i="9"/>
  <c r="D35" i="8" s="1"/>
  <c r="I35" i="8" s="1"/>
  <c r="S44" i="9"/>
  <c r="D35" i="7" s="1"/>
  <c r="I35" i="7" s="1"/>
  <c r="G44" i="9"/>
  <c r="Q44" i="9"/>
  <c r="B45" i="9"/>
  <c r="C46" i="9"/>
  <c r="BB32" i="7"/>
  <c r="AI32" i="8"/>
  <c r="AC32" i="8"/>
  <c r="BD32" i="8" s="1"/>
  <c r="AD32" i="8"/>
  <c r="BE32" i="8" s="1"/>
  <c r="AB32" i="8"/>
  <c r="BC32" i="8" s="1"/>
  <c r="AG30" i="7" l="1"/>
  <c r="BH30" i="7" s="1"/>
  <c r="M34" i="7"/>
  <c r="U34" i="7" s="1"/>
  <c r="AV34" i="7" s="1"/>
  <c r="BL31" i="8"/>
  <c r="H34" i="7"/>
  <c r="J34" i="7" s="1"/>
  <c r="AG31" i="7"/>
  <c r="BH31" i="7" s="1"/>
  <c r="K34" i="7"/>
  <c r="AA34" i="7" s="1"/>
  <c r="BB34" i="7" s="1"/>
  <c r="T34" i="7"/>
  <c r="AU34" i="7" s="1"/>
  <c r="AF31" i="8"/>
  <c r="BG31" i="8" s="1"/>
  <c r="N33" i="8"/>
  <c r="AC33" i="8" s="1"/>
  <c r="BD33" i="8" s="1"/>
  <c r="H34" i="8"/>
  <c r="N34" i="8" s="1"/>
  <c r="AB34" i="8" s="1"/>
  <c r="M34" i="8"/>
  <c r="AH34" i="8" s="1"/>
  <c r="S34" i="8"/>
  <c r="AT34" i="8" s="1"/>
  <c r="X33" i="8"/>
  <c r="AY33" i="8" s="1"/>
  <c r="W33" i="8"/>
  <c r="AX33" i="8" s="1"/>
  <c r="U34" i="8"/>
  <c r="AV34" i="8" s="1"/>
  <c r="T34" i="8"/>
  <c r="AU34" i="8" s="1"/>
  <c r="G35" i="8"/>
  <c r="K35" i="8" s="1"/>
  <c r="AA35" i="8" s="1"/>
  <c r="BB35" i="8" s="1"/>
  <c r="AF32" i="7"/>
  <c r="BG32" i="7" s="1"/>
  <c r="AR36" i="8"/>
  <c r="BN36" i="8" s="1"/>
  <c r="AQ36" i="8"/>
  <c r="AK33" i="8"/>
  <c r="BI33" i="8"/>
  <c r="B46" i="9"/>
  <c r="C47" i="9"/>
  <c r="AT34" i="7"/>
  <c r="AJ32" i="7"/>
  <c r="BK32" i="7" s="1"/>
  <c r="AK32" i="7"/>
  <c r="BI32" i="7"/>
  <c r="AT33" i="7"/>
  <c r="AJ32" i="8"/>
  <c r="BK32" i="8" s="1"/>
  <c r="BI32" i="8"/>
  <c r="AK32" i="8"/>
  <c r="R45" i="9"/>
  <c r="L45" i="9"/>
  <c r="U45" i="9"/>
  <c r="T45" i="9"/>
  <c r="S45" i="9"/>
  <c r="D36" i="7" s="1"/>
  <c r="I36" i="7" s="1"/>
  <c r="I45" i="9"/>
  <c r="E36" i="7" s="1"/>
  <c r="Y45" i="9"/>
  <c r="D36" i="8" s="1"/>
  <c r="I36" i="8" s="1"/>
  <c r="X45" i="9"/>
  <c r="W45" i="9"/>
  <c r="F45" i="9"/>
  <c r="H45" i="9"/>
  <c r="G45" i="9"/>
  <c r="K45" i="9"/>
  <c r="N45" i="9"/>
  <c r="D45" i="9"/>
  <c r="J45" i="9"/>
  <c r="M45" i="9"/>
  <c r="V45" i="9"/>
  <c r="Z45" i="9"/>
  <c r="P45" i="9"/>
  <c r="AA45" i="9"/>
  <c r="E45" i="9"/>
  <c r="O45" i="9"/>
  <c r="E36" i="8" s="1"/>
  <c r="Q45" i="9"/>
  <c r="B38" i="8"/>
  <c r="A39" i="8"/>
  <c r="AP37" i="8"/>
  <c r="C37" i="8"/>
  <c r="AP39" i="7"/>
  <c r="C39" i="7"/>
  <c r="Z32" i="8"/>
  <c r="AI33" i="7"/>
  <c r="AC33" i="7"/>
  <c r="BD33" i="7" s="1"/>
  <c r="AD33" i="7"/>
  <c r="BE33" i="7" s="1"/>
  <c r="AB33" i="7"/>
  <c r="BC33" i="7" s="1"/>
  <c r="BJ32" i="8"/>
  <c r="AL32" i="8"/>
  <c r="BM32" i="8" s="1"/>
  <c r="Z32" i="7"/>
  <c r="O35" i="8"/>
  <c r="L35" i="8"/>
  <c r="AE35" i="8" s="1"/>
  <c r="BF35" i="8" s="1"/>
  <c r="B40" i="7"/>
  <c r="A41" i="7"/>
  <c r="AH34" i="7"/>
  <c r="X34" i="7"/>
  <c r="AY34" i="7" s="1"/>
  <c r="J33" i="7"/>
  <c r="AL32" i="7"/>
  <c r="BM32" i="7" s="1"/>
  <c r="BJ32" i="7"/>
  <c r="O35" i="7"/>
  <c r="L35" i="7"/>
  <c r="AE35" i="7" s="1"/>
  <c r="BF35" i="7" s="1"/>
  <c r="AH33" i="7"/>
  <c r="W33" i="7"/>
  <c r="AX33" i="7" s="1"/>
  <c r="X33" i="7"/>
  <c r="AY33" i="7" s="1"/>
  <c r="U33" i="7"/>
  <c r="AV33" i="7" s="1"/>
  <c r="AR38" i="7"/>
  <c r="BN38" i="7" s="1"/>
  <c r="AQ38" i="7"/>
  <c r="G35" i="7"/>
  <c r="AF32" i="8"/>
  <c r="BG32" i="8" s="1"/>
  <c r="BB33" i="7"/>
  <c r="W34" i="7" l="1"/>
  <c r="AX34" i="7" s="1"/>
  <c r="N34" i="7"/>
  <c r="AC34" i="7" s="1"/>
  <c r="BD34" i="7" s="1"/>
  <c r="AI33" i="8"/>
  <c r="AJ33" i="8" s="1"/>
  <c r="BK33" i="8" s="1"/>
  <c r="AI34" i="8"/>
  <c r="AL34" i="8" s="1"/>
  <c r="BM34" i="8" s="1"/>
  <c r="AD33" i="8"/>
  <c r="BE33" i="8" s="1"/>
  <c r="W34" i="8"/>
  <c r="AX34" i="8" s="1"/>
  <c r="X34" i="8"/>
  <c r="AY34" i="8" s="1"/>
  <c r="AL33" i="8"/>
  <c r="BM33" i="8" s="1"/>
  <c r="BJ33" i="8"/>
  <c r="AD34" i="8"/>
  <c r="BE34" i="8" s="1"/>
  <c r="AC34" i="8"/>
  <c r="BD34" i="8" s="1"/>
  <c r="AB33" i="8"/>
  <c r="BC33" i="8" s="1"/>
  <c r="AG31" i="8"/>
  <c r="BH31" i="8" s="1"/>
  <c r="J34" i="8"/>
  <c r="G36" i="7"/>
  <c r="H36" i="7" s="1"/>
  <c r="J36" i="7" s="1"/>
  <c r="Z33" i="8"/>
  <c r="BA33" i="8" s="1"/>
  <c r="H35" i="8"/>
  <c r="N35" i="8" s="1"/>
  <c r="AB35" i="8" s="1"/>
  <c r="M35" i="8"/>
  <c r="X35" i="8" s="1"/>
  <c r="AY35" i="8" s="1"/>
  <c r="S35" i="8"/>
  <c r="AT35" i="8" s="1"/>
  <c r="AI34" i="7"/>
  <c r="BJ34" i="7" s="1"/>
  <c r="AB34" i="7"/>
  <c r="BC34" i="7" s="1"/>
  <c r="G36" i="8"/>
  <c r="K36" i="8" s="1"/>
  <c r="AA36" i="8" s="1"/>
  <c r="BB36" i="8" s="1"/>
  <c r="AD34" i="7"/>
  <c r="BE34" i="7" s="1"/>
  <c r="T35" i="8"/>
  <c r="AU35" i="8" s="1"/>
  <c r="U35" i="8"/>
  <c r="AV35" i="8" s="1"/>
  <c r="X46" i="9"/>
  <c r="L46" i="9"/>
  <c r="F46" i="9"/>
  <c r="T46" i="9"/>
  <c r="R46" i="9"/>
  <c r="Q46" i="9"/>
  <c r="P46" i="9"/>
  <c r="O46" i="9"/>
  <c r="E37" i="8" s="1"/>
  <c r="I46" i="9"/>
  <c r="E37" i="7" s="1"/>
  <c r="H46" i="9"/>
  <c r="K46" i="9"/>
  <c r="W46" i="9"/>
  <c r="Z46" i="9"/>
  <c r="E46" i="9"/>
  <c r="G46" i="9"/>
  <c r="S46" i="9"/>
  <c r="D37" i="7" s="1"/>
  <c r="I37" i="7" s="1"/>
  <c r="M46" i="9"/>
  <c r="N46" i="9"/>
  <c r="D46" i="9"/>
  <c r="V46" i="9"/>
  <c r="Y46" i="9"/>
  <c r="D37" i="8" s="1"/>
  <c r="I37" i="8" s="1"/>
  <c r="U46" i="9"/>
  <c r="J46" i="9"/>
  <c r="AA46" i="9"/>
  <c r="BI34" i="7"/>
  <c r="AK34" i="7"/>
  <c r="AL33" i="7"/>
  <c r="BM33" i="7" s="1"/>
  <c r="BJ33" i="7"/>
  <c r="B41" i="7"/>
  <c r="A42" i="7"/>
  <c r="AN32" i="8"/>
  <c r="BO32" i="8" s="1"/>
  <c r="BL32" i="8"/>
  <c r="BA32" i="8"/>
  <c r="AG32" i="8"/>
  <c r="BH32" i="8" s="1"/>
  <c r="BI34" i="8"/>
  <c r="AK34" i="8"/>
  <c r="L36" i="7"/>
  <c r="AE36" i="7" s="1"/>
  <c r="BF36" i="7" s="1"/>
  <c r="O36" i="7"/>
  <c r="C48" i="9"/>
  <c r="B47" i="9"/>
  <c r="AP40" i="7"/>
  <c r="C40" i="7"/>
  <c r="M35" i="7"/>
  <c r="H35" i="7"/>
  <c r="N35" i="7" s="1"/>
  <c r="S35" i="7"/>
  <c r="T35" i="7"/>
  <c r="AU35" i="7" s="1"/>
  <c r="K35" i="7"/>
  <c r="AA35" i="7" s="1"/>
  <c r="AQ39" i="7"/>
  <c r="AR39" i="7"/>
  <c r="BN39" i="7" s="1"/>
  <c r="BA32" i="7"/>
  <c r="AG32" i="7"/>
  <c r="BH32" i="7" s="1"/>
  <c r="Z33" i="7"/>
  <c r="BL33" i="8"/>
  <c r="BC34" i="8"/>
  <c r="AJ33" i="7"/>
  <c r="BK33" i="7" s="1"/>
  <c r="BI33" i="7"/>
  <c r="AK33" i="7"/>
  <c r="Z34" i="7"/>
  <c r="O36" i="8"/>
  <c r="L36" i="8"/>
  <c r="AE36" i="8" s="1"/>
  <c r="BF36" i="8" s="1"/>
  <c r="AQ37" i="8"/>
  <c r="AR37" i="8"/>
  <c r="BN37" i="8" s="1"/>
  <c r="A40" i="8"/>
  <c r="B39" i="8"/>
  <c r="C38" i="8"/>
  <c r="AP38" i="8"/>
  <c r="AN32" i="7"/>
  <c r="BO32" i="7" s="1"/>
  <c r="BL32" i="7"/>
  <c r="AF33" i="7"/>
  <c r="BG33" i="7" s="1"/>
  <c r="AJ34" i="8" l="1"/>
  <c r="BK34" i="8" s="1"/>
  <c r="Z34" i="8"/>
  <c r="BA34" i="8" s="1"/>
  <c r="BJ34" i="8"/>
  <c r="AN33" i="8"/>
  <c r="BO33" i="8" s="1"/>
  <c r="AF34" i="8"/>
  <c r="BG34" i="8" s="1"/>
  <c r="AF33" i="8"/>
  <c r="BG33" i="8" s="1"/>
  <c r="M36" i="7"/>
  <c r="AH36" i="7" s="1"/>
  <c r="AJ34" i="7"/>
  <c r="BK34" i="7" s="1"/>
  <c r="K36" i="7"/>
  <c r="AA36" i="7" s="1"/>
  <c r="BB36" i="7" s="1"/>
  <c r="J35" i="8"/>
  <c r="W35" i="8"/>
  <c r="AX35" i="8" s="1"/>
  <c r="AH35" i="8"/>
  <c r="AK35" i="8" s="1"/>
  <c r="AC35" i="8"/>
  <c r="BD35" i="8" s="1"/>
  <c r="S36" i="7"/>
  <c r="AT36" i="7" s="1"/>
  <c r="AL34" i="7"/>
  <c r="BM34" i="7" s="1"/>
  <c r="T36" i="7"/>
  <c r="AU36" i="7" s="1"/>
  <c r="AD35" i="8"/>
  <c r="BE35" i="8" s="1"/>
  <c r="AI35" i="8"/>
  <c r="BJ35" i="8" s="1"/>
  <c r="U36" i="8"/>
  <c r="AV36" i="8" s="1"/>
  <c r="T36" i="8"/>
  <c r="AU36" i="8" s="1"/>
  <c r="S36" i="8"/>
  <c r="AT36" i="8" s="1"/>
  <c r="M36" i="8"/>
  <c r="X36" i="8" s="1"/>
  <c r="AY36" i="8" s="1"/>
  <c r="H36" i="8"/>
  <c r="N36" i="8" s="1"/>
  <c r="AB36" i="8" s="1"/>
  <c r="AF34" i="7"/>
  <c r="BG34" i="7" s="1"/>
  <c r="J35" i="7"/>
  <c r="AI35" i="7"/>
  <c r="AC35" i="7"/>
  <c r="BD35" i="7" s="1"/>
  <c r="AD35" i="7"/>
  <c r="BE35" i="7" s="1"/>
  <c r="AB35" i="7"/>
  <c r="BC35" i="7" s="1"/>
  <c r="AR40" i="7"/>
  <c r="BN40" i="7" s="1"/>
  <c r="AQ40" i="7"/>
  <c r="BL34" i="7"/>
  <c r="L47" i="9"/>
  <c r="AA47" i="9"/>
  <c r="X47" i="9"/>
  <c r="S47" i="9"/>
  <c r="D38" i="7" s="1"/>
  <c r="I38" i="7" s="1"/>
  <c r="G47" i="9"/>
  <c r="F47" i="9"/>
  <c r="E47" i="9"/>
  <c r="D47" i="9"/>
  <c r="R47" i="9"/>
  <c r="Q47" i="9"/>
  <c r="Y47" i="9"/>
  <c r="D38" i="8" s="1"/>
  <c r="I38" i="8" s="1"/>
  <c r="W47" i="9"/>
  <c r="J47" i="9"/>
  <c r="T47" i="9"/>
  <c r="P47" i="9"/>
  <c r="M47" i="9"/>
  <c r="N47" i="9"/>
  <c r="K47" i="9"/>
  <c r="I47" i="9"/>
  <c r="E38" i="7" s="1"/>
  <c r="V47" i="9"/>
  <c r="U47" i="9"/>
  <c r="H47" i="9"/>
  <c r="Z47" i="9"/>
  <c r="O47" i="9"/>
  <c r="E38" i="8" s="1"/>
  <c r="AQ38" i="8"/>
  <c r="AR38" i="8"/>
  <c r="BN38" i="8" s="1"/>
  <c r="BA33" i="7"/>
  <c r="AG33" i="7"/>
  <c r="BH33" i="7" s="1"/>
  <c r="B40" i="8"/>
  <c r="A41" i="8"/>
  <c r="C49" i="9"/>
  <c r="B48" i="9"/>
  <c r="N36" i="7"/>
  <c r="BB35" i="7"/>
  <c r="BC35" i="8"/>
  <c r="AN33" i="7"/>
  <c r="BO33" i="7" s="1"/>
  <c r="BL33" i="7"/>
  <c r="O37" i="7"/>
  <c r="L37" i="7"/>
  <c r="AE37" i="7" s="1"/>
  <c r="BF37" i="7" s="1"/>
  <c r="AN34" i="8"/>
  <c r="BO34" i="8" s="1"/>
  <c r="BL34" i="8"/>
  <c r="AP39" i="8"/>
  <c r="C39" i="8"/>
  <c r="A43" i="7"/>
  <c r="B42" i="7"/>
  <c r="G37" i="7"/>
  <c r="AH35" i="7"/>
  <c r="W35" i="7"/>
  <c r="AX35" i="7" s="1"/>
  <c r="X35" i="7"/>
  <c r="AY35" i="7" s="1"/>
  <c r="U35" i="7"/>
  <c r="AV35" i="7" s="1"/>
  <c r="O37" i="8"/>
  <c r="L37" i="8"/>
  <c r="AE37" i="8" s="1"/>
  <c r="BF37" i="8" s="1"/>
  <c r="BA34" i="7"/>
  <c r="AT35" i="7"/>
  <c r="C41" i="7"/>
  <c r="AP41" i="7"/>
  <c r="G37" i="8"/>
  <c r="AG33" i="8" l="1"/>
  <c r="BH33" i="8" s="1"/>
  <c r="AG34" i="8"/>
  <c r="BH34" i="8" s="1"/>
  <c r="BI35" i="8"/>
  <c r="U36" i="7"/>
  <c r="AV36" i="7" s="1"/>
  <c r="X36" i="7"/>
  <c r="AY36" i="7" s="1"/>
  <c r="W36" i="7"/>
  <c r="AX36" i="7" s="1"/>
  <c r="Z35" i="8"/>
  <c r="BA35" i="8" s="1"/>
  <c r="AJ35" i="8"/>
  <c r="BK35" i="8" s="1"/>
  <c r="AF35" i="8"/>
  <c r="BG35" i="8" s="1"/>
  <c r="AL35" i="8"/>
  <c r="BM35" i="8" s="1"/>
  <c r="AN34" i="7"/>
  <c r="BO34" i="7" s="1"/>
  <c r="AH36" i="8"/>
  <c r="AK36" i="8" s="1"/>
  <c r="W36" i="8"/>
  <c r="AX36" i="8" s="1"/>
  <c r="J36" i="8"/>
  <c r="AI36" i="8"/>
  <c r="BJ36" i="8" s="1"/>
  <c r="AG34" i="7"/>
  <c r="BH34" i="7" s="1"/>
  <c r="AC36" i="8"/>
  <c r="BD36" i="8" s="1"/>
  <c r="AD36" i="8"/>
  <c r="BE36" i="8" s="1"/>
  <c r="G38" i="7"/>
  <c r="H38" i="7" s="1"/>
  <c r="J38" i="7" s="1"/>
  <c r="G38" i="8"/>
  <c r="K38" i="8" s="1"/>
  <c r="AA38" i="8" s="1"/>
  <c r="AF35" i="7"/>
  <c r="BG35" i="7" s="1"/>
  <c r="BC36" i="8"/>
  <c r="O38" i="7"/>
  <c r="L38" i="7"/>
  <c r="AE38" i="7" s="1"/>
  <c r="BF38" i="7" s="1"/>
  <c r="AJ35" i="7"/>
  <c r="BK35" i="7" s="1"/>
  <c r="BI35" i="7"/>
  <c r="AK35" i="7"/>
  <c r="R48" i="9"/>
  <c r="F48" i="9"/>
  <c r="X48" i="9"/>
  <c r="AA48" i="9"/>
  <c r="O48" i="9"/>
  <c r="E39" i="8" s="1"/>
  <c r="L48" i="9"/>
  <c r="P48" i="9"/>
  <c r="N48" i="9"/>
  <c r="W48" i="9"/>
  <c r="G48" i="9"/>
  <c r="Y48" i="9"/>
  <c r="D39" i="8" s="1"/>
  <c r="I39" i="8" s="1"/>
  <c r="J48" i="9"/>
  <c r="Q48" i="9"/>
  <c r="Z48" i="9"/>
  <c r="D48" i="9"/>
  <c r="M48" i="9"/>
  <c r="U48" i="9"/>
  <c r="H48" i="9"/>
  <c r="E48" i="9"/>
  <c r="I48" i="9"/>
  <c r="E39" i="7" s="1"/>
  <c r="T48" i="9"/>
  <c r="V48" i="9"/>
  <c r="K48" i="9"/>
  <c r="S48" i="9"/>
  <c r="D39" i="7" s="1"/>
  <c r="I39" i="7" s="1"/>
  <c r="M37" i="7"/>
  <c r="H37" i="7"/>
  <c r="N37" i="7" s="1"/>
  <c r="S37" i="7"/>
  <c r="T37" i="7"/>
  <c r="AU37" i="7" s="1"/>
  <c r="K37" i="7"/>
  <c r="AA37" i="7" s="1"/>
  <c r="BI36" i="7"/>
  <c r="AK36" i="7"/>
  <c r="C50" i="9"/>
  <c r="B49" i="9"/>
  <c r="AP42" i="7"/>
  <c r="C42" i="7"/>
  <c r="B41" i="8"/>
  <c r="A42" i="8"/>
  <c r="H37" i="8"/>
  <c r="N37" i="8" s="1"/>
  <c r="M37" i="8"/>
  <c r="S37" i="8"/>
  <c r="T37" i="8"/>
  <c r="AU37" i="8" s="1"/>
  <c r="U37" i="8"/>
  <c r="AV37" i="8" s="1"/>
  <c r="K37" i="8"/>
  <c r="AA37" i="8" s="1"/>
  <c r="AR41" i="7"/>
  <c r="BN41" i="7" s="1"/>
  <c r="AQ41" i="7"/>
  <c r="Z35" i="7"/>
  <c r="B43" i="7"/>
  <c r="A44" i="7"/>
  <c r="AP40" i="8"/>
  <c r="C40" i="8"/>
  <c r="BJ35" i="7"/>
  <c r="AL35" i="7"/>
  <c r="BM35" i="7" s="1"/>
  <c r="AQ39" i="8"/>
  <c r="AR39" i="8"/>
  <c r="BN39" i="8" s="1"/>
  <c r="AI36" i="7"/>
  <c r="AJ36" i="7" s="1"/>
  <c r="BK36" i="7" s="1"/>
  <c r="AC36" i="7"/>
  <c r="BD36" i="7" s="1"/>
  <c r="AD36" i="7"/>
  <c r="BE36" i="7" s="1"/>
  <c r="AB36" i="7"/>
  <c r="BL35" i="8"/>
  <c r="O38" i="8"/>
  <c r="L38" i="8"/>
  <c r="AE38" i="8" s="1"/>
  <c r="BF38" i="8" s="1"/>
  <c r="Z36" i="7" l="1"/>
  <c r="AG35" i="8"/>
  <c r="BH35" i="8" s="1"/>
  <c r="AN35" i="8"/>
  <c r="BO35" i="8" s="1"/>
  <c r="Z36" i="8"/>
  <c r="BA36" i="8" s="1"/>
  <c r="AL36" i="8"/>
  <c r="BM36" i="8" s="1"/>
  <c r="BI36" i="8"/>
  <c r="AJ36" i="8"/>
  <c r="BK36" i="8" s="1"/>
  <c r="K38" i="7"/>
  <c r="AA38" i="7" s="1"/>
  <c r="BB38" i="7" s="1"/>
  <c r="S38" i="7"/>
  <c r="AT38" i="7" s="1"/>
  <c r="T38" i="7"/>
  <c r="AU38" i="7" s="1"/>
  <c r="M38" i="7"/>
  <c r="AH38" i="7" s="1"/>
  <c r="S38" i="8"/>
  <c r="AT38" i="8" s="1"/>
  <c r="T38" i="8"/>
  <c r="AU38" i="8" s="1"/>
  <c r="U38" i="8"/>
  <c r="AV38" i="8" s="1"/>
  <c r="H38" i="8"/>
  <c r="N38" i="8" s="1"/>
  <c r="M38" i="8"/>
  <c r="X38" i="8" s="1"/>
  <c r="AY38" i="8" s="1"/>
  <c r="G39" i="8"/>
  <c r="K39" i="8" s="1"/>
  <c r="AA39" i="8" s="1"/>
  <c r="BB39" i="8" s="1"/>
  <c r="AF36" i="8"/>
  <c r="BG36" i="8" s="1"/>
  <c r="G39" i="7"/>
  <c r="H39" i="7" s="1"/>
  <c r="N39" i="7" s="1"/>
  <c r="N38" i="7"/>
  <c r="AI38" i="7" s="1"/>
  <c r="BB38" i="8"/>
  <c r="AR40" i="8"/>
  <c r="BN40" i="8" s="1"/>
  <c r="AQ40" i="8"/>
  <c r="BA36" i="7"/>
  <c r="AH37" i="8"/>
  <c r="W37" i="8"/>
  <c r="AX37" i="8" s="1"/>
  <c r="X37" i="8"/>
  <c r="AY37" i="8" s="1"/>
  <c r="J37" i="8"/>
  <c r="BB37" i="7"/>
  <c r="AP43" i="7"/>
  <c r="C43" i="7"/>
  <c r="AL36" i="7"/>
  <c r="BM36" i="7" s="1"/>
  <c r="BJ36" i="7"/>
  <c r="AQ42" i="7"/>
  <c r="AR42" i="7"/>
  <c r="BN42" i="7" s="1"/>
  <c r="J37" i="7"/>
  <c r="AT37" i="7"/>
  <c r="BA35" i="7"/>
  <c r="AG35" i="7"/>
  <c r="BH35" i="7" s="1"/>
  <c r="C41" i="8"/>
  <c r="AP41" i="8"/>
  <c r="AH37" i="7"/>
  <c r="W37" i="7"/>
  <c r="AX37" i="7" s="1"/>
  <c r="X37" i="7"/>
  <c r="AY37" i="7" s="1"/>
  <c r="U37" i="7"/>
  <c r="AV37" i="7" s="1"/>
  <c r="AI37" i="7"/>
  <c r="AC37" i="7"/>
  <c r="BD37" i="7" s="1"/>
  <c r="AD37" i="7"/>
  <c r="BE37" i="7" s="1"/>
  <c r="AB37" i="7"/>
  <c r="BC37" i="7" s="1"/>
  <c r="L39" i="7"/>
  <c r="AE39" i="7" s="1"/>
  <c r="BF39" i="7" s="1"/>
  <c r="O39" i="7"/>
  <c r="BL35" i="7"/>
  <c r="AN35" i="7"/>
  <c r="BO35" i="7" s="1"/>
  <c r="R49" i="9"/>
  <c r="L49" i="9"/>
  <c r="G49" i="9"/>
  <c r="F49" i="9"/>
  <c r="X49" i="9"/>
  <c r="U49" i="9"/>
  <c r="T49" i="9"/>
  <c r="S49" i="9"/>
  <c r="D40" i="7" s="1"/>
  <c r="I40" i="7" s="1"/>
  <c r="I49" i="9"/>
  <c r="E40" i="7" s="1"/>
  <c r="H49" i="9"/>
  <c r="M49" i="9"/>
  <c r="P49" i="9"/>
  <c r="O49" i="9"/>
  <c r="E40" i="8" s="1"/>
  <c r="V49" i="9"/>
  <c r="W49" i="9"/>
  <c r="AA49" i="9"/>
  <c r="Z49" i="9"/>
  <c r="E49" i="9"/>
  <c r="Q49" i="9"/>
  <c r="K49" i="9"/>
  <c r="Y49" i="9"/>
  <c r="D40" i="8" s="1"/>
  <c r="I40" i="8" s="1"/>
  <c r="D49" i="9"/>
  <c r="J49" i="9"/>
  <c r="N49" i="9"/>
  <c r="BL36" i="7"/>
  <c r="O39" i="8"/>
  <c r="L39" i="8"/>
  <c r="AE39" i="8" s="1"/>
  <c r="BF39" i="8" s="1"/>
  <c r="AI37" i="8"/>
  <c r="AC37" i="8"/>
  <c r="BD37" i="8" s="1"/>
  <c r="AD37" i="8"/>
  <c r="BE37" i="8" s="1"/>
  <c r="AB37" i="8"/>
  <c r="BC37" i="8" s="1"/>
  <c r="B44" i="7"/>
  <c r="A45" i="7"/>
  <c r="BC36" i="7"/>
  <c r="AF36" i="7"/>
  <c r="BG36" i="7" s="1"/>
  <c r="A43" i="8"/>
  <c r="B42" i="8"/>
  <c r="BB37" i="8"/>
  <c r="B50" i="9"/>
  <c r="C51" i="9"/>
  <c r="AT37" i="8"/>
  <c r="BL36" i="8"/>
  <c r="AN36" i="8" l="1"/>
  <c r="BO36" i="8" s="1"/>
  <c r="U38" i="7"/>
  <c r="AV38" i="7" s="1"/>
  <c r="X38" i="7"/>
  <c r="AY38" i="7" s="1"/>
  <c r="W38" i="7"/>
  <c r="AX38" i="7" s="1"/>
  <c r="J38" i="8"/>
  <c r="AH38" i="8"/>
  <c r="BI38" i="8" s="1"/>
  <c r="W38" i="8"/>
  <c r="AX38" i="8" s="1"/>
  <c r="Z37" i="7"/>
  <c r="BA37" i="7" s="1"/>
  <c r="Z37" i="8"/>
  <c r="BA37" i="8" s="1"/>
  <c r="K39" i="7"/>
  <c r="AA39" i="7" s="1"/>
  <c r="BB39" i="7" s="1"/>
  <c r="S39" i="7"/>
  <c r="AT39" i="7" s="1"/>
  <c r="T39" i="7"/>
  <c r="AU39" i="7" s="1"/>
  <c r="M39" i="7"/>
  <c r="AH39" i="7" s="1"/>
  <c r="AG36" i="8"/>
  <c r="BH36" i="8" s="1"/>
  <c r="U39" i="8"/>
  <c r="AV39" i="8" s="1"/>
  <c r="M39" i="8"/>
  <c r="AH39" i="8" s="1"/>
  <c r="H39" i="8"/>
  <c r="N39" i="8" s="1"/>
  <c r="AB39" i="8" s="1"/>
  <c r="T39" i="8"/>
  <c r="AU39" i="8" s="1"/>
  <c r="S39" i="8"/>
  <c r="AT39" i="8" s="1"/>
  <c r="AB38" i="7"/>
  <c r="BC38" i="7" s="1"/>
  <c r="AD38" i="7"/>
  <c r="BE38" i="7" s="1"/>
  <c r="AC38" i="7"/>
  <c r="BD38" i="7" s="1"/>
  <c r="Z38" i="7"/>
  <c r="BA38" i="7" s="1"/>
  <c r="G40" i="8"/>
  <c r="K40" i="8" s="1"/>
  <c r="AA40" i="8" s="1"/>
  <c r="BB40" i="8" s="1"/>
  <c r="AN36" i="7"/>
  <c r="BO36" i="7" s="1"/>
  <c r="O40" i="7"/>
  <c r="L40" i="7"/>
  <c r="AE40" i="7" s="1"/>
  <c r="BF40" i="7" s="1"/>
  <c r="J39" i="7"/>
  <c r="B43" i="8"/>
  <c r="A44" i="8"/>
  <c r="BI37" i="8"/>
  <c r="AK37" i="8"/>
  <c r="AJ37" i="8"/>
  <c r="BK37" i="8" s="1"/>
  <c r="AI39" i="7"/>
  <c r="AC39" i="7"/>
  <c r="BD39" i="7" s="1"/>
  <c r="AD39" i="7"/>
  <c r="BE39" i="7" s="1"/>
  <c r="AB39" i="7"/>
  <c r="BC39" i="7" s="1"/>
  <c r="AQ41" i="8"/>
  <c r="AR41" i="8"/>
  <c r="BN41" i="8" s="1"/>
  <c r="AI38" i="8"/>
  <c r="AC38" i="8"/>
  <c r="BD38" i="8" s="1"/>
  <c r="AD38" i="8"/>
  <c r="BE38" i="8" s="1"/>
  <c r="AB38" i="8"/>
  <c r="A46" i="7"/>
  <c r="B45" i="7"/>
  <c r="B51" i="9"/>
  <c r="C52" i="9"/>
  <c r="BJ38" i="7"/>
  <c r="AL38" i="7"/>
  <c r="BM38" i="7" s="1"/>
  <c r="BI37" i="7"/>
  <c r="AK37" i="7"/>
  <c r="AJ37" i="7"/>
  <c r="BK37" i="7" s="1"/>
  <c r="X50" i="9"/>
  <c r="F50" i="9"/>
  <c r="L50" i="9"/>
  <c r="U50" i="9"/>
  <c r="S50" i="9"/>
  <c r="D41" i="7" s="1"/>
  <c r="I41" i="7" s="1"/>
  <c r="R50" i="9"/>
  <c r="Q50" i="9"/>
  <c r="K50" i="9"/>
  <c r="Z50" i="9"/>
  <c r="G50" i="9"/>
  <c r="Y50" i="9"/>
  <c r="D41" i="8" s="1"/>
  <c r="I41" i="8" s="1"/>
  <c r="AA50" i="9"/>
  <c r="J50" i="9"/>
  <c r="V50" i="9"/>
  <c r="E50" i="9"/>
  <c r="I50" i="9"/>
  <c r="E41" i="7" s="1"/>
  <c r="N50" i="9"/>
  <c r="P50" i="9"/>
  <c r="D50" i="9"/>
  <c r="T50" i="9"/>
  <c r="W50" i="9"/>
  <c r="H50" i="9"/>
  <c r="O50" i="9"/>
  <c r="E41" i="8" s="1"/>
  <c r="M50" i="9"/>
  <c r="AL37" i="8"/>
  <c r="BM37" i="8" s="1"/>
  <c r="BJ37" i="8"/>
  <c r="AL37" i="7"/>
  <c r="BM37" i="7" s="1"/>
  <c r="BJ37" i="7"/>
  <c r="AG36" i="7"/>
  <c r="BH36" i="7" s="1"/>
  <c r="AJ38" i="7"/>
  <c r="BK38" i="7" s="1"/>
  <c r="BI38" i="7"/>
  <c r="AK38" i="7"/>
  <c r="AR43" i="7"/>
  <c r="BN43" i="7" s="1"/>
  <c r="AQ43" i="7"/>
  <c r="AF37" i="8"/>
  <c r="BG37" i="8" s="1"/>
  <c r="AF37" i="7"/>
  <c r="BG37" i="7" s="1"/>
  <c r="C44" i="7"/>
  <c r="AP44" i="7"/>
  <c r="AP42" i="8"/>
  <c r="C42" i="8"/>
  <c r="O40" i="8"/>
  <c r="L40" i="8"/>
  <c r="AE40" i="8" s="1"/>
  <c r="BF40" i="8" s="1"/>
  <c r="G40" i="7"/>
  <c r="AK38" i="8" l="1"/>
  <c r="BL38" i="8" s="1"/>
  <c r="Z38" i="8"/>
  <c r="BA38" i="8" s="1"/>
  <c r="U39" i="7"/>
  <c r="AV39" i="7" s="1"/>
  <c r="X39" i="7"/>
  <c r="AY39" i="7" s="1"/>
  <c r="W39" i="7"/>
  <c r="AX39" i="7" s="1"/>
  <c r="X39" i="8"/>
  <c r="AY39" i="8" s="1"/>
  <c r="W39" i="8"/>
  <c r="AX39" i="8" s="1"/>
  <c r="J39" i="8"/>
  <c r="AF38" i="7"/>
  <c r="BG38" i="7" s="1"/>
  <c r="AC39" i="8"/>
  <c r="BD39" i="8" s="1"/>
  <c r="AD39" i="8"/>
  <c r="BE39" i="8" s="1"/>
  <c r="AI39" i="8"/>
  <c r="BJ39" i="8" s="1"/>
  <c r="H40" i="8"/>
  <c r="N40" i="8" s="1"/>
  <c r="AC40" i="8" s="1"/>
  <c r="BD40" i="8" s="1"/>
  <c r="M40" i="8"/>
  <c r="X40" i="8" s="1"/>
  <c r="AY40" i="8" s="1"/>
  <c r="U40" i="8"/>
  <c r="AV40" i="8" s="1"/>
  <c r="S40" i="8"/>
  <c r="AT40" i="8" s="1"/>
  <c r="T40" i="8"/>
  <c r="AU40" i="8" s="1"/>
  <c r="G41" i="8"/>
  <c r="K41" i="8" s="1"/>
  <c r="AA41" i="8" s="1"/>
  <c r="BB41" i="8" s="1"/>
  <c r="M40" i="7"/>
  <c r="H40" i="7"/>
  <c r="N40" i="7" s="1"/>
  <c r="T40" i="7"/>
  <c r="AU40" i="7" s="1"/>
  <c r="S40" i="7"/>
  <c r="K40" i="7"/>
  <c r="AA40" i="7" s="1"/>
  <c r="B44" i="8"/>
  <c r="A45" i="8"/>
  <c r="O41" i="7"/>
  <c r="L41" i="7"/>
  <c r="AE41" i="7" s="1"/>
  <c r="BF41" i="7" s="1"/>
  <c r="AP43" i="8"/>
  <c r="C43" i="8"/>
  <c r="AP45" i="7"/>
  <c r="C45" i="7"/>
  <c r="B46" i="7"/>
  <c r="A47" i="7"/>
  <c r="AK39" i="7"/>
  <c r="AJ39" i="7"/>
  <c r="BK39" i="7" s="1"/>
  <c r="BI39" i="7"/>
  <c r="AL39" i="7"/>
  <c r="BM39" i="7" s="1"/>
  <c r="BJ39" i="7"/>
  <c r="AF39" i="7"/>
  <c r="BG39" i="7" s="1"/>
  <c r="AR42" i="8"/>
  <c r="BN42" i="8" s="1"/>
  <c r="AQ42" i="8"/>
  <c r="B52" i="9"/>
  <c r="C53" i="9"/>
  <c r="BL38" i="7"/>
  <c r="AN38" i="7"/>
  <c r="BO38" i="7" s="1"/>
  <c r="L51" i="9"/>
  <c r="T51" i="9"/>
  <c r="R51" i="9"/>
  <c r="I51" i="9"/>
  <c r="E42" i="7" s="1"/>
  <c r="H51" i="9"/>
  <c r="F51" i="9"/>
  <c r="D51" i="9"/>
  <c r="X51" i="9"/>
  <c r="G51" i="9"/>
  <c r="V51" i="9"/>
  <c r="Y51" i="9"/>
  <c r="D42" i="8" s="1"/>
  <c r="I42" i="8" s="1"/>
  <c r="W51" i="9"/>
  <c r="E51" i="9"/>
  <c r="S51" i="9"/>
  <c r="D42" i="7" s="1"/>
  <c r="I42" i="7" s="1"/>
  <c r="Z51" i="9"/>
  <c r="U51" i="9"/>
  <c r="N51" i="9"/>
  <c r="P51" i="9"/>
  <c r="O51" i="9"/>
  <c r="E42" i="8" s="1"/>
  <c r="K51" i="9"/>
  <c r="M51" i="9"/>
  <c r="Q51" i="9"/>
  <c r="AA51" i="9"/>
  <c r="J51" i="9"/>
  <c r="BJ38" i="8"/>
  <c r="AL38" i="8"/>
  <c r="BM38" i="8" s="1"/>
  <c r="BC39" i="8"/>
  <c r="AK39" i="8"/>
  <c r="BI39" i="8"/>
  <c r="AN37" i="7"/>
  <c r="BO37" i="7" s="1"/>
  <c r="BL37" i="7"/>
  <c r="AQ44" i="7"/>
  <c r="AR44" i="7"/>
  <c r="BN44" i="7" s="1"/>
  <c r="AG37" i="8"/>
  <c r="BH37" i="8" s="1"/>
  <c r="O41" i="8"/>
  <c r="L41" i="8"/>
  <c r="AE41" i="8" s="1"/>
  <c r="BF41" i="8" s="1"/>
  <c r="AG37" i="7"/>
  <c r="BH37" i="7" s="1"/>
  <c r="G41" i="7"/>
  <c r="K41" i="7" s="1"/>
  <c r="AA41" i="7" s="1"/>
  <c r="AJ38" i="8"/>
  <c r="BK38" i="8" s="1"/>
  <c r="AN37" i="8"/>
  <c r="BO37" i="8" s="1"/>
  <c r="BL37" i="8"/>
  <c r="BC38" i="8"/>
  <c r="AF38" i="8"/>
  <c r="BG38" i="8" s="1"/>
  <c r="Z39" i="7" l="1"/>
  <c r="BA39" i="7" s="1"/>
  <c r="AF39" i="8"/>
  <c r="BG39" i="8" s="1"/>
  <c r="W40" i="8"/>
  <c r="AX40" i="8" s="1"/>
  <c r="AB40" i="8"/>
  <c r="BC40" i="8" s="1"/>
  <c r="AH40" i="8"/>
  <c r="BI40" i="8" s="1"/>
  <c r="J40" i="8"/>
  <c r="AL39" i="8"/>
  <c r="BM39" i="8" s="1"/>
  <c r="Z39" i="8"/>
  <c r="BA39" i="8" s="1"/>
  <c r="AJ39" i="8"/>
  <c r="BK39" i="8" s="1"/>
  <c r="AG38" i="7"/>
  <c r="BH38" i="7" s="1"/>
  <c r="AD40" i="8"/>
  <c r="BE40" i="8" s="1"/>
  <c r="U41" i="8"/>
  <c r="AV41" i="8" s="1"/>
  <c r="AI40" i="8"/>
  <c r="BJ40" i="8" s="1"/>
  <c r="S41" i="8"/>
  <c r="AT41" i="8" s="1"/>
  <c r="H41" i="8"/>
  <c r="N41" i="8" s="1"/>
  <c r="AI41" i="8" s="1"/>
  <c r="M41" i="8"/>
  <c r="W41" i="8" s="1"/>
  <c r="AX41" i="8" s="1"/>
  <c r="T41" i="8"/>
  <c r="AU41" i="8" s="1"/>
  <c r="AG38" i="8"/>
  <c r="BH38" i="8" s="1"/>
  <c r="AN38" i="8"/>
  <c r="BO38" i="8" s="1"/>
  <c r="G42" i="7"/>
  <c r="K42" i="7" s="1"/>
  <c r="AA42" i="7" s="1"/>
  <c r="BB41" i="7"/>
  <c r="C44" i="8"/>
  <c r="AP44" i="8"/>
  <c r="AN39" i="7"/>
  <c r="BO39" i="7" s="1"/>
  <c r="BL39" i="7"/>
  <c r="AT40" i="7"/>
  <c r="C54" i="9"/>
  <c r="B53" i="9"/>
  <c r="B47" i="7"/>
  <c r="A48" i="7"/>
  <c r="G42" i="8"/>
  <c r="L52" i="9"/>
  <c r="X52" i="9"/>
  <c r="R52" i="9"/>
  <c r="H52" i="9"/>
  <c r="U52" i="9"/>
  <c r="T52" i="9"/>
  <c r="S52" i="9"/>
  <c r="D43" i="7" s="1"/>
  <c r="I43" i="7" s="1"/>
  <c r="G52" i="9"/>
  <c r="F52" i="9"/>
  <c r="E52" i="9"/>
  <c r="D52" i="9"/>
  <c r="K52" i="9"/>
  <c r="Y52" i="9"/>
  <c r="D43" i="8" s="1"/>
  <c r="I43" i="8" s="1"/>
  <c r="N52" i="9"/>
  <c r="O52" i="9"/>
  <c r="E43" i="8" s="1"/>
  <c r="Q52" i="9"/>
  <c r="W52" i="9"/>
  <c r="P52" i="9"/>
  <c r="AA52" i="9"/>
  <c r="I52" i="9"/>
  <c r="E43" i="7" s="1"/>
  <c r="J52" i="9"/>
  <c r="Z52" i="9"/>
  <c r="M52" i="9"/>
  <c r="V52" i="9"/>
  <c r="AP46" i="7"/>
  <c r="C46" i="7"/>
  <c r="AI40" i="7"/>
  <c r="AC40" i="7"/>
  <c r="BD40" i="7" s="1"/>
  <c r="AD40" i="7"/>
  <c r="BE40" i="7" s="1"/>
  <c r="AB40" i="7"/>
  <c r="BC40" i="7" s="1"/>
  <c r="A46" i="8"/>
  <c r="B45" i="8"/>
  <c r="AQ45" i="7"/>
  <c r="AR45" i="7"/>
  <c r="BN45" i="7" s="1"/>
  <c r="J40" i="7"/>
  <c r="L42" i="8"/>
  <c r="AE42" i="8" s="1"/>
  <c r="BF42" i="8" s="1"/>
  <c r="O42" i="8"/>
  <c r="AH40" i="7"/>
  <c r="W40" i="7"/>
  <c r="AX40" i="7" s="1"/>
  <c r="X40" i="7"/>
  <c r="AY40" i="7" s="1"/>
  <c r="U40" i="7"/>
  <c r="AV40" i="7" s="1"/>
  <c r="AR43" i="8"/>
  <c r="BN43" i="8" s="1"/>
  <c r="AQ43" i="8"/>
  <c r="BB40" i="7"/>
  <c r="H41" i="7"/>
  <c r="N41" i="7" s="1"/>
  <c r="M41" i="7"/>
  <c r="T41" i="7"/>
  <c r="AU41" i="7" s="1"/>
  <c r="S41" i="7"/>
  <c r="BL39" i="8"/>
  <c r="L42" i="7"/>
  <c r="AE42" i="7" s="1"/>
  <c r="BF42" i="7" s="1"/>
  <c r="O42" i="7"/>
  <c r="AK40" i="8" l="1"/>
  <c r="AN39" i="8"/>
  <c r="BO39" i="8" s="1"/>
  <c r="AG39" i="7"/>
  <c r="BH39" i="7" s="1"/>
  <c r="Z40" i="8"/>
  <c r="BA40" i="8" s="1"/>
  <c r="AG39" i="8"/>
  <c r="BH39" i="8" s="1"/>
  <c r="AJ40" i="8"/>
  <c r="BK40" i="8" s="1"/>
  <c r="AF40" i="8"/>
  <c r="BG40" i="8" s="1"/>
  <c r="AC41" i="8"/>
  <c r="BD41" i="8" s="1"/>
  <c r="AL40" i="8"/>
  <c r="BM40" i="8" s="1"/>
  <c r="AB41" i="8"/>
  <c r="BC41" i="8" s="1"/>
  <c r="AD41" i="8"/>
  <c r="BE41" i="8" s="1"/>
  <c r="T42" i="7"/>
  <c r="AU42" i="7" s="1"/>
  <c r="M42" i="7"/>
  <c r="W42" i="7" s="1"/>
  <c r="AX42" i="7" s="1"/>
  <c r="X41" i="8"/>
  <c r="AY41" i="8" s="1"/>
  <c r="J41" i="8"/>
  <c r="AH41" i="8"/>
  <c r="AJ41" i="8" s="1"/>
  <c r="BK41" i="8" s="1"/>
  <c r="H42" i="7"/>
  <c r="N42" i="7" s="1"/>
  <c r="AC42" i="7" s="1"/>
  <c r="BD42" i="7" s="1"/>
  <c r="S42" i="7"/>
  <c r="AT42" i="7" s="1"/>
  <c r="J41" i="7"/>
  <c r="G43" i="8"/>
  <c r="M43" i="8" s="1"/>
  <c r="Z40" i="7"/>
  <c r="BA40" i="7" s="1"/>
  <c r="G43" i="7"/>
  <c r="M43" i="7" s="1"/>
  <c r="B54" i="9"/>
  <c r="C55" i="9"/>
  <c r="BJ41" i="8"/>
  <c r="AL41" i="8"/>
  <c r="BM41" i="8" s="1"/>
  <c r="AP45" i="8"/>
  <c r="C45" i="8"/>
  <c r="O43" i="7"/>
  <c r="L43" i="7"/>
  <c r="AE43" i="7" s="1"/>
  <c r="BF43" i="7" s="1"/>
  <c r="O43" i="8"/>
  <c r="L43" i="8"/>
  <c r="AE43" i="8" s="1"/>
  <c r="BF43" i="8" s="1"/>
  <c r="BL40" i="8"/>
  <c r="H42" i="8"/>
  <c r="N42" i="8" s="1"/>
  <c r="M42" i="8"/>
  <c r="S42" i="8"/>
  <c r="T42" i="8"/>
  <c r="AU42" i="8" s="1"/>
  <c r="U42" i="8"/>
  <c r="AV42" i="8" s="1"/>
  <c r="K42" i="8"/>
  <c r="AA42" i="8" s="1"/>
  <c r="AR44" i="8"/>
  <c r="BN44" i="8" s="1"/>
  <c r="AQ44" i="8"/>
  <c r="BJ40" i="7"/>
  <c r="AL40" i="7"/>
  <c r="BM40" i="7" s="1"/>
  <c r="A49" i="7"/>
  <c r="B48" i="7"/>
  <c r="AT41" i="7"/>
  <c r="C47" i="7"/>
  <c r="AP47" i="7"/>
  <c r="B46" i="8"/>
  <c r="A47" i="8"/>
  <c r="AH41" i="7"/>
  <c r="W41" i="7"/>
  <c r="AX41" i="7" s="1"/>
  <c r="X41" i="7"/>
  <c r="AY41" i="7" s="1"/>
  <c r="U41" i="7"/>
  <c r="AV41" i="7" s="1"/>
  <c r="AI41" i="7"/>
  <c r="AC41" i="7"/>
  <c r="BD41" i="7" s="1"/>
  <c r="AD41" i="7"/>
  <c r="BE41" i="7" s="1"/>
  <c r="AB41" i="7"/>
  <c r="BB42" i="7"/>
  <c r="AR46" i="7"/>
  <c r="BN46" i="7" s="1"/>
  <c r="AQ46" i="7"/>
  <c r="AF40" i="7"/>
  <c r="BG40" i="7" s="1"/>
  <c r="BI40" i="7"/>
  <c r="AJ40" i="7"/>
  <c r="BK40" i="7" s="1"/>
  <c r="AK40" i="7"/>
  <c r="X53" i="9"/>
  <c r="L53" i="9"/>
  <c r="F53" i="9"/>
  <c r="Q53" i="9"/>
  <c r="D53" i="9"/>
  <c r="Y53" i="9"/>
  <c r="D44" i="8" s="1"/>
  <c r="I44" i="8" s="1"/>
  <c r="U53" i="9"/>
  <c r="T53" i="9"/>
  <c r="S53" i="9"/>
  <c r="D44" i="7" s="1"/>
  <c r="I44" i="7" s="1"/>
  <c r="R53" i="9"/>
  <c r="V53" i="9"/>
  <c r="O53" i="9"/>
  <c r="E44" i="8" s="1"/>
  <c r="H53" i="9"/>
  <c r="I53" i="9"/>
  <c r="E44" i="7" s="1"/>
  <c r="N53" i="9"/>
  <c r="M53" i="9"/>
  <c r="G53" i="9"/>
  <c r="W53" i="9"/>
  <c r="K53" i="9"/>
  <c r="E53" i="9"/>
  <c r="J53" i="9"/>
  <c r="Z53" i="9"/>
  <c r="AA53" i="9"/>
  <c r="P53" i="9"/>
  <c r="AG40" i="8" l="1"/>
  <c r="BH40" i="8" s="1"/>
  <c r="AN40" i="8"/>
  <c r="BO40" i="8" s="1"/>
  <c r="AH42" i="7"/>
  <c r="AK42" i="7" s="1"/>
  <c r="AI42" i="7"/>
  <c r="AL42" i="7" s="1"/>
  <c r="BM42" i="7" s="1"/>
  <c r="AF41" i="8"/>
  <c r="BG41" i="8" s="1"/>
  <c r="J42" i="7"/>
  <c r="AK41" i="8"/>
  <c r="BL41" i="8" s="1"/>
  <c r="BI41" i="8"/>
  <c r="U42" i="7"/>
  <c r="AV42" i="7" s="1"/>
  <c r="X42" i="7"/>
  <c r="AY42" i="7" s="1"/>
  <c r="Z41" i="8"/>
  <c r="BA41" i="8" s="1"/>
  <c r="AB42" i="7"/>
  <c r="BC42" i="7" s="1"/>
  <c r="AD42" i="7"/>
  <c r="BE42" i="7" s="1"/>
  <c r="S43" i="7"/>
  <c r="AT43" i="7" s="1"/>
  <c r="T43" i="7"/>
  <c r="AU43" i="7" s="1"/>
  <c r="K43" i="7"/>
  <c r="AA43" i="7" s="1"/>
  <c r="BB43" i="7" s="1"/>
  <c r="T43" i="8"/>
  <c r="AU43" i="8" s="1"/>
  <c r="U43" i="8"/>
  <c r="AV43" i="8" s="1"/>
  <c r="S43" i="8"/>
  <c r="AT43" i="8" s="1"/>
  <c r="K43" i="8"/>
  <c r="AA43" i="8" s="1"/>
  <c r="BB43" i="8" s="1"/>
  <c r="H43" i="8"/>
  <c r="N43" i="8" s="1"/>
  <c r="H43" i="7"/>
  <c r="N43" i="7" s="1"/>
  <c r="AI43" i="7" s="1"/>
  <c r="G44" i="8"/>
  <c r="S44" i="8" s="1"/>
  <c r="BJ42" i="7"/>
  <c r="C56" i="9"/>
  <c r="B55" i="9"/>
  <c r="X54" i="9"/>
  <c r="L54" i="9"/>
  <c r="F54" i="9"/>
  <c r="T54" i="9"/>
  <c r="S54" i="9"/>
  <c r="D45" i="7" s="1"/>
  <c r="I45" i="7" s="1"/>
  <c r="R54" i="9"/>
  <c r="P54" i="9"/>
  <c r="O54" i="9"/>
  <c r="E45" i="8" s="1"/>
  <c r="D54" i="9"/>
  <c r="I54" i="9"/>
  <c r="E45" i="7" s="1"/>
  <c r="G54" i="9"/>
  <c r="V54" i="9"/>
  <c r="M54" i="9"/>
  <c r="E54" i="9"/>
  <c r="Q54" i="9"/>
  <c r="U54" i="9"/>
  <c r="W54" i="9"/>
  <c r="AA54" i="9"/>
  <c r="Y54" i="9"/>
  <c r="D45" i="8" s="1"/>
  <c r="I45" i="8" s="1"/>
  <c r="Z54" i="9"/>
  <c r="N54" i="9"/>
  <c r="K54" i="9"/>
  <c r="H54" i="9"/>
  <c r="J54" i="9"/>
  <c r="AT42" i="8"/>
  <c r="AH42" i="8"/>
  <c r="W42" i="8"/>
  <c r="AX42" i="8" s="1"/>
  <c r="X42" i="8"/>
  <c r="AY42" i="8" s="1"/>
  <c r="AN40" i="7"/>
  <c r="BO40" i="7" s="1"/>
  <c r="BL40" i="7"/>
  <c r="BJ41" i="7"/>
  <c r="AL41" i="7"/>
  <c r="BM41" i="7" s="1"/>
  <c r="AQ45" i="8"/>
  <c r="AR45" i="8"/>
  <c r="BN45" i="8" s="1"/>
  <c r="AP48" i="7"/>
  <c r="C48" i="7"/>
  <c r="AI42" i="8"/>
  <c r="AC42" i="8"/>
  <c r="BD42" i="8" s="1"/>
  <c r="AD42" i="8"/>
  <c r="BE42" i="8" s="1"/>
  <c r="AB42" i="8"/>
  <c r="BC42" i="8" s="1"/>
  <c r="O44" i="7"/>
  <c r="L44" i="7"/>
  <c r="AE44" i="7" s="1"/>
  <c r="BF44" i="7" s="1"/>
  <c r="AJ41" i="7"/>
  <c r="BK41" i="7" s="1"/>
  <c r="BI41" i="7"/>
  <c r="AK41" i="7"/>
  <c r="AP46" i="8"/>
  <c r="C46" i="8"/>
  <c r="B49" i="7"/>
  <c r="A50" i="7"/>
  <c r="J42" i="8"/>
  <c r="BB42" i="8"/>
  <c r="G44" i="7"/>
  <c r="BC41" i="7"/>
  <c r="AF41" i="7"/>
  <c r="BG41" i="7" s="1"/>
  <c r="AR47" i="7"/>
  <c r="BN47" i="7" s="1"/>
  <c r="AQ47" i="7"/>
  <c r="Z41" i="7"/>
  <c r="O44" i="8"/>
  <c r="L44" i="8"/>
  <c r="AE44" i="8" s="1"/>
  <c r="BF44" i="8" s="1"/>
  <c r="AG40" i="7"/>
  <c r="BH40" i="7" s="1"/>
  <c r="B47" i="8"/>
  <c r="A48" i="8"/>
  <c r="AH43" i="8"/>
  <c r="W43" i="8"/>
  <c r="AX43" i="8" s="1"/>
  <c r="X43" i="8"/>
  <c r="AY43" i="8" s="1"/>
  <c r="AH43" i="7"/>
  <c r="W43" i="7"/>
  <c r="AX43" i="7" s="1"/>
  <c r="X43" i="7"/>
  <c r="AY43" i="7" s="1"/>
  <c r="U43" i="7"/>
  <c r="AV43" i="7" s="1"/>
  <c r="AN41" i="8" l="1"/>
  <c r="BO41" i="8" s="1"/>
  <c r="BI42" i="7"/>
  <c r="AJ42" i="7"/>
  <c r="BK42" i="7" s="1"/>
  <c r="AG41" i="8"/>
  <c r="BH41" i="8" s="1"/>
  <c r="AF42" i="7"/>
  <c r="BG42" i="7" s="1"/>
  <c r="Z42" i="7"/>
  <c r="J43" i="8"/>
  <c r="AD43" i="7"/>
  <c r="BE43" i="7" s="1"/>
  <c r="AC43" i="7"/>
  <c r="BD43" i="7" s="1"/>
  <c r="AB43" i="7"/>
  <c r="BC43" i="7" s="1"/>
  <c r="J43" i="7"/>
  <c r="M44" i="8"/>
  <c r="AH44" i="8" s="1"/>
  <c r="K44" i="8"/>
  <c r="AA44" i="8" s="1"/>
  <c r="BB44" i="8" s="1"/>
  <c r="H44" i="8"/>
  <c r="N44" i="8" s="1"/>
  <c r="AI44" i="8" s="1"/>
  <c r="Z43" i="7"/>
  <c r="BA43" i="7" s="1"/>
  <c r="U44" i="8"/>
  <c r="AV44" i="8" s="1"/>
  <c r="T44" i="8"/>
  <c r="AU44" i="8" s="1"/>
  <c r="Z43" i="8"/>
  <c r="BA43" i="8" s="1"/>
  <c r="G45" i="8"/>
  <c r="K45" i="8" s="1"/>
  <c r="AA45" i="8" s="1"/>
  <c r="BB45" i="8" s="1"/>
  <c r="L45" i="7"/>
  <c r="AE45" i="7" s="1"/>
  <c r="BF45" i="7" s="1"/>
  <c r="O45" i="7"/>
  <c r="AT44" i="8"/>
  <c r="AK42" i="8"/>
  <c r="AJ42" i="8"/>
  <c r="BK42" i="8" s="1"/>
  <c r="BI42" i="8"/>
  <c r="AQ48" i="7"/>
  <c r="AR48" i="7"/>
  <c r="BN48" i="7" s="1"/>
  <c r="AP49" i="7"/>
  <c r="C49" i="7"/>
  <c r="BI43" i="7"/>
  <c r="AK43" i="7"/>
  <c r="AJ43" i="7"/>
  <c r="BK43" i="7" s="1"/>
  <c r="G45" i="7"/>
  <c r="K45" i="7" s="1"/>
  <c r="AA45" i="7" s="1"/>
  <c r="AN42" i="7"/>
  <c r="BO42" i="7" s="1"/>
  <c r="BL42" i="7"/>
  <c r="B50" i="7"/>
  <c r="A51" i="7"/>
  <c r="Z42" i="8"/>
  <c r="R55" i="9"/>
  <c r="F55" i="9"/>
  <c r="X55" i="9"/>
  <c r="T55" i="9"/>
  <c r="I55" i="9"/>
  <c r="E46" i="7" s="1"/>
  <c r="H55" i="9"/>
  <c r="K55" i="9"/>
  <c r="L55" i="9"/>
  <c r="M55" i="9"/>
  <c r="Z55" i="9"/>
  <c r="N55" i="9"/>
  <c r="Q55" i="9"/>
  <c r="P55" i="9"/>
  <c r="O55" i="9"/>
  <c r="E46" i="8" s="1"/>
  <c r="AA55" i="9"/>
  <c r="J55" i="9"/>
  <c r="S55" i="9"/>
  <c r="D46" i="7" s="1"/>
  <c r="I46" i="7" s="1"/>
  <c r="W55" i="9"/>
  <c r="U55" i="9"/>
  <c r="Y55" i="9"/>
  <c r="D46" i="8" s="1"/>
  <c r="I46" i="8" s="1"/>
  <c r="V55" i="9"/>
  <c r="G55" i="9"/>
  <c r="D55" i="9"/>
  <c r="E55" i="9"/>
  <c r="AI43" i="8"/>
  <c r="AJ43" i="8" s="1"/>
  <c r="BK43" i="8" s="1"/>
  <c r="AC43" i="8"/>
  <c r="BD43" i="8" s="1"/>
  <c r="AD43" i="8"/>
  <c r="BE43" i="8" s="1"/>
  <c r="AB43" i="8"/>
  <c r="BA41" i="7"/>
  <c r="AG41" i="7"/>
  <c r="BH41" i="7" s="1"/>
  <c r="BJ43" i="7"/>
  <c r="AL43" i="7"/>
  <c r="BM43" i="7" s="1"/>
  <c r="BL41" i="7"/>
  <c r="AN41" i="7"/>
  <c r="BO41" i="7" s="1"/>
  <c r="B56" i="9"/>
  <c r="C57" i="9"/>
  <c r="AR46" i="8"/>
  <c r="BN46" i="8" s="1"/>
  <c r="AQ46" i="8"/>
  <c r="BI43" i="8"/>
  <c r="AK43" i="8"/>
  <c r="H44" i="7"/>
  <c r="N44" i="7" s="1"/>
  <c r="M44" i="7"/>
  <c r="T44" i="7"/>
  <c r="AU44" i="7" s="1"/>
  <c r="S44" i="7"/>
  <c r="K44" i="7"/>
  <c r="AA44" i="7" s="1"/>
  <c r="AL42" i="8"/>
  <c r="BM42" i="8" s="1"/>
  <c r="BJ42" i="8"/>
  <c r="O45" i="8"/>
  <c r="L45" i="8"/>
  <c r="AE45" i="8" s="1"/>
  <c r="BF45" i="8" s="1"/>
  <c r="A49" i="8"/>
  <c r="B48" i="8"/>
  <c r="C47" i="8"/>
  <c r="AP47" i="8"/>
  <c r="AF42" i="8"/>
  <c r="BG42" i="8" s="1"/>
  <c r="AG42" i="7" l="1"/>
  <c r="BH42" i="7" s="1"/>
  <c r="BA42" i="7"/>
  <c r="AF43" i="7"/>
  <c r="BG43" i="7" s="1"/>
  <c r="X44" i="8"/>
  <c r="AY44" i="8" s="1"/>
  <c r="W44" i="8"/>
  <c r="AX44" i="8" s="1"/>
  <c r="AD44" i="8"/>
  <c r="BE44" i="8" s="1"/>
  <c r="J44" i="8"/>
  <c r="AB44" i="8"/>
  <c r="BC44" i="8" s="1"/>
  <c r="M45" i="8"/>
  <c r="W45" i="8" s="1"/>
  <c r="AX45" i="8" s="1"/>
  <c r="AC44" i="8"/>
  <c r="BD44" i="8" s="1"/>
  <c r="H45" i="8"/>
  <c r="N45" i="8" s="1"/>
  <c r="AD45" i="8" s="1"/>
  <c r="BE45" i="8" s="1"/>
  <c r="G46" i="8"/>
  <c r="K46" i="8" s="1"/>
  <c r="AA46" i="8" s="1"/>
  <c r="BB46" i="8" s="1"/>
  <c r="J44" i="7"/>
  <c r="S45" i="8"/>
  <c r="AT45" i="8" s="1"/>
  <c r="T45" i="8"/>
  <c r="AU45" i="8" s="1"/>
  <c r="U45" i="8"/>
  <c r="AV45" i="8" s="1"/>
  <c r="G46" i="7"/>
  <c r="T46" i="7" s="1"/>
  <c r="AU46" i="7" s="1"/>
  <c r="BB45" i="7"/>
  <c r="H45" i="7"/>
  <c r="N45" i="7" s="1"/>
  <c r="M45" i="7"/>
  <c r="T45" i="7"/>
  <c r="AU45" i="7" s="1"/>
  <c r="S45" i="7"/>
  <c r="BL43" i="8"/>
  <c r="BC43" i="8"/>
  <c r="AF43" i="8"/>
  <c r="B57" i="9"/>
  <c r="C58" i="9"/>
  <c r="BA42" i="8"/>
  <c r="AG42" i="8"/>
  <c r="BH42" i="8" s="1"/>
  <c r="BJ44" i="8"/>
  <c r="AL44" i="8"/>
  <c r="BM44" i="8" s="1"/>
  <c r="O46" i="7"/>
  <c r="L46" i="7"/>
  <c r="AE46" i="7" s="1"/>
  <c r="BF46" i="7" s="1"/>
  <c r="AL43" i="8"/>
  <c r="BM43" i="8" s="1"/>
  <c r="BJ43" i="8"/>
  <c r="X56" i="9"/>
  <c r="L56" i="9"/>
  <c r="R56" i="9"/>
  <c r="F56" i="9"/>
  <c r="Q56" i="9"/>
  <c r="I56" i="9"/>
  <c r="E47" i="7" s="1"/>
  <c r="J56" i="9"/>
  <c r="P56" i="9"/>
  <c r="V56" i="9"/>
  <c r="N56" i="9"/>
  <c r="D56" i="9"/>
  <c r="G56" i="9"/>
  <c r="T56" i="9"/>
  <c r="M56" i="9"/>
  <c r="Z56" i="9"/>
  <c r="W56" i="9"/>
  <c r="S56" i="9"/>
  <c r="D47" i="7" s="1"/>
  <c r="I47" i="7" s="1"/>
  <c r="AA56" i="9"/>
  <c r="Y56" i="9"/>
  <c r="D47" i="8" s="1"/>
  <c r="I47" i="8" s="1"/>
  <c r="O56" i="9"/>
  <c r="E47" i="8" s="1"/>
  <c r="E56" i="9"/>
  <c r="K56" i="9"/>
  <c r="U56" i="9"/>
  <c r="H56" i="9"/>
  <c r="A52" i="7"/>
  <c r="B51" i="7"/>
  <c r="BB44" i="7"/>
  <c r="AT44" i="7"/>
  <c r="C50" i="7"/>
  <c r="AP50" i="7"/>
  <c r="AR49" i="7"/>
  <c r="BN49" i="7" s="1"/>
  <c r="AQ49" i="7"/>
  <c r="B49" i="8"/>
  <c r="A50" i="8"/>
  <c r="AH44" i="7"/>
  <c r="W44" i="7"/>
  <c r="AX44" i="7" s="1"/>
  <c r="X44" i="7"/>
  <c r="AY44" i="7" s="1"/>
  <c r="U44" i="7"/>
  <c r="AV44" i="7" s="1"/>
  <c r="AJ44" i="8"/>
  <c r="BK44" i="8" s="1"/>
  <c r="BI44" i="8"/>
  <c r="AK44" i="8"/>
  <c r="AN43" i="7"/>
  <c r="BO43" i="7" s="1"/>
  <c r="BL43" i="7"/>
  <c r="O46" i="8"/>
  <c r="L46" i="8"/>
  <c r="AE46" i="8" s="1"/>
  <c r="BF46" i="8" s="1"/>
  <c r="AG43" i="7"/>
  <c r="BH43" i="7" s="1"/>
  <c r="AN42" i="8"/>
  <c r="BO42" i="8" s="1"/>
  <c r="BL42" i="8"/>
  <c r="AR47" i="8"/>
  <c r="BN47" i="8" s="1"/>
  <c r="AQ47" i="8"/>
  <c r="AP48" i="8"/>
  <c r="C48" i="8"/>
  <c r="AI44" i="7"/>
  <c r="AC44" i="7"/>
  <c r="BD44" i="7" s="1"/>
  <c r="AD44" i="7"/>
  <c r="BE44" i="7" s="1"/>
  <c r="AB44" i="7"/>
  <c r="BC44" i="7" s="1"/>
  <c r="Z44" i="8" l="1"/>
  <c r="X45" i="8"/>
  <c r="AY45" i="8" s="1"/>
  <c r="AH45" i="8"/>
  <c r="AK45" i="8" s="1"/>
  <c r="AI45" i="8"/>
  <c r="AL45" i="8" s="1"/>
  <c r="BM45" i="8" s="1"/>
  <c r="AC45" i="8"/>
  <c r="BD45" i="8" s="1"/>
  <c r="AF44" i="8"/>
  <c r="BG44" i="8" s="1"/>
  <c r="T46" i="8"/>
  <c r="AU46" i="8" s="1"/>
  <c r="U46" i="8"/>
  <c r="AV46" i="8" s="1"/>
  <c r="H46" i="8"/>
  <c r="N46" i="8" s="1"/>
  <c r="AI46" i="8" s="1"/>
  <c r="M46" i="8"/>
  <c r="AH46" i="8" s="1"/>
  <c r="J45" i="8"/>
  <c r="AB45" i="8"/>
  <c r="BC45" i="8" s="1"/>
  <c r="S46" i="8"/>
  <c r="AT46" i="8" s="1"/>
  <c r="S46" i="7"/>
  <c r="AT46" i="7" s="1"/>
  <c r="G47" i="8"/>
  <c r="K47" i="8" s="1"/>
  <c r="AA47" i="8" s="1"/>
  <c r="BB47" i="8" s="1"/>
  <c r="K46" i="7"/>
  <c r="AA46" i="7" s="1"/>
  <c r="BB46" i="7" s="1"/>
  <c r="H46" i="7"/>
  <c r="N46" i="7" s="1"/>
  <c r="M46" i="7"/>
  <c r="X46" i="7" s="1"/>
  <c r="AY46" i="7" s="1"/>
  <c r="G47" i="7"/>
  <c r="K47" i="7" s="1"/>
  <c r="AA47" i="7" s="1"/>
  <c r="BB47" i="7" s="1"/>
  <c r="BG43" i="8"/>
  <c r="AG43" i="8"/>
  <c r="BH43" i="8" s="1"/>
  <c r="AP49" i="8"/>
  <c r="C49" i="8"/>
  <c r="AT45" i="7"/>
  <c r="O47" i="8"/>
  <c r="L47" i="8"/>
  <c r="AE47" i="8" s="1"/>
  <c r="BF47" i="8" s="1"/>
  <c r="AH45" i="7"/>
  <c r="W45" i="7"/>
  <c r="AX45" i="7" s="1"/>
  <c r="X45" i="7"/>
  <c r="AY45" i="7" s="1"/>
  <c r="U45" i="7"/>
  <c r="AV45" i="7" s="1"/>
  <c r="Z44" i="7"/>
  <c r="BA44" i="8"/>
  <c r="C59" i="9"/>
  <c r="B58" i="9"/>
  <c r="AI45" i="7"/>
  <c r="AC45" i="7"/>
  <c r="BD45" i="7" s="1"/>
  <c r="AD45" i="7"/>
  <c r="BE45" i="7" s="1"/>
  <c r="AB45" i="7"/>
  <c r="AN43" i="8"/>
  <c r="BO43" i="8" s="1"/>
  <c r="BL44" i="8"/>
  <c r="AN44" i="8"/>
  <c r="BO44" i="8" s="1"/>
  <c r="AR50" i="7"/>
  <c r="BN50" i="7" s="1"/>
  <c r="AQ50" i="7"/>
  <c r="O47" i="7"/>
  <c r="L47" i="7"/>
  <c r="AE47" i="7" s="1"/>
  <c r="BF47" i="7" s="1"/>
  <c r="X57" i="9"/>
  <c r="L57" i="9"/>
  <c r="R57" i="9"/>
  <c r="T57" i="9"/>
  <c r="F57" i="9"/>
  <c r="AA57" i="9"/>
  <c r="E57" i="9"/>
  <c r="W57" i="9"/>
  <c r="N57" i="9"/>
  <c r="O57" i="9"/>
  <c r="E48" i="8" s="1"/>
  <c r="S57" i="9"/>
  <c r="D48" i="7" s="1"/>
  <c r="I48" i="7" s="1"/>
  <c r="K57" i="9"/>
  <c r="Y57" i="9"/>
  <c r="D48" i="8" s="1"/>
  <c r="I48" i="8" s="1"/>
  <c r="D57" i="9"/>
  <c r="I57" i="9"/>
  <c r="E48" i="7" s="1"/>
  <c r="U57" i="9"/>
  <c r="J57" i="9"/>
  <c r="Q57" i="9"/>
  <c r="V57" i="9"/>
  <c r="G57" i="9"/>
  <c r="P57" i="9"/>
  <c r="M57" i="9"/>
  <c r="H57" i="9"/>
  <c r="Z57" i="9"/>
  <c r="J45" i="7"/>
  <c r="BJ44" i="7"/>
  <c r="AL44" i="7"/>
  <c r="BM44" i="7" s="1"/>
  <c r="AF44" i="7"/>
  <c r="BG44" i="7" s="1"/>
  <c r="AR48" i="8"/>
  <c r="BN48" i="8" s="1"/>
  <c r="AQ48" i="8"/>
  <c r="AJ44" i="7"/>
  <c r="BK44" i="7" s="1"/>
  <c r="BI44" i="7"/>
  <c r="AK44" i="7"/>
  <c r="AP51" i="7"/>
  <c r="C51" i="7"/>
  <c r="B50" i="8"/>
  <c r="A51" i="8"/>
  <c r="B52" i="7"/>
  <c r="A53" i="7"/>
  <c r="BJ45" i="8" l="1"/>
  <c r="Z45" i="8"/>
  <c r="AJ45" i="8"/>
  <c r="BK45" i="8" s="1"/>
  <c r="BI45" i="8"/>
  <c r="AB46" i="8"/>
  <c r="BC46" i="8" s="1"/>
  <c r="AD46" i="8"/>
  <c r="BE46" i="8" s="1"/>
  <c r="AC46" i="8"/>
  <c r="BD46" i="8" s="1"/>
  <c r="AG44" i="8"/>
  <c r="BH44" i="8" s="1"/>
  <c r="X46" i="8"/>
  <c r="AY46" i="8" s="1"/>
  <c r="J46" i="8"/>
  <c r="W46" i="7"/>
  <c r="AX46" i="7" s="1"/>
  <c r="AF45" i="8"/>
  <c r="BG45" i="8" s="1"/>
  <c r="T47" i="8"/>
  <c r="AU47" i="8" s="1"/>
  <c r="W46" i="8"/>
  <c r="AX46" i="8" s="1"/>
  <c r="U47" i="8"/>
  <c r="AV47" i="8" s="1"/>
  <c r="S47" i="8"/>
  <c r="AT47" i="8" s="1"/>
  <c r="H47" i="8"/>
  <c r="N47" i="8" s="1"/>
  <c r="AB47" i="8" s="1"/>
  <c r="J46" i="7"/>
  <c r="AH46" i="7"/>
  <c r="BI46" i="7" s="1"/>
  <c r="M47" i="8"/>
  <c r="W47" i="8" s="1"/>
  <c r="AX47" i="8" s="1"/>
  <c r="U46" i="7"/>
  <c r="AV46" i="7" s="1"/>
  <c r="AD46" i="7"/>
  <c r="BE46" i="7" s="1"/>
  <c r="AC46" i="7"/>
  <c r="BD46" i="7" s="1"/>
  <c r="AB46" i="7"/>
  <c r="BC46" i="7" s="1"/>
  <c r="AI46" i="7"/>
  <c r="AL46" i="7" s="1"/>
  <c r="BM46" i="7" s="1"/>
  <c r="M47" i="7"/>
  <c r="AH47" i="7" s="1"/>
  <c r="G48" i="7"/>
  <c r="T48" i="7" s="1"/>
  <c r="AU48" i="7" s="1"/>
  <c r="T47" i="7"/>
  <c r="AU47" i="7" s="1"/>
  <c r="S47" i="7"/>
  <c r="AT47" i="7" s="1"/>
  <c r="H47" i="7"/>
  <c r="N47" i="7" s="1"/>
  <c r="AB47" i="7" s="1"/>
  <c r="O48" i="8"/>
  <c r="L48" i="8"/>
  <c r="AE48" i="8" s="1"/>
  <c r="BF48" i="8" s="1"/>
  <c r="BA44" i="7"/>
  <c r="AG44" i="7"/>
  <c r="BH44" i="7" s="1"/>
  <c r="AN45" i="8"/>
  <c r="BO45" i="8" s="1"/>
  <c r="BL45" i="8"/>
  <c r="Z45" i="7"/>
  <c r="AL46" i="8"/>
  <c r="BM46" i="8" s="1"/>
  <c r="BJ46" i="8"/>
  <c r="AL45" i="7"/>
  <c r="BM45" i="7" s="1"/>
  <c r="BJ45" i="7"/>
  <c r="AR49" i="8"/>
  <c r="BN49" i="8" s="1"/>
  <c r="AQ49" i="8"/>
  <c r="R58" i="9"/>
  <c r="F58" i="9"/>
  <c r="L58" i="9"/>
  <c r="X58" i="9"/>
  <c r="Q58" i="9"/>
  <c r="D58" i="9"/>
  <c r="W58" i="9"/>
  <c r="Y58" i="9"/>
  <c r="D49" i="8" s="1"/>
  <c r="I49" i="8" s="1"/>
  <c r="E58" i="9"/>
  <c r="K58" i="9"/>
  <c r="J58" i="9"/>
  <c r="V58" i="9"/>
  <c r="Z58" i="9"/>
  <c r="M58" i="9"/>
  <c r="U58" i="9"/>
  <c r="O58" i="9"/>
  <c r="E49" i="8" s="1"/>
  <c r="H58" i="9"/>
  <c r="T58" i="9"/>
  <c r="G58" i="9"/>
  <c r="N58" i="9"/>
  <c r="P58" i="9"/>
  <c r="S58" i="9"/>
  <c r="D49" i="7" s="1"/>
  <c r="I49" i="7" s="1"/>
  <c r="I58" i="9"/>
  <c r="E49" i="7" s="1"/>
  <c r="AA58" i="9"/>
  <c r="AK45" i="7"/>
  <c r="AJ45" i="7"/>
  <c r="BK45" i="7" s="1"/>
  <c r="BI45" i="7"/>
  <c r="BC45" i="7"/>
  <c r="AF45" i="7"/>
  <c r="BG45" i="7" s="1"/>
  <c r="C60" i="9"/>
  <c r="B59" i="9"/>
  <c r="BA45" i="8"/>
  <c r="BI46" i="8"/>
  <c r="AK46" i="8"/>
  <c r="AJ46" i="8"/>
  <c r="BK46" i="8" s="1"/>
  <c r="L48" i="7"/>
  <c r="AE48" i="7" s="1"/>
  <c r="BF48" i="7" s="1"/>
  <c r="O48" i="7"/>
  <c r="B53" i="7"/>
  <c r="A54" i="7"/>
  <c r="AP52" i="7"/>
  <c r="C52" i="7"/>
  <c r="A52" i="8"/>
  <c r="B51" i="8"/>
  <c r="AQ51" i="7"/>
  <c r="AR51" i="7"/>
  <c r="BN51" i="7" s="1"/>
  <c r="G48" i="8"/>
  <c r="C50" i="8"/>
  <c r="AP50" i="8"/>
  <c r="BL44" i="7"/>
  <c r="AN44" i="7"/>
  <c r="BO44" i="7" s="1"/>
  <c r="AF46" i="8" l="1"/>
  <c r="BG46" i="8" s="1"/>
  <c r="AG45" i="8"/>
  <c r="BH45" i="8" s="1"/>
  <c r="Z46" i="8"/>
  <c r="BA46" i="8" s="1"/>
  <c r="AC47" i="8"/>
  <c r="BD47" i="8" s="1"/>
  <c r="AK46" i="7"/>
  <c r="AN46" i="7" s="1"/>
  <c r="BO46" i="7" s="1"/>
  <c r="AD47" i="8"/>
  <c r="BE47" i="8" s="1"/>
  <c r="AI47" i="8"/>
  <c r="AL47" i="8" s="1"/>
  <c r="BM47" i="8" s="1"/>
  <c r="J47" i="8"/>
  <c r="AH47" i="8"/>
  <c r="X47" i="8"/>
  <c r="AY47" i="8" s="1"/>
  <c r="Z46" i="7"/>
  <c r="BA46" i="7" s="1"/>
  <c r="S48" i="7"/>
  <c r="AT48" i="7" s="1"/>
  <c r="M48" i="7"/>
  <c r="U48" i="7" s="1"/>
  <c r="AV48" i="7" s="1"/>
  <c r="H48" i="7"/>
  <c r="N48" i="7" s="1"/>
  <c r="BJ46" i="7"/>
  <c r="AJ46" i="7"/>
  <c r="BK46" i="7" s="1"/>
  <c r="U47" i="7"/>
  <c r="AV47" i="7" s="1"/>
  <c r="X47" i="7"/>
  <c r="AY47" i="7" s="1"/>
  <c r="W47" i="7"/>
  <c r="AX47" i="7" s="1"/>
  <c r="AD47" i="7"/>
  <c r="BE47" i="7" s="1"/>
  <c r="AC47" i="7"/>
  <c r="BD47" i="7" s="1"/>
  <c r="AI47" i="7"/>
  <c r="AJ47" i="7" s="1"/>
  <c r="BK47" i="7" s="1"/>
  <c r="K48" i="7"/>
  <c r="AA48" i="7" s="1"/>
  <c r="BB48" i="7" s="1"/>
  <c r="J47" i="7"/>
  <c r="AF46" i="7"/>
  <c r="BG46" i="7" s="1"/>
  <c r="G49" i="7"/>
  <c r="K49" i="7" s="1"/>
  <c r="AA49" i="7" s="1"/>
  <c r="BB49" i="7" s="1"/>
  <c r="AR50" i="8"/>
  <c r="BN50" i="8" s="1"/>
  <c r="AQ50" i="8"/>
  <c r="BI47" i="7"/>
  <c r="AK47" i="7"/>
  <c r="C61" i="9"/>
  <c r="B60" i="9"/>
  <c r="AP51" i="8"/>
  <c r="C51" i="8"/>
  <c r="G49" i="8"/>
  <c r="K49" i="8" s="1"/>
  <c r="AA49" i="8" s="1"/>
  <c r="B52" i="8"/>
  <c r="A53" i="8"/>
  <c r="H48" i="8"/>
  <c r="N48" i="8" s="1"/>
  <c r="M48" i="8"/>
  <c r="S48" i="8"/>
  <c r="U48" i="8"/>
  <c r="AV48" i="8" s="1"/>
  <c r="T48" i="8"/>
  <c r="AU48" i="8" s="1"/>
  <c r="K48" i="8"/>
  <c r="AA48" i="8" s="1"/>
  <c r="BA45" i="7"/>
  <c r="AG45" i="7"/>
  <c r="BH45" i="7" s="1"/>
  <c r="B54" i="7"/>
  <c r="A55" i="7"/>
  <c r="C53" i="7"/>
  <c r="AP53" i="7"/>
  <c r="BC47" i="7"/>
  <c r="AN45" i="7"/>
  <c r="BO45" i="7" s="1"/>
  <c r="BL45" i="7"/>
  <c r="R59" i="9"/>
  <c r="L59" i="9"/>
  <c r="F59" i="9"/>
  <c r="AA59" i="9"/>
  <c r="X59" i="9"/>
  <c r="V59" i="9"/>
  <c r="Q59" i="9"/>
  <c r="E59" i="9"/>
  <c r="P59" i="9"/>
  <c r="W59" i="9"/>
  <c r="M59" i="9"/>
  <c r="G59" i="9"/>
  <c r="N59" i="9"/>
  <c r="I59" i="9"/>
  <c r="E50" i="7" s="1"/>
  <c r="D59" i="9"/>
  <c r="O59" i="9"/>
  <c r="E50" i="8" s="1"/>
  <c r="H59" i="9"/>
  <c r="Y59" i="9"/>
  <c r="D50" i="8" s="1"/>
  <c r="I50" i="8" s="1"/>
  <c r="Z59" i="9"/>
  <c r="K59" i="9"/>
  <c r="J59" i="9"/>
  <c r="U59" i="9"/>
  <c r="S59" i="9"/>
  <c r="D50" i="7" s="1"/>
  <c r="I50" i="7" s="1"/>
  <c r="T59" i="9"/>
  <c r="O49" i="8"/>
  <c r="L49" i="8"/>
  <c r="AE49" i="8" s="1"/>
  <c r="BF49" i="8" s="1"/>
  <c r="AN46" i="8"/>
  <c r="BO46" i="8" s="1"/>
  <c r="BL46" i="8"/>
  <c r="AR52" i="7"/>
  <c r="BN52" i="7" s="1"/>
  <c r="AQ52" i="7"/>
  <c r="BC47" i="8"/>
  <c r="O49" i="7"/>
  <c r="L49" i="7"/>
  <c r="AE49" i="7" s="1"/>
  <c r="BF49" i="7" s="1"/>
  <c r="BL46" i="7" l="1"/>
  <c r="AJ47" i="8"/>
  <c r="BK47" i="8" s="1"/>
  <c r="AG46" i="8"/>
  <c r="BH46" i="8" s="1"/>
  <c r="AF47" i="8"/>
  <c r="BG47" i="8" s="1"/>
  <c r="BJ47" i="8"/>
  <c r="AK47" i="8"/>
  <c r="BL47" i="8" s="1"/>
  <c r="W48" i="7"/>
  <c r="AX48" i="7" s="1"/>
  <c r="X48" i="7"/>
  <c r="AY48" i="7" s="1"/>
  <c r="AH48" i="7"/>
  <c r="BI48" i="7" s="1"/>
  <c r="BI47" i="8"/>
  <c r="Z47" i="8"/>
  <c r="BA47" i="8" s="1"/>
  <c r="J48" i="7"/>
  <c r="AB48" i="7"/>
  <c r="BC48" i="7" s="1"/>
  <c r="AC48" i="7"/>
  <c r="BD48" i="7" s="1"/>
  <c r="AD48" i="7"/>
  <c r="BE48" i="7" s="1"/>
  <c r="AI48" i="7"/>
  <c r="AL48" i="7" s="1"/>
  <c r="BM48" i="7" s="1"/>
  <c r="AG46" i="7"/>
  <c r="BH46" i="7" s="1"/>
  <c r="AL47" i="7"/>
  <c r="BM47" i="7" s="1"/>
  <c r="G50" i="7"/>
  <c r="H50" i="7" s="1"/>
  <c r="BJ47" i="7"/>
  <c r="T49" i="7"/>
  <c r="AU49" i="7" s="1"/>
  <c r="AF47" i="7"/>
  <c r="BG47" i="7" s="1"/>
  <c r="Z47" i="7"/>
  <c r="H49" i="7"/>
  <c r="N49" i="7" s="1"/>
  <c r="AI49" i="7" s="1"/>
  <c r="S49" i="7"/>
  <c r="AT49" i="7" s="1"/>
  <c r="M49" i="7"/>
  <c r="W49" i="7" s="1"/>
  <c r="AX49" i="7" s="1"/>
  <c r="G50" i="8"/>
  <c r="T50" i="8" s="1"/>
  <c r="AU50" i="8" s="1"/>
  <c r="B55" i="7"/>
  <c r="A56" i="7"/>
  <c r="AH48" i="8"/>
  <c r="W48" i="8"/>
  <c r="AX48" i="8" s="1"/>
  <c r="X48" i="8"/>
  <c r="AY48" i="8" s="1"/>
  <c r="B61" i="9"/>
  <c r="C62" i="9"/>
  <c r="B53" i="8"/>
  <c r="A54" i="8"/>
  <c r="BL47" i="7"/>
  <c r="AP52" i="8"/>
  <c r="C52" i="8"/>
  <c r="M49" i="8"/>
  <c r="H49" i="8"/>
  <c r="N49" i="8" s="1"/>
  <c r="S49" i="8"/>
  <c r="U49" i="8"/>
  <c r="AV49" i="8" s="1"/>
  <c r="T49" i="8"/>
  <c r="AU49" i="8" s="1"/>
  <c r="AQ51" i="8"/>
  <c r="AR51" i="8"/>
  <c r="BN51" i="8" s="1"/>
  <c r="AI48" i="8"/>
  <c r="AC48" i="8"/>
  <c r="BD48" i="8" s="1"/>
  <c r="AD48" i="8"/>
  <c r="BE48" i="8" s="1"/>
  <c r="AB48" i="8"/>
  <c r="BC48" i="8" s="1"/>
  <c r="J48" i="8"/>
  <c r="BB48" i="8"/>
  <c r="O50" i="7"/>
  <c r="L50" i="7"/>
  <c r="AE50" i="7" s="1"/>
  <c r="BF50" i="7" s="1"/>
  <c r="AR53" i="7"/>
  <c r="BN53" i="7" s="1"/>
  <c r="AQ53" i="7"/>
  <c r="AP54" i="7"/>
  <c r="C54" i="7"/>
  <c r="BB49" i="8"/>
  <c r="X60" i="9"/>
  <c r="L60" i="9"/>
  <c r="R60" i="9"/>
  <c r="N60" i="9"/>
  <c r="G60" i="9"/>
  <c r="F60" i="9"/>
  <c r="Z60" i="9"/>
  <c r="Y60" i="9"/>
  <c r="D51" i="8" s="1"/>
  <c r="I51" i="8" s="1"/>
  <c r="T60" i="9"/>
  <c r="K60" i="9"/>
  <c r="Q60" i="9"/>
  <c r="AA60" i="9"/>
  <c r="J60" i="9"/>
  <c r="I60" i="9"/>
  <c r="E51" i="7" s="1"/>
  <c r="O60" i="9"/>
  <c r="E51" i="8" s="1"/>
  <c r="V60" i="9"/>
  <c r="D60" i="9"/>
  <c r="P60" i="9"/>
  <c r="S60" i="9"/>
  <c r="D51" i="7" s="1"/>
  <c r="I51" i="7" s="1"/>
  <c r="H60" i="9"/>
  <c r="U60" i="9"/>
  <c r="W60" i="9"/>
  <c r="E60" i="9"/>
  <c r="M60" i="9"/>
  <c r="O50" i="8"/>
  <c r="L50" i="8"/>
  <c r="AE50" i="8" s="1"/>
  <c r="BF50" i="8" s="1"/>
  <c r="AT48" i="8"/>
  <c r="AN47" i="8" l="1"/>
  <c r="BO47" i="8" s="1"/>
  <c r="AK48" i="7"/>
  <c r="AN48" i="7" s="1"/>
  <c r="BO48" i="7" s="1"/>
  <c r="Z48" i="7"/>
  <c r="BA48" i="7" s="1"/>
  <c r="AJ48" i="7"/>
  <c r="BK48" i="7" s="1"/>
  <c r="AG47" i="8"/>
  <c r="BH47" i="8" s="1"/>
  <c r="BJ48" i="7"/>
  <c r="AG47" i="7"/>
  <c r="BH47" i="7" s="1"/>
  <c r="AN47" i="7"/>
  <c r="BO47" i="7" s="1"/>
  <c r="K50" i="7"/>
  <c r="AA50" i="7" s="1"/>
  <c r="BB50" i="7" s="1"/>
  <c r="S50" i="7"/>
  <c r="AT50" i="7" s="1"/>
  <c r="M50" i="7"/>
  <c r="AH50" i="7" s="1"/>
  <c r="AF48" i="7"/>
  <c r="BG48" i="7" s="1"/>
  <c r="T50" i="7"/>
  <c r="AU50" i="7" s="1"/>
  <c r="AH49" i="7"/>
  <c r="BI49" i="7" s="1"/>
  <c r="AB49" i="7"/>
  <c r="BC49" i="7" s="1"/>
  <c r="AD49" i="7"/>
  <c r="BE49" i="7" s="1"/>
  <c r="AC49" i="7"/>
  <c r="BD49" i="7" s="1"/>
  <c r="N50" i="7"/>
  <c r="AI50" i="7" s="1"/>
  <c r="J49" i="7"/>
  <c r="U49" i="7"/>
  <c r="AV49" i="7" s="1"/>
  <c r="BA47" i="7"/>
  <c r="X49" i="7"/>
  <c r="AY49" i="7" s="1"/>
  <c r="U50" i="8"/>
  <c r="AV50" i="8" s="1"/>
  <c r="S50" i="8"/>
  <c r="AT50" i="8" s="1"/>
  <c r="M50" i="8"/>
  <c r="W50" i="8" s="1"/>
  <c r="AX50" i="8" s="1"/>
  <c r="K50" i="8"/>
  <c r="AA50" i="8" s="1"/>
  <c r="BB50" i="8" s="1"/>
  <c r="H50" i="8"/>
  <c r="N50" i="8" s="1"/>
  <c r="J50" i="7"/>
  <c r="G51" i="8"/>
  <c r="K51" i="8" s="1"/>
  <c r="AA51" i="8" s="1"/>
  <c r="BB51" i="8" s="1"/>
  <c r="G51" i="7"/>
  <c r="T51" i="7" s="1"/>
  <c r="AU51" i="7" s="1"/>
  <c r="AR52" i="8"/>
  <c r="BN52" i="8" s="1"/>
  <c r="AQ52" i="8"/>
  <c r="X61" i="9"/>
  <c r="R61" i="9"/>
  <c r="G61" i="9"/>
  <c r="F61" i="9"/>
  <c r="I61" i="9"/>
  <c r="E52" i="7" s="1"/>
  <c r="S61" i="9"/>
  <c r="D52" i="7" s="1"/>
  <c r="I52" i="7" s="1"/>
  <c r="L61" i="9"/>
  <c r="K61" i="9"/>
  <c r="P61" i="9"/>
  <c r="Z61" i="9"/>
  <c r="Y61" i="9"/>
  <c r="D52" i="8" s="1"/>
  <c r="I52" i="8" s="1"/>
  <c r="AA61" i="9"/>
  <c r="Q61" i="9"/>
  <c r="N61" i="9"/>
  <c r="H61" i="9"/>
  <c r="O61" i="9"/>
  <c r="E52" i="8" s="1"/>
  <c r="T61" i="9"/>
  <c r="M61" i="9"/>
  <c r="U61" i="9"/>
  <c r="D61" i="9"/>
  <c r="J61" i="9"/>
  <c r="V61" i="9"/>
  <c r="W61" i="9"/>
  <c r="E61" i="9"/>
  <c r="A55" i="8"/>
  <c r="B54" i="8"/>
  <c r="AK48" i="8"/>
  <c r="AJ48" i="8"/>
  <c r="BK48" i="8" s="1"/>
  <c r="BI48" i="8"/>
  <c r="AF48" i="8"/>
  <c r="BG48" i="8" s="1"/>
  <c r="AT49" i="8"/>
  <c r="B56" i="7"/>
  <c r="A57" i="7"/>
  <c r="O51" i="8"/>
  <c r="L51" i="8"/>
  <c r="AE51" i="8" s="1"/>
  <c r="BF51" i="8" s="1"/>
  <c r="C55" i="7"/>
  <c r="AP55" i="7"/>
  <c r="AL48" i="8"/>
  <c r="BM48" i="8" s="1"/>
  <c r="BJ48" i="8"/>
  <c r="C53" i="8"/>
  <c r="AP53" i="8"/>
  <c r="L51" i="7"/>
  <c r="AE51" i="7" s="1"/>
  <c r="BF51" i="7" s="1"/>
  <c r="O51" i="7"/>
  <c r="AI49" i="8"/>
  <c r="AC49" i="8"/>
  <c r="BD49" i="8" s="1"/>
  <c r="AD49" i="8"/>
  <c r="BE49" i="8" s="1"/>
  <c r="AB49" i="8"/>
  <c r="BJ49" i="7"/>
  <c r="AL49" i="7"/>
  <c r="BM49" i="7" s="1"/>
  <c r="B62" i="9"/>
  <c r="C63" i="9"/>
  <c r="AQ54" i="7"/>
  <c r="AR54" i="7"/>
  <c r="BN54" i="7" s="1"/>
  <c r="J49" i="8"/>
  <c r="AH49" i="8"/>
  <c r="W49" i="8"/>
  <c r="AX49" i="8" s="1"/>
  <c r="X49" i="8"/>
  <c r="AY49" i="8" s="1"/>
  <c r="Z48" i="8"/>
  <c r="BL48" i="7" l="1"/>
  <c r="W50" i="7"/>
  <c r="AX50" i="7" s="1"/>
  <c r="U50" i="7"/>
  <c r="AV50" i="7" s="1"/>
  <c r="X50" i="7"/>
  <c r="AY50" i="7" s="1"/>
  <c r="J50" i="8"/>
  <c r="AG48" i="7"/>
  <c r="BH48" i="7" s="1"/>
  <c r="AF49" i="7"/>
  <c r="BG49" i="7" s="1"/>
  <c r="AB50" i="7"/>
  <c r="BC50" i="7" s="1"/>
  <c r="AK49" i="7"/>
  <c r="BL49" i="7" s="1"/>
  <c r="AJ49" i="7"/>
  <c r="BK49" i="7" s="1"/>
  <c r="AD50" i="7"/>
  <c r="BE50" i="7" s="1"/>
  <c r="AC50" i="7"/>
  <c r="BD50" i="7" s="1"/>
  <c r="H51" i="7"/>
  <c r="N51" i="7" s="1"/>
  <c r="AC51" i="7" s="1"/>
  <c r="BD51" i="7" s="1"/>
  <c r="AH50" i="8"/>
  <c r="AK50" i="8" s="1"/>
  <c r="X50" i="8"/>
  <c r="AY50" i="8" s="1"/>
  <c r="M51" i="7"/>
  <c r="W51" i="7" s="1"/>
  <c r="AX51" i="7" s="1"/>
  <c r="Z49" i="7"/>
  <c r="BA49" i="7" s="1"/>
  <c r="T51" i="8"/>
  <c r="AU51" i="8" s="1"/>
  <c r="S51" i="8"/>
  <c r="AT51" i="8" s="1"/>
  <c r="S51" i="7"/>
  <c r="AT51" i="7" s="1"/>
  <c r="H51" i="8"/>
  <c r="N51" i="8" s="1"/>
  <c r="AD51" i="8" s="1"/>
  <c r="BE51" i="8" s="1"/>
  <c r="M51" i="8"/>
  <c r="W51" i="8" s="1"/>
  <c r="AX51" i="8" s="1"/>
  <c r="K51" i="7"/>
  <c r="AA51" i="7" s="1"/>
  <c r="BB51" i="7" s="1"/>
  <c r="G52" i="8"/>
  <c r="K52" i="8" s="1"/>
  <c r="AA52" i="8" s="1"/>
  <c r="U51" i="8"/>
  <c r="AV51" i="8" s="1"/>
  <c r="G52" i="7"/>
  <c r="T52" i="7" s="1"/>
  <c r="AU52" i="7" s="1"/>
  <c r="Z49" i="8"/>
  <c r="BA49" i="8" s="1"/>
  <c r="AL49" i="8"/>
  <c r="BM49" i="8" s="1"/>
  <c r="BJ49" i="8"/>
  <c r="O52" i="7"/>
  <c r="L52" i="7"/>
  <c r="AE52" i="7" s="1"/>
  <c r="BF52" i="7" s="1"/>
  <c r="AP56" i="7"/>
  <c r="C56" i="7"/>
  <c r="AP54" i="8"/>
  <c r="C54" i="8"/>
  <c r="B55" i="8"/>
  <c r="A56" i="8"/>
  <c r="BJ50" i="7"/>
  <c r="AL50" i="7"/>
  <c r="BM50" i="7" s="1"/>
  <c r="AN48" i="8"/>
  <c r="BO48" i="8" s="1"/>
  <c r="BL48" i="8"/>
  <c r="B63" i="9"/>
  <c r="C64" i="9"/>
  <c r="X62" i="9"/>
  <c r="L62" i="9"/>
  <c r="R62" i="9"/>
  <c r="F62" i="9"/>
  <c r="AA62" i="9"/>
  <c r="P62" i="9"/>
  <c r="I62" i="9"/>
  <c r="E53" i="7" s="1"/>
  <c r="J62" i="9"/>
  <c r="K62" i="9"/>
  <c r="W62" i="9"/>
  <c r="Z62" i="9"/>
  <c r="Y62" i="9"/>
  <c r="D53" i="8" s="1"/>
  <c r="I53" i="8" s="1"/>
  <c r="T62" i="9"/>
  <c r="V62" i="9"/>
  <c r="G62" i="9"/>
  <c r="N62" i="9"/>
  <c r="S62" i="9"/>
  <c r="D53" i="7" s="1"/>
  <c r="I53" i="7" s="1"/>
  <c r="H62" i="9"/>
  <c r="D62" i="9"/>
  <c r="E62" i="9"/>
  <c r="O62" i="9"/>
  <c r="E53" i="8" s="1"/>
  <c r="Q62" i="9"/>
  <c r="U62" i="9"/>
  <c r="M62" i="9"/>
  <c r="B57" i="7"/>
  <c r="A58" i="7"/>
  <c r="O52" i="8"/>
  <c r="L52" i="8"/>
  <c r="AE52" i="8" s="1"/>
  <c r="BF52" i="8" s="1"/>
  <c r="AJ50" i="7"/>
  <c r="BK50" i="7" s="1"/>
  <c r="BI50" i="7"/>
  <c r="AK50" i="7"/>
  <c r="AI50" i="8"/>
  <c r="AC50" i="8"/>
  <c r="BD50" i="8" s="1"/>
  <c r="AD50" i="8"/>
  <c r="BE50" i="8" s="1"/>
  <c r="AB50" i="8"/>
  <c r="BI49" i="8"/>
  <c r="AK49" i="8"/>
  <c r="AJ49" i="8"/>
  <c r="BK49" i="8" s="1"/>
  <c r="BA48" i="8"/>
  <c r="AG48" i="8"/>
  <c r="BH48" i="8" s="1"/>
  <c r="AR53" i="8"/>
  <c r="BN53" i="8" s="1"/>
  <c r="AQ53" i="8"/>
  <c r="BC49" i="8"/>
  <c r="AF49" i="8"/>
  <c r="BG49" i="8" s="1"/>
  <c r="AR55" i="7"/>
  <c r="BN55" i="7" s="1"/>
  <c r="AQ55" i="7"/>
  <c r="Z50" i="7" l="1"/>
  <c r="BA50" i="7" s="1"/>
  <c r="AI51" i="7"/>
  <c r="AF50" i="7"/>
  <c r="BG50" i="7" s="1"/>
  <c r="Z50" i="8"/>
  <c r="BA50" i="8" s="1"/>
  <c r="J51" i="7"/>
  <c r="AN49" i="7"/>
  <c r="BO49" i="7" s="1"/>
  <c r="AJ50" i="8"/>
  <c r="BK50" i="8" s="1"/>
  <c r="AG49" i="7"/>
  <c r="BH49" i="7" s="1"/>
  <c r="AB51" i="7"/>
  <c r="BC51" i="7" s="1"/>
  <c r="AD51" i="7"/>
  <c r="BE51" i="7" s="1"/>
  <c r="AH51" i="7"/>
  <c r="AJ51" i="7" s="1"/>
  <c r="BK51" i="7" s="1"/>
  <c r="BI50" i="8"/>
  <c r="AB51" i="8"/>
  <c r="BC51" i="8" s="1"/>
  <c r="AC51" i="8"/>
  <c r="BD51" i="8" s="1"/>
  <c r="M52" i="8"/>
  <c r="X52" i="8" s="1"/>
  <c r="AY52" i="8" s="1"/>
  <c r="AI51" i="8"/>
  <c r="BJ51" i="8" s="1"/>
  <c r="U51" i="7"/>
  <c r="AV51" i="7" s="1"/>
  <c r="X51" i="7"/>
  <c r="AY51" i="7" s="1"/>
  <c r="S52" i="8"/>
  <c r="AT52" i="8" s="1"/>
  <c r="H52" i="8"/>
  <c r="N52" i="8" s="1"/>
  <c r="AI52" i="8" s="1"/>
  <c r="U52" i="8"/>
  <c r="AV52" i="8" s="1"/>
  <c r="T52" i="8"/>
  <c r="AU52" i="8" s="1"/>
  <c r="AG50" i="7"/>
  <c r="BH50" i="7" s="1"/>
  <c r="H52" i="7"/>
  <c r="N52" i="7" s="1"/>
  <c r="AI52" i="7" s="1"/>
  <c r="M52" i="7"/>
  <c r="U52" i="7" s="1"/>
  <c r="AV52" i="7" s="1"/>
  <c r="J51" i="8"/>
  <c r="AH51" i="8"/>
  <c r="K52" i="7"/>
  <c r="AA52" i="7" s="1"/>
  <c r="BB52" i="7" s="1"/>
  <c r="S52" i="7"/>
  <c r="AT52" i="7" s="1"/>
  <c r="X51" i="8"/>
  <c r="AY51" i="8" s="1"/>
  <c r="AG49" i="8"/>
  <c r="BH49" i="8" s="1"/>
  <c r="G53" i="7"/>
  <c r="K53" i="7" s="1"/>
  <c r="AA53" i="7" s="1"/>
  <c r="BB53" i="7" s="1"/>
  <c r="B58" i="7"/>
  <c r="A59" i="7"/>
  <c r="AR56" i="7"/>
  <c r="BN56" i="7" s="1"/>
  <c r="AQ56" i="7"/>
  <c r="B56" i="8"/>
  <c r="A57" i="8"/>
  <c r="BL50" i="8"/>
  <c r="G53" i="8"/>
  <c r="AP55" i="8"/>
  <c r="C55" i="8"/>
  <c r="AL51" i="7"/>
  <c r="BM51" i="7" s="1"/>
  <c r="BJ51" i="7"/>
  <c r="BC50" i="8"/>
  <c r="AF50" i="8"/>
  <c r="BG50" i="8" s="1"/>
  <c r="BB52" i="8"/>
  <c r="O53" i="8"/>
  <c r="L53" i="8"/>
  <c r="AE53" i="8" s="1"/>
  <c r="BF53" i="8" s="1"/>
  <c r="AP57" i="7"/>
  <c r="C57" i="7"/>
  <c r="R63" i="9"/>
  <c r="L63" i="9"/>
  <c r="X63" i="9"/>
  <c r="F63" i="9"/>
  <c r="E63" i="9"/>
  <c r="D63" i="9"/>
  <c r="N63" i="9"/>
  <c r="O63" i="9"/>
  <c r="E54" i="8" s="1"/>
  <c r="V63" i="9"/>
  <c r="K63" i="9"/>
  <c r="T63" i="9"/>
  <c r="J63" i="9"/>
  <c r="Z63" i="9"/>
  <c r="U63" i="9"/>
  <c r="AA63" i="9"/>
  <c r="M63" i="9"/>
  <c r="P63" i="9"/>
  <c r="Q63" i="9"/>
  <c r="S63" i="9"/>
  <c r="D54" i="7" s="1"/>
  <c r="I54" i="7" s="1"/>
  <c r="W63" i="9"/>
  <c r="Y63" i="9"/>
  <c r="D54" i="8" s="1"/>
  <c r="I54" i="8" s="1"/>
  <c r="I63" i="9"/>
  <c r="E54" i="7" s="1"/>
  <c r="G63" i="9"/>
  <c r="H63" i="9"/>
  <c r="AN49" i="8"/>
  <c r="BO49" i="8" s="1"/>
  <c r="BL49" i="8"/>
  <c r="BJ50" i="8"/>
  <c r="AL50" i="8"/>
  <c r="BM50" i="8" s="1"/>
  <c r="AR54" i="8"/>
  <c r="BN54" i="8" s="1"/>
  <c r="AQ54" i="8"/>
  <c r="C65" i="9"/>
  <c r="B64" i="9"/>
  <c r="O53" i="7"/>
  <c r="L53" i="7"/>
  <c r="AE53" i="7" s="1"/>
  <c r="BF53" i="7" s="1"/>
  <c r="BL50" i="7"/>
  <c r="AN50" i="7"/>
  <c r="BO50" i="7" s="1"/>
  <c r="AF51" i="8" l="1"/>
  <c r="BG51" i="8" s="1"/>
  <c r="BI51" i="7"/>
  <c r="AK51" i="7"/>
  <c r="BL51" i="7" s="1"/>
  <c r="AF51" i="7"/>
  <c r="BG51" i="7" s="1"/>
  <c r="W52" i="8"/>
  <c r="AX52" i="8" s="1"/>
  <c r="AH52" i="8"/>
  <c r="AK52" i="8" s="1"/>
  <c r="AL51" i="8"/>
  <c r="BM51" i="8" s="1"/>
  <c r="Z51" i="7"/>
  <c r="BA51" i="7" s="1"/>
  <c r="AD52" i="7"/>
  <c r="BE52" i="7" s="1"/>
  <c r="J52" i="8"/>
  <c r="AB52" i="8"/>
  <c r="BC52" i="8" s="1"/>
  <c r="AD52" i="8"/>
  <c r="BE52" i="8" s="1"/>
  <c r="X52" i="7"/>
  <c r="AY52" i="7" s="1"/>
  <c r="W52" i="7"/>
  <c r="AX52" i="7" s="1"/>
  <c r="AC52" i="8"/>
  <c r="BD52" i="8" s="1"/>
  <c r="AC52" i="7"/>
  <c r="BD52" i="7" s="1"/>
  <c r="AH52" i="7"/>
  <c r="AK52" i="7" s="1"/>
  <c r="AJ51" i="8"/>
  <c r="BK51" i="8" s="1"/>
  <c r="AB52" i="7"/>
  <c r="BC52" i="7" s="1"/>
  <c r="AK51" i="8"/>
  <c r="J52" i="7"/>
  <c r="Z51" i="8"/>
  <c r="BA51" i="8" s="1"/>
  <c r="H53" i="7"/>
  <c r="N53" i="7" s="1"/>
  <c r="AB53" i="7" s="1"/>
  <c r="BI51" i="8"/>
  <c r="M53" i="7"/>
  <c r="AH53" i="7" s="1"/>
  <c r="T53" i="7"/>
  <c r="AU53" i="7" s="1"/>
  <c r="S53" i="7"/>
  <c r="AT53" i="7" s="1"/>
  <c r="G54" i="7"/>
  <c r="M54" i="7" s="1"/>
  <c r="G54" i="8"/>
  <c r="T54" i="8" s="1"/>
  <c r="AU54" i="8" s="1"/>
  <c r="AL52" i="8"/>
  <c r="BM52" i="8" s="1"/>
  <c r="BJ52" i="8"/>
  <c r="AR55" i="8"/>
  <c r="BN55" i="8" s="1"/>
  <c r="AQ55" i="8"/>
  <c r="AL52" i="7"/>
  <c r="BM52" i="7" s="1"/>
  <c r="BJ52" i="7"/>
  <c r="C58" i="7"/>
  <c r="AP58" i="7"/>
  <c r="AQ57" i="7"/>
  <c r="AR57" i="7"/>
  <c r="BN57" i="7" s="1"/>
  <c r="AN50" i="8"/>
  <c r="BO50" i="8" s="1"/>
  <c r="B65" i="9"/>
  <c r="C66" i="9"/>
  <c r="AG50" i="8"/>
  <c r="BH50" i="8" s="1"/>
  <c r="M53" i="8"/>
  <c r="H53" i="8"/>
  <c r="N53" i="8" s="1"/>
  <c r="S53" i="8"/>
  <c r="T53" i="8"/>
  <c r="AU53" i="8" s="1"/>
  <c r="U53" i="8"/>
  <c r="AV53" i="8" s="1"/>
  <c r="K53" i="8"/>
  <c r="AA53" i="8" s="1"/>
  <c r="A58" i="8"/>
  <c r="B57" i="8"/>
  <c r="B59" i="7"/>
  <c r="A60" i="7"/>
  <c r="O54" i="8"/>
  <c r="L54" i="8"/>
  <c r="AE54" i="8" s="1"/>
  <c r="BF54" i="8" s="1"/>
  <c r="L54" i="7"/>
  <c r="AE54" i="7" s="1"/>
  <c r="BF54" i="7" s="1"/>
  <c r="O54" i="7"/>
  <c r="R64" i="9"/>
  <c r="F64" i="9"/>
  <c r="L64" i="9"/>
  <c r="X64" i="9"/>
  <c r="U64" i="9"/>
  <c r="Y64" i="9"/>
  <c r="D55" i="8" s="1"/>
  <c r="I55" i="8" s="1"/>
  <c r="M64" i="9"/>
  <c r="J64" i="9"/>
  <c r="V64" i="9"/>
  <c r="K64" i="9"/>
  <c r="D64" i="9"/>
  <c r="AA64" i="9"/>
  <c r="O64" i="9"/>
  <c r="E55" i="8" s="1"/>
  <c r="I64" i="9"/>
  <c r="E55" i="7" s="1"/>
  <c r="E64" i="9"/>
  <c r="Q64" i="9"/>
  <c r="P64" i="9"/>
  <c r="G64" i="9"/>
  <c r="N64" i="9"/>
  <c r="Z64" i="9"/>
  <c r="S64" i="9"/>
  <c r="D55" i="7" s="1"/>
  <c r="I55" i="7" s="1"/>
  <c r="W64" i="9"/>
  <c r="T64" i="9"/>
  <c r="H64" i="9"/>
  <c r="C56" i="8"/>
  <c r="AP56" i="8"/>
  <c r="X53" i="7" l="1"/>
  <c r="AY53" i="7" s="1"/>
  <c r="W53" i="7"/>
  <c r="AX53" i="7" s="1"/>
  <c r="AN51" i="7"/>
  <c r="BO51" i="7" s="1"/>
  <c r="AJ52" i="8"/>
  <c r="BK52" i="8" s="1"/>
  <c r="BI52" i="8"/>
  <c r="AN51" i="8"/>
  <c r="BO51" i="8" s="1"/>
  <c r="AD53" i="7"/>
  <c r="BE53" i="7" s="1"/>
  <c r="AI53" i="7"/>
  <c r="AL53" i="7" s="1"/>
  <c r="BM53" i="7" s="1"/>
  <c r="AC53" i="7"/>
  <c r="BD53" i="7" s="1"/>
  <c r="Z52" i="8"/>
  <c r="BA52" i="8" s="1"/>
  <c r="J53" i="7"/>
  <c r="AF52" i="8"/>
  <c r="BG52" i="8" s="1"/>
  <c r="AG51" i="7"/>
  <c r="BH51" i="7" s="1"/>
  <c r="U53" i="7"/>
  <c r="AV53" i="7" s="1"/>
  <c r="Z52" i="7"/>
  <c r="BA52" i="7" s="1"/>
  <c r="AF52" i="7"/>
  <c r="BG52" i="7" s="1"/>
  <c r="AJ52" i="7"/>
  <c r="BK52" i="7" s="1"/>
  <c r="BI52" i="7"/>
  <c r="BL51" i="8"/>
  <c r="AG51" i="8"/>
  <c r="BH51" i="8" s="1"/>
  <c r="K54" i="7"/>
  <c r="AA54" i="7" s="1"/>
  <c r="BB54" i="7" s="1"/>
  <c r="T54" i="7"/>
  <c r="AU54" i="7" s="1"/>
  <c r="S54" i="7"/>
  <c r="AT54" i="7" s="1"/>
  <c r="H54" i="8"/>
  <c r="N54" i="8" s="1"/>
  <c r="AD54" i="8" s="1"/>
  <c r="BE54" i="8" s="1"/>
  <c r="H54" i="7"/>
  <c r="N54" i="7" s="1"/>
  <c r="AI54" i="7" s="1"/>
  <c r="K54" i="8"/>
  <c r="AA54" i="8" s="1"/>
  <c r="BB54" i="8" s="1"/>
  <c r="S54" i="8"/>
  <c r="AT54" i="8" s="1"/>
  <c r="U54" i="8"/>
  <c r="AV54" i="8" s="1"/>
  <c r="M54" i="8"/>
  <c r="AH54" i="8" s="1"/>
  <c r="G55" i="7"/>
  <c r="S55" i="7" s="1"/>
  <c r="AP57" i="8"/>
  <c r="C57" i="8"/>
  <c r="B58" i="8"/>
  <c r="A59" i="8"/>
  <c r="BB53" i="8"/>
  <c r="BI53" i="7"/>
  <c r="AK53" i="7"/>
  <c r="B66" i="9"/>
  <c r="C67" i="9"/>
  <c r="AR58" i="7"/>
  <c r="BN58" i="7" s="1"/>
  <c r="AQ58" i="7"/>
  <c r="AI53" i="8"/>
  <c r="AC53" i="8"/>
  <c r="BD53" i="8" s="1"/>
  <c r="AD53" i="8"/>
  <c r="BE53" i="8" s="1"/>
  <c r="AB53" i="8"/>
  <c r="BC53" i="8" s="1"/>
  <c r="L65" i="9"/>
  <c r="F65" i="9"/>
  <c r="R65" i="9"/>
  <c r="X65" i="9"/>
  <c r="U65" i="9"/>
  <c r="S65" i="9"/>
  <c r="D56" i="7" s="1"/>
  <c r="I56" i="7" s="1"/>
  <c r="J65" i="9"/>
  <c r="K65" i="9"/>
  <c r="N65" i="9"/>
  <c r="D65" i="9"/>
  <c r="E65" i="9"/>
  <c r="P65" i="9"/>
  <c r="Q65" i="9"/>
  <c r="G65" i="9"/>
  <c r="V65" i="9"/>
  <c r="T65" i="9"/>
  <c r="W65" i="9"/>
  <c r="M65" i="9"/>
  <c r="O65" i="9"/>
  <c r="E56" i="8" s="1"/>
  <c r="AA65" i="9"/>
  <c r="Z65" i="9"/>
  <c r="I65" i="9"/>
  <c r="E56" i="7" s="1"/>
  <c r="Y65" i="9"/>
  <c r="D56" i="8" s="1"/>
  <c r="I56" i="8" s="1"/>
  <c r="H65" i="9"/>
  <c r="AN52" i="8"/>
  <c r="BO52" i="8" s="1"/>
  <c r="BL52" i="8"/>
  <c r="AR56" i="8"/>
  <c r="BN56" i="8" s="1"/>
  <c r="AQ56" i="8"/>
  <c r="AN52" i="7"/>
  <c r="BO52" i="7" s="1"/>
  <c r="BL52" i="7"/>
  <c r="G55" i="8"/>
  <c r="AH54" i="7"/>
  <c r="W54" i="7"/>
  <c r="AX54" i="7" s="1"/>
  <c r="X54" i="7"/>
  <c r="AY54" i="7" s="1"/>
  <c r="U54" i="7"/>
  <c r="AV54" i="7" s="1"/>
  <c r="L55" i="7"/>
  <c r="AE55" i="7" s="1"/>
  <c r="BF55" i="7" s="1"/>
  <c r="O55" i="7"/>
  <c r="J53" i="8"/>
  <c r="BC53" i="7"/>
  <c r="B60" i="7"/>
  <c r="A61" i="7"/>
  <c r="AH53" i="8"/>
  <c r="W53" i="8"/>
  <c r="AX53" i="8" s="1"/>
  <c r="X53" i="8"/>
  <c r="AY53" i="8" s="1"/>
  <c r="O55" i="8"/>
  <c r="L55" i="8"/>
  <c r="AE55" i="8" s="1"/>
  <c r="BF55" i="8" s="1"/>
  <c r="AT53" i="8"/>
  <c r="AP59" i="7"/>
  <c r="C59" i="7"/>
  <c r="BJ53" i="7" l="1"/>
  <c r="AJ53" i="7"/>
  <c r="BK53" i="7" s="1"/>
  <c r="AF53" i="7"/>
  <c r="BG53" i="7" s="1"/>
  <c r="AG52" i="8"/>
  <c r="BH52" i="8" s="1"/>
  <c r="AG52" i="7"/>
  <c r="BH52" i="7" s="1"/>
  <c r="Z53" i="7"/>
  <c r="BA53" i="7" s="1"/>
  <c r="AC54" i="8"/>
  <c r="BD54" i="8" s="1"/>
  <c r="AB54" i="7"/>
  <c r="BC54" i="7" s="1"/>
  <c r="AD54" i="7"/>
  <c r="BE54" i="7" s="1"/>
  <c r="AI54" i="8"/>
  <c r="AJ54" i="8" s="1"/>
  <c r="BK54" i="8" s="1"/>
  <c r="AC54" i="7"/>
  <c r="BD54" i="7" s="1"/>
  <c r="J54" i="8"/>
  <c r="AB54" i="8"/>
  <c r="BC54" i="8" s="1"/>
  <c r="J54" i="7"/>
  <c r="H55" i="7"/>
  <c r="N55" i="7" s="1"/>
  <c r="AB55" i="7" s="1"/>
  <c r="BC55" i="7" s="1"/>
  <c r="M55" i="7"/>
  <c r="X55" i="7" s="1"/>
  <c r="AY55" i="7" s="1"/>
  <c r="T55" i="7"/>
  <c r="AU55" i="7" s="1"/>
  <c r="K55" i="7"/>
  <c r="AA55" i="7" s="1"/>
  <c r="BB55" i="7" s="1"/>
  <c r="X54" i="8"/>
  <c r="AY54" i="8" s="1"/>
  <c r="W54" i="8"/>
  <c r="AX54" i="8" s="1"/>
  <c r="G56" i="8"/>
  <c r="M56" i="8" s="1"/>
  <c r="Z54" i="7"/>
  <c r="BA54" i="7" s="1"/>
  <c r="B67" i="9"/>
  <c r="C68" i="9"/>
  <c r="AJ54" i="7"/>
  <c r="BK54" i="7" s="1"/>
  <c r="BI54" i="7"/>
  <c r="AK54" i="7"/>
  <c r="B59" i="8"/>
  <c r="A60" i="8"/>
  <c r="X66" i="9"/>
  <c r="L66" i="9"/>
  <c r="F66" i="9"/>
  <c r="T66" i="9"/>
  <c r="R66" i="9"/>
  <c r="O66" i="9"/>
  <c r="E57" i="8" s="1"/>
  <c r="D66" i="9"/>
  <c r="I66" i="9"/>
  <c r="E57" i="7" s="1"/>
  <c r="K66" i="9"/>
  <c r="Z66" i="9"/>
  <c r="J66" i="9"/>
  <c r="AA66" i="9"/>
  <c r="H66" i="9"/>
  <c r="M66" i="9"/>
  <c r="E66" i="9"/>
  <c r="Q66" i="9"/>
  <c r="Y66" i="9"/>
  <c r="D57" i="8" s="1"/>
  <c r="I57" i="8" s="1"/>
  <c r="U66" i="9"/>
  <c r="S66" i="9"/>
  <c r="D57" i="7" s="1"/>
  <c r="I57" i="7" s="1"/>
  <c r="N66" i="9"/>
  <c r="G66" i="9"/>
  <c r="P66" i="9"/>
  <c r="W66" i="9"/>
  <c r="V66" i="9"/>
  <c r="AP58" i="8"/>
  <c r="C58" i="8"/>
  <c r="A62" i="7"/>
  <c r="B61" i="7"/>
  <c r="AP60" i="7"/>
  <c r="C60" i="7"/>
  <c r="M55" i="8"/>
  <c r="H55" i="8"/>
  <c r="N55" i="8" s="1"/>
  <c r="S55" i="8"/>
  <c r="U55" i="8"/>
  <c r="AV55" i="8" s="1"/>
  <c r="T55" i="8"/>
  <c r="AU55" i="8" s="1"/>
  <c r="K55" i="8"/>
  <c r="AA55" i="8" s="1"/>
  <c r="AJ53" i="8"/>
  <c r="BK53" i="8" s="1"/>
  <c r="BI53" i="8"/>
  <c r="AK53" i="8"/>
  <c r="O56" i="8"/>
  <c r="L56" i="8"/>
  <c r="AE56" i="8" s="1"/>
  <c r="BF56" i="8" s="1"/>
  <c r="AK54" i="8"/>
  <c r="BI54" i="8"/>
  <c r="AT55" i="7"/>
  <c r="G56" i="7"/>
  <c r="AF53" i="8"/>
  <c r="BG53" i="8" s="1"/>
  <c r="O56" i="7"/>
  <c r="L56" i="7"/>
  <c r="AE56" i="7" s="1"/>
  <c r="BF56" i="7" s="1"/>
  <c r="BJ54" i="7"/>
  <c r="AL54" i="7"/>
  <c r="BM54" i="7" s="1"/>
  <c r="BL53" i="7"/>
  <c r="AN53" i="7"/>
  <c r="BO53" i="7" s="1"/>
  <c r="AQ59" i="7"/>
  <c r="AR59" i="7"/>
  <c r="BN59" i="7" s="1"/>
  <c r="Z53" i="8"/>
  <c r="BJ53" i="8"/>
  <c r="AL53" i="8"/>
  <c r="BM53" i="8" s="1"/>
  <c r="AQ57" i="8"/>
  <c r="AR57" i="8"/>
  <c r="BN57" i="8" s="1"/>
  <c r="AF54" i="7" l="1"/>
  <c r="BG54" i="7" s="1"/>
  <c r="BJ54" i="8"/>
  <c r="AL54" i="8"/>
  <c r="BM54" i="8" s="1"/>
  <c r="AG53" i="7"/>
  <c r="BH53" i="7" s="1"/>
  <c r="AI55" i="7"/>
  <c r="AL55" i="7" s="1"/>
  <c r="BM55" i="7" s="1"/>
  <c r="J55" i="7"/>
  <c r="AF54" i="8"/>
  <c r="BG54" i="8" s="1"/>
  <c r="AH55" i="7"/>
  <c r="U55" i="7"/>
  <c r="AV55" i="7" s="1"/>
  <c r="W55" i="7"/>
  <c r="AX55" i="7" s="1"/>
  <c r="Z54" i="8"/>
  <c r="BA54" i="8" s="1"/>
  <c r="AD55" i="7"/>
  <c r="BE55" i="7" s="1"/>
  <c r="AC55" i="7"/>
  <c r="BD55" i="7" s="1"/>
  <c r="U56" i="8"/>
  <c r="AV56" i="8" s="1"/>
  <c r="T56" i="8"/>
  <c r="AU56" i="8" s="1"/>
  <c r="S56" i="8"/>
  <c r="AT56" i="8" s="1"/>
  <c r="H56" i="8"/>
  <c r="J56" i="8" s="1"/>
  <c r="K56" i="8"/>
  <c r="AA56" i="8" s="1"/>
  <c r="BB56" i="8" s="1"/>
  <c r="G57" i="7"/>
  <c r="S57" i="7" s="1"/>
  <c r="G57" i="8"/>
  <c r="K57" i="8" s="1"/>
  <c r="AA57" i="8" s="1"/>
  <c r="BB57" i="8" s="1"/>
  <c r="BL54" i="8"/>
  <c r="AT55" i="8"/>
  <c r="J55" i="8"/>
  <c r="AH56" i="8"/>
  <c r="W56" i="8"/>
  <c r="AX56" i="8" s="1"/>
  <c r="X56" i="8"/>
  <c r="AY56" i="8" s="1"/>
  <c r="AH55" i="8"/>
  <c r="W55" i="8"/>
  <c r="AX55" i="8" s="1"/>
  <c r="X55" i="8"/>
  <c r="AY55" i="8" s="1"/>
  <c r="H56" i="7"/>
  <c r="N56" i="7" s="1"/>
  <c r="M56" i="7"/>
  <c r="T56" i="7"/>
  <c r="AU56" i="7" s="1"/>
  <c r="S56" i="7"/>
  <c r="K56" i="7"/>
  <c r="AA56" i="7" s="1"/>
  <c r="AR58" i="8"/>
  <c r="BN58" i="8" s="1"/>
  <c r="AQ58" i="8"/>
  <c r="A61" i="8"/>
  <c r="B60" i="8"/>
  <c r="C69" i="9"/>
  <c r="B68" i="9"/>
  <c r="AG54" i="7"/>
  <c r="BH54" i="7" s="1"/>
  <c r="C61" i="7"/>
  <c r="AP61" i="7"/>
  <c r="L57" i="7"/>
  <c r="AE57" i="7" s="1"/>
  <c r="BF57" i="7" s="1"/>
  <c r="O57" i="7"/>
  <c r="C59" i="8"/>
  <c r="AP59" i="8"/>
  <c r="F67" i="9"/>
  <c r="X67" i="9"/>
  <c r="R67" i="9"/>
  <c r="Q67" i="9"/>
  <c r="P67" i="9"/>
  <c r="O67" i="9"/>
  <c r="E58" i="8" s="1"/>
  <c r="M67" i="9"/>
  <c r="L67" i="9"/>
  <c r="W67" i="9"/>
  <c r="Y67" i="9"/>
  <c r="D58" i="8" s="1"/>
  <c r="I58" i="8" s="1"/>
  <c r="G67" i="9"/>
  <c r="D67" i="9"/>
  <c r="AA67" i="9"/>
  <c r="H67" i="9"/>
  <c r="S67" i="9"/>
  <c r="D58" i="7" s="1"/>
  <c r="I58" i="7" s="1"/>
  <c r="I67" i="9"/>
  <c r="E58" i="7" s="1"/>
  <c r="E67" i="9"/>
  <c r="V67" i="9"/>
  <c r="N67" i="9"/>
  <c r="U67" i="9"/>
  <c r="K67" i="9"/>
  <c r="Z67" i="9"/>
  <c r="J67" i="9"/>
  <c r="T67" i="9"/>
  <c r="AI55" i="8"/>
  <c r="AC55" i="8"/>
  <c r="BD55" i="8" s="1"/>
  <c r="AD55" i="8"/>
  <c r="BE55" i="8" s="1"/>
  <c r="AB55" i="8"/>
  <c r="BC55" i="8" s="1"/>
  <c r="BL53" i="8"/>
  <c r="AN53" i="8"/>
  <c r="BO53" i="8" s="1"/>
  <c r="BL54" i="7"/>
  <c r="AN54" i="7"/>
  <c r="BO54" i="7" s="1"/>
  <c r="BA53" i="8"/>
  <c r="AG53" i="8"/>
  <c r="BH53" i="8" s="1"/>
  <c r="AQ60" i="7"/>
  <c r="AR60" i="7"/>
  <c r="BN60" i="7" s="1"/>
  <c r="B62" i="7"/>
  <c r="A63" i="7"/>
  <c r="BB55" i="8"/>
  <c r="O57" i="8"/>
  <c r="L57" i="8"/>
  <c r="AE57" i="8" s="1"/>
  <c r="BF57" i="8" s="1"/>
  <c r="AN54" i="8" l="1"/>
  <c r="BO54" i="8" s="1"/>
  <c r="BJ55" i="7"/>
  <c r="AJ55" i="7"/>
  <c r="BK55" i="7" s="1"/>
  <c r="BI55" i="7"/>
  <c r="Z55" i="7"/>
  <c r="AK55" i="7"/>
  <c r="BL55" i="7" s="1"/>
  <c r="AF55" i="7"/>
  <c r="BG55" i="7" s="1"/>
  <c r="N56" i="8"/>
  <c r="AB56" i="8" s="1"/>
  <c r="H57" i="7"/>
  <c r="N57" i="7" s="1"/>
  <c r="AB57" i="7" s="1"/>
  <c r="BC57" i="7" s="1"/>
  <c r="T57" i="7"/>
  <c r="AU57" i="7" s="1"/>
  <c r="M57" i="7"/>
  <c r="AH57" i="7" s="1"/>
  <c r="AG54" i="8"/>
  <c r="BH54" i="8" s="1"/>
  <c r="T57" i="8"/>
  <c r="AU57" i="8" s="1"/>
  <c r="S57" i="8"/>
  <c r="AT57" i="8" s="1"/>
  <c r="H57" i="8"/>
  <c r="N57" i="8" s="1"/>
  <c r="AB57" i="8" s="1"/>
  <c r="M57" i="8"/>
  <c r="AH57" i="8" s="1"/>
  <c r="U57" i="8"/>
  <c r="AV57" i="8" s="1"/>
  <c r="K57" i="7"/>
  <c r="AA57" i="7" s="1"/>
  <c r="BB57" i="7" s="1"/>
  <c r="J56" i="7"/>
  <c r="G58" i="7"/>
  <c r="K58" i="7" s="1"/>
  <c r="AA58" i="7" s="1"/>
  <c r="BB58" i="7" s="1"/>
  <c r="AF55" i="8"/>
  <c r="BG55" i="8" s="1"/>
  <c r="AT57" i="7"/>
  <c r="BB56" i="7"/>
  <c r="C62" i="7"/>
  <c r="AP62" i="7"/>
  <c r="B63" i="7"/>
  <c r="A64" i="7"/>
  <c r="Z56" i="8"/>
  <c r="AR59" i="8"/>
  <c r="BN59" i="8" s="1"/>
  <c r="AQ59" i="8"/>
  <c r="AI56" i="7"/>
  <c r="AC56" i="7"/>
  <c r="BD56" i="7" s="1"/>
  <c r="AD56" i="7"/>
  <c r="BE56" i="7" s="1"/>
  <c r="AB56" i="7"/>
  <c r="BC56" i="7" s="1"/>
  <c r="G58" i="8"/>
  <c r="AR61" i="7"/>
  <c r="BN61" i="7" s="1"/>
  <c r="AQ61" i="7"/>
  <c r="R68" i="9"/>
  <c r="F68" i="9"/>
  <c r="X68" i="9"/>
  <c r="L68" i="9"/>
  <c r="O68" i="9"/>
  <c r="E59" i="8" s="1"/>
  <c r="D68" i="9"/>
  <c r="E68" i="9"/>
  <c r="I68" i="9"/>
  <c r="E59" i="7" s="1"/>
  <c r="J68" i="9"/>
  <c r="Y68" i="9"/>
  <c r="D59" i="8" s="1"/>
  <c r="I59" i="8" s="1"/>
  <c r="W68" i="9"/>
  <c r="N68" i="9"/>
  <c r="T68" i="9"/>
  <c r="V68" i="9"/>
  <c r="M68" i="9"/>
  <c r="P68" i="9"/>
  <c r="Q68" i="9"/>
  <c r="Z68" i="9"/>
  <c r="AA68" i="9"/>
  <c r="U68" i="9"/>
  <c r="S68" i="9"/>
  <c r="D59" i="7" s="1"/>
  <c r="I59" i="7" s="1"/>
  <c r="K68" i="9"/>
  <c r="G68" i="9"/>
  <c r="H68" i="9"/>
  <c r="Z55" i="8"/>
  <c r="AL55" i="8"/>
  <c r="BM55" i="8" s="1"/>
  <c r="BJ55" i="8"/>
  <c r="O58" i="8"/>
  <c r="L58" i="8"/>
  <c r="AE58" i="8" s="1"/>
  <c r="BF58" i="8" s="1"/>
  <c r="BI56" i="8"/>
  <c r="AK56" i="8"/>
  <c r="AH56" i="7"/>
  <c r="W56" i="7"/>
  <c r="AX56" i="7" s="1"/>
  <c r="X56" i="7"/>
  <c r="AY56" i="7" s="1"/>
  <c r="U56" i="7"/>
  <c r="AV56" i="7" s="1"/>
  <c r="B69" i="9"/>
  <c r="C70" i="9"/>
  <c r="BI55" i="8"/>
  <c r="AK55" i="8"/>
  <c r="AJ55" i="8"/>
  <c r="BK55" i="8" s="1"/>
  <c r="AP60" i="8"/>
  <c r="C60" i="8"/>
  <c r="AT56" i="7"/>
  <c r="O58" i="7"/>
  <c r="L58" i="7"/>
  <c r="AE58" i="7" s="1"/>
  <c r="BF58" i="7" s="1"/>
  <c r="B61" i="8"/>
  <c r="A62" i="8"/>
  <c r="AG55" i="7" l="1"/>
  <c r="BH55" i="7" s="1"/>
  <c r="BA55" i="7"/>
  <c r="AC56" i="8"/>
  <c r="BD56" i="8" s="1"/>
  <c r="AD56" i="8"/>
  <c r="BE56" i="8" s="1"/>
  <c r="AI56" i="8"/>
  <c r="AJ56" i="8" s="1"/>
  <c r="BK56" i="8" s="1"/>
  <c r="AN55" i="7"/>
  <c r="BO55" i="7" s="1"/>
  <c r="J57" i="7"/>
  <c r="T58" i="7"/>
  <c r="AU58" i="7" s="1"/>
  <c r="S58" i="7"/>
  <c r="AT58" i="7" s="1"/>
  <c r="H58" i="7"/>
  <c r="N58" i="7" s="1"/>
  <c r="AD58" i="7" s="1"/>
  <c r="BE58" i="7" s="1"/>
  <c r="U57" i="7"/>
  <c r="AV57" i="7" s="1"/>
  <c r="Z56" i="7"/>
  <c r="BA56" i="7" s="1"/>
  <c r="X57" i="7"/>
  <c r="AY57" i="7" s="1"/>
  <c r="W57" i="7"/>
  <c r="AX57" i="7" s="1"/>
  <c r="X57" i="8"/>
  <c r="AY57" i="8" s="1"/>
  <c r="J57" i="8"/>
  <c r="AD57" i="8"/>
  <c r="BE57" i="8" s="1"/>
  <c r="AC57" i="8"/>
  <c r="BD57" i="8" s="1"/>
  <c r="AI57" i="8"/>
  <c r="AJ57" i="8" s="1"/>
  <c r="BK57" i="8" s="1"/>
  <c r="M58" i="7"/>
  <c r="W58" i="7" s="1"/>
  <c r="AX58" i="7" s="1"/>
  <c r="W57" i="8"/>
  <c r="AX57" i="8" s="1"/>
  <c r="AI57" i="7"/>
  <c r="AJ57" i="7" s="1"/>
  <c r="BK57" i="7" s="1"/>
  <c r="AC57" i="7"/>
  <c r="BD57" i="7" s="1"/>
  <c r="AD57" i="7"/>
  <c r="BE57" i="7" s="1"/>
  <c r="G59" i="7"/>
  <c r="S59" i="7" s="1"/>
  <c r="G59" i="8"/>
  <c r="H59" i="8" s="1"/>
  <c r="J59" i="8" s="1"/>
  <c r="AK57" i="8"/>
  <c r="BI57" i="8"/>
  <c r="BC57" i="8"/>
  <c r="AR60" i="8"/>
  <c r="BN60" i="8" s="1"/>
  <c r="AQ60" i="8"/>
  <c r="BJ56" i="7"/>
  <c r="AL56" i="7"/>
  <c r="BM56" i="7" s="1"/>
  <c r="O59" i="7"/>
  <c r="L59" i="7"/>
  <c r="AE59" i="7" s="1"/>
  <c r="BF59" i="7" s="1"/>
  <c r="BC56" i="8"/>
  <c r="AF56" i="8"/>
  <c r="BG56" i="8" s="1"/>
  <c r="AF56" i="7"/>
  <c r="BG56" i="7" s="1"/>
  <c r="AK57" i="7"/>
  <c r="BI57" i="7"/>
  <c r="AN55" i="8"/>
  <c r="BO55" i="8" s="1"/>
  <c r="BL55" i="8"/>
  <c r="AG55" i="8"/>
  <c r="BH55" i="8" s="1"/>
  <c r="BA55" i="8"/>
  <c r="AK56" i="7"/>
  <c r="BI56" i="7"/>
  <c r="AJ56" i="7"/>
  <c r="BK56" i="7" s="1"/>
  <c r="BA56" i="8"/>
  <c r="AR62" i="7"/>
  <c r="BN62" i="7" s="1"/>
  <c r="AQ62" i="7"/>
  <c r="B62" i="8"/>
  <c r="A63" i="8"/>
  <c r="B70" i="9"/>
  <c r="C71" i="9"/>
  <c r="B64" i="7"/>
  <c r="A65" i="7"/>
  <c r="AP61" i="8"/>
  <c r="C61" i="8"/>
  <c r="X69" i="9"/>
  <c r="R69" i="9"/>
  <c r="L69" i="9"/>
  <c r="I69" i="9"/>
  <c r="E60" i="7" s="1"/>
  <c r="G69" i="9"/>
  <c r="F69" i="9"/>
  <c r="V69" i="9"/>
  <c r="Y69" i="9"/>
  <c r="D60" i="8" s="1"/>
  <c r="I60" i="8" s="1"/>
  <c r="AA69" i="9"/>
  <c r="S69" i="9"/>
  <c r="D60" i="7" s="1"/>
  <c r="I60" i="7" s="1"/>
  <c r="T69" i="9"/>
  <c r="J69" i="9"/>
  <c r="W69" i="9"/>
  <c r="K69" i="9"/>
  <c r="Z69" i="9"/>
  <c r="Q69" i="9"/>
  <c r="N69" i="9"/>
  <c r="P69" i="9"/>
  <c r="E69" i="9"/>
  <c r="M69" i="9"/>
  <c r="D69" i="9"/>
  <c r="O69" i="9"/>
  <c r="E60" i="8" s="1"/>
  <c r="U69" i="9"/>
  <c r="H69" i="9"/>
  <c r="BL56" i="8"/>
  <c r="O59" i="8"/>
  <c r="L59" i="8"/>
  <c r="AE59" i="8" s="1"/>
  <c r="BF59" i="8" s="1"/>
  <c r="M58" i="8"/>
  <c r="H58" i="8"/>
  <c r="N58" i="8" s="1"/>
  <c r="S58" i="8"/>
  <c r="T58" i="8"/>
  <c r="AU58" i="8" s="1"/>
  <c r="U58" i="8"/>
  <c r="AV58" i="8" s="1"/>
  <c r="K58" i="8"/>
  <c r="AA58" i="8" s="1"/>
  <c r="AP63" i="7"/>
  <c r="C63" i="7"/>
  <c r="AC58" i="7" l="1"/>
  <c r="BD58" i="7" s="1"/>
  <c r="BJ56" i="8"/>
  <c r="AL56" i="8"/>
  <c r="BM56" i="8" s="1"/>
  <c r="AI58" i="7"/>
  <c r="BJ58" i="7" s="1"/>
  <c r="AH58" i="7"/>
  <c r="AK58" i="7" s="1"/>
  <c r="J58" i="7"/>
  <c r="AB58" i="7"/>
  <c r="BC58" i="7" s="1"/>
  <c r="Z57" i="7"/>
  <c r="BA57" i="7" s="1"/>
  <c r="AF57" i="8"/>
  <c r="BG57" i="8" s="1"/>
  <c r="BJ57" i="7"/>
  <c r="AL57" i="7"/>
  <c r="BM57" i="7" s="1"/>
  <c r="BJ57" i="8"/>
  <c r="AL57" i="8"/>
  <c r="BM57" i="8" s="1"/>
  <c r="U58" i="7"/>
  <c r="AV58" i="7" s="1"/>
  <c r="K59" i="7"/>
  <c r="AA59" i="7" s="1"/>
  <c r="BB59" i="7" s="1"/>
  <c r="X58" i="7"/>
  <c r="AY58" i="7" s="1"/>
  <c r="AF57" i="7"/>
  <c r="BG57" i="7" s="1"/>
  <c r="K59" i="8"/>
  <c r="AA59" i="8" s="1"/>
  <c r="BB59" i="8" s="1"/>
  <c r="Z57" i="8"/>
  <c r="H59" i="7"/>
  <c r="N59" i="7" s="1"/>
  <c r="AI59" i="7" s="1"/>
  <c r="M59" i="7"/>
  <c r="AH59" i="7" s="1"/>
  <c r="AG56" i="8"/>
  <c r="BH56" i="8" s="1"/>
  <c r="M59" i="8"/>
  <c r="W59" i="8" s="1"/>
  <c r="AX59" i="8" s="1"/>
  <c r="T59" i="7"/>
  <c r="AU59" i="7" s="1"/>
  <c r="U59" i="8"/>
  <c r="AV59" i="8" s="1"/>
  <c r="T59" i="8"/>
  <c r="AU59" i="8" s="1"/>
  <c r="G60" i="8"/>
  <c r="U60" i="8" s="1"/>
  <c r="AV60" i="8" s="1"/>
  <c r="S59" i="8"/>
  <c r="AT59" i="8" s="1"/>
  <c r="C64" i="7"/>
  <c r="AP64" i="7"/>
  <c r="AQ63" i="7"/>
  <c r="AR63" i="7"/>
  <c r="BN63" i="7" s="1"/>
  <c r="BB58" i="8"/>
  <c r="A64" i="8"/>
  <c r="B63" i="8"/>
  <c r="L60" i="7"/>
  <c r="AE60" i="7" s="1"/>
  <c r="BF60" i="7" s="1"/>
  <c r="O60" i="7"/>
  <c r="AG56" i="7"/>
  <c r="BH56" i="7" s="1"/>
  <c r="N59" i="8"/>
  <c r="AR61" i="8"/>
  <c r="BN61" i="8" s="1"/>
  <c r="AQ61" i="8"/>
  <c r="C62" i="8"/>
  <c r="AP62" i="8"/>
  <c r="BL57" i="7"/>
  <c r="X70" i="9"/>
  <c r="L70" i="9"/>
  <c r="R70" i="9"/>
  <c r="AA70" i="9"/>
  <c r="P70" i="9"/>
  <c r="I70" i="9"/>
  <c r="E61" i="7" s="1"/>
  <c r="F70" i="9"/>
  <c r="H70" i="9"/>
  <c r="G70" i="9"/>
  <c r="Y70" i="9"/>
  <c r="D61" i="8" s="1"/>
  <c r="I61" i="8" s="1"/>
  <c r="D70" i="9"/>
  <c r="V70" i="9"/>
  <c r="M70" i="9"/>
  <c r="E70" i="9"/>
  <c r="Q70" i="9"/>
  <c r="N70" i="9"/>
  <c r="W70" i="9"/>
  <c r="T70" i="9"/>
  <c r="J70" i="9"/>
  <c r="K70" i="9"/>
  <c r="O70" i="9"/>
  <c r="E61" i="8" s="1"/>
  <c r="U70" i="9"/>
  <c r="S70" i="9"/>
  <c r="D61" i="7" s="1"/>
  <c r="I61" i="7" s="1"/>
  <c r="Z70" i="9"/>
  <c r="AT58" i="8"/>
  <c r="BL56" i="7"/>
  <c r="AN56" i="7"/>
  <c r="BO56" i="7" s="1"/>
  <c r="AH58" i="8"/>
  <c r="W58" i="8"/>
  <c r="AX58" i="8" s="1"/>
  <c r="X58" i="8"/>
  <c r="AY58" i="8" s="1"/>
  <c r="J58" i="8"/>
  <c r="G60" i="7"/>
  <c r="AT59" i="7"/>
  <c r="BL57" i="8"/>
  <c r="B71" i="9"/>
  <c r="C72" i="9"/>
  <c r="O60" i="8"/>
  <c r="L60" i="8"/>
  <c r="AE60" i="8" s="1"/>
  <c r="BF60" i="8" s="1"/>
  <c r="AI58" i="8"/>
  <c r="AC58" i="8"/>
  <c r="BD58" i="8" s="1"/>
  <c r="AD58" i="8"/>
  <c r="BE58" i="8" s="1"/>
  <c r="AB58" i="8"/>
  <c r="BC58" i="8" s="1"/>
  <c r="B65" i="7"/>
  <c r="A66" i="7"/>
  <c r="AN56" i="8" l="1"/>
  <c r="BO56" i="8" s="1"/>
  <c r="AL58" i="7"/>
  <c r="BM58" i="7" s="1"/>
  <c r="AF58" i="7"/>
  <c r="BG58" i="7" s="1"/>
  <c r="AN57" i="7"/>
  <c r="BO57" i="7" s="1"/>
  <c r="AJ58" i="7"/>
  <c r="BK58" i="7" s="1"/>
  <c r="BI58" i="7"/>
  <c r="AN57" i="8"/>
  <c r="BO57" i="8" s="1"/>
  <c r="AG57" i="8"/>
  <c r="BH57" i="8" s="1"/>
  <c r="AH59" i="8"/>
  <c r="BI59" i="8" s="1"/>
  <c r="Z58" i="7"/>
  <c r="AG58" i="7" s="1"/>
  <c r="BH58" i="7" s="1"/>
  <c r="AG57" i="7"/>
  <c r="BH57" i="7" s="1"/>
  <c r="J59" i="7"/>
  <c r="BA57" i="8"/>
  <c r="AB59" i="7"/>
  <c r="BC59" i="7" s="1"/>
  <c r="U59" i="7"/>
  <c r="AV59" i="7" s="1"/>
  <c r="AD59" i="7"/>
  <c r="BE59" i="7" s="1"/>
  <c r="X59" i="7"/>
  <c r="AY59" i="7" s="1"/>
  <c r="AC59" i="7"/>
  <c r="BD59" i="7" s="1"/>
  <c r="W59" i="7"/>
  <c r="AX59" i="7" s="1"/>
  <c r="X59" i="8"/>
  <c r="AY59" i="8" s="1"/>
  <c r="H60" i="8"/>
  <c r="N60" i="8" s="1"/>
  <c r="AC60" i="8" s="1"/>
  <c r="BD60" i="8" s="1"/>
  <c r="M60" i="8"/>
  <c r="AH60" i="8" s="1"/>
  <c r="S60" i="8"/>
  <c r="AT60" i="8" s="1"/>
  <c r="T60" i="8"/>
  <c r="AU60" i="8" s="1"/>
  <c r="K60" i="8"/>
  <c r="AA60" i="8" s="1"/>
  <c r="BB60" i="8" s="1"/>
  <c r="AF58" i="8"/>
  <c r="BG58" i="8" s="1"/>
  <c r="G61" i="8"/>
  <c r="H61" i="8" s="1"/>
  <c r="O61" i="8"/>
  <c r="L61" i="8"/>
  <c r="AE61" i="8" s="1"/>
  <c r="BF61" i="8" s="1"/>
  <c r="BL58" i="7"/>
  <c r="AK59" i="7"/>
  <c r="BI59" i="7"/>
  <c r="AJ59" i="7"/>
  <c r="BK59" i="7" s="1"/>
  <c r="C73" i="9"/>
  <c r="B72" i="9"/>
  <c r="G61" i="7"/>
  <c r="K61" i="7" s="1"/>
  <c r="AA61" i="7" s="1"/>
  <c r="BI58" i="8"/>
  <c r="AK58" i="8"/>
  <c r="AJ58" i="8"/>
  <c r="BK58" i="8" s="1"/>
  <c r="AI59" i="8"/>
  <c r="AC59" i="8"/>
  <c r="BD59" i="8" s="1"/>
  <c r="AD59" i="8"/>
  <c r="BE59" i="8" s="1"/>
  <c r="AB59" i="8"/>
  <c r="R71" i="9"/>
  <c r="L71" i="9"/>
  <c r="F71" i="9"/>
  <c r="X71" i="9"/>
  <c r="AA71" i="9"/>
  <c r="Y71" i="9"/>
  <c r="D62" i="8" s="1"/>
  <c r="I62" i="8" s="1"/>
  <c r="V71" i="9"/>
  <c r="K71" i="9"/>
  <c r="P71" i="9"/>
  <c r="D71" i="9"/>
  <c r="T71" i="9"/>
  <c r="W71" i="9"/>
  <c r="M71" i="9"/>
  <c r="S71" i="9"/>
  <c r="D62" i="7" s="1"/>
  <c r="I62" i="7" s="1"/>
  <c r="H71" i="9"/>
  <c r="J71" i="9"/>
  <c r="N71" i="9"/>
  <c r="E71" i="9"/>
  <c r="Z71" i="9"/>
  <c r="G71" i="9"/>
  <c r="Q71" i="9"/>
  <c r="I71" i="9"/>
  <c r="E62" i="7" s="1"/>
  <c r="U71" i="9"/>
  <c r="O71" i="9"/>
  <c r="E62" i="8" s="1"/>
  <c r="B66" i="7"/>
  <c r="A67" i="7"/>
  <c r="AP63" i="8"/>
  <c r="C63" i="8"/>
  <c r="O61" i="7"/>
  <c r="L61" i="7"/>
  <c r="AE61" i="7" s="1"/>
  <c r="BF61" i="7" s="1"/>
  <c r="Z58" i="8"/>
  <c r="AR62" i="8"/>
  <c r="BN62" i="8" s="1"/>
  <c r="AQ62" i="8"/>
  <c r="B64" i="8"/>
  <c r="A65" i="8"/>
  <c r="AR64" i="7"/>
  <c r="BN64" i="7" s="1"/>
  <c r="AQ64" i="7"/>
  <c r="AP65" i="7"/>
  <c r="C65" i="7"/>
  <c r="H60" i="7"/>
  <c r="N60" i="7" s="1"/>
  <c r="M60" i="7"/>
  <c r="T60" i="7"/>
  <c r="AU60" i="7" s="1"/>
  <c r="S60" i="7"/>
  <c r="K60" i="7"/>
  <c r="AA60" i="7" s="1"/>
  <c r="AL59" i="7"/>
  <c r="BM59" i="7" s="1"/>
  <c r="BJ59" i="7"/>
  <c r="AL58" i="8"/>
  <c r="BM58" i="8" s="1"/>
  <c r="BJ58" i="8"/>
  <c r="AN58" i="7" l="1"/>
  <c r="BO58" i="7" s="1"/>
  <c r="AK59" i="8"/>
  <c r="BL59" i="8" s="1"/>
  <c r="BA58" i="7"/>
  <c r="G62" i="8"/>
  <c r="M62" i="8" s="1"/>
  <c r="AF59" i="7"/>
  <c r="BG59" i="7" s="1"/>
  <c r="AB60" i="8"/>
  <c r="BC60" i="8" s="1"/>
  <c r="AD60" i="8"/>
  <c r="BE60" i="8" s="1"/>
  <c r="AI60" i="8"/>
  <c r="AJ60" i="8" s="1"/>
  <c r="BK60" i="8" s="1"/>
  <c r="J60" i="8"/>
  <c r="X60" i="8"/>
  <c r="AY60" i="8" s="1"/>
  <c r="Z59" i="7"/>
  <c r="BA59" i="7" s="1"/>
  <c r="W60" i="8"/>
  <c r="AX60" i="8" s="1"/>
  <c r="Z59" i="8"/>
  <c r="BA59" i="8" s="1"/>
  <c r="K61" i="8"/>
  <c r="AA61" i="8" s="1"/>
  <c r="BB61" i="8" s="1"/>
  <c r="M61" i="8"/>
  <c r="AH61" i="8" s="1"/>
  <c r="S61" i="8"/>
  <c r="AT61" i="8" s="1"/>
  <c r="T61" i="8"/>
  <c r="AU61" i="8" s="1"/>
  <c r="U61" i="8"/>
  <c r="AV61" i="8" s="1"/>
  <c r="G62" i="7"/>
  <c r="H62" i="7" s="1"/>
  <c r="N61" i="8"/>
  <c r="AI61" i="8" s="1"/>
  <c r="J61" i="8"/>
  <c r="BB61" i="7"/>
  <c r="BJ59" i="8"/>
  <c r="AL59" i="8"/>
  <c r="BM59" i="8" s="1"/>
  <c r="B73" i="9"/>
  <c r="C74" i="9"/>
  <c r="AN59" i="7"/>
  <c r="BO59" i="7" s="1"/>
  <c r="BL59" i="7"/>
  <c r="AQ65" i="7"/>
  <c r="AR65" i="7"/>
  <c r="BN65" i="7" s="1"/>
  <c r="BC59" i="8"/>
  <c r="AF59" i="8"/>
  <c r="AN58" i="8"/>
  <c r="BO58" i="8" s="1"/>
  <c r="BL58" i="8"/>
  <c r="R72" i="9"/>
  <c r="F72" i="9"/>
  <c r="L72" i="9"/>
  <c r="X72" i="9"/>
  <c r="AA72" i="9"/>
  <c r="K72" i="9"/>
  <c r="N72" i="9"/>
  <c r="Q72" i="9"/>
  <c r="W72" i="9"/>
  <c r="Y72" i="9"/>
  <c r="D63" i="8" s="1"/>
  <c r="I63" i="8" s="1"/>
  <c r="U72" i="9"/>
  <c r="I72" i="9"/>
  <c r="E63" i="7" s="1"/>
  <c r="E72" i="9"/>
  <c r="V72" i="9"/>
  <c r="Z72" i="9"/>
  <c r="P72" i="9"/>
  <c r="S72" i="9"/>
  <c r="D63" i="7" s="1"/>
  <c r="I63" i="7" s="1"/>
  <c r="H72" i="9"/>
  <c r="G72" i="9"/>
  <c r="O72" i="9"/>
  <c r="E63" i="8" s="1"/>
  <c r="M72" i="9"/>
  <c r="D72" i="9"/>
  <c r="T72" i="9"/>
  <c r="J72" i="9"/>
  <c r="B65" i="8"/>
  <c r="A66" i="8"/>
  <c r="AQ63" i="8"/>
  <c r="AR63" i="8"/>
  <c r="BN63" i="8" s="1"/>
  <c r="AP64" i="8"/>
  <c r="C64" i="8"/>
  <c r="AK60" i="8"/>
  <c r="BI60" i="8"/>
  <c r="AJ59" i="8"/>
  <c r="BK59" i="8" s="1"/>
  <c r="O62" i="8"/>
  <c r="L62" i="8"/>
  <c r="AE62" i="8" s="1"/>
  <c r="BF62" i="8" s="1"/>
  <c r="J60" i="7"/>
  <c r="BA58" i="8"/>
  <c r="AG58" i="8"/>
  <c r="BH58" i="8" s="1"/>
  <c r="B67" i="7"/>
  <c r="A68" i="7"/>
  <c r="M61" i="7"/>
  <c r="H61" i="7"/>
  <c r="N61" i="7" s="1"/>
  <c r="T61" i="7"/>
  <c r="AU61" i="7" s="1"/>
  <c r="S61" i="7"/>
  <c r="AI60" i="7"/>
  <c r="AC60" i="7"/>
  <c r="BD60" i="7" s="1"/>
  <c r="AD60" i="7"/>
  <c r="BE60" i="7" s="1"/>
  <c r="AB60" i="7"/>
  <c r="BC60" i="7" s="1"/>
  <c r="BB60" i="7"/>
  <c r="AT60" i="7"/>
  <c r="AH60" i="7"/>
  <c r="W60" i="7"/>
  <c r="AX60" i="7" s="1"/>
  <c r="X60" i="7"/>
  <c r="AY60" i="7" s="1"/>
  <c r="U60" i="7"/>
  <c r="AV60" i="7" s="1"/>
  <c r="AP66" i="7"/>
  <c r="C66" i="7"/>
  <c r="O62" i="7"/>
  <c r="L62" i="7"/>
  <c r="AE62" i="7" s="1"/>
  <c r="BF62" i="7" s="1"/>
  <c r="K62" i="8" l="1"/>
  <c r="AA62" i="8" s="1"/>
  <c r="AC61" i="8"/>
  <c r="BD61" i="8" s="1"/>
  <c r="U62" i="8"/>
  <c r="AV62" i="8" s="1"/>
  <c r="S62" i="8"/>
  <c r="AT62" i="8" s="1"/>
  <c r="T62" i="8"/>
  <c r="AU62" i="8" s="1"/>
  <c r="H62" i="8"/>
  <c r="N62" i="8" s="1"/>
  <c r="AI62" i="8" s="1"/>
  <c r="AB61" i="8"/>
  <c r="BC61" i="8" s="1"/>
  <c r="AD61" i="8"/>
  <c r="BE61" i="8" s="1"/>
  <c r="AL60" i="8"/>
  <c r="BM60" i="8" s="1"/>
  <c r="BJ60" i="8"/>
  <c r="AF60" i="8"/>
  <c r="BG60" i="8" s="1"/>
  <c r="AG59" i="7"/>
  <c r="BH59" i="7" s="1"/>
  <c r="Z60" i="8"/>
  <c r="BA60" i="8" s="1"/>
  <c r="K62" i="7"/>
  <c r="AA62" i="7" s="1"/>
  <c r="BB62" i="7" s="1"/>
  <c r="T62" i="7"/>
  <c r="AU62" i="7" s="1"/>
  <c r="S62" i="7"/>
  <c r="AT62" i="7" s="1"/>
  <c r="X61" i="8"/>
  <c r="AY61" i="8" s="1"/>
  <c r="W61" i="8"/>
  <c r="AX61" i="8" s="1"/>
  <c r="M62" i="7"/>
  <c r="U62" i="7" s="1"/>
  <c r="AV62" i="7" s="1"/>
  <c r="N62" i="7"/>
  <c r="AI62" i="7" s="1"/>
  <c r="J61" i="7"/>
  <c r="AF60" i="7"/>
  <c r="BG60" i="7" s="1"/>
  <c r="G63" i="8"/>
  <c r="K63" i="8" s="1"/>
  <c r="AA63" i="8" s="1"/>
  <c r="BB63" i="8" s="1"/>
  <c r="BI61" i="8"/>
  <c r="AK61" i="8"/>
  <c r="AJ61" i="8"/>
  <c r="BK61" i="8" s="1"/>
  <c r="AR64" i="8"/>
  <c r="BN64" i="8" s="1"/>
  <c r="AQ64" i="8"/>
  <c r="BG59" i="8"/>
  <c r="AG59" i="8"/>
  <c r="BH59" i="8" s="1"/>
  <c r="AQ66" i="7"/>
  <c r="AR66" i="7"/>
  <c r="BN66" i="7" s="1"/>
  <c r="B68" i="7"/>
  <c r="A69" i="7"/>
  <c r="C67" i="7"/>
  <c r="AP67" i="7"/>
  <c r="L73" i="9"/>
  <c r="F73" i="9"/>
  <c r="X73" i="9"/>
  <c r="U73" i="9"/>
  <c r="S73" i="9"/>
  <c r="D64" i="7" s="1"/>
  <c r="I64" i="7" s="1"/>
  <c r="R73" i="9"/>
  <c r="G73" i="9"/>
  <c r="O73" i="9"/>
  <c r="E64" i="8" s="1"/>
  <c r="Y73" i="9"/>
  <c r="D64" i="8" s="1"/>
  <c r="I64" i="8" s="1"/>
  <c r="P73" i="9"/>
  <c r="Q73" i="9"/>
  <c r="K73" i="9"/>
  <c r="W73" i="9"/>
  <c r="V73" i="9"/>
  <c r="M73" i="9"/>
  <c r="N73" i="9"/>
  <c r="I73" i="9"/>
  <c r="E64" i="7" s="1"/>
  <c r="Z73" i="9"/>
  <c r="T73" i="9"/>
  <c r="D73" i="9"/>
  <c r="H73" i="9"/>
  <c r="J73" i="9"/>
  <c r="E73" i="9"/>
  <c r="AA73" i="9"/>
  <c r="BJ60" i="7"/>
  <c r="AL60" i="7"/>
  <c r="BM60" i="7" s="1"/>
  <c r="BL60" i="8"/>
  <c r="C75" i="9"/>
  <c r="B74" i="9"/>
  <c r="A67" i="8"/>
  <c r="B66" i="8"/>
  <c r="AH61" i="7"/>
  <c r="W61" i="7"/>
  <c r="AX61" i="7" s="1"/>
  <c r="X61" i="7"/>
  <c r="AY61" i="7" s="1"/>
  <c r="U61" i="7"/>
  <c r="AV61" i="7" s="1"/>
  <c r="O63" i="7"/>
  <c r="L63" i="7"/>
  <c r="AE63" i="7" s="1"/>
  <c r="BF63" i="7" s="1"/>
  <c r="C65" i="8"/>
  <c r="AP65" i="8"/>
  <c r="G63" i="7"/>
  <c r="J62" i="7"/>
  <c r="AJ60" i="7"/>
  <c r="BK60" i="7" s="1"/>
  <c r="BI60" i="7"/>
  <c r="AK60" i="7"/>
  <c r="AT61" i="7"/>
  <c r="BB62" i="8"/>
  <c r="Z60" i="7"/>
  <c r="AN59" i="8"/>
  <c r="BO59" i="8" s="1"/>
  <c r="AI61" i="7"/>
  <c r="AC61" i="7"/>
  <c r="BD61" i="7" s="1"/>
  <c r="AD61" i="7"/>
  <c r="BE61" i="7" s="1"/>
  <c r="AB61" i="7"/>
  <c r="O63" i="8"/>
  <c r="L63" i="8"/>
  <c r="AE63" i="8" s="1"/>
  <c r="BF63" i="8" s="1"/>
  <c r="AH62" i="8"/>
  <c r="W62" i="8"/>
  <c r="AX62" i="8" s="1"/>
  <c r="X62" i="8"/>
  <c r="AY62" i="8" s="1"/>
  <c r="AL61" i="8"/>
  <c r="BM61" i="8" s="1"/>
  <c r="BJ61" i="8"/>
  <c r="J62" i="8" l="1"/>
  <c r="AB62" i="8"/>
  <c r="BC62" i="8" s="1"/>
  <c r="AD62" i="8"/>
  <c r="BE62" i="8" s="1"/>
  <c r="AC62" i="8"/>
  <c r="BD62" i="8" s="1"/>
  <c r="AF61" i="8"/>
  <c r="BG61" i="8" s="1"/>
  <c r="AN60" i="8"/>
  <c r="BO60" i="8" s="1"/>
  <c r="AG60" i="8"/>
  <c r="BH60" i="8" s="1"/>
  <c r="Z61" i="8"/>
  <c r="X62" i="7"/>
  <c r="AY62" i="7" s="1"/>
  <c r="W62" i="7"/>
  <c r="AX62" i="7" s="1"/>
  <c r="AH62" i="7"/>
  <c r="BI62" i="7" s="1"/>
  <c r="AB62" i="7"/>
  <c r="BC62" i="7" s="1"/>
  <c r="AD62" i="7"/>
  <c r="BE62" i="7" s="1"/>
  <c r="AC62" i="7"/>
  <c r="BD62" i="7" s="1"/>
  <c r="H63" i="8"/>
  <c r="N63" i="8" s="1"/>
  <c r="AC63" i="8" s="1"/>
  <c r="BD63" i="8" s="1"/>
  <c r="S63" i="8"/>
  <c r="AT63" i="8" s="1"/>
  <c r="M63" i="8"/>
  <c r="AH63" i="8" s="1"/>
  <c r="G64" i="7"/>
  <c r="K64" i="7" s="1"/>
  <c r="AA64" i="7" s="1"/>
  <c r="T63" i="8"/>
  <c r="AU63" i="8" s="1"/>
  <c r="U63" i="8"/>
  <c r="AV63" i="8" s="1"/>
  <c r="O64" i="7"/>
  <c r="L64" i="7"/>
  <c r="AE64" i="7" s="1"/>
  <c r="BF64" i="7" s="1"/>
  <c r="H63" i="7"/>
  <c r="N63" i="7" s="1"/>
  <c r="M63" i="7"/>
  <c r="T63" i="7"/>
  <c r="AU63" i="7" s="1"/>
  <c r="S63" i="7"/>
  <c r="K63" i="7"/>
  <c r="AA63" i="7" s="1"/>
  <c r="Z62" i="8"/>
  <c r="AN61" i="8"/>
  <c r="BO61" i="8" s="1"/>
  <c r="BL61" i="8"/>
  <c r="BA60" i="7"/>
  <c r="AG60" i="7"/>
  <c r="BH60" i="7" s="1"/>
  <c r="AQ67" i="7"/>
  <c r="AR67" i="7"/>
  <c r="BN67" i="7" s="1"/>
  <c r="Z61" i="7"/>
  <c r="AJ62" i="8"/>
  <c r="BK62" i="8" s="1"/>
  <c r="BI62" i="8"/>
  <c r="AK62" i="8"/>
  <c r="BJ62" i="7"/>
  <c r="AL62" i="7"/>
  <c r="BM62" i="7" s="1"/>
  <c r="BJ62" i="8"/>
  <c r="AL62" i="8"/>
  <c r="BM62" i="8" s="1"/>
  <c r="AP66" i="8"/>
  <c r="C66" i="8"/>
  <c r="A68" i="8"/>
  <c r="B67" i="8"/>
  <c r="R74" i="9"/>
  <c r="F74" i="9"/>
  <c r="L74" i="9"/>
  <c r="O74" i="9"/>
  <c r="E65" i="8" s="1"/>
  <c r="X74" i="9"/>
  <c r="P74" i="9"/>
  <c r="Q74" i="9"/>
  <c r="M74" i="9"/>
  <c r="D74" i="9"/>
  <c r="AA74" i="9"/>
  <c r="I74" i="9"/>
  <c r="E65" i="7" s="1"/>
  <c r="E74" i="9"/>
  <c r="U74" i="9"/>
  <c r="Z74" i="9"/>
  <c r="S74" i="9"/>
  <c r="D65" i="7" s="1"/>
  <c r="I65" i="7" s="1"/>
  <c r="H74" i="9"/>
  <c r="N74" i="9"/>
  <c r="W74" i="9"/>
  <c r="K74" i="9"/>
  <c r="G74" i="9"/>
  <c r="T74" i="9"/>
  <c r="V74" i="9"/>
  <c r="Y74" i="9"/>
  <c r="D65" i="8" s="1"/>
  <c r="I65" i="8" s="1"/>
  <c r="J74" i="9"/>
  <c r="AR65" i="8"/>
  <c r="BN65" i="8" s="1"/>
  <c r="AQ65" i="8"/>
  <c r="BC61" i="7"/>
  <c r="AF61" i="7"/>
  <c r="BG61" i="7" s="1"/>
  <c r="B69" i="7"/>
  <c r="A70" i="7"/>
  <c r="AK61" i="7"/>
  <c r="AJ61" i="7"/>
  <c r="BK61" i="7" s="1"/>
  <c r="BI61" i="7"/>
  <c r="B75" i="9"/>
  <c r="C76" i="9"/>
  <c r="O64" i="8"/>
  <c r="L64" i="8"/>
  <c r="AE64" i="8" s="1"/>
  <c r="BF64" i="8" s="1"/>
  <c r="AP68" i="7"/>
  <c r="C68" i="7"/>
  <c r="BL60" i="7"/>
  <c r="AN60" i="7"/>
  <c r="BO60" i="7" s="1"/>
  <c r="BJ61" i="7"/>
  <c r="AL61" i="7"/>
  <c r="BM61" i="7" s="1"/>
  <c r="G64" i="8"/>
  <c r="AF62" i="8" l="1"/>
  <c r="BG62" i="8" s="1"/>
  <c r="AG61" i="8"/>
  <c r="BH61" i="8" s="1"/>
  <c r="BA61" i="8"/>
  <c r="AK62" i="7"/>
  <c r="AN62" i="7" s="1"/>
  <c r="BO62" i="7" s="1"/>
  <c r="Z62" i="7"/>
  <c r="BA62" i="7" s="1"/>
  <c r="AJ62" i="7"/>
  <c r="BK62" i="7" s="1"/>
  <c r="AB63" i="8"/>
  <c r="BC63" i="8" s="1"/>
  <c r="AD63" i="8"/>
  <c r="BE63" i="8" s="1"/>
  <c r="AI63" i="8"/>
  <c r="BJ63" i="8" s="1"/>
  <c r="J63" i="8"/>
  <c r="X63" i="8"/>
  <c r="AY63" i="8" s="1"/>
  <c r="W63" i="8"/>
  <c r="AX63" i="8" s="1"/>
  <c r="T64" i="7"/>
  <c r="AU64" i="7" s="1"/>
  <c r="H64" i="7"/>
  <c r="J64" i="7" s="1"/>
  <c r="M64" i="7"/>
  <c r="AH64" i="7" s="1"/>
  <c r="AF62" i="7"/>
  <c r="BG62" i="7" s="1"/>
  <c r="J63" i="7"/>
  <c r="S64" i="7"/>
  <c r="AT64" i="7" s="1"/>
  <c r="G65" i="8"/>
  <c r="S65" i="8" s="1"/>
  <c r="AT63" i="7"/>
  <c r="AR66" i="8"/>
  <c r="BN66" i="8" s="1"/>
  <c r="AQ66" i="8"/>
  <c r="BB63" i="7"/>
  <c r="AP69" i="7"/>
  <c r="C69" i="7"/>
  <c r="AG61" i="7"/>
  <c r="BH61" i="7" s="1"/>
  <c r="BA61" i="7"/>
  <c r="C77" i="9"/>
  <c r="B76" i="9"/>
  <c r="AH63" i="7"/>
  <c r="W63" i="7"/>
  <c r="AX63" i="7" s="1"/>
  <c r="X63" i="7"/>
  <c r="AY63" i="7" s="1"/>
  <c r="U63" i="7"/>
  <c r="AV63" i="7" s="1"/>
  <c r="BL61" i="7"/>
  <c r="AN61" i="7"/>
  <c r="BO61" i="7" s="1"/>
  <c r="AI63" i="7"/>
  <c r="AC63" i="7"/>
  <c r="BD63" i="7" s="1"/>
  <c r="AD63" i="7"/>
  <c r="BE63" i="7" s="1"/>
  <c r="AB63" i="7"/>
  <c r="BC63" i="7" s="1"/>
  <c r="B70" i="7"/>
  <c r="A71" i="7"/>
  <c r="BL62" i="8"/>
  <c r="AN62" i="8"/>
  <c r="BO62" i="8" s="1"/>
  <c r="BA62" i="8"/>
  <c r="AG62" i="8"/>
  <c r="BH62" i="8" s="1"/>
  <c r="BB64" i="7"/>
  <c r="X75" i="9"/>
  <c r="L75" i="9"/>
  <c r="R75" i="9"/>
  <c r="F75" i="9"/>
  <c r="H75" i="9"/>
  <c r="G75" i="9"/>
  <c r="E75" i="9"/>
  <c r="D75" i="9"/>
  <c r="M75" i="9"/>
  <c r="Y75" i="9"/>
  <c r="D66" i="8" s="1"/>
  <c r="I66" i="8" s="1"/>
  <c r="N75" i="9"/>
  <c r="J75" i="9"/>
  <c r="Z75" i="9"/>
  <c r="P75" i="9"/>
  <c r="U75" i="9"/>
  <c r="W75" i="9"/>
  <c r="K75" i="9"/>
  <c r="Q75" i="9"/>
  <c r="T75" i="9"/>
  <c r="AA75" i="9"/>
  <c r="V75" i="9"/>
  <c r="I75" i="9"/>
  <c r="E66" i="7" s="1"/>
  <c r="S75" i="9"/>
  <c r="D66" i="7" s="1"/>
  <c r="I66" i="7" s="1"/>
  <c r="O75" i="9"/>
  <c r="E66" i="8" s="1"/>
  <c r="O65" i="7"/>
  <c r="L65" i="7"/>
  <c r="AE65" i="7" s="1"/>
  <c r="BF65" i="7" s="1"/>
  <c r="AK63" i="8"/>
  <c r="BI63" i="8"/>
  <c r="C67" i="8"/>
  <c r="AP67" i="8"/>
  <c r="M64" i="8"/>
  <c r="H64" i="8"/>
  <c r="N64" i="8" s="1"/>
  <c r="S64" i="8"/>
  <c r="T64" i="8"/>
  <c r="AU64" i="8" s="1"/>
  <c r="U64" i="8"/>
  <c r="AV64" i="8" s="1"/>
  <c r="K64" i="8"/>
  <c r="AA64" i="8" s="1"/>
  <c r="AQ68" i="7"/>
  <c r="AR68" i="7"/>
  <c r="BN68" i="7" s="1"/>
  <c r="O65" i="8"/>
  <c r="L65" i="8"/>
  <c r="AE65" i="8" s="1"/>
  <c r="BF65" i="8" s="1"/>
  <c r="G65" i="7"/>
  <c r="A69" i="8"/>
  <c r="B68" i="8"/>
  <c r="BL62" i="7" l="1"/>
  <c r="AJ63" i="8"/>
  <c r="BK63" i="8" s="1"/>
  <c r="AF63" i="8"/>
  <c r="BG63" i="8" s="1"/>
  <c r="U64" i="7"/>
  <c r="AV64" i="7" s="1"/>
  <c r="AL63" i="8"/>
  <c r="BM63" i="8" s="1"/>
  <c r="X64" i="7"/>
  <c r="AY64" i="7" s="1"/>
  <c r="W64" i="7"/>
  <c r="AX64" i="7" s="1"/>
  <c r="AG62" i="7"/>
  <c r="BH62" i="7" s="1"/>
  <c r="N64" i="7"/>
  <c r="AI64" i="7" s="1"/>
  <c r="AJ64" i="7" s="1"/>
  <c r="BK64" i="7" s="1"/>
  <c r="Z63" i="8"/>
  <c r="BA63" i="8" s="1"/>
  <c r="K65" i="8"/>
  <c r="AA65" i="8" s="1"/>
  <c r="BB65" i="8" s="1"/>
  <c r="M65" i="8"/>
  <c r="X65" i="8" s="1"/>
  <c r="AY65" i="8" s="1"/>
  <c r="U65" i="8"/>
  <c r="AV65" i="8" s="1"/>
  <c r="H65" i="8"/>
  <c r="J65" i="8" s="1"/>
  <c r="T65" i="8"/>
  <c r="AU65" i="8" s="1"/>
  <c r="G66" i="8"/>
  <c r="K66" i="8" s="1"/>
  <c r="AA66" i="8" s="1"/>
  <c r="BB66" i="8" s="1"/>
  <c r="G66" i="7"/>
  <c r="S66" i="7" s="1"/>
  <c r="B71" i="7"/>
  <c r="A72" i="7"/>
  <c r="BI64" i="7"/>
  <c r="AK64" i="7"/>
  <c r="AF63" i="7"/>
  <c r="BG63" i="7" s="1"/>
  <c r="AQ69" i="7"/>
  <c r="AR69" i="7"/>
  <c r="BN69" i="7" s="1"/>
  <c r="AL63" i="7"/>
  <c r="BM63" i="7" s="1"/>
  <c r="BJ63" i="7"/>
  <c r="AT64" i="8"/>
  <c r="BI63" i="7"/>
  <c r="AJ63" i="7"/>
  <c r="BK63" i="7" s="1"/>
  <c r="AK63" i="7"/>
  <c r="O66" i="7"/>
  <c r="L66" i="7"/>
  <c r="AE66" i="7" s="1"/>
  <c r="BF66" i="7" s="1"/>
  <c r="Z63" i="7"/>
  <c r="C70" i="7"/>
  <c r="AP70" i="7"/>
  <c r="O66" i="8"/>
  <c r="L66" i="8"/>
  <c r="AE66" i="8" s="1"/>
  <c r="BF66" i="8" s="1"/>
  <c r="R76" i="9"/>
  <c r="F76" i="9"/>
  <c r="L76" i="9"/>
  <c r="X76" i="9"/>
  <c r="U76" i="9"/>
  <c r="D76" i="9"/>
  <c r="N76" i="9"/>
  <c r="O76" i="9"/>
  <c r="E67" i="8" s="1"/>
  <c r="AA76" i="9"/>
  <c r="W76" i="9"/>
  <c r="Q76" i="9"/>
  <c r="G76" i="9"/>
  <c r="M76" i="9"/>
  <c r="P76" i="9"/>
  <c r="E76" i="9"/>
  <c r="Z76" i="9"/>
  <c r="S76" i="9"/>
  <c r="D67" i="7" s="1"/>
  <c r="I67" i="7" s="1"/>
  <c r="I76" i="9"/>
  <c r="E67" i="7" s="1"/>
  <c r="J76" i="9"/>
  <c r="K76" i="9"/>
  <c r="Y76" i="9"/>
  <c r="D67" i="8" s="1"/>
  <c r="I67" i="8" s="1"/>
  <c r="H76" i="9"/>
  <c r="T76" i="9"/>
  <c r="V76" i="9"/>
  <c r="B69" i="8"/>
  <c r="A70" i="8"/>
  <c r="J64" i="8"/>
  <c r="B77" i="9"/>
  <c r="C78" i="9"/>
  <c r="AI64" i="8"/>
  <c r="AC64" i="8"/>
  <c r="BD64" i="8" s="1"/>
  <c r="AD64" i="8"/>
  <c r="BE64" i="8" s="1"/>
  <c r="AB64" i="8"/>
  <c r="BC64" i="8" s="1"/>
  <c r="AT65" i="8"/>
  <c r="BB64" i="8"/>
  <c r="AR67" i="8"/>
  <c r="BN67" i="8" s="1"/>
  <c r="AQ67" i="8"/>
  <c r="AP68" i="8"/>
  <c r="C68" i="8"/>
  <c r="H65" i="7"/>
  <c r="N65" i="7" s="1"/>
  <c r="M65" i="7"/>
  <c r="T65" i="7"/>
  <c r="AU65" i="7" s="1"/>
  <c r="S65" i="7"/>
  <c r="K65" i="7"/>
  <c r="AA65" i="7" s="1"/>
  <c r="AH64" i="8"/>
  <c r="W64" i="8"/>
  <c r="AX64" i="8" s="1"/>
  <c r="X64" i="8"/>
  <c r="AY64" i="8" s="1"/>
  <c r="BL63" i="8"/>
  <c r="AN63" i="8" l="1"/>
  <c r="BO63" i="8" s="1"/>
  <c r="AC64" i="7"/>
  <c r="BD64" i="7" s="1"/>
  <c r="AB64" i="7"/>
  <c r="BC64" i="7" s="1"/>
  <c r="AL64" i="7"/>
  <c r="BM64" i="7" s="1"/>
  <c r="BJ64" i="7"/>
  <c r="AD64" i="7"/>
  <c r="BE64" i="7" s="1"/>
  <c r="Z64" i="7"/>
  <c r="BA64" i="7" s="1"/>
  <c r="AG63" i="8"/>
  <c r="BH63" i="8" s="1"/>
  <c r="AH65" i="8"/>
  <c r="BI65" i="8" s="1"/>
  <c r="U66" i="8"/>
  <c r="AV66" i="8" s="1"/>
  <c r="N65" i="8"/>
  <c r="AI65" i="8" s="1"/>
  <c r="T66" i="8"/>
  <c r="AU66" i="8" s="1"/>
  <c r="S66" i="8"/>
  <c r="AT66" i="8" s="1"/>
  <c r="M66" i="8"/>
  <c r="AH66" i="8" s="1"/>
  <c r="W65" i="8"/>
  <c r="AX65" i="8" s="1"/>
  <c r="H66" i="8"/>
  <c r="N66" i="8" s="1"/>
  <c r="AI66" i="8" s="1"/>
  <c r="H66" i="7"/>
  <c r="J66" i="7" s="1"/>
  <c r="T66" i="7"/>
  <c r="AU66" i="7" s="1"/>
  <c r="K66" i="7"/>
  <c r="AA66" i="7" s="1"/>
  <c r="BB66" i="7" s="1"/>
  <c r="M66" i="7"/>
  <c r="X66" i="7" s="1"/>
  <c r="AY66" i="7" s="1"/>
  <c r="J65" i="7"/>
  <c r="AF64" i="8"/>
  <c r="BG64" i="8" s="1"/>
  <c r="G67" i="7"/>
  <c r="K67" i="7" s="1"/>
  <c r="AA67" i="7" s="1"/>
  <c r="BB67" i="7" s="1"/>
  <c r="BA63" i="7"/>
  <c r="AG63" i="7"/>
  <c r="BH63" i="7" s="1"/>
  <c r="BB65" i="7"/>
  <c r="O67" i="8"/>
  <c r="L67" i="8"/>
  <c r="AE67" i="8" s="1"/>
  <c r="BF67" i="8" s="1"/>
  <c r="G67" i="8"/>
  <c r="AT65" i="7"/>
  <c r="A71" i="8"/>
  <c r="B70" i="8"/>
  <c r="AI65" i="7"/>
  <c r="AC65" i="7"/>
  <c r="BD65" i="7" s="1"/>
  <c r="AD65" i="7"/>
  <c r="BE65" i="7" s="1"/>
  <c r="AB65" i="7"/>
  <c r="BC65" i="7" s="1"/>
  <c r="BL63" i="7"/>
  <c r="AN63" i="7"/>
  <c r="BO63" i="7" s="1"/>
  <c r="BL64" i="7"/>
  <c r="BI64" i="8"/>
  <c r="AK64" i="8"/>
  <c r="AJ64" i="8"/>
  <c r="BK64" i="8" s="1"/>
  <c r="B78" i="9"/>
  <c r="C79" i="9"/>
  <c r="AP69" i="8"/>
  <c r="C69" i="8"/>
  <c r="AT66" i="7"/>
  <c r="AR68" i="8"/>
  <c r="BN68" i="8" s="1"/>
  <c r="AQ68" i="8"/>
  <c r="L77" i="9"/>
  <c r="F77" i="9"/>
  <c r="X77" i="9"/>
  <c r="U77" i="9"/>
  <c r="R77" i="9"/>
  <c r="G77" i="9"/>
  <c r="S77" i="9"/>
  <c r="D68" i="7" s="1"/>
  <c r="I68" i="7" s="1"/>
  <c r="V77" i="9"/>
  <c r="M77" i="9"/>
  <c r="Z77" i="9"/>
  <c r="T77" i="9"/>
  <c r="H77" i="9"/>
  <c r="O77" i="9"/>
  <c r="E68" i="8" s="1"/>
  <c r="J77" i="9"/>
  <c r="D77" i="9"/>
  <c r="E77" i="9"/>
  <c r="I77" i="9"/>
  <c r="E68" i="7" s="1"/>
  <c r="Y77" i="9"/>
  <c r="D68" i="8" s="1"/>
  <c r="I68" i="8" s="1"/>
  <c r="W77" i="9"/>
  <c r="N77" i="9"/>
  <c r="AA77" i="9"/>
  <c r="P77" i="9"/>
  <c r="Q77" i="9"/>
  <c r="K77" i="9"/>
  <c r="AL64" i="8"/>
  <c r="BM64" i="8" s="1"/>
  <c r="BJ64" i="8"/>
  <c r="AQ70" i="7"/>
  <c r="AR70" i="7"/>
  <c r="BN70" i="7" s="1"/>
  <c r="Z64" i="8"/>
  <c r="B72" i="7"/>
  <c r="A73" i="7"/>
  <c r="AH65" i="7"/>
  <c r="W65" i="7"/>
  <c r="AX65" i="7" s="1"/>
  <c r="X65" i="7"/>
  <c r="AY65" i="7" s="1"/>
  <c r="U65" i="7"/>
  <c r="AV65" i="7" s="1"/>
  <c r="O67" i="7"/>
  <c r="L67" i="7"/>
  <c r="AE67" i="7" s="1"/>
  <c r="BF67" i="7" s="1"/>
  <c r="AP71" i="7"/>
  <c r="C71" i="7"/>
  <c r="AJ65" i="8" l="1"/>
  <c r="BK65" i="8" s="1"/>
  <c r="AN64" i="7"/>
  <c r="BO64" i="7" s="1"/>
  <c r="AF64" i="7"/>
  <c r="BG64" i="7" s="1"/>
  <c r="AB65" i="8"/>
  <c r="BC65" i="8" s="1"/>
  <c r="AD65" i="8"/>
  <c r="BE65" i="8" s="1"/>
  <c r="AC65" i="8"/>
  <c r="BD65" i="8" s="1"/>
  <c r="AB66" i="8"/>
  <c r="BC66" i="8" s="1"/>
  <c r="AK65" i="8"/>
  <c r="BL65" i="8" s="1"/>
  <c r="AD66" i="8"/>
  <c r="BE66" i="8" s="1"/>
  <c r="AC66" i="8"/>
  <c r="BD66" i="8" s="1"/>
  <c r="J66" i="8"/>
  <c r="N66" i="7"/>
  <c r="AD66" i="7" s="1"/>
  <c r="BE66" i="7" s="1"/>
  <c r="X66" i="8"/>
  <c r="AY66" i="8" s="1"/>
  <c r="W66" i="8"/>
  <c r="AX66" i="8" s="1"/>
  <c r="W66" i="7"/>
  <c r="AX66" i="7" s="1"/>
  <c r="AH66" i="7"/>
  <c r="BI66" i="7" s="1"/>
  <c r="Z65" i="8"/>
  <c r="BA65" i="8" s="1"/>
  <c r="U66" i="7"/>
  <c r="AV66" i="7" s="1"/>
  <c r="S67" i="7"/>
  <c r="AT67" i="7" s="1"/>
  <c r="T67" i="7"/>
  <c r="AU67" i="7" s="1"/>
  <c r="H67" i="7"/>
  <c r="N67" i="7" s="1"/>
  <c r="AC67" i="7" s="1"/>
  <c r="BD67" i="7" s="1"/>
  <c r="G68" i="7"/>
  <c r="M68" i="7" s="1"/>
  <c r="M67" i="7"/>
  <c r="AH67" i="7" s="1"/>
  <c r="G68" i="8"/>
  <c r="K68" i="8" s="1"/>
  <c r="AA68" i="8" s="1"/>
  <c r="M67" i="8"/>
  <c r="H67" i="8"/>
  <c r="N67" i="8" s="1"/>
  <c r="S67" i="8"/>
  <c r="T67" i="8"/>
  <c r="AU67" i="8" s="1"/>
  <c r="U67" i="8"/>
  <c r="AV67" i="8" s="1"/>
  <c r="K67" i="8"/>
  <c r="AA67" i="8" s="1"/>
  <c r="B73" i="7"/>
  <c r="A74" i="7"/>
  <c r="B79" i="9"/>
  <c r="C80" i="9"/>
  <c r="X78" i="9"/>
  <c r="L78" i="9"/>
  <c r="F78" i="9"/>
  <c r="R78" i="9"/>
  <c r="T78" i="9"/>
  <c r="U78" i="9"/>
  <c r="N78" i="9"/>
  <c r="J78" i="9"/>
  <c r="O78" i="9"/>
  <c r="E69" i="8" s="1"/>
  <c r="G78" i="9"/>
  <c r="H78" i="9"/>
  <c r="E78" i="9"/>
  <c r="Q78" i="9"/>
  <c r="P78" i="9"/>
  <c r="S78" i="9"/>
  <c r="D69" i="7" s="1"/>
  <c r="I69" i="7" s="1"/>
  <c r="D78" i="9"/>
  <c r="V78" i="9"/>
  <c r="Z78" i="9"/>
  <c r="I78" i="9"/>
  <c r="E69" i="7" s="1"/>
  <c r="M78" i="9"/>
  <c r="W78" i="9"/>
  <c r="K78" i="9"/>
  <c r="Y78" i="9"/>
  <c r="D69" i="8" s="1"/>
  <c r="I69" i="8" s="1"/>
  <c r="AA78" i="9"/>
  <c r="AP70" i="8"/>
  <c r="C70" i="8"/>
  <c r="B71" i="8"/>
  <c r="A72" i="8"/>
  <c r="BI66" i="8"/>
  <c r="AK66" i="8"/>
  <c r="AJ66" i="8"/>
  <c r="BK66" i="8" s="1"/>
  <c r="AK65" i="7"/>
  <c r="AJ65" i="7"/>
  <c r="BK65" i="7" s="1"/>
  <c r="BI65" i="7"/>
  <c r="BJ65" i="7"/>
  <c r="AL65" i="7"/>
  <c r="BM65" i="7" s="1"/>
  <c r="AN64" i="8"/>
  <c r="BO64" i="8" s="1"/>
  <c r="BL64" i="8"/>
  <c r="AF65" i="7"/>
  <c r="BG65" i="7" s="1"/>
  <c r="O68" i="8"/>
  <c r="L68" i="8"/>
  <c r="AE68" i="8" s="1"/>
  <c r="BF68" i="8" s="1"/>
  <c r="BJ65" i="8"/>
  <c r="AL65" i="8"/>
  <c r="BM65" i="8" s="1"/>
  <c r="Z65" i="7"/>
  <c r="AQ69" i="8"/>
  <c r="AR69" i="8"/>
  <c r="BN69" i="8" s="1"/>
  <c r="AP72" i="7"/>
  <c r="C72" i="7"/>
  <c r="BA64" i="8"/>
  <c r="AG64" i="8"/>
  <c r="BH64" i="8" s="1"/>
  <c r="AL66" i="8"/>
  <c r="BM66" i="8" s="1"/>
  <c r="BJ66" i="8"/>
  <c r="AR71" i="7"/>
  <c r="BN71" i="7" s="1"/>
  <c r="AQ71" i="7"/>
  <c r="O68" i="7"/>
  <c r="L68" i="7"/>
  <c r="AE68" i="7" s="1"/>
  <c r="BF68" i="7" s="1"/>
  <c r="AF65" i="8" l="1"/>
  <c r="BG65" i="8" s="1"/>
  <c r="AG64" i="7"/>
  <c r="BH64" i="7" s="1"/>
  <c r="AI66" i="7"/>
  <c r="BJ66" i="7" s="1"/>
  <c r="AC66" i="7"/>
  <c r="BD66" i="7" s="1"/>
  <c r="AF66" i="8"/>
  <c r="BG66" i="8" s="1"/>
  <c r="U67" i="7"/>
  <c r="AV67" i="7" s="1"/>
  <c r="AB66" i="7"/>
  <c r="X67" i="7"/>
  <c r="AY67" i="7" s="1"/>
  <c r="AK66" i="7"/>
  <c r="BL66" i="7" s="1"/>
  <c r="J67" i="7"/>
  <c r="Z66" i="8"/>
  <c r="BA66" i="8" s="1"/>
  <c r="Z66" i="7"/>
  <c r="BA66" i="7" s="1"/>
  <c r="W67" i="7"/>
  <c r="AX67" i="7" s="1"/>
  <c r="K68" i="7"/>
  <c r="AA68" i="7" s="1"/>
  <c r="BB68" i="7" s="1"/>
  <c r="AI67" i="7"/>
  <c r="AL67" i="7" s="1"/>
  <c r="BM67" i="7" s="1"/>
  <c r="AB67" i="7"/>
  <c r="BC67" i="7" s="1"/>
  <c r="AD67" i="7"/>
  <c r="BE67" i="7" s="1"/>
  <c r="H68" i="7"/>
  <c r="N68" i="7" s="1"/>
  <c r="AC68" i="7" s="1"/>
  <c r="BD68" i="7" s="1"/>
  <c r="T68" i="7"/>
  <c r="AU68" i="7" s="1"/>
  <c r="G69" i="7"/>
  <c r="K69" i="7" s="1"/>
  <c r="AA69" i="7" s="1"/>
  <c r="S68" i="7"/>
  <c r="AT68" i="7" s="1"/>
  <c r="BB68" i="8"/>
  <c r="BB67" i="8"/>
  <c r="B72" i="8"/>
  <c r="A73" i="8"/>
  <c r="J67" i="8"/>
  <c r="AN66" i="8"/>
  <c r="BO66" i="8" s="1"/>
  <c r="BL66" i="8"/>
  <c r="AH67" i="8"/>
  <c r="W67" i="8"/>
  <c r="AX67" i="8" s="1"/>
  <c r="X67" i="8"/>
  <c r="AY67" i="8" s="1"/>
  <c r="AP71" i="8"/>
  <c r="C71" i="8"/>
  <c r="AI67" i="8"/>
  <c r="AC67" i="8"/>
  <c r="BD67" i="8" s="1"/>
  <c r="AD67" i="8"/>
  <c r="BE67" i="8" s="1"/>
  <c r="AB67" i="8"/>
  <c r="BC67" i="8" s="1"/>
  <c r="AN65" i="8"/>
  <c r="BO65" i="8" s="1"/>
  <c r="AR70" i="8"/>
  <c r="BN70" i="8" s="1"/>
  <c r="AQ70" i="8"/>
  <c r="BA65" i="7"/>
  <c r="AG65" i="7"/>
  <c r="BH65" i="7" s="1"/>
  <c r="BI67" i="7"/>
  <c r="AK67" i="7"/>
  <c r="C81" i="9"/>
  <c r="B80" i="9"/>
  <c r="M68" i="8"/>
  <c r="H68" i="8"/>
  <c r="N68" i="8" s="1"/>
  <c r="S68" i="8"/>
  <c r="T68" i="8"/>
  <c r="AU68" i="8" s="1"/>
  <c r="U68" i="8"/>
  <c r="AV68" i="8" s="1"/>
  <c r="AT67" i="8"/>
  <c r="AN65" i="7"/>
  <c r="BO65" i="7" s="1"/>
  <c r="BL65" i="7"/>
  <c r="O69" i="8"/>
  <c r="L69" i="8"/>
  <c r="AE69" i="8" s="1"/>
  <c r="BF69" i="8" s="1"/>
  <c r="F79" i="9"/>
  <c r="X79" i="9"/>
  <c r="R79" i="9"/>
  <c r="M79" i="9"/>
  <c r="L79" i="9"/>
  <c r="P79" i="9"/>
  <c r="O79" i="9"/>
  <c r="E70" i="8" s="1"/>
  <c r="I79" i="9"/>
  <c r="E70" i="7" s="1"/>
  <c r="N79" i="9"/>
  <c r="G79" i="9"/>
  <c r="J79" i="9"/>
  <c r="Q79" i="9"/>
  <c r="Y79" i="9"/>
  <c r="D70" i="8" s="1"/>
  <c r="I70" i="8" s="1"/>
  <c r="E79" i="9"/>
  <c r="K79" i="9"/>
  <c r="Z79" i="9"/>
  <c r="U79" i="9"/>
  <c r="D79" i="9"/>
  <c r="S79" i="9"/>
  <c r="D70" i="7" s="1"/>
  <c r="I70" i="7" s="1"/>
  <c r="AA79" i="9"/>
  <c r="W79" i="9"/>
  <c r="V79" i="9"/>
  <c r="T79" i="9"/>
  <c r="H79" i="9"/>
  <c r="O69" i="7"/>
  <c r="L69" i="7"/>
  <c r="AE69" i="7" s="1"/>
  <c r="BF69" i="7" s="1"/>
  <c r="AQ72" i="7"/>
  <c r="AR72" i="7"/>
  <c r="BN72" i="7" s="1"/>
  <c r="B74" i="7"/>
  <c r="A75" i="7"/>
  <c r="AH68" i="7"/>
  <c r="W68" i="7"/>
  <c r="AX68" i="7" s="1"/>
  <c r="X68" i="7"/>
  <c r="AY68" i="7" s="1"/>
  <c r="U68" i="7"/>
  <c r="AV68" i="7" s="1"/>
  <c r="G69" i="8"/>
  <c r="K69" i="8" s="1"/>
  <c r="AA69" i="8" s="1"/>
  <c r="C73" i="7"/>
  <c r="AP73" i="7"/>
  <c r="AG65" i="8" l="1"/>
  <c r="BH65" i="8" s="1"/>
  <c r="AJ66" i="7"/>
  <c r="BK66" i="7" s="1"/>
  <c r="AF66" i="7"/>
  <c r="BG66" i="7" s="1"/>
  <c r="AL66" i="7"/>
  <c r="BM66" i="7" s="1"/>
  <c r="AG66" i="8"/>
  <c r="BH66" i="8" s="1"/>
  <c r="BC66" i="7"/>
  <c r="Z67" i="7"/>
  <c r="BA67" i="7" s="1"/>
  <c r="AJ67" i="7"/>
  <c r="BK67" i="7" s="1"/>
  <c r="AF67" i="7"/>
  <c r="BG67" i="7" s="1"/>
  <c r="M69" i="7"/>
  <c r="AH69" i="7" s="1"/>
  <c r="BJ67" i="7"/>
  <c r="J68" i="7"/>
  <c r="AB68" i="7"/>
  <c r="BC68" i="7" s="1"/>
  <c r="S69" i="7"/>
  <c r="AT69" i="7" s="1"/>
  <c r="T69" i="7"/>
  <c r="AU69" i="7" s="1"/>
  <c r="AI68" i="7"/>
  <c r="BJ68" i="7" s="1"/>
  <c r="H69" i="7"/>
  <c r="N69" i="7" s="1"/>
  <c r="AD69" i="7" s="1"/>
  <c r="BE69" i="7" s="1"/>
  <c r="AD68" i="7"/>
  <c r="BE68" i="7" s="1"/>
  <c r="Z67" i="8"/>
  <c r="G70" i="7"/>
  <c r="T70" i="7" s="1"/>
  <c r="AU70" i="7" s="1"/>
  <c r="G70" i="8"/>
  <c r="H70" i="8" s="1"/>
  <c r="C72" i="8"/>
  <c r="AP72" i="8"/>
  <c r="AH68" i="8"/>
  <c r="W68" i="8"/>
  <c r="AX68" i="8" s="1"/>
  <c r="X68" i="8"/>
  <c r="AY68" i="8" s="1"/>
  <c r="A74" i="8"/>
  <c r="B73" i="8"/>
  <c r="Z68" i="7"/>
  <c r="AR71" i="8"/>
  <c r="BN71" i="8" s="1"/>
  <c r="AQ71" i="8"/>
  <c r="BB69" i="7"/>
  <c r="B81" i="9"/>
  <c r="C82" i="9"/>
  <c r="AJ67" i="8"/>
  <c r="BK67" i="8" s="1"/>
  <c r="AK67" i="8"/>
  <c r="BI67" i="8"/>
  <c r="AF67" i="8"/>
  <c r="BG67" i="8" s="1"/>
  <c r="BB69" i="8"/>
  <c r="O70" i="7"/>
  <c r="L70" i="7"/>
  <c r="AE70" i="7" s="1"/>
  <c r="BF70" i="7" s="1"/>
  <c r="BJ67" i="8"/>
  <c r="AL67" i="8"/>
  <c r="BM67" i="8" s="1"/>
  <c r="R80" i="9"/>
  <c r="F80" i="9"/>
  <c r="X80" i="9"/>
  <c r="O80" i="9"/>
  <c r="E71" i="8" s="1"/>
  <c r="L80" i="9"/>
  <c r="D80" i="9"/>
  <c r="Z80" i="9"/>
  <c r="V80" i="9"/>
  <c r="E80" i="9"/>
  <c r="AA80" i="9"/>
  <c r="Q80" i="9"/>
  <c r="G80" i="9"/>
  <c r="P80" i="9"/>
  <c r="K80" i="9"/>
  <c r="H80" i="9"/>
  <c r="N80" i="9"/>
  <c r="M80" i="9"/>
  <c r="U80" i="9"/>
  <c r="S80" i="9"/>
  <c r="D71" i="7" s="1"/>
  <c r="I71" i="7" s="1"/>
  <c r="Y80" i="9"/>
  <c r="D71" i="8" s="1"/>
  <c r="I71" i="8" s="1"/>
  <c r="J80" i="9"/>
  <c r="I80" i="9"/>
  <c r="E71" i="7" s="1"/>
  <c r="T80" i="9"/>
  <c r="W80" i="9"/>
  <c r="AK68" i="7"/>
  <c r="BI68" i="7"/>
  <c r="BL67" i="7"/>
  <c r="AN67" i="7"/>
  <c r="BO67" i="7" s="1"/>
  <c r="AR73" i="7"/>
  <c r="BN73" i="7" s="1"/>
  <c r="AQ73" i="7"/>
  <c r="B75" i="7"/>
  <c r="A76" i="7"/>
  <c r="AT68" i="8"/>
  <c r="AP74" i="7"/>
  <c r="C74" i="7"/>
  <c r="AI68" i="8"/>
  <c r="AC68" i="8"/>
  <c r="BD68" i="8" s="1"/>
  <c r="AD68" i="8"/>
  <c r="BE68" i="8" s="1"/>
  <c r="AB68" i="8"/>
  <c r="O70" i="8"/>
  <c r="L70" i="8"/>
  <c r="AE70" i="8" s="1"/>
  <c r="BF70" i="8" s="1"/>
  <c r="H69" i="8"/>
  <c r="N69" i="8" s="1"/>
  <c r="M69" i="8"/>
  <c r="S69" i="8"/>
  <c r="T69" i="8"/>
  <c r="AU69" i="8" s="1"/>
  <c r="U69" i="8"/>
  <c r="AV69" i="8" s="1"/>
  <c r="J68" i="8"/>
  <c r="AG66" i="7" l="1"/>
  <c r="BH66" i="7" s="1"/>
  <c r="AN66" i="7"/>
  <c r="BO66" i="7" s="1"/>
  <c r="AG67" i="7"/>
  <c r="BH67" i="7" s="1"/>
  <c r="U69" i="7"/>
  <c r="AV69" i="7" s="1"/>
  <c r="X69" i="7"/>
  <c r="AY69" i="7" s="1"/>
  <c r="W69" i="7"/>
  <c r="AX69" i="7" s="1"/>
  <c r="AI69" i="7"/>
  <c r="AJ69" i="7" s="1"/>
  <c r="BK69" i="7" s="1"/>
  <c r="AC69" i="7"/>
  <c r="BD69" i="7" s="1"/>
  <c r="AG67" i="8"/>
  <c r="BH67" i="8" s="1"/>
  <c r="AB69" i="7"/>
  <c r="BC69" i="7" s="1"/>
  <c r="AF68" i="7"/>
  <c r="BG68" i="7" s="1"/>
  <c r="AJ68" i="7"/>
  <c r="BK68" i="7" s="1"/>
  <c r="BA67" i="8"/>
  <c r="J69" i="7"/>
  <c r="AL68" i="7"/>
  <c r="BM68" i="7" s="1"/>
  <c r="M70" i="7"/>
  <c r="X70" i="7" s="1"/>
  <c r="AY70" i="7" s="1"/>
  <c r="S70" i="7"/>
  <c r="AT70" i="7" s="1"/>
  <c r="H70" i="7"/>
  <c r="N70" i="7" s="1"/>
  <c r="AI70" i="7" s="1"/>
  <c r="K70" i="7"/>
  <c r="AA70" i="7" s="1"/>
  <c r="BB70" i="7" s="1"/>
  <c r="K70" i="8"/>
  <c r="AA70" i="8" s="1"/>
  <c r="BB70" i="8" s="1"/>
  <c r="U70" i="8"/>
  <c r="AV70" i="8" s="1"/>
  <c r="T70" i="8"/>
  <c r="AU70" i="8" s="1"/>
  <c r="M70" i="8"/>
  <c r="AH70" i="8" s="1"/>
  <c r="S70" i="8"/>
  <c r="AT70" i="8" s="1"/>
  <c r="Z68" i="8"/>
  <c r="BA68" i="8" s="1"/>
  <c r="N70" i="8"/>
  <c r="AB70" i="8" s="1"/>
  <c r="BC70" i="8" s="1"/>
  <c r="O71" i="8"/>
  <c r="L71" i="8"/>
  <c r="AE71" i="8" s="1"/>
  <c r="BF71" i="8" s="1"/>
  <c r="O71" i="7"/>
  <c r="L71" i="7"/>
  <c r="AE71" i="7" s="1"/>
  <c r="BF71" i="7" s="1"/>
  <c r="AP75" i="7"/>
  <c r="C75" i="7"/>
  <c r="BA68" i="7"/>
  <c r="J70" i="8"/>
  <c r="AP73" i="8"/>
  <c r="C73" i="8"/>
  <c r="BJ68" i="8"/>
  <c r="AL68" i="8"/>
  <c r="BM68" i="8" s="1"/>
  <c r="B74" i="8"/>
  <c r="A75" i="8"/>
  <c r="G71" i="8"/>
  <c r="AT69" i="8"/>
  <c r="BC68" i="8"/>
  <c r="AF68" i="8"/>
  <c r="BG68" i="8" s="1"/>
  <c r="BL67" i="8"/>
  <c r="AN67" i="8"/>
  <c r="BO67" i="8" s="1"/>
  <c r="BL68" i="7"/>
  <c r="AQ74" i="7"/>
  <c r="AR74" i="7"/>
  <c r="BN74" i="7" s="1"/>
  <c r="X81" i="9"/>
  <c r="R81" i="9"/>
  <c r="L81" i="9"/>
  <c r="F81" i="9"/>
  <c r="G81" i="9"/>
  <c r="J81" i="9"/>
  <c r="P81" i="9"/>
  <c r="Q81" i="9"/>
  <c r="V81" i="9"/>
  <c r="W81" i="9"/>
  <c r="H81" i="9"/>
  <c r="S81" i="9"/>
  <c r="D72" i="7" s="1"/>
  <c r="I72" i="7" s="1"/>
  <c r="N81" i="9"/>
  <c r="I81" i="9"/>
  <c r="E72" i="7" s="1"/>
  <c r="K81" i="9"/>
  <c r="AA81" i="9"/>
  <c r="T81" i="9"/>
  <c r="E81" i="9"/>
  <c r="U81" i="9"/>
  <c r="O81" i="9"/>
  <c r="E72" i="8" s="1"/>
  <c r="Y81" i="9"/>
  <c r="D72" i="8" s="1"/>
  <c r="I72" i="8" s="1"/>
  <c r="D81" i="9"/>
  <c r="M81" i="9"/>
  <c r="Z81" i="9"/>
  <c r="BI69" i="7"/>
  <c r="AK69" i="7"/>
  <c r="BI68" i="8"/>
  <c r="AJ68" i="8"/>
  <c r="BK68" i="8" s="1"/>
  <c r="AK68" i="8"/>
  <c r="AH69" i="8"/>
  <c r="W69" i="8"/>
  <c r="AX69" i="8" s="1"/>
  <c r="X69" i="8"/>
  <c r="AY69" i="8" s="1"/>
  <c r="G71" i="7"/>
  <c r="AQ72" i="8"/>
  <c r="AR72" i="8"/>
  <c r="BN72" i="8" s="1"/>
  <c r="AI69" i="8"/>
  <c r="AC69" i="8"/>
  <c r="BD69" i="8" s="1"/>
  <c r="AD69" i="8"/>
  <c r="BE69" i="8" s="1"/>
  <c r="AB69" i="8"/>
  <c r="B82" i="9"/>
  <c r="C83" i="9"/>
  <c r="J69" i="8"/>
  <c r="B76" i="7"/>
  <c r="A77" i="7"/>
  <c r="BJ69" i="7" l="1"/>
  <c r="AF69" i="7"/>
  <c r="BG69" i="7" s="1"/>
  <c r="AL69" i="7"/>
  <c r="BM69" i="7" s="1"/>
  <c r="AG68" i="7"/>
  <c r="BH68" i="7" s="1"/>
  <c r="Z69" i="7"/>
  <c r="BA69" i="7" s="1"/>
  <c r="AC70" i="8"/>
  <c r="BD70" i="8" s="1"/>
  <c r="AN68" i="7"/>
  <c r="BO68" i="7" s="1"/>
  <c r="AB70" i="7"/>
  <c r="BC70" i="7" s="1"/>
  <c r="AD70" i="7"/>
  <c r="BE70" i="7" s="1"/>
  <c r="AC70" i="7"/>
  <c r="BD70" i="7" s="1"/>
  <c r="W70" i="7"/>
  <c r="AX70" i="7" s="1"/>
  <c r="AH70" i="7"/>
  <c r="AK70" i="7" s="1"/>
  <c r="U70" i="7"/>
  <c r="AV70" i="7" s="1"/>
  <c r="J70" i="7"/>
  <c r="AI70" i="8"/>
  <c r="AJ70" i="8" s="1"/>
  <c r="BK70" i="8" s="1"/>
  <c r="AD70" i="8"/>
  <c r="BE70" i="8" s="1"/>
  <c r="X70" i="8"/>
  <c r="AY70" i="8" s="1"/>
  <c r="W70" i="8"/>
  <c r="AX70" i="8" s="1"/>
  <c r="G72" i="7"/>
  <c r="T72" i="7" s="1"/>
  <c r="AU72" i="7" s="1"/>
  <c r="AK70" i="8"/>
  <c r="BI70" i="8"/>
  <c r="AP74" i="8"/>
  <c r="C74" i="8"/>
  <c r="X82" i="9"/>
  <c r="L82" i="9"/>
  <c r="R82" i="9"/>
  <c r="P82" i="9"/>
  <c r="F82" i="9"/>
  <c r="D82" i="9"/>
  <c r="I82" i="9"/>
  <c r="E73" i="7" s="1"/>
  <c r="H82" i="9"/>
  <c r="G82" i="9"/>
  <c r="V82" i="9"/>
  <c r="E82" i="9"/>
  <c r="Q82" i="9"/>
  <c r="M82" i="9"/>
  <c r="N82" i="9"/>
  <c r="W82" i="9"/>
  <c r="U82" i="9"/>
  <c r="K82" i="9"/>
  <c r="Y82" i="9"/>
  <c r="D73" i="8" s="1"/>
  <c r="I73" i="8" s="1"/>
  <c r="Z82" i="9"/>
  <c r="O82" i="9"/>
  <c r="E73" i="8" s="1"/>
  <c r="T82" i="9"/>
  <c r="S82" i="9"/>
  <c r="D73" i="7" s="1"/>
  <c r="I73" i="7" s="1"/>
  <c r="AA82" i="9"/>
  <c r="J82" i="9"/>
  <c r="G72" i="8"/>
  <c r="BL69" i="7"/>
  <c r="AQ75" i="7"/>
  <c r="AR75" i="7"/>
  <c r="BN75" i="7" s="1"/>
  <c r="O72" i="7"/>
  <c r="L72" i="7"/>
  <c r="AE72" i="7" s="1"/>
  <c r="BF72" i="7" s="1"/>
  <c r="BC69" i="8"/>
  <c r="AF69" i="8"/>
  <c r="BG69" i="8" s="1"/>
  <c r="H71" i="7"/>
  <c r="N71" i="7" s="1"/>
  <c r="M71" i="7"/>
  <c r="S71" i="7"/>
  <c r="T71" i="7"/>
  <c r="AU71" i="7" s="1"/>
  <c r="K71" i="7"/>
  <c r="AA71" i="7" s="1"/>
  <c r="BI69" i="8"/>
  <c r="AK69" i="8"/>
  <c r="AJ69" i="8"/>
  <c r="BK69" i="8" s="1"/>
  <c r="AG68" i="8"/>
  <c r="BH68" i="8" s="1"/>
  <c r="B75" i="8"/>
  <c r="A76" i="8"/>
  <c r="BJ69" i="8"/>
  <c r="AL69" i="8"/>
  <c r="BM69" i="8" s="1"/>
  <c r="AR73" i="8"/>
  <c r="BN73" i="8" s="1"/>
  <c r="AQ73" i="8"/>
  <c r="H71" i="8"/>
  <c r="N71" i="8" s="1"/>
  <c r="M71" i="8"/>
  <c r="S71" i="8"/>
  <c r="T71" i="8"/>
  <c r="AU71" i="8" s="1"/>
  <c r="U71" i="8"/>
  <c r="AV71" i="8" s="1"/>
  <c r="K71" i="8"/>
  <c r="AA71" i="8" s="1"/>
  <c r="B83" i="9"/>
  <c r="C84" i="9"/>
  <c r="O72" i="8"/>
  <c r="L72" i="8"/>
  <c r="AE72" i="8" s="1"/>
  <c r="BF72" i="8" s="1"/>
  <c r="BJ70" i="7"/>
  <c r="AL70" i="7"/>
  <c r="BM70" i="7" s="1"/>
  <c r="BL68" i="8"/>
  <c r="AN68" i="8"/>
  <c r="BO68" i="8" s="1"/>
  <c r="B77" i="7"/>
  <c r="A78" i="7"/>
  <c r="C76" i="7"/>
  <c r="AP76" i="7"/>
  <c r="Z69" i="8"/>
  <c r="AG69" i="7" l="1"/>
  <c r="BH69" i="7" s="1"/>
  <c r="AN69" i="7"/>
  <c r="BO69" i="7" s="1"/>
  <c r="AJ70" i="7"/>
  <c r="BK70" i="7" s="1"/>
  <c r="BI70" i="7"/>
  <c r="Z70" i="7"/>
  <c r="BA70" i="7" s="1"/>
  <c r="K72" i="7"/>
  <c r="AA72" i="7" s="1"/>
  <c r="BB72" i="7" s="1"/>
  <c r="AF70" i="8"/>
  <c r="BG70" i="8" s="1"/>
  <c r="AL70" i="8"/>
  <c r="BM70" i="8" s="1"/>
  <c r="BJ70" i="8"/>
  <c r="AF70" i="7"/>
  <c r="BG70" i="7" s="1"/>
  <c r="S72" i="7"/>
  <c r="AT72" i="7" s="1"/>
  <c r="H72" i="7"/>
  <c r="J72" i="7" s="1"/>
  <c r="Z70" i="8"/>
  <c r="BA70" i="8" s="1"/>
  <c r="M72" i="7"/>
  <c r="AH72" i="7" s="1"/>
  <c r="G73" i="8"/>
  <c r="T73" i="8" s="1"/>
  <c r="AU73" i="8" s="1"/>
  <c r="J71" i="8"/>
  <c r="J71" i="7"/>
  <c r="M72" i="8"/>
  <c r="H72" i="8"/>
  <c r="N72" i="8" s="1"/>
  <c r="S72" i="8"/>
  <c r="U72" i="8"/>
  <c r="AV72" i="8" s="1"/>
  <c r="T72" i="8"/>
  <c r="AU72" i="8" s="1"/>
  <c r="K72" i="8"/>
  <c r="AA72" i="8" s="1"/>
  <c r="BB71" i="7"/>
  <c r="BL70" i="8"/>
  <c r="G73" i="7"/>
  <c r="BL70" i="7"/>
  <c r="AN70" i="7"/>
  <c r="BO70" i="7" s="1"/>
  <c r="O73" i="8"/>
  <c r="L73" i="8"/>
  <c r="AE73" i="8" s="1"/>
  <c r="BF73" i="8" s="1"/>
  <c r="BL69" i="8"/>
  <c r="AN69" i="8"/>
  <c r="BO69" i="8" s="1"/>
  <c r="AQ74" i="8"/>
  <c r="AR74" i="8"/>
  <c r="BN74" i="8" s="1"/>
  <c r="AH71" i="8"/>
  <c r="W71" i="8"/>
  <c r="AX71" i="8" s="1"/>
  <c r="X71" i="8"/>
  <c r="AY71" i="8" s="1"/>
  <c r="AI71" i="8"/>
  <c r="AC71" i="8"/>
  <c r="BD71" i="8" s="1"/>
  <c r="AD71" i="8"/>
  <c r="BE71" i="8" s="1"/>
  <c r="AB71" i="8"/>
  <c r="BC71" i="8" s="1"/>
  <c r="AT71" i="7"/>
  <c r="C85" i="9"/>
  <c r="B84" i="9"/>
  <c r="AR76" i="7"/>
  <c r="BN76" i="7" s="1"/>
  <c r="AQ76" i="7"/>
  <c r="R83" i="9"/>
  <c r="L83" i="9"/>
  <c r="X83" i="9"/>
  <c r="F83" i="9"/>
  <c r="AA83" i="9"/>
  <c r="K83" i="9"/>
  <c r="W83" i="9"/>
  <c r="S83" i="9"/>
  <c r="D74" i="7" s="1"/>
  <c r="I74" i="7" s="1"/>
  <c r="H83" i="9"/>
  <c r="N83" i="9"/>
  <c r="E83" i="9"/>
  <c r="Z83" i="9"/>
  <c r="I83" i="9"/>
  <c r="E74" i="7" s="1"/>
  <c r="U83" i="9"/>
  <c r="Q83" i="9"/>
  <c r="T83" i="9"/>
  <c r="O83" i="9"/>
  <c r="E74" i="8" s="1"/>
  <c r="M83" i="9"/>
  <c r="P83" i="9"/>
  <c r="Y83" i="9"/>
  <c r="D74" i="8" s="1"/>
  <c r="I74" i="8" s="1"/>
  <c r="J83" i="9"/>
  <c r="D83" i="9"/>
  <c r="G83" i="9"/>
  <c r="V83" i="9"/>
  <c r="AH71" i="7"/>
  <c r="W71" i="7"/>
  <c r="AX71" i="7" s="1"/>
  <c r="X71" i="7"/>
  <c r="AY71" i="7" s="1"/>
  <c r="U71" i="7"/>
  <c r="AV71" i="7" s="1"/>
  <c r="O73" i="7"/>
  <c r="L73" i="7"/>
  <c r="AE73" i="7" s="1"/>
  <c r="BF73" i="7" s="1"/>
  <c r="AG69" i="8"/>
  <c r="BH69" i="8" s="1"/>
  <c r="BA69" i="8"/>
  <c r="B78" i="7"/>
  <c r="A79" i="7"/>
  <c r="A77" i="8"/>
  <c r="B76" i="8"/>
  <c r="AI71" i="7"/>
  <c r="AC71" i="7"/>
  <c r="BD71" i="7" s="1"/>
  <c r="AD71" i="7"/>
  <c r="BE71" i="7" s="1"/>
  <c r="AB71" i="7"/>
  <c r="BC71" i="7" s="1"/>
  <c r="AT71" i="8"/>
  <c r="BB71" i="8"/>
  <c r="AP77" i="7"/>
  <c r="C77" i="7"/>
  <c r="C75" i="8"/>
  <c r="AP75" i="8"/>
  <c r="AN70" i="8" l="1"/>
  <c r="BO70" i="8" s="1"/>
  <c r="K73" i="8"/>
  <c r="AA73" i="8" s="1"/>
  <c r="BB73" i="8" s="1"/>
  <c r="U73" i="8"/>
  <c r="AV73" i="8" s="1"/>
  <c r="AG70" i="7"/>
  <c r="BH70" i="7" s="1"/>
  <c r="S73" i="8"/>
  <c r="AT73" i="8" s="1"/>
  <c r="U72" i="7"/>
  <c r="AV72" i="7" s="1"/>
  <c r="X72" i="7"/>
  <c r="AY72" i="7" s="1"/>
  <c r="N72" i="7"/>
  <c r="AI72" i="7" s="1"/>
  <c r="AJ72" i="7" s="1"/>
  <c r="BK72" i="7" s="1"/>
  <c r="H73" i="8"/>
  <c r="N73" i="8" s="1"/>
  <c r="AI73" i="8" s="1"/>
  <c r="W72" i="7"/>
  <c r="AX72" i="7" s="1"/>
  <c r="M73" i="8"/>
  <c r="X73" i="8" s="1"/>
  <c r="AY73" i="8" s="1"/>
  <c r="AG70" i="8"/>
  <c r="BH70" i="8" s="1"/>
  <c r="G74" i="7"/>
  <c r="K74" i="7" s="1"/>
  <c r="AA74" i="7" s="1"/>
  <c r="AF71" i="8"/>
  <c r="BG71" i="8" s="1"/>
  <c r="Z71" i="8"/>
  <c r="Z71" i="7"/>
  <c r="BA71" i="7" s="1"/>
  <c r="BI71" i="8"/>
  <c r="AK71" i="8"/>
  <c r="AJ71" i="8"/>
  <c r="BK71" i="8" s="1"/>
  <c r="H73" i="7"/>
  <c r="N73" i="7" s="1"/>
  <c r="M73" i="7"/>
  <c r="S73" i="7"/>
  <c r="T73" i="7"/>
  <c r="AU73" i="7" s="1"/>
  <c r="K73" i="7"/>
  <c r="AA73" i="7" s="1"/>
  <c r="BB72" i="8"/>
  <c r="B85" i="9"/>
  <c r="C86" i="9"/>
  <c r="O74" i="7"/>
  <c r="L74" i="7"/>
  <c r="AE74" i="7" s="1"/>
  <c r="BF74" i="7" s="1"/>
  <c r="AQ75" i="8"/>
  <c r="AR75" i="8"/>
  <c r="BN75" i="8" s="1"/>
  <c r="AT72" i="8"/>
  <c r="O74" i="8"/>
  <c r="L74" i="8"/>
  <c r="AE74" i="8" s="1"/>
  <c r="BF74" i="8" s="1"/>
  <c r="AP76" i="8"/>
  <c r="C76" i="8"/>
  <c r="AI72" i="8"/>
  <c r="AC72" i="8"/>
  <c r="BD72" i="8" s="1"/>
  <c r="AD72" i="8"/>
  <c r="BE72" i="8" s="1"/>
  <c r="AB72" i="8"/>
  <c r="BC72" i="8" s="1"/>
  <c r="G74" i="8"/>
  <c r="AR77" i="7"/>
  <c r="BN77" i="7" s="1"/>
  <c r="AQ77" i="7"/>
  <c r="C78" i="7"/>
  <c r="AP78" i="7"/>
  <c r="J72" i="8"/>
  <c r="AF71" i="7"/>
  <c r="BG71" i="7" s="1"/>
  <c r="R84" i="9"/>
  <c r="F84" i="9"/>
  <c r="L84" i="9"/>
  <c r="X84" i="9"/>
  <c r="AA84" i="9"/>
  <c r="Y84" i="9"/>
  <c r="D75" i="8" s="1"/>
  <c r="I75" i="8" s="1"/>
  <c r="K84" i="9"/>
  <c r="J84" i="9"/>
  <c r="W84" i="9"/>
  <c r="I84" i="9"/>
  <c r="E75" i="7" s="1"/>
  <c r="Z84" i="9"/>
  <c r="P84" i="9"/>
  <c r="T84" i="9"/>
  <c r="V84" i="9"/>
  <c r="Q84" i="9"/>
  <c r="O84" i="9"/>
  <c r="E75" i="8" s="1"/>
  <c r="N84" i="9"/>
  <c r="M84" i="9"/>
  <c r="S84" i="9"/>
  <c r="D75" i="7" s="1"/>
  <c r="I75" i="7" s="1"/>
  <c r="U84" i="9"/>
  <c r="G84" i="9"/>
  <c r="H84" i="9"/>
  <c r="D84" i="9"/>
  <c r="E84" i="9"/>
  <c r="BI72" i="7"/>
  <c r="AK72" i="7"/>
  <c r="B77" i="8"/>
  <c r="A78" i="8"/>
  <c r="B79" i="7"/>
  <c r="A80" i="7"/>
  <c r="AL71" i="8"/>
  <c r="BM71" i="8" s="1"/>
  <c r="BJ71" i="8"/>
  <c r="AH72" i="8"/>
  <c r="W72" i="8"/>
  <c r="AX72" i="8" s="1"/>
  <c r="X72" i="8"/>
  <c r="AY72" i="8" s="1"/>
  <c r="AK71" i="7"/>
  <c r="AJ71" i="7"/>
  <c r="BK71" i="7" s="1"/>
  <c r="BI71" i="7"/>
  <c r="BJ71" i="7"/>
  <c r="AL71" i="7"/>
  <c r="BM71" i="7" s="1"/>
  <c r="AB72" i="7" l="1"/>
  <c r="BC72" i="7" s="1"/>
  <c r="AD72" i="7"/>
  <c r="BE72" i="7" s="1"/>
  <c r="AC72" i="7"/>
  <c r="BD72" i="7" s="1"/>
  <c r="W73" i="8"/>
  <c r="AX73" i="8" s="1"/>
  <c r="H74" i="7"/>
  <c r="J74" i="7" s="1"/>
  <c r="AH73" i="8"/>
  <c r="AK73" i="8" s="1"/>
  <c r="M74" i="7"/>
  <c r="AH74" i="7" s="1"/>
  <c r="AG71" i="8"/>
  <c r="BH71" i="8" s="1"/>
  <c r="J73" i="8"/>
  <c r="S74" i="7"/>
  <c r="AT74" i="7" s="1"/>
  <c r="T74" i="7"/>
  <c r="AU74" i="7" s="1"/>
  <c r="Z72" i="7"/>
  <c r="BA72" i="7" s="1"/>
  <c r="BA71" i="8"/>
  <c r="AB73" i="8"/>
  <c r="BC73" i="8" s="1"/>
  <c r="J73" i="7"/>
  <c r="AG71" i="7"/>
  <c r="BH71" i="7" s="1"/>
  <c r="AD73" i="8"/>
  <c r="BE73" i="8" s="1"/>
  <c r="AF72" i="8"/>
  <c r="BG72" i="8" s="1"/>
  <c r="AC73" i="8"/>
  <c r="BJ73" i="8"/>
  <c r="AL73" i="8"/>
  <c r="BM73" i="8" s="1"/>
  <c r="O75" i="7"/>
  <c r="L75" i="7"/>
  <c r="AE75" i="7" s="1"/>
  <c r="BF75" i="7" s="1"/>
  <c r="C79" i="7"/>
  <c r="AP79" i="7"/>
  <c r="BB73" i="7"/>
  <c r="H74" i="8"/>
  <c r="N74" i="8" s="1"/>
  <c r="M74" i="8"/>
  <c r="S74" i="8"/>
  <c r="T74" i="8"/>
  <c r="AU74" i="8" s="1"/>
  <c r="U74" i="8"/>
  <c r="AV74" i="8" s="1"/>
  <c r="K74" i="8"/>
  <c r="AA74" i="8" s="1"/>
  <c r="AT73" i="7"/>
  <c r="AJ72" i="8"/>
  <c r="BK72" i="8" s="1"/>
  <c r="BI72" i="8"/>
  <c r="AK72" i="8"/>
  <c r="L85" i="9"/>
  <c r="F85" i="9"/>
  <c r="X85" i="9"/>
  <c r="U85" i="9"/>
  <c r="S85" i="9"/>
  <c r="D76" i="7" s="1"/>
  <c r="I76" i="7" s="1"/>
  <c r="R85" i="9"/>
  <c r="G85" i="9"/>
  <c r="D85" i="9"/>
  <c r="E85" i="9"/>
  <c r="J85" i="9"/>
  <c r="W85" i="9"/>
  <c r="T85" i="9"/>
  <c r="V85" i="9"/>
  <c r="K85" i="9"/>
  <c r="N85" i="9"/>
  <c r="M85" i="9"/>
  <c r="I85" i="9"/>
  <c r="E76" i="7" s="1"/>
  <c r="O85" i="9"/>
  <c r="E76" i="8" s="1"/>
  <c r="Z85" i="9"/>
  <c r="Y85" i="9"/>
  <c r="D76" i="8" s="1"/>
  <c r="I76" i="8" s="1"/>
  <c r="P85" i="9"/>
  <c r="Q85" i="9"/>
  <c r="H85" i="9"/>
  <c r="AA85" i="9"/>
  <c r="Z72" i="8"/>
  <c r="AH73" i="7"/>
  <c r="W73" i="7"/>
  <c r="AX73" i="7" s="1"/>
  <c r="X73" i="7"/>
  <c r="AY73" i="7" s="1"/>
  <c r="U73" i="7"/>
  <c r="AV73" i="7" s="1"/>
  <c r="AP77" i="8"/>
  <c r="C77" i="8"/>
  <c r="B86" i="9"/>
  <c r="C87" i="9"/>
  <c r="AI73" i="7"/>
  <c r="AC73" i="7"/>
  <c r="BD73" i="7" s="1"/>
  <c r="AD73" i="7"/>
  <c r="BE73" i="7" s="1"/>
  <c r="AB73" i="7"/>
  <c r="BC73" i="7" s="1"/>
  <c r="B80" i="7"/>
  <c r="A81" i="7"/>
  <c r="AL72" i="8"/>
  <c r="BM72" i="8" s="1"/>
  <c r="BJ72" i="8"/>
  <c r="BB74" i="7"/>
  <c r="O75" i="8"/>
  <c r="L75" i="8"/>
  <c r="AE75" i="8" s="1"/>
  <c r="BF75" i="8" s="1"/>
  <c r="BL71" i="7"/>
  <c r="AN71" i="7"/>
  <c r="BO71" i="7" s="1"/>
  <c r="AR76" i="8"/>
  <c r="BN76" i="8" s="1"/>
  <c r="AQ76" i="8"/>
  <c r="B78" i="8"/>
  <c r="A79" i="8"/>
  <c r="BL72" i="7"/>
  <c r="AQ78" i="7"/>
  <c r="AR78" i="7"/>
  <c r="BN78" i="7" s="1"/>
  <c r="AN71" i="8"/>
  <c r="BO71" i="8" s="1"/>
  <c r="BL71" i="8"/>
  <c r="AL72" i="7"/>
  <c r="BM72" i="7" s="1"/>
  <c r="BJ72" i="7"/>
  <c r="G75" i="8"/>
  <c r="K75" i="8" s="1"/>
  <c r="AA75" i="8" s="1"/>
  <c r="G75" i="7"/>
  <c r="Z73" i="8" l="1"/>
  <c r="AF72" i="7"/>
  <c r="BG72" i="7" s="1"/>
  <c r="U74" i="7"/>
  <c r="AV74" i="7" s="1"/>
  <c r="N74" i="7"/>
  <c r="AI74" i="7" s="1"/>
  <c r="AJ74" i="7" s="1"/>
  <c r="BK74" i="7" s="1"/>
  <c r="X74" i="7"/>
  <c r="AY74" i="7" s="1"/>
  <c r="W74" i="7"/>
  <c r="AX74" i="7" s="1"/>
  <c r="AJ73" i="8"/>
  <c r="BK73" i="8" s="1"/>
  <c r="BI73" i="8"/>
  <c r="G76" i="7"/>
  <c r="T76" i="7" s="1"/>
  <c r="AU76" i="7" s="1"/>
  <c r="BD73" i="8"/>
  <c r="AF73" i="8"/>
  <c r="BG73" i="8" s="1"/>
  <c r="G76" i="8"/>
  <c r="K76" i="8" s="1"/>
  <c r="AA76" i="8" s="1"/>
  <c r="BB75" i="8"/>
  <c r="AI74" i="8"/>
  <c r="AC74" i="8"/>
  <c r="BD74" i="8" s="1"/>
  <c r="AD74" i="8"/>
  <c r="BE74" i="8" s="1"/>
  <c r="AB74" i="8"/>
  <c r="BC74" i="8" s="1"/>
  <c r="BJ73" i="7"/>
  <c r="AL73" i="7"/>
  <c r="BM73" i="7" s="1"/>
  <c r="B87" i="9"/>
  <c r="C88" i="9"/>
  <c r="M75" i="8"/>
  <c r="H75" i="8"/>
  <c r="N75" i="8" s="1"/>
  <c r="S75" i="8"/>
  <c r="T75" i="8"/>
  <c r="AU75" i="8" s="1"/>
  <c r="U75" i="8"/>
  <c r="AV75" i="8" s="1"/>
  <c r="BA73" i="8"/>
  <c r="AR77" i="8"/>
  <c r="BN77" i="8" s="1"/>
  <c r="AQ77" i="8"/>
  <c r="AF73" i="7"/>
  <c r="BG73" i="7" s="1"/>
  <c r="M75" i="7"/>
  <c r="H75" i="7"/>
  <c r="N75" i="7" s="1"/>
  <c r="S75" i="7"/>
  <c r="T75" i="7"/>
  <c r="AU75" i="7" s="1"/>
  <c r="K75" i="7"/>
  <c r="AA75" i="7" s="1"/>
  <c r="BL72" i="8"/>
  <c r="AN72" i="8"/>
  <c r="BO72" i="8" s="1"/>
  <c r="Z73" i="7"/>
  <c r="AQ79" i="7"/>
  <c r="AR79" i="7"/>
  <c r="BN79" i="7" s="1"/>
  <c r="BA72" i="8"/>
  <c r="AG72" i="8"/>
  <c r="BH72" i="8" s="1"/>
  <c r="X86" i="9"/>
  <c r="L86" i="9"/>
  <c r="F86" i="9"/>
  <c r="R86" i="9"/>
  <c r="P86" i="9"/>
  <c r="T86" i="9"/>
  <c r="S86" i="9"/>
  <c r="D77" i="7" s="1"/>
  <c r="I77" i="7" s="1"/>
  <c r="U86" i="9"/>
  <c r="Y86" i="9"/>
  <c r="D77" i="8" s="1"/>
  <c r="I77" i="8" s="1"/>
  <c r="V86" i="9"/>
  <c r="AA86" i="9"/>
  <c r="I86" i="9"/>
  <c r="E77" i="7" s="1"/>
  <c r="E86" i="9"/>
  <c r="Q86" i="9"/>
  <c r="W86" i="9"/>
  <c r="D86" i="9"/>
  <c r="N86" i="9"/>
  <c r="M86" i="9"/>
  <c r="O86" i="9"/>
  <c r="E77" i="8" s="1"/>
  <c r="Z86" i="9"/>
  <c r="G86" i="9"/>
  <c r="J86" i="9"/>
  <c r="K86" i="9"/>
  <c r="H86" i="9"/>
  <c r="O76" i="8"/>
  <c r="L76" i="8"/>
  <c r="AE76" i="8" s="1"/>
  <c r="BF76" i="8" s="1"/>
  <c r="AH74" i="8"/>
  <c r="W74" i="8"/>
  <c r="AX74" i="8" s="1"/>
  <c r="X74" i="8"/>
  <c r="AY74" i="8" s="1"/>
  <c r="J74" i="8"/>
  <c r="AN73" i="8"/>
  <c r="BO73" i="8" s="1"/>
  <c r="BL73" i="8"/>
  <c r="B81" i="7"/>
  <c r="A82" i="7"/>
  <c r="BB74" i="8"/>
  <c r="AN72" i="7"/>
  <c r="BO72" i="7" s="1"/>
  <c r="AP80" i="7"/>
  <c r="C80" i="7"/>
  <c r="O76" i="7"/>
  <c r="L76" i="7"/>
  <c r="AE76" i="7" s="1"/>
  <c r="BF76" i="7" s="1"/>
  <c r="AK74" i="7"/>
  <c r="BI74" i="7"/>
  <c r="A80" i="8"/>
  <c r="B79" i="8"/>
  <c r="C78" i="8"/>
  <c r="AP78" i="8"/>
  <c r="AJ73" i="7"/>
  <c r="BK73" i="7" s="1"/>
  <c r="BI73" i="7"/>
  <c r="AK73" i="7"/>
  <c r="AT74" i="8"/>
  <c r="AB74" i="7" l="1"/>
  <c r="AD74" i="7"/>
  <c r="BE74" i="7" s="1"/>
  <c r="AC74" i="7"/>
  <c r="BD74" i="7" s="1"/>
  <c r="Z74" i="7"/>
  <c r="BA74" i="7" s="1"/>
  <c r="AG72" i="7"/>
  <c r="BH72" i="7" s="1"/>
  <c r="S76" i="7"/>
  <c r="AT76" i="7" s="1"/>
  <c r="U76" i="8"/>
  <c r="AV76" i="8" s="1"/>
  <c r="AG73" i="8"/>
  <c r="BH73" i="8" s="1"/>
  <c r="T76" i="8"/>
  <c r="AU76" i="8" s="1"/>
  <c r="S76" i="8"/>
  <c r="AT76" i="8" s="1"/>
  <c r="H76" i="8"/>
  <c r="N76" i="8" s="1"/>
  <c r="AB76" i="8" s="1"/>
  <c r="BC76" i="8" s="1"/>
  <c r="M76" i="8"/>
  <c r="AH76" i="8" s="1"/>
  <c r="K76" i="7"/>
  <c r="AA76" i="7" s="1"/>
  <c r="BB76" i="7" s="1"/>
  <c r="J75" i="7"/>
  <c r="M76" i="7"/>
  <c r="AH76" i="7" s="1"/>
  <c r="H76" i="7"/>
  <c r="N76" i="7" s="1"/>
  <c r="AB76" i="7" s="1"/>
  <c r="BC76" i="7" s="1"/>
  <c r="Z74" i="8"/>
  <c r="BA74" i="8" s="1"/>
  <c r="G77" i="8"/>
  <c r="K77" i="8" s="1"/>
  <c r="AA77" i="8" s="1"/>
  <c r="BB77" i="8" s="1"/>
  <c r="AH75" i="8"/>
  <c r="W75" i="8"/>
  <c r="AX75" i="8" s="1"/>
  <c r="X75" i="8"/>
  <c r="AY75" i="8" s="1"/>
  <c r="C81" i="7"/>
  <c r="AP81" i="7"/>
  <c r="BL74" i="7"/>
  <c r="C89" i="9"/>
  <c r="B88" i="9"/>
  <c r="B80" i="8"/>
  <c r="A81" i="8"/>
  <c r="BA73" i="7"/>
  <c r="AG73" i="7"/>
  <c r="BH73" i="7" s="1"/>
  <c r="F87" i="9"/>
  <c r="X87" i="9"/>
  <c r="R87" i="9"/>
  <c r="L87" i="9"/>
  <c r="Y87" i="9"/>
  <c r="D78" i="8" s="1"/>
  <c r="I78" i="8" s="1"/>
  <c r="M87" i="9"/>
  <c r="J87" i="9"/>
  <c r="D87" i="9"/>
  <c r="AA87" i="9"/>
  <c r="Z87" i="9"/>
  <c r="I87" i="9"/>
  <c r="E78" i="7" s="1"/>
  <c r="U87" i="9"/>
  <c r="E87" i="9"/>
  <c r="V87" i="9"/>
  <c r="T87" i="9"/>
  <c r="N87" i="9"/>
  <c r="K87" i="9"/>
  <c r="Q87" i="9"/>
  <c r="P87" i="9"/>
  <c r="S87" i="9"/>
  <c r="D78" i="7" s="1"/>
  <c r="I78" i="7" s="1"/>
  <c r="G87" i="9"/>
  <c r="W87" i="9"/>
  <c r="O87" i="9"/>
  <c r="E78" i="8" s="1"/>
  <c r="H87" i="9"/>
  <c r="BB75" i="7"/>
  <c r="BB76" i="8"/>
  <c r="AQ80" i="7"/>
  <c r="AR80" i="7"/>
  <c r="BN80" i="7" s="1"/>
  <c r="B82" i="7"/>
  <c r="A83" i="7"/>
  <c r="AQ78" i="8"/>
  <c r="AR78" i="8"/>
  <c r="BN78" i="8" s="1"/>
  <c r="BC74" i="7"/>
  <c r="AT75" i="7"/>
  <c r="AT75" i="8"/>
  <c r="BJ74" i="8"/>
  <c r="AL74" i="8"/>
  <c r="BM74" i="8" s="1"/>
  <c r="O77" i="8"/>
  <c r="L77" i="8"/>
  <c r="AE77" i="8" s="1"/>
  <c r="BF77" i="8" s="1"/>
  <c r="BL73" i="7"/>
  <c r="AN73" i="7"/>
  <c r="BO73" i="7" s="1"/>
  <c r="O77" i="7"/>
  <c r="L77" i="7"/>
  <c r="AE77" i="7" s="1"/>
  <c r="BF77" i="7" s="1"/>
  <c r="G77" i="7"/>
  <c r="AI75" i="7"/>
  <c r="AC75" i="7"/>
  <c r="BD75" i="7" s="1"/>
  <c r="AD75" i="7"/>
  <c r="BE75" i="7" s="1"/>
  <c r="AB75" i="7"/>
  <c r="BC75" i="7" s="1"/>
  <c r="AI75" i="8"/>
  <c r="AC75" i="8"/>
  <c r="BD75" i="8" s="1"/>
  <c r="AD75" i="8"/>
  <c r="BE75" i="8" s="1"/>
  <c r="AB75" i="8"/>
  <c r="BI74" i="8"/>
  <c r="AK74" i="8"/>
  <c r="AJ74" i="8"/>
  <c r="BK74" i="8" s="1"/>
  <c r="BJ74" i="7"/>
  <c r="AL74" i="7"/>
  <c r="BM74" i="7" s="1"/>
  <c r="AP79" i="8"/>
  <c r="C79" i="8"/>
  <c r="AF74" i="8"/>
  <c r="BG74" i="8" s="1"/>
  <c r="AH75" i="7"/>
  <c r="W75" i="7"/>
  <c r="AX75" i="7" s="1"/>
  <c r="X75" i="7"/>
  <c r="AY75" i="7" s="1"/>
  <c r="U75" i="7"/>
  <c r="AV75" i="7" s="1"/>
  <c r="J75" i="8"/>
  <c r="AF74" i="7" l="1"/>
  <c r="BG74" i="7" s="1"/>
  <c r="AI76" i="8"/>
  <c r="AC76" i="8"/>
  <c r="BD76" i="8" s="1"/>
  <c r="AD76" i="8"/>
  <c r="BE76" i="8" s="1"/>
  <c r="J76" i="8"/>
  <c r="X76" i="8"/>
  <c r="AY76" i="8" s="1"/>
  <c r="W76" i="8"/>
  <c r="AX76" i="8" s="1"/>
  <c r="J76" i="7"/>
  <c r="G78" i="7"/>
  <c r="S78" i="7" s="1"/>
  <c r="AI76" i="7"/>
  <c r="AJ76" i="7" s="1"/>
  <c r="BK76" i="7" s="1"/>
  <c r="AC76" i="7"/>
  <c r="BD76" i="7" s="1"/>
  <c r="AD76" i="7"/>
  <c r="BE76" i="7" s="1"/>
  <c r="U76" i="7"/>
  <c r="AV76" i="7" s="1"/>
  <c r="X76" i="7"/>
  <c r="AY76" i="7" s="1"/>
  <c r="W76" i="7"/>
  <c r="AX76" i="7" s="1"/>
  <c r="U77" i="8"/>
  <c r="AV77" i="8" s="1"/>
  <c r="S77" i="8"/>
  <c r="AT77" i="8" s="1"/>
  <c r="AN74" i="7"/>
  <c r="BO74" i="7" s="1"/>
  <c r="T77" i="8"/>
  <c r="AU77" i="8" s="1"/>
  <c r="H77" i="8"/>
  <c r="N77" i="8" s="1"/>
  <c r="AD77" i="8" s="1"/>
  <c r="BE77" i="8" s="1"/>
  <c r="M77" i="8"/>
  <c r="X77" i="8" s="1"/>
  <c r="AY77" i="8" s="1"/>
  <c r="AF75" i="7"/>
  <c r="BG75" i="7" s="1"/>
  <c r="O78" i="8"/>
  <c r="L78" i="8"/>
  <c r="AE78" i="8" s="1"/>
  <c r="BF78" i="8" s="1"/>
  <c r="B89" i="9"/>
  <c r="C90" i="9"/>
  <c r="AN74" i="8"/>
  <c r="BO74" i="8" s="1"/>
  <c r="BL74" i="8"/>
  <c r="AL75" i="7"/>
  <c r="BM75" i="7" s="1"/>
  <c r="BJ75" i="7"/>
  <c r="H77" i="7"/>
  <c r="N77" i="7" s="1"/>
  <c r="M77" i="7"/>
  <c r="S77" i="7"/>
  <c r="T77" i="7"/>
  <c r="AU77" i="7" s="1"/>
  <c r="K77" i="7"/>
  <c r="AA77" i="7" s="1"/>
  <c r="BC75" i="8"/>
  <c r="AF75" i="8"/>
  <c r="BG75" i="8" s="1"/>
  <c r="AQ81" i="7"/>
  <c r="AR81" i="7"/>
  <c r="BN81" i="7" s="1"/>
  <c r="BI76" i="7"/>
  <c r="AK76" i="7"/>
  <c r="B83" i="7"/>
  <c r="A84" i="7"/>
  <c r="Z75" i="8"/>
  <c r="B81" i="8"/>
  <c r="A82" i="8"/>
  <c r="AJ75" i="8"/>
  <c r="BK75" i="8" s="1"/>
  <c r="BI75" i="8"/>
  <c r="AK75" i="8"/>
  <c r="BI75" i="7"/>
  <c r="AJ75" i="7"/>
  <c r="BK75" i="7" s="1"/>
  <c r="AK75" i="7"/>
  <c r="AP80" i="8"/>
  <c r="C80" i="8"/>
  <c r="AK76" i="8"/>
  <c r="AJ76" i="8"/>
  <c r="BK76" i="8" s="1"/>
  <c r="BI76" i="8"/>
  <c r="AL75" i="8"/>
  <c r="BM75" i="8" s="1"/>
  <c r="BJ75" i="8"/>
  <c r="Z75" i="7"/>
  <c r="AR79" i="8"/>
  <c r="BN79" i="8" s="1"/>
  <c r="AQ79" i="8"/>
  <c r="O78" i="7"/>
  <c r="L78" i="7"/>
  <c r="AE78" i="7" s="1"/>
  <c r="BF78" i="7" s="1"/>
  <c r="AG74" i="7"/>
  <c r="BH74" i="7" s="1"/>
  <c r="C82" i="7"/>
  <c r="AP82" i="7"/>
  <c r="AL76" i="8"/>
  <c r="BM76" i="8" s="1"/>
  <c r="BJ76" i="8"/>
  <c r="G78" i="8"/>
  <c r="AG74" i="8"/>
  <c r="BH74" i="8" s="1"/>
  <c r="R88" i="9"/>
  <c r="F88" i="9"/>
  <c r="X88" i="9"/>
  <c r="O88" i="9"/>
  <c r="E79" i="8" s="1"/>
  <c r="L88" i="9"/>
  <c r="I88" i="9"/>
  <c r="E79" i="7" s="1"/>
  <c r="N88" i="9"/>
  <c r="E88" i="9"/>
  <c r="Y88" i="9"/>
  <c r="D79" i="8" s="1"/>
  <c r="I79" i="8" s="1"/>
  <c r="Q88" i="9"/>
  <c r="G88" i="9"/>
  <c r="T88" i="9"/>
  <c r="H88" i="9"/>
  <c r="M88" i="9"/>
  <c r="U88" i="9"/>
  <c r="S88" i="9"/>
  <c r="D79" i="7" s="1"/>
  <c r="I79" i="7" s="1"/>
  <c r="Z88" i="9"/>
  <c r="W88" i="9"/>
  <c r="AA88" i="9"/>
  <c r="J88" i="9"/>
  <c r="D88" i="9"/>
  <c r="V88" i="9"/>
  <c r="K88" i="9"/>
  <c r="P88" i="9"/>
  <c r="Z76" i="8" l="1"/>
  <c r="AF76" i="8"/>
  <c r="BG76" i="8" s="1"/>
  <c r="M78" i="7"/>
  <c r="AH78" i="7" s="1"/>
  <c r="H78" i="7"/>
  <c r="J78" i="7" s="1"/>
  <c r="BJ76" i="7"/>
  <c r="G79" i="7"/>
  <c r="K79" i="7" s="1"/>
  <c r="AA79" i="7" s="1"/>
  <c r="BB79" i="7" s="1"/>
  <c r="AL76" i="7"/>
  <c r="BM76" i="7" s="1"/>
  <c r="AF76" i="7"/>
  <c r="BG76" i="7" s="1"/>
  <c r="K78" i="7"/>
  <c r="AA78" i="7" s="1"/>
  <c r="BB78" i="7" s="1"/>
  <c r="T78" i="7"/>
  <c r="AU78" i="7" s="1"/>
  <c r="Z76" i="7"/>
  <c r="BA76" i="7" s="1"/>
  <c r="AI77" i="8"/>
  <c r="BJ77" i="8" s="1"/>
  <c r="AC77" i="8"/>
  <c r="BD77" i="8" s="1"/>
  <c r="J77" i="8"/>
  <c r="W77" i="8"/>
  <c r="AX77" i="8" s="1"/>
  <c r="AB77" i="8"/>
  <c r="AH77" i="8"/>
  <c r="BI77" i="8" s="1"/>
  <c r="J77" i="7"/>
  <c r="AH77" i="7"/>
  <c r="W77" i="7"/>
  <c r="AX77" i="7" s="1"/>
  <c r="X77" i="7"/>
  <c r="AY77" i="7" s="1"/>
  <c r="U77" i="7"/>
  <c r="AV77" i="7" s="1"/>
  <c r="BA76" i="8"/>
  <c r="AG76" i="8"/>
  <c r="BH76" i="8" s="1"/>
  <c r="AR82" i="7"/>
  <c r="BN82" i="7" s="1"/>
  <c r="AQ82" i="7"/>
  <c r="O79" i="8"/>
  <c r="L79" i="8"/>
  <c r="AE79" i="8" s="1"/>
  <c r="BF79" i="8" s="1"/>
  <c r="C81" i="8"/>
  <c r="AP81" i="8"/>
  <c r="BA75" i="7"/>
  <c r="AG75" i="7"/>
  <c r="BH75" i="7" s="1"/>
  <c r="G79" i="8"/>
  <c r="K79" i="8" s="1"/>
  <c r="AA79" i="8" s="1"/>
  <c r="BA75" i="8"/>
  <c r="AG75" i="8"/>
  <c r="BH75" i="8" s="1"/>
  <c r="H78" i="8"/>
  <c r="N78" i="8" s="1"/>
  <c r="M78" i="8"/>
  <c r="S78" i="8"/>
  <c r="T78" i="8"/>
  <c r="AU78" i="8" s="1"/>
  <c r="U78" i="8"/>
  <c r="AV78" i="8" s="1"/>
  <c r="K78" i="8"/>
  <c r="AA78" i="8" s="1"/>
  <c r="B84" i="7"/>
  <c r="A85" i="7"/>
  <c r="B90" i="9"/>
  <c r="C91" i="9"/>
  <c r="BL75" i="8"/>
  <c r="AN75" i="8"/>
  <c r="BO75" i="8" s="1"/>
  <c r="AN76" i="8"/>
  <c r="BO76" i="8" s="1"/>
  <c r="BL76" i="8"/>
  <c r="AP83" i="7"/>
  <c r="C83" i="7"/>
  <c r="AT78" i="7"/>
  <c r="BB77" i="7"/>
  <c r="X89" i="9"/>
  <c r="R89" i="9"/>
  <c r="F89" i="9"/>
  <c r="S89" i="9"/>
  <c r="D80" i="7" s="1"/>
  <c r="I80" i="7" s="1"/>
  <c r="L89" i="9"/>
  <c r="K89" i="9"/>
  <c r="M89" i="9"/>
  <c r="Z89" i="9"/>
  <c r="J89" i="9"/>
  <c r="H89" i="9"/>
  <c r="O89" i="9"/>
  <c r="E80" i="8" s="1"/>
  <c r="U89" i="9"/>
  <c r="D89" i="9"/>
  <c r="E89" i="9"/>
  <c r="G89" i="9"/>
  <c r="N89" i="9"/>
  <c r="P89" i="9"/>
  <c r="Q89" i="9"/>
  <c r="AA89" i="9"/>
  <c r="V89" i="9"/>
  <c r="Y89" i="9"/>
  <c r="D80" i="8" s="1"/>
  <c r="I80" i="8" s="1"/>
  <c r="W89" i="9"/>
  <c r="I89" i="9"/>
  <c r="E80" i="7" s="1"/>
  <c r="T89" i="9"/>
  <c r="AR80" i="8"/>
  <c r="BN80" i="8" s="1"/>
  <c r="AQ80" i="8"/>
  <c r="BL76" i="7"/>
  <c r="N78" i="7"/>
  <c r="AI77" i="7"/>
  <c r="AC77" i="7"/>
  <c r="BD77" i="7" s="1"/>
  <c r="AD77" i="7"/>
  <c r="BE77" i="7" s="1"/>
  <c r="AB77" i="7"/>
  <c r="BC77" i="7" s="1"/>
  <c r="A83" i="8"/>
  <c r="B82" i="8"/>
  <c r="O79" i="7"/>
  <c r="L79" i="7"/>
  <c r="AE79" i="7" s="1"/>
  <c r="BF79" i="7" s="1"/>
  <c r="AN75" i="7"/>
  <c r="BO75" i="7" s="1"/>
  <c r="BL75" i="7"/>
  <c r="U78" i="7"/>
  <c r="AV78" i="7" s="1"/>
  <c r="AT77" i="7"/>
  <c r="X78" i="7" l="1"/>
  <c r="AY78" i="7" s="1"/>
  <c r="W78" i="7"/>
  <c r="AX78" i="7" s="1"/>
  <c r="T79" i="7"/>
  <c r="AU79" i="7" s="1"/>
  <c r="AN76" i="7"/>
  <c r="BO76" i="7" s="1"/>
  <c r="S79" i="7"/>
  <c r="AT79" i="7" s="1"/>
  <c r="M79" i="7"/>
  <c r="AH79" i="7" s="1"/>
  <c r="AF77" i="8"/>
  <c r="BG77" i="8" s="1"/>
  <c r="AG76" i="7"/>
  <c r="BH76" i="7" s="1"/>
  <c r="H79" i="7"/>
  <c r="N79" i="7" s="1"/>
  <c r="AB79" i="7" s="1"/>
  <c r="AL77" i="8"/>
  <c r="BM77" i="8" s="1"/>
  <c r="AK77" i="8"/>
  <c r="BL77" i="8" s="1"/>
  <c r="AJ77" i="8"/>
  <c r="BK77" i="8" s="1"/>
  <c r="BC77" i="8"/>
  <c r="Z77" i="8"/>
  <c r="BA77" i="8" s="1"/>
  <c r="Z77" i="7"/>
  <c r="BA77" i="7" s="1"/>
  <c r="C84" i="7"/>
  <c r="AP84" i="7"/>
  <c r="AQ83" i="7"/>
  <c r="AR83" i="7"/>
  <c r="BN83" i="7" s="1"/>
  <c r="L80" i="7"/>
  <c r="AE80" i="7" s="1"/>
  <c r="BF80" i="7" s="1"/>
  <c r="O80" i="7"/>
  <c r="AH78" i="8"/>
  <c r="W78" i="8"/>
  <c r="AX78" i="8" s="1"/>
  <c r="X78" i="8"/>
  <c r="AY78" i="8" s="1"/>
  <c r="BB78" i="8"/>
  <c r="AQ81" i="8"/>
  <c r="AR81" i="8"/>
  <c r="BN81" i="8" s="1"/>
  <c r="AT78" i="8"/>
  <c r="AI78" i="8"/>
  <c r="AC78" i="8"/>
  <c r="BD78" i="8" s="1"/>
  <c r="AD78" i="8"/>
  <c r="BE78" i="8" s="1"/>
  <c r="AB78" i="8"/>
  <c r="BC78" i="8" s="1"/>
  <c r="B91" i="9"/>
  <c r="C92" i="9"/>
  <c r="J78" i="8"/>
  <c r="AP82" i="8"/>
  <c r="C82" i="8"/>
  <c r="X90" i="9"/>
  <c r="L90" i="9"/>
  <c r="R90" i="9"/>
  <c r="G90" i="9"/>
  <c r="F90" i="9"/>
  <c r="D90" i="9"/>
  <c r="M90" i="9"/>
  <c r="N90" i="9"/>
  <c r="AA90" i="9"/>
  <c r="I90" i="9"/>
  <c r="E81" i="7" s="1"/>
  <c r="U90" i="9"/>
  <c r="K90" i="9"/>
  <c r="Z90" i="9"/>
  <c r="H90" i="9"/>
  <c r="J90" i="9"/>
  <c r="T90" i="9"/>
  <c r="O90" i="9"/>
  <c r="E81" i="8" s="1"/>
  <c r="S90" i="9"/>
  <c r="D81" i="7" s="1"/>
  <c r="I81" i="7" s="1"/>
  <c r="Y90" i="9"/>
  <c r="D81" i="8" s="1"/>
  <c r="I81" i="8" s="1"/>
  <c r="Q90" i="9"/>
  <c r="P90" i="9"/>
  <c r="W90" i="9"/>
  <c r="V90" i="9"/>
  <c r="E90" i="9"/>
  <c r="BB79" i="8"/>
  <c r="AF77" i="7"/>
  <c r="BG77" i="7" s="1"/>
  <c r="AK77" i="7"/>
  <c r="AJ77" i="7"/>
  <c r="BK77" i="7" s="1"/>
  <c r="BI77" i="7"/>
  <c r="BI78" i="7"/>
  <c r="AK78" i="7"/>
  <c r="AL77" i="7"/>
  <c r="BM77" i="7" s="1"/>
  <c r="BJ77" i="7"/>
  <c r="AI78" i="7"/>
  <c r="AJ78" i="7" s="1"/>
  <c r="BK78" i="7" s="1"/>
  <c r="AC78" i="7"/>
  <c r="BD78" i="7" s="1"/>
  <c r="AD78" i="7"/>
  <c r="BE78" i="7" s="1"/>
  <c r="AB78" i="7"/>
  <c r="G80" i="8"/>
  <c r="O80" i="8"/>
  <c r="L80" i="8"/>
  <c r="AE80" i="8" s="1"/>
  <c r="BF80" i="8" s="1"/>
  <c r="B83" i="8"/>
  <c r="A84" i="8"/>
  <c r="G80" i="7"/>
  <c r="Z78" i="7"/>
  <c r="B85" i="7"/>
  <c r="A86" i="7"/>
  <c r="M79" i="8"/>
  <c r="H79" i="8"/>
  <c r="N79" i="8" s="1"/>
  <c r="S79" i="8"/>
  <c r="U79" i="8"/>
  <c r="AV79" i="8" s="1"/>
  <c r="T79" i="8"/>
  <c r="AU79" i="8" s="1"/>
  <c r="U79" i="7" l="1"/>
  <c r="AV79" i="7" s="1"/>
  <c r="X79" i="7"/>
  <c r="AY79" i="7" s="1"/>
  <c r="W79" i="7"/>
  <c r="AX79" i="7" s="1"/>
  <c r="AI79" i="7"/>
  <c r="AJ79" i="7" s="1"/>
  <c r="BK79" i="7" s="1"/>
  <c r="J79" i="7"/>
  <c r="AC79" i="7"/>
  <c r="BD79" i="7" s="1"/>
  <c r="AD79" i="7"/>
  <c r="BE79" i="7" s="1"/>
  <c r="G81" i="7"/>
  <c r="K81" i="7" s="1"/>
  <c r="AA81" i="7" s="1"/>
  <c r="AG77" i="8"/>
  <c r="BH77" i="8" s="1"/>
  <c r="AN77" i="8"/>
  <c r="BO77" i="8" s="1"/>
  <c r="AG77" i="7"/>
  <c r="BH77" i="7" s="1"/>
  <c r="Z79" i="7"/>
  <c r="BA79" i="7" s="1"/>
  <c r="R91" i="9"/>
  <c r="L91" i="9"/>
  <c r="F91" i="9"/>
  <c r="E91" i="9"/>
  <c r="D91" i="9"/>
  <c r="Y91" i="9"/>
  <c r="D82" i="8" s="1"/>
  <c r="I82" i="8" s="1"/>
  <c r="X91" i="9"/>
  <c r="P91" i="9"/>
  <c r="M91" i="9"/>
  <c r="S91" i="9"/>
  <c r="D82" i="7" s="1"/>
  <c r="I82" i="7" s="1"/>
  <c r="H91" i="9"/>
  <c r="N91" i="9"/>
  <c r="K91" i="9"/>
  <c r="O91" i="9"/>
  <c r="E82" i="8" s="1"/>
  <c r="G91" i="9"/>
  <c r="Q91" i="9"/>
  <c r="Z91" i="9"/>
  <c r="U91" i="9"/>
  <c r="AA91" i="9"/>
  <c r="J91" i="9"/>
  <c r="W91" i="9"/>
  <c r="I91" i="9"/>
  <c r="E82" i="7" s="1"/>
  <c r="V91" i="9"/>
  <c r="T91" i="9"/>
  <c r="AI79" i="8"/>
  <c r="AC79" i="8"/>
  <c r="BD79" i="8" s="1"/>
  <c r="AD79" i="8"/>
  <c r="BE79" i="8" s="1"/>
  <c r="AB79" i="8"/>
  <c r="B84" i="8"/>
  <c r="A85" i="8"/>
  <c r="AJ78" i="8"/>
  <c r="BK78" i="8" s="1"/>
  <c r="BI78" i="8"/>
  <c r="AK78" i="8"/>
  <c r="Z78" i="8"/>
  <c r="AP83" i="8"/>
  <c r="C83" i="8"/>
  <c r="AT79" i="8"/>
  <c r="AL78" i="8"/>
  <c r="BM78" i="8" s="1"/>
  <c r="BJ78" i="8"/>
  <c r="BC78" i="7"/>
  <c r="AF78" i="7"/>
  <c r="BG78" i="7" s="1"/>
  <c r="M80" i="8"/>
  <c r="H80" i="8"/>
  <c r="N80" i="8" s="1"/>
  <c r="S80" i="8"/>
  <c r="U80" i="8"/>
  <c r="AV80" i="8" s="1"/>
  <c r="T80" i="8"/>
  <c r="AU80" i="8" s="1"/>
  <c r="BJ78" i="7"/>
  <c r="AL78" i="7"/>
  <c r="BM78" i="7" s="1"/>
  <c r="C85" i="7"/>
  <c r="AP85" i="7"/>
  <c r="O81" i="8"/>
  <c r="L81" i="8"/>
  <c r="AE81" i="8" s="1"/>
  <c r="BF81" i="8" s="1"/>
  <c r="AR82" i="8"/>
  <c r="BN82" i="8" s="1"/>
  <c r="AQ82" i="8"/>
  <c r="K80" i="8"/>
  <c r="AA80" i="8" s="1"/>
  <c r="BC79" i="7"/>
  <c r="J79" i="8"/>
  <c r="AH79" i="8"/>
  <c r="W79" i="8"/>
  <c r="AX79" i="8" s="1"/>
  <c r="X79" i="8"/>
  <c r="AY79" i="8" s="1"/>
  <c r="B86" i="7"/>
  <c r="A87" i="7"/>
  <c r="BA78" i="7"/>
  <c r="O81" i="7"/>
  <c r="L81" i="7"/>
  <c r="AE81" i="7" s="1"/>
  <c r="BF81" i="7" s="1"/>
  <c r="AF78" i="8"/>
  <c r="BG78" i="8" s="1"/>
  <c r="AQ84" i="7"/>
  <c r="AR84" i="7"/>
  <c r="BN84" i="7" s="1"/>
  <c r="BL77" i="7"/>
  <c r="AN77" i="7"/>
  <c r="BO77" i="7" s="1"/>
  <c r="H80" i="7"/>
  <c r="N80" i="7" s="1"/>
  <c r="M80" i="7"/>
  <c r="T80" i="7"/>
  <c r="AU80" i="7" s="1"/>
  <c r="S80" i="7"/>
  <c r="K80" i="7"/>
  <c r="AA80" i="7" s="1"/>
  <c r="BL78" i="7"/>
  <c r="AK79" i="7"/>
  <c r="BI79" i="7"/>
  <c r="G81" i="8"/>
  <c r="K81" i="8" s="1"/>
  <c r="AA81" i="8" s="1"/>
  <c r="C93" i="9"/>
  <c r="B92" i="9"/>
  <c r="AL79" i="7" l="1"/>
  <c r="BM79" i="7" s="1"/>
  <c r="BJ79" i="7"/>
  <c r="H81" i="7"/>
  <c r="J81" i="7" s="1"/>
  <c r="T81" i="7"/>
  <c r="AU81" i="7" s="1"/>
  <c r="M81" i="7"/>
  <c r="U81" i="7" s="1"/>
  <c r="AV81" i="7" s="1"/>
  <c r="S81" i="7"/>
  <c r="AT81" i="7" s="1"/>
  <c r="AF79" i="7"/>
  <c r="BG79" i="7" s="1"/>
  <c r="G82" i="7"/>
  <c r="K82" i="7" s="1"/>
  <c r="AA82" i="7" s="1"/>
  <c r="BB82" i="7" s="1"/>
  <c r="Z79" i="8"/>
  <c r="BA79" i="8" s="1"/>
  <c r="AN78" i="7"/>
  <c r="BO78" i="7" s="1"/>
  <c r="J80" i="7"/>
  <c r="AK79" i="8"/>
  <c r="AJ79" i="8"/>
  <c r="BK79" i="8" s="1"/>
  <c r="BI79" i="8"/>
  <c r="AN79" i="7"/>
  <c r="BO79" i="7" s="1"/>
  <c r="BL79" i="7"/>
  <c r="O82" i="7"/>
  <c r="L82" i="7"/>
  <c r="AE82" i="7" s="1"/>
  <c r="BF82" i="7" s="1"/>
  <c r="BL78" i="8"/>
  <c r="AN78" i="8"/>
  <c r="BO78" i="8" s="1"/>
  <c r="O82" i="8"/>
  <c r="L82" i="8"/>
  <c r="AE82" i="8" s="1"/>
  <c r="BF82" i="8" s="1"/>
  <c r="BB80" i="7"/>
  <c r="AI80" i="8"/>
  <c r="AC80" i="8"/>
  <c r="BD80" i="8" s="1"/>
  <c r="AD80" i="8"/>
  <c r="BE80" i="8" s="1"/>
  <c r="AB80" i="8"/>
  <c r="BC80" i="8" s="1"/>
  <c r="AR83" i="8"/>
  <c r="BN83" i="8" s="1"/>
  <c r="AQ83" i="8"/>
  <c r="C84" i="8"/>
  <c r="AP84" i="8"/>
  <c r="BB80" i="8"/>
  <c r="AT80" i="8"/>
  <c r="AG78" i="7"/>
  <c r="BH78" i="7" s="1"/>
  <c r="R92" i="9"/>
  <c r="F92" i="9"/>
  <c r="L92" i="9"/>
  <c r="AA92" i="9"/>
  <c r="X92" i="9"/>
  <c r="U92" i="9"/>
  <c r="Z92" i="9"/>
  <c r="Y92" i="9"/>
  <c r="D83" i="8" s="1"/>
  <c r="I83" i="8" s="1"/>
  <c r="I92" i="9"/>
  <c r="E83" i="7" s="1"/>
  <c r="N92" i="9"/>
  <c r="W92" i="9"/>
  <c r="O92" i="9"/>
  <c r="E83" i="8" s="1"/>
  <c r="P92" i="9"/>
  <c r="S92" i="9"/>
  <c r="D83" i="7" s="1"/>
  <c r="I83" i="7" s="1"/>
  <c r="H92" i="9"/>
  <c r="M92" i="9"/>
  <c r="K92" i="9"/>
  <c r="D92" i="9"/>
  <c r="E92" i="9"/>
  <c r="G92" i="9"/>
  <c r="T92" i="9"/>
  <c r="J92" i="9"/>
  <c r="V92" i="9"/>
  <c r="Q92" i="9"/>
  <c r="AH80" i="7"/>
  <c r="W80" i="7"/>
  <c r="AX80" i="7" s="1"/>
  <c r="X80" i="7"/>
  <c r="AY80" i="7" s="1"/>
  <c r="U80" i="7"/>
  <c r="AV80" i="7" s="1"/>
  <c r="B87" i="7"/>
  <c r="A88" i="7"/>
  <c r="J80" i="8"/>
  <c r="BA78" i="8"/>
  <c r="AG78" i="8"/>
  <c r="BH78" i="8" s="1"/>
  <c r="BC79" i="8"/>
  <c r="AF79" i="8"/>
  <c r="BG79" i="8" s="1"/>
  <c r="BB81" i="8"/>
  <c r="BB81" i="7"/>
  <c r="AP86" i="7"/>
  <c r="C86" i="7"/>
  <c r="AR85" i="7"/>
  <c r="BN85" i="7" s="1"/>
  <c r="AQ85" i="7"/>
  <c r="AH80" i="8"/>
  <c r="W80" i="8"/>
  <c r="AX80" i="8" s="1"/>
  <c r="X80" i="8"/>
  <c r="AY80" i="8" s="1"/>
  <c r="AT80" i="7"/>
  <c r="A86" i="8"/>
  <c r="B85" i="8"/>
  <c r="B93" i="9"/>
  <c r="C94" i="9"/>
  <c r="AI80" i="7"/>
  <c r="AC80" i="7"/>
  <c r="BD80" i="7" s="1"/>
  <c r="AD80" i="7"/>
  <c r="BE80" i="7" s="1"/>
  <c r="AB80" i="7"/>
  <c r="BC80" i="7" s="1"/>
  <c r="G82" i="8"/>
  <c r="K82" i="8" s="1"/>
  <c r="AA82" i="8" s="1"/>
  <c r="M81" i="8"/>
  <c r="H81" i="8"/>
  <c r="N81" i="8" s="1"/>
  <c r="S81" i="8"/>
  <c r="U81" i="8"/>
  <c r="AV81" i="8" s="1"/>
  <c r="T81" i="8"/>
  <c r="AU81" i="8" s="1"/>
  <c r="AL79" i="8"/>
  <c r="BM79" i="8" s="1"/>
  <c r="BJ79" i="8"/>
  <c r="N81" i="7" l="1"/>
  <c r="X81" i="7"/>
  <c r="AY81" i="7" s="1"/>
  <c r="W81" i="7"/>
  <c r="AX81" i="7" s="1"/>
  <c r="AH81" i="7"/>
  <c r="AG79" i="7"/>
  <c r="BH79" i="7" s="1"/>
  <c r="T82" i="7"/>
  <c r="AU82" i="7" s="1"/>
  <c r="S82" i="7"/>
  <c r="AT82" i="7" s="1"/>
  <c r="M82" i="7"/>
  <c r="W82" i="7" s="1"/>
  <c r="AX82" i="7" s="1"/>
  <c r="H82" i="7"/>
  <c r="N82" i="7" s="1"/>
  <c r="AI82" i="7" s="1"/>
  <c r="G83" i="8"/>
  <c r="M83" i="8" s="1"/>
  <c r="Z80" i="8"/>
  <c r="BA80" i="8" s="1"/>
  <c r="Z81" i="7"/>
  <c r="BA81" i="7" s="1"/>
  <c r="AF80" i="7"/>
  <c r="BG80" i="7" s="1"/>
  <c r="BJ80" i="7"/>
  <c r="AL80" i="7"/>
  <c r="BM80" i="7" s="1"/>
  <c r="L83" i="7"/>
  <c r="AE83" i="7" s="1"/>
  <c r="BF83" i="7" s="1"/>
  <c r="O83" i="7"/>
  <c r="AT81" i="8"/>
  <c r="AI81" i="8"/>
  <c r="AC81" i="8"/>
  <c r="BD81" i="8" s="1"/>
  <c r="AD81" i="8"/>
  <c r="BE81" i="8" s="1"/>
  <c r="AB81" i="8"/>
  <c r="AN79" i="8"/>
  <c r="BO79" i="8" s="1"/>
  <c r="BL79" i="8"/>
  <c r="AI81" i="7"/>
  <c r="AJ81" i="7" s="1"/>
  <c r="BK81" i="7" s="1"/>
  <c r="AC81" i="7"/>
  <c r="BD81" i="7" s="1"/>
  <c r="AD81" i="7"/>
  <c r="BE81" i="7" s="1"/>
  <c r="AB81" i="7"/>
  <c r="L93" i="9"/>
  <c r="F93" i="9"/>
  <c r="R93" i="9"/>
  <c r="X93" i="9"/>
  <c r="G93" i="9"/>
  <c r="Q93" i="9"/>
  <c r="N93" i="9"/>
  <c r="M93" i="9"/>
  <c r="I93" i="9"/>
  <c r="E84" i="7" s="1"/>
  <c r="S93" i="9"/>
  <c r="D84" i="7" s="1"/>
  <c r="I84" i="7" s="1"/>
  <c r="Y93" i="9"/>
  <c r="D84" i="8" s="1"/>
  <c r="I84" i="8" s="1"/>
  <c r="P93" i="9"/>
  <c r="H93" i="9"/>
  <c r="J93" i="9"/>
  <c r="V93" i="9"/>
  <c r="D93" i="9"/>
  <c r="Z93" i="9"/>
  <c r="U93" i="9"/>
  <c r="K93" i="9"/>
  <c r="W93" i="9"/>
  <c r="E93" i="9"/>
  <c r="O93" i="9"/>
  <c r="E84" i="8" s="1"/>
  <c r="AA93" i="9"/>
  <c r="T93" i="9"/>
  <c r="J81" i="8"/>
  <c r="AH81" i="8"/>
  <c r="W81" i="8"/>
  <c r="AX81" i="8" s="1"/>
  <c r="X81" i="8"/>
  <c r="AY81" i="8" s="1"/>
  <c r="BI80" i="8"/>
  <c r="AK80" i="8"/>
  <c r="AJ80" i="8"/>
  <c r="BK80" i="8" s="1"/>
  <c r="O83" i="8"/>
  <c r="L83" i="8"/>
  <c r="AE83" i="8" s="1"/>
  <c r="BF83" i="8" s="1"/>
  <c r="AF80" i="8"/>
  <c r="BG80" i="8" s="1"/>
  <c r="AG79" i="8"/>
  <c r="BH79" i="8" s="1"/>
  <c r="M82" i="8"/>
  <c r="H82" i="8"/>
  <c r="N82" i="8" s="1"/>
  <c r="S82" i="8"/>
  <c r="U82" i="8"/>
  <c r="AV82" i="8" s="1"/>
  <c r="T82" i="8"/>
  <c r="AU82" i="8" s="1"/>
  <c r="Z80" i="7"/>
  <c r="AQ84" i="8"/>
  <c r="AR84" i="8"/>
  <c r="BN84" i="8" s="1"/>
  <c r="G83" i="7"/>
  <c r="BI81" i="7"/>
  <c r="AK81" i="7"/>
  <c r="AP85" i="8"/>
  <c r="C85" i="8"/>
  <c r="B86" i="8"/>
  <c r="A87" i="8"/>
  <c r="C87" i="7"/>
  <c r="AP87" i="7"/>
  <c r="B94" i="9"/>
  <c r="C95" i="9"/>
  <c r="AK80" i="7"/>
  <c r="AJ80" i="7"/>
  <c r="BK80" i="7" s="1"/>
  <c r="BI80" i="7"/>
  <c r="AL80" i="8"/>
  <c r="BM80" i="8" s="1"/>
  <c r="BJ80" i="8"/>
  <c r="BB82" i="8"/>
  <c r="B88" i="7"/>
  <c r="A89" i="7"/>
  <c r="AQ86" i="7"/>
  <c r="AR86" i="7"/>
  <c r="BN86" i="7" s="1"/>
  <c r="AH82" i="7" l="1"/>
  <c r="U82" i="7"/>
  <c r="AV82" i="7" s="1"/>
  <c r="X82" i="7"/>
  <c r="AY82" i="7" s="1"/>
  <c r="J82" i="7"/>
  <c r="K83" i="8"/>
  <c r="AA83" i="8" s="1"/>
  <c r="BB83" i="8" s="1"/>
  <c r="AB82" i="7"/>
  <c r="BC82" i="7" s="1"/>
  <c r="AD82" i="7"/>
  <c r="BE82" i="7" s="1"/>
  <c r="AC82" i="7"/>
  <c r="BD82" i="7" s="1"/>
  <c r="T83" i="8"/>
  <c r="AU83" i="8" s="1"/>
  <c r="U83" i="8"/>
  <c r="AV83" i="8" s="1"/>
  <c r="S83" i="8"/>
  <c r="AT83" i="8" s="1"/>
  <c r="H83" i="8"/>
  <c r="N83" i="8" s="1"/>
  <c r="G84" i="8"/>
  <c r="K84" i="8" s="1"/>
  <c r="AA84" i="8" s="1"/>
  <c r="BB84" i="8" s="1"/>
  <c r="AT82" i="8"/>
  <c r="AJ81" i="8"/>
  <c r="BK81" i="8" s="1"/>
  <c r="BI81" i="8"/>
  <c r="AK81" i="8"/>
  <c r="BL81" i="7"/>
  <c r="Z81" i="8"/>
  <c r="AL81" i="8"/>
  <c r="BM81" i="8" s="1"/>
  <c r="BJ81" i="8"/>
  <c r="AR85" i="8"/>
  <c r="BN85" i="8" s="1"/>
  <c r="AQ85" i="8"/>
  <c r="J82" i="8"/>
  <c r="B89" i="7"/>
  <c r="A90" i="7"/>
  <c r="X94" i="9"/>
  <c r="L94" i="9"/>
  <c r="F94" i="9"/>
  <c r="O94" i="9"/>
  <c r="E85" i="8" s="1"/>
  <c r="D94" i="9"/>
  <c r="T94" i="9"/>
  <c r="S94" i="9"/>
  <c r="D85" i="7" s="1"/>
  <c r="I85" i="7" s="1"/>
  <c r="R94" i="9"/>
  <c r="P94" i="9"/>
  <c r="V94" i="9"/>
  <c r="M94" i="9"/>
  <c r="E94" i="9"/>
  <c r="Q94" i="9"/>
  <c r="G94" i="9"/>
  <c r="W94" i="9"/>
  <c r="N94" i="9"/>
  <c r="H94" i="9"/>
  <c r="Y94" i="9"/>
  <c r="D85" i="8" s="1"/>
  <c r="I85" i="8" s="1"/>
  <c r="U94" i="9"/>
  <c r="AA94" i="9"/>
  <c r="Z94" i="9"/>
  <c r="I94" i="9"/>
  <c r="E85" i="7" s="1"/>
  <c r="J94" i="9"/>
  <c r="K94" i="9"/>
  <c r="AH82" i="8"/>
  <c r="W82" i="8"/>
  <c r="AX82" i="8" s="1"/>
  <c r="X82" i="8"/>
  <c r="AY82" i="8" s="1"/>
  <c r="BC81" i="7"/>
  <c r="AF81" i="7"/>
  <c r="AH83" i="8"/>
  <c r="W83" i="8"/>
  <c r="AX83" i="8" s="1"/>
  <c r="X83" i="8"/>
  <c r="AY83" i="8" s="1"/>
  <c r="BC81" i="8"/>
  <c r="AF81" i="8"/>
  <c r="BG81" i="8" s="1"/>
  <c r="AI82" i="8"/>
  <c r="AC82" i="8"/>
  <c r="BD82" i="8" s="1"/>
  <c r="AD82" i="8"/>
  <c r="BE82" i="8" s="1"/>
  <c r="AB82" i="8"/>
  <c r="O84" i="8"/>
  <c r="L84" i="8"/>
  <c r="AE84" i="8" s="1"/>
  <c r="BF84" i="8" s="1"/>
  <c r="AQ87" i="7"/>
  <c r="AR87" i="7"/>
  <c r="BN87" i="7" s="1"/>
  <c r="AN80" i="8"/>
  <c r="BO80" i="8" s="1"/>
  <c r="BL80" i="8"/>
  <c r="B87" i="8"/>
  <c r="A88" i="8"/>
  <c r="AP86" i="8"/>
  <c r="C86" i="8"/>
  <c r="BL80" i="7"/>
  <c r="AN80" i="7"/>
  <c r="BO80" i="7" s="1"/>
  <c r="B95" i="9"/>
  <c r="C96" i="9"/>
  <c r="C88" i="7"/>
  <c r="AP88" i="7"/>
  <c r="O84" i="7"/>
  <c r="L84" i="7"/>
  <c r="AE84" i="7" s="1"/>
  <c r="BF84" i="7" s="1"/>
  <c r="H83" i="7"/>
  <c r="N83" i="7" s="1"/>
  <c r="M83" i="7"/>
  <c r="S83" i="7"/>
  <c r="T83" i="7"/>
  <c r="AU83" i="7" s="1"/>
  <c r="K83" i="7"/>
  <c r="AA83" i="7" s="1"/>
  <c r="G84" i="7"/>
  <c r="BJ81" i="7"/>
  <c r="AL81" i="7"/>
  <c r="BM81" i="7" s="1"/>
  <c r="BJ82" i="7"/>
  <c r="AL82" i="7"/>
  <c r="BM82" i="7" s="1"/>
  <c r="BA80" i="7"/>
  <c r="AG80" i="7"/>
  <c r="BH80" i="7" s="1"/>
  <c r="AG80" i="8"/>
  <c r="BH80" i="8" s="1"/>
  <c r="AK82" i="7"/>
  <c r="AJ82" i="7"/>
  <c r="BK82" i="7" s="1"/>
  <c r="BI82" i="7"/>
  <c r="Z82" i="7" l="1"/>
  <c r="BA82" i="7" s="1"/>
  <c r="AF82" i="7"/>
  <c r="BG82" i="7" s="1"/>
  <c r="T84" i="8"/>
  <c r="AU84" i="8" s="1"/>
  <c r="U84" i="8"/>
  <c r="AV84" i="8" s="1"/>
  <c r="J83" i="8"/>
  <c r="S84" i="8"/>
  <c r="AT84" i="8" s="1"/>
  <c r="M84" i="8"/>
  <c r="AH84" i="8" s="1"/>
  <c r="H84" i="8"/>
  <c r="N84" i="8" s="1"/>
  <c r="AI84" i="8" s="1"/>
  <c r="AN81" i="7"/>
  <c r="BO81" i="7" s="1"/>
  <c r="G85" i="7"/>
  <c r="M85" i="7" s="1"/>
  <c r="AL82" i="8"/>
  <c r="BM82" i="8" s="1"/>
  <c r="BJ82" i="8"/>
  <c r="AK82" i="8"/>
  <c r="AJ82" i="8"/>
  <c r="BK82" i="8" s="1"/>
  <c r="BI82" i="8"/>
  <c r="AP89" i="7"/>
  <c r="C89" i="7"/>
  <c r="AI83" i="8"/>
  <c r="AJ83" i="8" s="1"/>
  <c r="BK83" i="8" s="1"/>
  <c r="AC83" i="8"/>
  <c r="BD83" i="8" s="1"/>
  <c r="AD83" i="8"/>
  <c r="BE83" i="8" s="1"/>
  <c r="AB83" i="8"/>
  <c r="BI83" i="8"/>
  <c r="AK83" i="8"/>
  <c r="BB83" i="7"/>
  <c r="O85" i="7"/>
  <c r="L85" i="7"/>
  <c r="AE85" i="7" s="1"/>
  <c r="BF85" i="7" s="1"/>
  <c r="A89" i="8"/>
  <c r="B88" i="8"/>
  <c r="BL82" i="7"/>
  <c r="AN82" i="7"/>
  <c r="BO82" i="7" s="1"/>
  <c r="M84" i="7"/>
  <c r="H84" i="7"/>
  <c r="N84" i="7" s="1"/>
  <c r="S84" i="7"/>
  <c r="T84" i="7"/>
  <c r="AU84" i="7" s="1"/>
  <c r="AT83" i="7"/>
  <c r="F95" i="9"/>
  <c r="X95" i="9"/>
  <c r="L95" i="9"/>
  <c r="P95" i="9"/>
  <c r="Q95" i="9"/>
  <c r="R95" i="9"/>
  <c r="J95" i="9"/>
  <c r="Z95" i="9"/>
  <c r="K95" i="9"/>
  <c r="I95" i="9"/>
  <c r="E86" i="7" s="1"/>
  <c r="U95" i="9"/>
  <c r="V95" i="9"/>
  <c r="Y95" i="9"/>
  <c r="D86" i="8" s="1"/>
  <c r="I86" i="8" s="1"/>
  <c r="W95" i="9"/>
  <c r="N95" i="9"/>
  <c r="E95" i="9"/>
  <c r="M95" i="9"/>
  <c r="S95" i="9"/>
  <c r="D86" i="7" s="1"/>
  <c r="I86" i="7" s="1"/>
  <c r="AA95" i="9"/>
  <c r="D95" i="9"/>
  <c r="T95" i="9"/>
  <c r="G95" i="9"/>
  <c r="O95" i="9"/>
  <c r="E86" i="8" s="1"/>
  <c r="H95" i="9"/>
  <c r="BG81" i="7"/>
  <c r="AG81" i="7"/>
  <c r="BH81" i="7" s="1"/>
  <c r="Z83" i="8"/>
  <c r="AR86" i="8"/>
  <c r="BN86" i="8" s="1"/>
  <c r="AQ86" i="8"/>
  <c r="C87" i="8"/>
  <c r="AP87" i="8"/>
  <c r="G85" i="8"/>
  <c r="Z82" i="8"/>
  <c r="AI83" i="7"/>
  <c r="AC83" i="7"/>
  <c r="BD83" i="7" s="1"/>
  <c r="AD83" i="7"/>
  <c r="BE83" i="7" s="1"/>
  <c r="AB83" i="7"/>
  <c r="BC83" i="7" s="1"/>
  <c r="B90" i="7"/>
  <c r="A91" i="7"/>
  <c r="AR88" i="7"/>
  <c r="BN88" i="7" s="1"/>
  <c r="AQ88" i="7"/>
  <c r="O85" i="8"/>
  <c r="L85" i="8"/>
  <c r="AE85" i="8" s="1"/>
  <c r="BF85" i="8" s="1"/>
  <c r="AH83" i="7"/>
  <c r="W83" i="7"/>
  <c r="AX83" i="7" s="1"/>
  <c r="X83" i="7"/>
  <c r="AY83" i="7" s="1"/>
  <c r="U83" i="7"/>
  <c r="AV83" i="7" s="1"/>
  <c r="BL81" i="8"/>
  <c r="AN81" i="8"/>
  <c r="BO81" i="8" s="1"/>
  <c r="C97" i="9"/>
  <c r="B96" i="9"/>
  <c r="J83" i="7"/>
  <c r="BC82" i="8"/>
  <c r="AF82" i="8"/>
  <c r="BG82" i="8" s="1"/>
  <c r="K84" i="7"/>
  <c r="AA84" i="7" s="1"/>
  <c r="BA81" i="8"/>
  <c r="AG81" i="8"/>
  <c r="BH81" i="8" s="1"/>
  <c r="AG82" i="7" l="1"/>
  <c r="BH82" i="7" s="1"/>
  <c r="X84" i="8"/>
  <c r="AY84" i="8" s="1"/>
  <c r="W84" i="8"/>
  <c r="AX84" i="8" s="1"/>
  <c r="J84" i="8"/>
  <c r="AB84" i="8"/>
  <c r="BC84" i="8" s="1"/>
  <c r="AD84" i="8"/>
  <c r="BE84" i="8" s="1"/>
  <c r="AC84" i="8"/>
  <c r="BD84" i="8" s="1"/>
  <c r="H85" i="7"/>
  <c r="J85" i="7" s="1"/>
  <c r="T85" i="7"/>
  <c r="AU85" i="7" s="1"/>
  <c r="S85" i="7"/>
  <c r="AT85" i="7" s="1"/>
  <c r="K85" i="7"/>
  <c r="AA85" i="7" s="1"/>
  <c r="BB85" i="7" s="1"/>
  <c r="G86" i="7"/>
  <c r="K86" i="7" s="1"/>
  <c r="AA86" i="7" s="1"/>
  <c r="G86" i="8"/>
  <c r="S86" i="8" s="1"/>
  <c r="AJ84" i="8"/>
  <c r="BK84" i="8" s="1"/>
  <c r="BI84" i="8"/>
  <c r="AK84" i="8"/>
  <c r="AF83" i="7"/>
  <c r="BG83" i="7" s="1"/>
  <c r="BA82" i="8"/>
  <c r="AG82" i="8"/>
  <c r="BH82" i="8" s="1"/>
  <c r="M85" i="8"/>
  <c r="H85" i="8"/>
  <c r="N85" i="8" s="1"/>
  <c r="S85" i="8"/>
  <c r="U85" i="8"/>
  <c r="AV85" i="8" s="1"/>
  <c r="T85" i="8"/>
  <c r="AU85" i="8" s="1"/>
  <c r="K85" i="8"/>
  <c r="AA85" i="8" s="1"/>
  <c r="AI84" i="7"/>
  <c r="AC84" i="7"/>
  <c r="BD84" i="7" s="1"/>
  <c r="AD84" i="7"/>
  <c r="BE84" i="7" s="1"/>
  <c r="AB84" i="7"/>
  <c r="BC84" i="7" s="1"/>
  <c r="BJ83" i="8"/>
  <c r="AL83" i="8"/>
  <c r="BM83" i="8" s="1"/>
  <c r="R96" i="9"/>
  <c r="F96" i="9"/>
  <c r="X96" i="9"/>
  <c r="L96" i="9"/>
  <c r="I96" i="9"/>
  <c r="E87" i="7" s="1"/>
  <c r="J96" i="9"/>
  <c r="Z96" i="9"/>
  <c r="P96" i="9"/>
  <c r="Q96" i="9"/>
  <c r="O96" i="9"/>
  <c r="E87" i="8" s="1"/>
  <c r="G96" i="9"/>
  <c r="AA96" i="9"/>
  <c r="T96" i="9"/>
  <c r="U96" i="9"/>
  <c r="V96" i="9"/>
  <c r="M96" i="9"/>
  <c r="S96" i="9"/>
  <c r="D87" i="7" s="1"/>
  <c r="I87" i="7" s="1"/>
  <c r="H96" i="9"/>
  <c r="W96" i="9"/>
  <c r="K96" i="9"/>
  <c r="Y96" i="9"/>
  <c r="D87" i="8" s="1"/>
  <c r="I87" i="8" s="1"/>
  <c r="N96" i="9"/>
  <c r="D96" i="9"/>
  <c r="E96" i="9"/>
  <c r="AH84" i="7"/>
  <c r="W84" i="7"/>
  <c r="AX84" i="7" s="1"/>
  <c r="X84" i="7"/>
  <c r="AY84" i="7" s="1"/>
  <c r="U84" i="7"/>
  <c r="AV84" i="7" s="1"/>
  <c r="BL83" i="8"/>
  <c r="AK83" i="7"/>
  <c r="AJ83" i="7"/>
  <c r="BK83" i="7" s="1"/>
  <c r="BI83" i="7"/>
  <c r="BC83" i="8"/>
  <c r="AF83" i="8"/>
  <c r="BG83" i="8" s="1"/>
  <c r="L86" i="7"/>
  <c r="AE86" i="7" s="1"/>
  <c r="BF86" i="7" s="1"/>
  <c r="O86" i="7"/>
  <c r="AQ89" i="7"/>
  <c r="AR89" i="7"/>
  <c r="BN89" i="7" s="1"/>
  <c r="J84" i="7"/>
  <c r="Z83" i="7"/>
  <c r="B97" i="9"/>
  <c r="C98" i="9"/>
  <c r="AT84" i="7"/>
  <c r="B91" i="7"/>
  <c r="A92" i="7"/>
  <c r="BA83" i="8"/>
  <c r="AN82" i="8"/>
  <c r="BO82" i="8" s="1"/>
  <c r="BL82" i="8"/>
  <c r="AQ87" i="8"/>
  <c r="AR87" i="8"/>
  <c r="BN87" i="8" s="1"/>
  <c r="AL84" i="8"/>
  <c r="BM84" i="8" s="1"/>
  <c r="BJ84" i="8"/>
  <c r="C90" i="7"/>
  <c r="AP90" i="7"/>
  <c r="AP88" i="8"/>
  <c r="C88" i="8"/>
  <c r="AH85" i="7"/>
  <c r="W85" i="7"/>
  <c r="AX85" i="7" s="1"/>
  <c r="X85" i="7"/>
  <c r="AY85" i="7" s="1"/>
  <c r="U85" i="7"/>
  <c r="AV85" i="7" s="1"/>
  <c r="AL83" i="7"/>
  <c r="BM83" i="7" s="1"/>
  <c r="BJ83" i="7"/>
  <c r="BB84" i="7"/>
  <c r="O86" i="8"/>
  <c r="L86" i="8"/>
  <c r="AE86" i="8" s="1"/>
  <c r="BF86" i="8" s="1"/>
  <c r="B89" i="8"/>
  <c r="A90" i="8"/>
  <c r="Z84" i="8" l="1"/>
  <c r="N85" i="7"/>
  <c r="AC85" i="7" s="1"/>
  <c r="BD85" i="7" s="1"/>
  <c r="H86" i="7"/>
  <c r="N86" i="7" s="1"/>
  <c r="AC86" i="7" s="1"/>
  <c r="BD86" i="7" s="1"/>
  <c r="AF84" i="8"/>
  <c r="BG84" i="8" s="1"/>
  <c r="AD85" i="7"/>
  <c r="BE85" i="7" s="1"/>
  <c r="M86" i="7"/>
  <c r="U86" i="7" s="1"/>
  <c r="AV86" i="7" s="1"/>
  <c r="AI85" i="7"/>
  <c r="AJ85" i="7" s="1"/>
  <c r="BK85" i="7" s="1"/>
  <c r="T86" i="7"/>
  <c r="AU86" i="7" s="1"/>
  <c r="AB85" i="7"/>
  <c r="BC85" i="7" s="1"/>
  <c r="S86" i="7"/>
  <c r="AT86" i="7" s="1"/>
  <c r="K86" i="8"/>
  <c r="AA86" i="8" s="1"/>
  <c r="BB86" i="8" s="1"/>
  <c r="H86" i="8"/>
  <c r="N86" i="8" s="1"/>
  <c r="AD86" i="8" s="1"/>
  <c r="BE86" i="8" s="1"/>
  <c r="M86" i="8"/>
  <c r="W86" i="8" s="1"/>
  <c r="AX86" i="8" s="1"/>
  <c r="U86" i="8"/>
  <c r="AV86" i="8" s="1"/>
  <c r="T86" i="8"/>
  <c r="AU86" i="8" s="1"/>
  <c r="G87" i="8"/>
  <c r="T87" i="8" s="1"/>
  <c r="AU87" i="8" s="1"/>
  <c r="AG83" i="8"/>
  <c r="BH83" i="8" s="1"/>
  <c r="G87" i="7"/>
  <c r="K87" i="7" s="1"/>
  <c r="AA87" i="7" s="1"/>
  <c r="BB87" i="7" s="1"/>
  <c r="Z84" i="7"/>
  <c r="BA84" i="7" s="1"/>
  <c r="J85" i="8"/>
  <c r="BB86" i="7"/>
  <c r="W86" i="7"/>
  <c r="AX86" i="7" s="1"/>
  <c r="X86" i="7"/>
  <c r="AY86" i="7" s="1"/>
  <c r="AH85" i="8"/>
  <c r="W85" i="8"/>
  <c r="AX85" i="8" s="1"/>
  <c r="X85" i="8"/>
  <c r="AY85" i="8" s="1"/>
  <c r="BL83" i="7"/>
  <c r="AN83" i="7"/>
  <c r="BO83" i="7" s="1"/>
  <c r="BJ84" i="7"/>
  <c r="AL84" i="7"/>
  <c r="BM84" i="7" s="1"/>
  <c r="BL84" i="8"/>
  <c r="AN84" i="8"/>
  <c r="BO84" i="8" s="1"/>
  <c r="O87" i="8"/>
  <c r="L87" i="8"/>
  <c r="AE87" i="8" s="1"/>
  <c r="BF87" i="8" s="1"/>
  <c r="AT86" i="8"/>
  <c r="AR88" i="8"/>
  <c r="BN88" i="8" s="1"/>
  <c r="AQ88" i="8"/>
  <c r="BB85" i="8"/>
  <c r="AP89" i="8"/>
  <c r="C89" i="8"/>
  <c r="C91" i="7"/>
  <c r="AP91" i="7"/>
  <c r="BA84" i="8"/>
  <c r="AN83" i="8"/>
  <c r="BO83" i="8" s="1"/>
  <c r="B90" i="8"/>
  <c r="A91" i="8"/>
  <c r="O87" i="7"/>
  <c r="L87" i="7"/>
  <c r="AE87" i="7" s="1"/>
  <c r="BF87" i="7" s="1"/>
  <c r="AF84" i="7"/>
  <c r="BG84" i="7" s="1"/>
  <c r="B98" i="9"/>
  <c r="C99" i="9"/>
  <c r="AT85" i="8"/>
  <c r="B92" i="7"/>
  <c r="A93" i="7"/>
  <c r="AK85" i="7"/>
  <c r="BI85" i="7"/>
  <c r="AQ90" i="7"/>
  <c r="AR90" i="7"/>
  <c r="BN90" i="7" s="1"/>
  <c r="Z85" i="7"/>
  <c r="X97" i="9"/>
  <c r="R97" i="9"/>
  <c r="F97" i="9"/>
  <c r="G97" i="9"/>
  <c r="S97" i="9"/>
  <c r="D88" i="7" s="1"/>
  <c r="I88" i="7" s="1"/>
  <c r="L97" i="9"/>
  <c r="K97" i="9"/>
  <c r="J97" i="9"/>
  <c r="I97" i="9"/>
  <c r="E88" i="7" s="1"/>
  <c r="W97" i="9"/>
  <c r="D97" i="9"/>
  <c r="V97" i="9"/>
  <c r="H97" i="9"/>
  <c r="O97" i="9"/>
  <c r="E88" i="8" s="1"/>
  <c r="U97" i="9"/>
  <c r="AA97" i="9"/>
  <c r="Z97" i="9"/>
  <c r="E97" i="9"/>
  <c r="Q97" i="9"/>
  <c r="T97" i="9"/>
  <c r="N97" i="9"/>
  <c r="P97" i="9"/>
  <c r="Y97" i="9"/>
  <c r="D88" i="8" s="1"/>
  <c r="I88" i="8" s="1"/>
  <c r="M97" i="9"/>
  <c r="BA83" i="7"/>
  <c r="AG83" i="7"/>
  <c r="BH83" i="7" s="1"/>
  <c r="BI84" i="7"/>
  <c r="AJ84" i="7"/>
  <c r="BK84" i="7" s="1"/>
  <c r="AK84" i="7"/>
  <c r="AI85" i="8"/>
  <c r="AC85" i="8"/>
  <c r="BD85" i="8" s="1"/>
  <c r="AD85" i="8"/>
  <c r="BE85" i="8" s="1"/>
  <c r="AB85" i="8"/>
  <c r="BC85" i="8" s="1"/>
  <c r="AG84" i="8" l="1"/>
  <c r="BH84" i="8" s="1"/>
  <c r="AI86" i="7"/>
  <c r="AH86" i="7"/>
  <c r="BI86" i="7" s="1"/>
  <c r="AB86" i="7"/>
  <c r="BC86" i="7" s="1"/>
  <c r="AD86" i="7"/>
  <c r="BE86" i="7" s="1"/>
  <c r="J86" i="7"/>
  <c r="AL85" i="7"/>
  <c r="BM85" i="7" s="1"/>
  <c r="BJ85" i="7"/>
  <c r="AF85" i="7"/>
  <c r="BG85" i="7" s="1"/>
  <c r="J86" i="8"/>
  <c r="AC86" i="8"/>
  <c r="BD86" i="8" s="1"/>
  <c r="AI86" i="8"/>
  <c r="AL86" i="8" s="1"/>
  <c r="BM86" i="8" s="1"/>
  <c r="AB86" i="8"/>
  <c r="BC86" i="8" s="1"/>
  <c r="X86" i="8"/>
  <c r="AY86" i="8" s="1"/>
  <c r="AH86" i="8"/>
  <c r="AK86" i="8" s="1"/>
  <c r="H87" i="8"/>
  <c r="N87" i="8" s="1"/>
  <c r="AB87" i="8" s="1"/>
  <c r="BC87" i="8" s="1"/>
  <c r="K87" i="8"/>
  <c r="AA87" i="8" s="1"/>
  <c r="BB87" i="8" s="1"/>
  <c r="S87" i="7"/>
  <c r="AT87" i="7" s="1"/>
  <c r="G88" i="8"/>
  <c r="M88" i="8" s="1"/>
  <c r="T87" i="7"/>
  <c r="AU87" i="7" s="1"/>
  <c r="H87" i="7"/>
  <c r="N87" i="7" s="1"/>
  <c r="AB87" i="7" s="1"/>
  <c r="M87" i="7"/>
  <c r="AH87" i="7" s="1"/>
  <c r="S87" i="8"/>
  <c r="AT87" i="8" s="1"/>
  <c r="M87" i="8"/>
  <c r="X87" i="8" s="1"/>
  <c r="AY87" i="8" s="1"/>
  <c r="U87" i="8"/>
  <c r="AV87" i="8" s="1"/>
  <c r="G88" i="7"/>
  <c r="M88" i="7" s="1"/>
  <c r="AG84" i="7"/>
  <c r="BH84" i="7" s="1"/>
  <c r="Z85" i="8"/>
  <c r="BA85" i="8" s="1"/>
  <c r="AR91" i="7"/>
  <c r="BN91" i="7" s="1"/>
  <c r="AQ91" i="7"/>
  <c r="O88" i="8"/>
  <c r="L88" i="8"/>
  <c r="AE88" i="8" s="1"/>
  <c r="BF88" i="8" s="1"/>
  <c r="AP92" i="7"/>
  <c r="C92" i="7"/>
  <c r="BL85" i="7"/>
  <c r="C90" i="8"/>
  <c r="AP90" i="8"/>
  <c r="Z86" i="7"/>
  <c r="A92" i="8"/>
  <c r="B91" i="8"/>
  <c r="BA85" i="7"/>
  <c r="BJ86" i="7"/>
  <c r="AL86" i="7"/>
  <c r="BM86" i="7" s="1"/>
  <c r="B99" i="9"/>
  <c r="C100" i="9"/>
  <c r="X98" i="9"/>
  <c r="L98" i="9"/>
  <c r="R98" i="9"/>
  <c r="F98" i="9"/>
  <c r="AA98" i="9"/>
  <c r="P98" i="9"/>
  <c r="K98" i="9"/>
  <c r="Z98" i="9"/>
  <c r="S98" i="9"/>
  <c r="D89" i="7" s="1"/>
  <c r="I89" i="7" s="1"/>
  <c r="J98" i="9"/>
  <c r="O98" i="9"/>
  <c r="E89" i="8" s="1"/>
  <c r="E98" i="9"/>
  <c r="N98" i="9"/>
  <c r="W98" i="9"/>
  <c r="H98" i="9"/>
  <c r="Q98" i="9"/>
  <c r="I98" i="9"/>
  <c r="E89" i="7" s="1"/>
  <c r="M98" i="9"/>
  <c r="U98" i="9"/>
  <c r="G98" i="9"/>
  <c r="V98" i="9"/>
  <c r="Y98" i="9"/>
  <c r="D89" i="8" s="1"/>
  <c r="I89" i="8" s="1"/>
  <c r="D98" i="9"/>
  <c r="T98" i="9"/>
  <c r="AR89" i="8"/>
  <c r="BN89" i="8" s="1"/>
  <c r="AQ89" i="8"/>
  <c r="AK86" i="7"/>
  <c r="B93" i="7"/>
  <c r="A94" i="7"/>
  <c r="AL85" i="8"/>
  <c r="BM85" i="8" s="1"/>
  <c r="BJ85" i="8"/>
  <c r="O88" i="7"/>
  <c r="L88" i="7"/>
  <c r="AE88" i="7" s="1"/>
  <c r="BF88" i="7" s="1"/>
  <c r="AF85" i="8"/>
  <c r="BG85" i="8" s="1"/>
  <c r="AK85" i="8"/>
  <c r="AJ85" i="8"/>
  <c r="BK85" i="8" s="1"/>
  <c r="BI85" i="8"/>
  <c r="AN84" i="7"/>
  <c r="BO84" i="7" s="1"/>
  <c r="BL84" i="7"/>
  <c r="AJ86" i="7" l="1"/>
  <c r="BK86" i="7" s="1"/>
  <c r="AN85" i="7"/>
  <c r="BO85" i="7" s="1"/>
  <c r="AF86" i="7"/>
  <c r="BG86" i="7" s="1"/>
  <c r="AG85" i="7"/>
  <c r="BH85" i="7" s="1"/>
  <c r="BJ86" i="8"/>
  <c r="AI87" i="8"/>
  <c r="BJ87" i="8" s="1"/>
  <c r="AD87" i="8"/>
  <c r="BE87" i="8" s="1"/>
  <c r="AF86" i="8"/>
  <c r="BG86" i="8" s="1"/>
  <c r="Z86" i="8"/>
  <c r="BA86" i="8" s="1"/>
  <c r="AC87" i="8"/>
  <c r="BD87" i="8" s="1"/>
  <c r="AI87" i="7"/>
  <c r="AJ87" i="7" s="1"/>
  <c r="BK87" i="7" s="1"/>
  <c r="J87" i="8"/>
  <c r="AC87" i="7"/>
  <c r="BD87" i="7" s="1"/>
  <c r="AD87" i="7"/>
  <c r="BE87" i="7" s="1"/>
  <c r="K88" i="8"/>
  <c r="AA88" i="8" s="1"/>
  <c r="BB88" i="8" s="1"/>
  <c r="BI86" i="8"/>
  <c r="AJ86" i="8"/>
  <c r="BK86" i="8" s="1"/>
  <c r="T88" i="8"/>
  <c r="AU88" i="8" s="1"/>
  <c r="U88" i="8"/>
  <c r="AV88" i="8" s="1"/>
  <c r="S88" i="8"/>
  <c r="AT88" i="8" s="1"/>
  <c r="H88" i="8"/>
  <c r="N88" i="8" s="1"/>
  <c r="AD88" i="8" s="1"/>
  <c r="BE88" i="8" s="1"/>
  <c r="J87" i="7"/>
  <c r="U87" i="7"/>
  <c r="AV87" i="7" s="1"/>
  <c r="X87" i="7"/>
  <c r="AY87" i="7" s="1"/>
  <c r="W87" i="7"/>
  <c r="AX87" i="7" s="1"/>
  <c r="W87" i="8"/>
  <c r="AX87" i="8" s="1"/>
  <c r="AH87" i="8"/>
  <c r="BI87" i="8" s="1"/>
  <c r="K88" i="7"/>
  <c r="AA88" i="7" s="1"/>
  <c r="BB88" i="7" s="1"/>
  <c r="H88" i="7"/>
  <c r="N88" i="7" s="1"/>
  <c r="AD88" i="7" s="1"/>
  <c r="BE88" i="7" s="1"/>
  <c r="T88" i="7"/>
  <c r="AU88" i="7" s="1"/>
  <c r="S88" i="7"/>
  <c r="AT88" i="7" s="1"/>
  <c r="G89" i="8"/>
  <c r="K89" i="8" s="1"/>
  <c r="AA89" i="8" s="1"/>
  <c r="BB89" i="8" s="1"/>
  <c r="G89" i="7"/>
  <c r="T89" i="7" s="1"/>
  <c r="AU89" i="7" s="1"/>
  <c r="BA86" i="7"/>
  <c r="AG86" i="7"/>
  <c r="BH86" i="7" s="1"/>
  <c r="B92" i="8"/>
  <c r="A93" i="8"/>
  <c r="AQ92" i="7"/>
  <c r="AR92" i="7"/>
  <c r="BN92" i="7" s="1"/>
  <c r="AQ90" i="8"/>
  <c r="AR90" i="8"/>
  <c r="BN90" i="8" s="1"/>
  <c r="AN86" i="8"/>
  <c r="BO86" i="8" s="1"/>
  <c r="BL86" i="8"/>
  <c r="AP91" i="8"/>
  <c r="C91" i="8"/>
  <c r="B94" i="7"/>
  <c r="A95" i="7"/>
  <c r="C101" i="9"/>
  <c r="B100" i="9"/>
  <c r="O89" i="8"/>
  <c r="L89" i="8"/>
  <c r="AE89" i="8" s="1"/>
  <c r="BF89" i="8" s="1"/>
  <c r="R99" i="9"/>
  <c r="L99" i="9"/>
  <c r="X99" i="9"/>
  <c r="E99" i="9"/>
  <c r="D99" i="9"/>
  <c r="F99" i="9"/>
  <c r="V99" i="9"/>
  <c r="Y99" i="9"/>
  <c r="D90" i="8" s="1"/>
  <c r="I90" i="8" s="1"/>
  <c r="J99" i="9"/>
  <c r="N99" i="9"/>
  <c r="Z99" i="9"/>
  <c r="AA99" i="9"/>
  <c r="Q99" i="9"/>
  <c r="K99" i="9"/>
  <c r="P99" i="9"/>
  <c r="U99" i="9"/>
  <c r="S99" i="9"/>
  <c r="D90" i="7" s="1"/>
  <c r="I90" i="7" s="1"/>
  <c r="W99" i="9"/>
  <c r="I99" i="9"/>
  <c r="E90" i="7" s="1"/>
  <c r="G99" i="9"/>
  <c r="T99" i="9"/>
  <c r="H99" i="9"/>
  <c r="O99" i="9"/>
  <c r="E90" i="8" s="1"/>
  <c r="M99" i="9"/>
  <c r="BI87" i="7"/>
  <c r="AK87" i="7"/>
  <c r="L89" i="7"/>
  <c r="AE89" i="7" s="1"/>
  <c r="BF89" i="7" s="1"/>
  <c r="O89" i="7"/>
  <c r="AG85" i="8"/>
  <c r="BH85" i="8" s="1"/>
  <c r="BL86" i="7"/>
  <c r="AN86" i="7"/>
  <c r="BO86" i="7" s="1"/>
  <c r="AN85" i="8"/>
  <c r="BO85" i="8" s="1"/>
  <c r="BL85" i="8"/>
  <c r="AH88" i="8"/>
  <c r="W88" i="8"/>
  <c r="AX88" i="8" s="1"/>
  <c r="X88" i="8"/>
  <c r="AY88" i="8" s="1"/>
  <c r="C93" i="7"/>
  <c r="AP93" i="7"/>
  <c r="AH88" i="7"/>
  <c r="W88" i="7"/>
  <c r="AX88" i="7" s="1"/>
  <c r="X88" i="7"/>
  <c r="AY88" i="7" s="1"/>
  <c r="U88" i="7"/>
  <c r="AV88" i="7" s="1"/>
  <c r="BC87" i="7"/>
  <c r="AL87" i="8" l="1"/>
  <c r="BM87" i="8" s="1"/>
  <c r="BJ87" i="7"/>
  <c r="AL87" i="7"/>
  <c r="BM87" i="7" s="1"/>
  <c r="AG86" i="8"/>
  <c r="BH86" i="8" s="1"/>
  <c r="AF87" i="8"/>
  <c r="BG87" i="8" s="1"/>
  <c r="AF87" i="7"/>
  <c r="BG87" i="7" s="1"/>
  <c r="AI88" i="8"/>
  <c r="AJ88" i="8" s="1"/>
  <c r="BK88" i="8" s="1"/>
  <c r="AC88" i="8"/>
  <c r="BD88" i="8" s="1"/>
  <c r="AB88" i="8"/>
  <c r="BC88" i="8" s="1"/>
  <c r="J88" i="8"/>
  <c r="Z87" i="7"/>
  <c r="Z87" i="8"/>
  <c r="BA87" i="8" s="1"/>
  <c r="J88" i="7"/>
  <c r="AJ87" i="8"/>
  <c r="BK87" i="8" s="1"/>
  <c r="M89" i="8"/>
  <c r="AH89" i="8" s="1"/>
  <c r="AK87" i="8"/>
  <c r="BL87" i="8" s="1"/>
  <c r="T89" i="8"/>
  <c r="AU89" i="8" s="1"/>
  <c r="G90" i="8"/>
  <c r="M90" i="8" s="1"/>
  <c r="U89" i="8"/>
  <c r="AV89" i="8" s="1"/>
  <c r="S89" i="8"/>
  <c r="AT89" i="8" s="1"/>
  <c r="H89" i="8"/>
  <c r="N89" i="8" s="1"/>
  <c r="AC89" i="8" s="1"/>
  <c r="BD89" i="8" s="1"/>
  <c r="K89" i="7"/>
  <c r="AA89" i="7" s="1"/>
  <c r="BB89" i="7" s="1"/>
  <c r="AB88" i="7"/>
  <c r="BC88" i="7" s="1"/>
  <c r="AC88" i="7"/>
  <c r="BD88" i="7" s="1"/>
  <c r="H89" i="7"/>
  <c r="N89" i="7" s="1"/>
  <c r="AC89" i="7" s="1"/>
  <c r="BD89" i="7" s="1"/>
  <c r="AI88" i="7"/>
  <c r="BJ88" i="7" s="1"/>
  <c r="S89" i="7"/>
  <c r="AT89" i="7" s="1"/>
  <c r="M89" i="7"/>
  <c r="X89" i="7" s="1"/>
  <c r="AY89" i="7" s="1"/>
  <c r="G90" i="7"/>
  <c r="T90" i="7" s="1"/>
  <c r="AU90" i="7" s="1"/>
  <c r="B93" i="8"/>
  <c r="A94" i="8"/>
  <c r="O90" i="8"/>
  <c r="L90" i="8"/>
  <c r="AE90" i="8" s="1"/>
  <c r="BF90" i="8" s="1"/>
  <c r="O90" i="7"/>
  <c r="L90" i="7"/>
  <c r="AE90" i="7" s="1"/>
  <c r="BF90" i="7" s="1"/>
  <c r="B101" i="9"/>
  <c r="C102" i="9"/>
  <c r="Z88" i="7"/>
  <c r="R100" i="9"/>
  <c r="F100" i="9"/>
  <c r="L100" i="9"/>
  <c r="U100" i="9"/>
  <c r="X100" i="9"/>
  <c r="V100" i="9"/>
  <c r="N100" i="9"/>
  <c r="S100" i="9"/>
  <c r="D91" i="7" s="1"/>
  <c r="I91" i="7" s="1"/>
  <c r="H100" i="9"/>
  <c r="M100" i="9"/>
  <c r="J100" i="9"/>
  <c r="K100" i="9"/>
  <c r="D100" i="9"/>
  <c r="E100" i="9"/>
  <c r="Q100" i="9"/>
  <c r="G100" i="9"/>
  <c r="T100" i="9"/>
  <c r="W100" i="9"/>
  <c r="I100" i="9"/>
  <c r="E91" i="7" s="1"/>
  <c r="P100" i="9"/>
  <c r="Z100" i="9"/>
  <c r="Y100" i="9"/>
  <c r="D91" i="8" s="1"/>
  <c r="I91" i="8" s="1"/>
  <c r="AA100" i="9"/>
  <c r="O100" i="9"/>
  <c r="E91" i="8" s="1"/>
  <c r="AK88" i="8"/>
  <c r="BI88" i="8"/>
  <c r="C94" i="7"/>
  <c r="AP94" i="7"/>
  <c r="AR93" i="7"/>
  <c r="BN93" i="7" s="1"/>
  <c r="AQ93" i="7"/>
  <c r="A96" i="7"/>
  <c r="B95" i="7"/>
  <c r="AR91" i="8"/>
  <c r="BN91" i="8" s="1"/>
  <c r="AQ91" i="8"/>
  <c r="AP92" i="8"/>
  <c r="C92" i="8"/>
  <c r="AK88" i="7"/>
  <c r="BI88" i="7"/>
  <c r="BL87" i="7"/>
  <c r="Z88" i="8"/>
  <c r="AG87" i="7" l="1"/>
  <c r="BH87" i="7" s="1"/>
  <c r="AN87" i="7"/>
  <c r="BO87" i="7" s="1"/>
  <c r="BJ88" i="8"/>
  <c r="AL88" i="8"/>
  <c r="BM88" i="8" s="1"/>
  <c r="BA87" i="7"/>
  <c r="W89" i="8"/>
  <c r="AX89" i="8" s="1"/>
  <c r="X89" i="8"/>
  <c r="AY89" i="8" s="1"/>
  <c r="AF88" i="8"/>
  <c r="BG88" i="8" s="1"/>
  <c r="U89" i="7"/>
  <c r="AV89" i="7" s="1"/>
  <c r="AG87" i="8"/>
  <c r="BH87" i="8" s="1"/>
  <c r="AN87" i="8"/>
  <c r="BO87" i="8" s="1"/>
  <c r="K90" i="8"/>
  <c r="AA90" i="8" s="1"/>
  <c r="BB90" i="8" s="1"/>
  <c r="U90" i="8"/>
  <c r="AV90" i="8" s="1"/>
  <c r="T90" i="8"/>
  <c r="AU90" i="8" s="1"/>
  <c r="AI89" i="8"/>
  <c r="AL89" i="8" s="1"/>
  <c r="BM89" i="8" s="1"/>
  <c r="S90" i="8"/>
  <c r="AT90" i="8" s="1"/>
  <c r="H90" i="8"/>
  <c r="J90" i="8" s="1"/>
  <c r="J89" i="8"/>
  <c r="AL88" i="7"/>
  <c r="BM88" i="7" s="1"/>
  <c r="AD89" i="7"/>
  <c r="BE89" i="7" s="1"/>
  <c r="AI89" i="7"/>
  <c r="AL89" i="7" s="1"/>
  <c r="BM89" i="7" s="1"/>
  <c r="AJ88" i="7"/>
  <c r="BK88" i="7" s="1"/>
  <c r="AF88" i="7"/>
  <c r="BG88" i="7" s="1"/>
  <c r="AB89" i="8"/>
  <c r="BC89" i="8" s="1"/>
  <c r="J89" i="7"/>
  <c r="AB89" i="7"/>
  <c r="BC89" i="7" s="1"/>
  <c r="AD89" i="8"/>
  <c r="BE89" i="8" s="1"/>
  <c r="W89" i="7"/>
  <c r="AX89" i="7" s="1"/>
  <c r="S90" i="7"/>
  <c r="AT90" i="7" s="1"/>
  <c r="K90" i="7"/>
  <c r="AA90" i="7" s="1"/>
  <c r="BB90" i="7" s="1"/>
  <c r="AH89" i="7"/>
  <c r="AK89" i="7" s="1"/>
  <c r="H90" i="7"/>
  <c r="N90" i="7" s="1"/>
  <c r="AI90" i="7" s="1"/>
  <c r="M90" i="7"/>
  <c r="X90" i="7" s="1"/>
  <c r="AY90" i="7" s="1"/>
  <c r="G91" i="8"/>
  <c r="M91" i="8" s="1"/>
  <c r="G91" i="7"/>
  <c r="K91" i="7" s="1"/>
  <c r="AA91" i="7" s="1"/>
  <c r="BB91" i="7" s="1"/>
  <c r="L101" i="9"/>
  <c r="F101" i="9"/>
  <c r="R101" i="9"/>
  <c r="X101" i="9"/>
  <c r="U101" i="9"/>
  <c r="W101" i="9"/>
  <c r="N101" i="9"/>
  <c r="V101" i="9"/>
  <c r="K101" i="9"/>
  <c r="M101" i="9"/>
  <c r="G101" i="9"/>
  <c r="Z101" i="9"/>
  <c r="E101" i="9"/>
  <c r="AA101" i="9"/>
  <c r="Y101" i="9"/>
  <c r="D92" i="8" s="1"/>
  <c r="I92" i="8" s="1"/>
  <c r="D101" i="9"/>
  <c r="J101" i="9"/>
  <c r="P101" i="9"/>
  <c r="S101" i="9"/>
  <c r="D92" i="7" s="1"/>
  <c r="I92" i="7" s="1"/>
  <c r="Q101" i="9"/>
  <c r="O101" i="9"/>
  <c r="E92" i="8" s="1"/>
  <c r="H101" i="9"/>
  <c r="T101" i="9"/>
  <c r="I101" i="9"/>
  <c r="E92" i="7" s="1"/>
  <c r="O91" i="8"/>
  <c r="L91" i="8"/>
  <c r="AE91" i="8" s="1"/>
  <c r="BF91" i="8" s="1"/>
  <c r="B96" i="7"/>
  <c r="A97" i="7"/>
  <c r="O91" i="7"/>
  <c r="L91" i="7"/>
  <c r="AE91" i="7" s="1"/>
  <c r="BF91" i="7" s="1"/>
  <c r="AP95" i="7"/>
  <c r="C95" i="7"/>
  <c r="A95" i="8"/>
  <c r="B94" i="8"/>
  <c r="AN88" i="8"/>
  <c r="BO88" i="8" s="1"/>
  <c r="BL88" i="8"/>
  <c r="BA88" i="8"/>
  <c r="AH90" i="8"/>
  <c r="W90" i="8"/>
  <c r="AX90" i="8" s="1"/>
  <c r="X90" i="8"/>
  <c r="AY90" i="8" s="1"/>
  <c r="C93" i="8"/>
  <c r="AP93" i="8"/>
  <c r="AR94" i="7"/>
  <c r="BN94" i="7" s="1"/>
  <c r="AQ94" i="7"/>
  <c r="BI89" i="8"/>
  <c r="AK89" i="8"/>
  <c r="BL88" i="7"/>
  <c r="AR92" i="8"/>
  <c r="BN92" i="8" s="1"/>
  <c r="AQ92" i="8"/>
  <c r="BA88" i="7"/>
  <c r="B102" i="9"/>
  <c r="C103" i="9"/>
  <c r="AG88" i="8" l="1"/>
  <c r="BH88" i="8" s="1"/>
  <c r="Z89" i="8"/>
  <c r="BJ89" i="8"/>
  <c r="AJ89" i="8"/>
  <c r="BK89" i="8" s="1"/>
  <c r="N90" i="8"/>
  <c r="AI90" i="8" s="1"/>
  <c r="AL90" i="8" s="1"/>
  <c r="BM90" i="8" s="1"/>
  <c r="AH90" i="7"/>
  <c r="BI90" i="7" s="1"/>
  <c r="J90" i="7"/>
  <c r="AN88" i="7"/>
  <c r="BO88" i="7" s="1"/>
  <c r="AJ89" i="7"/>
  <c r="BK89" i="7" s="1"/>
  <c r="BI89" i="7"/>
  <c r="W90" i="7"/>
  <c r="AX90" i="7" s="1"/>
  <c r="BJ89" i="7"/>
  <c r="S91" i="8"/>
  <c r="AT91" i="8" s="1"/>
  <c r="U90" i="7"/>
  <c r="AV90" i="7" s="1"/>
  <c r="H91" i="8"/>
  <c r="N91" i="8" s="1"/>
  <c r="AB91" i="8" s="1"/>
  <c r="BC91" i="8" s="1"/>
  <c r="AB90" i="7"/>
  <c r="BC90" i="7" s="1"/>
  <c r="K91" i="8"/>
  <c r="AA91" i="8" s="1"/>
  <c r="BB91" i="8" s="1"/>
  <c r="AG88" i="7"/>
  <c r="BH88" i="7" s="1"/>
  <c r="U91" i="8"/>
  <c r="AV91" i="8" s="1"/>
  <c r="Z89" i="7"/>
  <c r="BA89" i="7" s="1"/>
  <c r="AF89" i="8"/>
  <c r="BG89" i="8" s="1"/>
  <c r="T91" i="8"/>
  <c r="AU91" i="8" s="1"/>
  <c r="AF89" i="7"/>
  <c r="BG89" i="7" s="1"/>
  <c r="M91" i="7"/>
  <c r="U91" i="7" s="1"/>
  <c r="AV91" i="7" s="1"/>
  <c r="H91" i="7"/>
  <c r="N91" i="7" s="1"/>
  <c r="AC91" i="7" s="1"/>
  <c r="BD91" i="7" s="1"/>
  <c r="AD90" i="7"/>
  <c r="BE90" i="7" s="1"/>
  <c r="S91" i="7"/>
  <c r="AT91" i="7" s="1"/>
  <c r="Z90" i="8"/>
  <c r="BA90" i="8" s="1"/>
  <c r="AC90" i="7"/>
  <c r="BD90" i="7" s="1"/>
  <c r="T91" i="7"/>
  <c r="AU91" i="7" s="1"/>
  <c r="G92" i="8"/>
  <c r="K92" i="8" s="1"/>
  <c r="AA92" i="8" s="1"/>
  <c r="BB92" i="8" s="1"/>
  <c r="AP94" i="8"/>
  <c r="C94" i="8"/>
  <c r="L92" i="7"/>
  <c r="AE92" i="7" s="1"/>
  <c r="BF92" i="7" s="1"/>
  <c r="O92" i="7"/>
  <c r="AN89" i="8"/>
  <c r="BO89" i="8" s="1"/>
  <c r="BL89" i="8"/>
  <c r="B95" i="8"/>
  <c r="A96" i="8"/>
  <c r="B103" i="9"/>
  <c r="C104" i="9"/>
  <c r="AQ93" i="8"/>
  <c r="AR93" i="8"/>
  <c r="BN93" i="8" s="1"/>
  <c r="BA89" i="8"/>
  <c r="B97" i="7"/>
  <c r="A98" i="7"/>
  <c r="BJ90" i="7"/>
  <c r="AL90" i="7"/>
  <c r="BM90" i="7" s="1"/>
  <c r="O92" i="8"/>
  <c r="L92" i="8"/>
  <c r="AE92" i="8" s="1"/>
  <c r="BF92" i="8" s="1"/>
  <c r="AH91" i="8"/>
  <c r="W91" i="8"/>
  <c r="AX91" i="8" s="1"/>
  <c r="X91" i="8"/>
  <c r="AY91" i="8" s="1"/>
  <c r="C96" i="7"/>
  <c r="AP96" i="7"/>
  <c r="AQ95" i="7"/>
  <c r="AR95" i="7"/>
  <c r="BN95" i="7" s="1"/>
  <c r="AJ90" i="8"/>
  <c r="BK90" i="8" s="1"/>
  <c r="BI90" i="8"/>
  <c r="AK90" i="8"/>
  <c r="G92" i="7"/>
  <c r="X102" i="9"/>
  <c r="L102" i="9"/>
  <c r="F102" i="9"/>
  <c r="R102" i="9"/>
  <c r="O102" i="9"/>
  <c r="E93" i="8" s="1"/>
  <c r="D102" i="9"/>
  <c r="P102" i="9"/>
  <c r="J102" i="9"/>
  <c r="K102" i="9"/>
  <c r="W102" i="9"/>
  <c r="Z102" i="9"/>
  <c r="M102" i="9"/>
  <c r="N102" i="9"/>
  <c r="I102" i="9"/>
  <c r="E93" i="7" s="1"/>
  <c r="Y102" i="9"/>
  <c r="D93" i="8" s="1"/>
  <c r="I93" i="8" s="1"/>
  <c r="S102" i="9"/>
  <c r="D93" i="7" s="1"/>
  <c r="I93" i="7" s="1"/>
  <c r="V102" i="9"/>
  <c r="Q102" i="9"/>
  <c r="G102" i="9"/>
  <c r="T102" i="9"/>
  <c r="E102" i="9"/>
  <c r="AA102" i="9"/>
  <c r="U102" i="9"/>
  <c r="H102" i="9"/>
  <c r="BL89" i="7"/>
  <c r="AN89" i="7"/>
  <c r="BO89" i="7" s="1"/>
  <c r="AB90" i="8" l="1"/>
  <c r="BC90" i="8" s="1"/>
  <c r="BJ90" i="8"/>
  <c r="AD90" i="8"/>
  <c r="BE90" i="8" s="1"/>
  <c r="AC90" i="8"/>
  <c r="BD90" i="8" s="1"/>
  <c r="J91" i="8"/>
  <c r="AK90" i="7"/>
  <c r="AN90" i="7" s="1"/>
  <c r="BO90" i="7" s="1"/>
  <c r="AJ90" i="7"/>
  <c r="BK90" i="7" s="1"/>
  <c r="AI91" i="8"/>
  <c r="BJ91" i="8" s="1"/>
  <c r="AG89" i="8"/>
  <c r="BH89" i="8" s="1"/>
  <c r="J91" i="7"/>
  <c r="AD91" i="8"/>
  <c r="BE91" i="8" s="1"/>
  <c r="AC91" i="8"/>
  <c r="BD91" i="8" s="1"/>
  <c r="AG89" i="7"/>
  <c r="BH89" i="7" s="1"/>
  <c r="Z90" i="7"/>
  <c r="BA90" i="7" s="1"/>
  <c r="X91" i="7"/>
  <c r="AY91" i="7" s="1"/>
  <c r="W91" i="7"/>
  <c r="AX91" i="7" s="1"/>
  <c r="AH91" i="7"/>
  <c r="BI91" i="7" s="1"/>
  <c r="AI91" i="7"/>
  <c r="BJ91" i="7" s="1"/>
  <c r="AF90" i="7"/>
  <c r="BG90" i="7" s="1"/>
  <c r="AB91" i="7"/>
  <c r="BC91" i="7" s="1"/>
  <c r="AD91" i="7"/>
  <c r="BE91" i="7" s="1"/>
  <c r="U92" i="8"/>
  <c r="AV92" i="8" s="1"/>
  <c r="S92" i="8"/>
  <c r="AT92" i="8" s="1"/>
  <c r="H92" i="8"/>
  <c r="N92" i="8" s="1"/>
  <c r="AI92" i="8" s="1"/>
  <c r="M92" i="8"/>
  <c r="AH92" i="8" s="1"/>
  <c r="T92" i="8"/>
  <c r="AU92" i="8" s="1"/>
  <c r="Z91" i="8"/>
  <c r="BA91" i="8" s="1"/>
  <c r="B96" i="8"/>
  <c r="A97" i="8"/>
  <c r="C105" i="9"/>
  <c r="B104" i="9"/>
  <c r="F103" i="9"/>
  <c r="X103" i="9"/>
  <c r="R103" i="9"/>
  <c r="Q103" i="9"/>
  <c r="P103" i="9"/>
  <c r="O103" i="9"/>
  <c r="E94" i="8" s="1"/>
  <c r="M103" i="9"/>
  <c r="L103" i="9"/>
  <c r="Y103" i="9"/>
  <c r="D94" i="8" s="1"/>
  <c r="I94" i="8" s="1"/>
  <c r="D103" i="9"/>
  <c r="I103" i="9"/>
  <c r="E94" i="7" s="1"/>
  <c r="U103" i="9"/>
  <c r="AA103" i="9"/>
  <c r="E103" i="9"/>
  <c r="T103" i="9"/>
  <c r="K103" i="9"/>
  <c r="W103" i="9"/>
  <c r="S103" i="9"/>
  <c r="D94" i="7" s="1"/>
  <c r="I94" i="7" s="1"/>
  <c r="H103" i="9"/>
  <c r="N103" i="9"/>
  <c r="Z103" i="9"/>
  <c r="J103" i="9"/>
  <c r="G103" i="9"/>
  <c r="V103" i="9"/>
  <c r="O93" i="7"/>
  <c r="L93" i="7"/>
  <c r="AE93" i="7" s="1"/>
  <c r="BF93" i="7" s="1"/>
  <c r="G93" i="7"/>
  <c r="K93" i="7" s="1"/>
  <c r="AA93" i="7" s="1"/>
  <c r="A99" i="7"/>
  <c r="B98" i="7"/>
  <c r="AR94" i="8"/>
  <c r="BN94" i="8" s="1"/>
  <c r="AQ94" i="8"/>
  <c r="O93" i="8"/>
  <c r="L93" i="8"/>
  <c r="AE93" i="8" s="1"/>
  <c r="BF93" i="8" s="1"/>
  <c r="AP95" i="8"/>
  <c r="C95" i="8"/>
  <c r="H92" i="7"/>
  <c r="N92" i="7" s="1"/>
  <c r="M92" i="7"/>
  <c r="S92" i="7"/>
  <c r="T92" i="7"/>
  <c r="AU92" i="7" s="1"/>
  <c r="K92" i="7"/>
  <c r="AA92" i="7" s="1"/>
  <c r="C97" i="7"/>
  <c r="AP97" i="7"/>
  <c r="AR96" i="7"/>
  <c r="BN96" i="7" s="1"/>
  <c r="AQ96" i="7"/>
  <c r="G93" i="8"/>
  <c r="BL90" i="8"/>
  <c r="AN90" i="8"/>
  <c r="BO90" i="8" s="1"/>
  <c r="AK91" i="8"/>
  <c r="BI91" i="8"/>
  <c r="AF90" i="8" l="1"/>
  <c r="BG90" i="8" s="1"/>
  <c r="BL90" i="7"/>
  <c r="AG90" i="8"/>
  <c r="BH90" i="8" s="1"/>
  <c r="AJ91" i="8"/>
  <c r="BK91" i="8" s="1"/>
  <c r="AL91" i="8"/>
  <c r="BM91" i="8" s="1"/>
  <c r="AF91" i="8"/>
  <c r="BG91" i="8" s="1"/>
  <c r="AJ91" i="7"/>
  <c r="BK91" i="7" s="1"/>
  <c r="AL91" i="7"/>
  <c r="BM91" i="7" s="1"/>
  <c r="AK91" i="7"/>
  <c r="BL91" i="7" s="1"/>
  <c r="Z91" i="7"/>
  <c r="BA91" i="7" s="1"/>
  <c r="X92" i="8"/>
  <c r="AY92" i="8" s="1"/>
  <c r="AG90" i="7"/>
  <c r="BH90" i="7" s="1"/>
  <c r="J92" i="8"/>
  <c r="AF91" i="7"/>
  <c r="BG91" i="7" s="1"/>
  <c r="AC92" i="8"/>
  <c r="BD92" i="8" s="1"/>
  <c r="W92" i="8"/>
  <c r="AX92" i="8" s="1"/>
  <c r="AB92" i="8"/>
  <c r="BC92" i="8" s="1"/>
  <c r="AD92" i="8"/>
  <c r="BE92" i="8" s="1"/>
  <c r="J92" i="7"/>
  <c r="AR97" i="7"/>
  <c r="BN97" i="7" s="1"/>
  <c r="AQ97" i="7"/>
  <c r="BL91" i="8"/>
  <c r="C96" i="8"/>
  <c r="AP96" i="8"/>
  <c r="G94" i="8"/>
  <c r="BB92" i="7"/>
  <c r="AP98" i="7"/>
  <c r="C98" i="7"/>
  <c r="AH92" i="7"/>
  <c r="W92" i="7"/>
  <c r="AX92" i="7" s="1"/>
  <c r="X92" i="7"/>
  <c r="AY92" i="7" s="1"/>
  <c r="U92" i="7"/>
  <c r="AV92" i="7" s="1"/>
  <c r="AR95" i="8"/>
  <c r="BN95" i="8" s="1"/>
  <c r="AQ95" i="8"/>
  <c r="BI92" i="8"/>
  <c r="AK92" i="8"/>
  <c r="AJ92" i="8"/>
  <c r="BK92" i="8" s="1"/>
  <c r="AT92" i="7"/>
  <c r="BB93" i="7"/>
  <c r="A98" i="8"/>
  <c r="B97" i="8"/>
  <c r="M93" i="8"/>
  <c r="H93" i="8"/>
  <c r="N93" i="8" s="1"/>
  <c r="S93" i="8"/>
  <c r="U93" i="8"/>
  <c r="AV93" i="8" s="1"/>
  <c r="T93" i="8"/>
  <c r="AU93" i="8" s="1"/>
  <c r="K93" i="8"/>
  <c r="AA93" i="8" s="1"/>
  <c r="B99" i="7"/>
  <c r="A100" i="7"/>
  <c r="G94" i="7"/>
  <c r="K94" i="7" s="1"/>
  <c r="AA94" i="7" s="1"/>
  <c r="B105" i="9"/>
  <c r="C106" i="9"/>
  <c r="O94" i="8"/>
  <c r="L94" i="8"/>
  <c r="AE94" i="8" s="1"/>
  <c r="BF94" i="8" s="1"/>
  <c r="O94" i="7"/>
  <c r="L94" i="7"/>
  <c r="AE94" i="7" s="1"/>
  <c r="BF94" i="7" s="1"/>
  <c r="BJ92" i="8"/>
  <c r="AL92" i="8"/>
  <c r="BM92" i="8" s="1"/>
  <c r="R104" i="9"/>
  <c r="F104" i="9"/>
  <c r="X104" i="9"/>
  <c r="L104" i="9"/>
  <c r="O104" i="9"/>
  <c r="E95" i="8" s="1"/>
  <c r="N104" i="9"/>
  <c r="V104" i="9"/>
  <c r="Y104" i="9"/>
  <c r="D95" i="8" s="1"/>
  <c r="I95" i="8" s="1"/>
  <c r="P104" i="9"/>
  <c r="T104" i="9"/>
  <c r="K104" i="9"/>
  <c r="M104" i="9"/>
  <c r="W104" i="9"/>
  <c r="Z104" i="9"/>
  <c r="S104" i="9"/>
  <c r="D95" i="7" s="1"/>
  <c r="I95" i="7" s="1"/>
  <c r="AA104" i="9"/>
  <c r="U104" i="9"/>
  <c r="G104" i="9"/>
  <c r="E104" i="9"/>
  <c r="I104" i="9"/>
  <c r="E95" i="7" s="1"/>
  <c r="J104" i="9"/>
  <c r="D104" i="9"/>
  <c r="H104" i="9"/>
  <c r="Q104" i="9"/>
  <c r="AI92" i="7"/>
  <c r="AC92" i="7"/>
  <c r="BD92" i="7" s="1"/>
  <c r="AD92" i="7"/>
  <c r="BE92" i="7" s="1"/>
  <c r="AB92" i="7"/>
  <c r="BC92" i="7" s="1"/>
  <c r="M93" i="7"/>
  <c r="H93" i="7"/>
  <c r="N93" i="7" s="1"/>
  <c r="S93" i="7"/>
  <c r="T93" i="7"/>
  <c r="AU93" i="7" s="1"/>
  <c r="AN91" i="8" l="1"/>
  <c r="BO91" i="8" s="1"/>
  <c r="AN91" i="7"/>
  <c r="BO91" i="7" s="1"/>
  <c r="AG91" i="8"/>
  <c r="BH91" i="8" s="1"/>
  <c r="AF92" i="8"/>
  <c r="BG92" i="8" s="1"/>
  <c r="Z92" i="8"/>
  <c r="BA92" i="8" s="1"/>
  <c r="AG91" i="7"/>
  <c r="BH91" i="7" s="1"/>
  <c r="Z92" i="7"/>
  <c r="BA92" i="7" s="1"/>
  <c r="AF92" i="7"/>
  <c r="BG92" i="7" s="1"/>
  <c r="G95" i="7"/>
  <c r="K95" i="7" s="1"/>
  <c r="AA95" i="7" s="1"/>
  <c r="AK92" i="7"/>
  <c r="AJ92" i="7"/>
  <c r="BK92" i="7" s="1"/>
  <c r="BI92" i="7"/>
  <c r="AQ98" i="7"/>
  <c r="AR98" i="7"/>
  <c r="BN98" i="7" s="1"/>
  <c r="AT93" i="8"/>
  <c r="J93" i="7"/>
  <c r="AH93" i="8"/>
  <c r="W93" i="8"/>
  <c r="AX93" i="8" s="1"/>
  <c r="X93" i="8"/>
  <c r="AY93" i="8" s="1"/>
  <c r="M94" i="8"/>
  <c r="H94" i="8"/>
  <c r="N94" i="8" s="1"/>
  <c r="S94" i="8"/>
  <c r="T94" i="8"/>
  <c r="AU94" i="8" s="1"/>
  <c r="U94" i="8"/>
  <c r="AV94" i="8" s="1"/>
  <c r="J93" i="8"/>
  <c r="H94" i="7"/>
  <c r="N94" i="7" s="1"/>
  <c r="M94" i="7"/>
  <c r="S94" i="7"/>
  <c r="T94" i="7"/>
  <c r="AU94" i="7" s="1"/>
  <c r="K94" i="8"/>
  <c r="AA94" i="8" s="1"/>
  <c r="AQ96" i="8"/>
  <c r="AR96" i="8"/>
  <c r="BN96" i="8" s="1"/>
  <c r="AT93" i="7"/>
  <c r="G95" i="8"/>
  <c r="K95" i="8" s="1"/>
  <c r="AA95" i="8" s="1"/>
  <c r="X105" i="9"/>
  <c r="R105" i="9"/>
  <c r="L105" i="9"/>
  <c r="F105" i="9"/>
  <c r="K105" i="9"/>
  <c r="I105" i="9"/>
  <c r="E96" i="7" s="1"/>
  <c r="G105" i="9"/>
  <c r="Y105" i="9"/>
  <c r="D96" i="8" s="1"/>
  <c r="I96" i="8" s="1"/>
  <c r="N105" i="9"/>
  <c r="O105" i="9"/>
  <c r="E96" i="8" s="1"/>
  <c r="W105" i="9"/>
  <c r="D105" i="9"/>
  <c r="J105" i="9"/>
  <c r="Q105" i="9"/>
  <c r="P105" i="9"/>
  <c r="AA105" i="9"/>
  <c r="S105" i="9"/>
  <c r="D96" i="7" s="1"/>
  <c r="I96" i="7" s="1"/>
  <c r="M105" i="9"/>
  <c r="V105" i="9"/>
  <c r="E105" i="9"/>
  <c r="H105" i="9"/>
  <c r="T105" i="9"/>
  <c r="U105" i="9"/>
  <c r="Z105" i="9"/>
  <c r="AL92" i="7"/>
  <c r="BM92" i="7" s="1"/>
  <c r="BJ92" i="7"/>
  <c r="B98" i="8"/>
  <c r="A99" i="8"/>
  <c r="AN92" i="8"/>
  <c r="BO92" i="8" s="1"/>
  <c r="BL92" i="8"/>
  <c r="AP97" i="8"/>
  <c r="C97" i="8"/>
  <c r="B100" i="7"/>
  <c r="A101" i="7"/>
  <c r="O95" i="8"/>
  <c r="L95" i="8"/>
  <c r="AE95" i="8" s="1"/>
  <c r="BF95" i="8" s="1"/>
  <c r="AI93" i="8"/>
  <c r="AC93" i="8"/>
  <c r="BD93" i="8" s="1"/>
  <c r="AD93" i="8"/>
  <c r="BE93" i="8" s="1"/>
  <c r="AB93" i="8"/>
  <c r="BC93" i="8" s="1"/>
  <c r="L95" i="7"/>
  <c r="AE95" i="7" s="1"/>
  <c r="BF95" i="7" s="1"/>
  <c r="O95" i="7"/>
  <c r="C99" i="7"/>
  <c r="AP99" i="7"/>
  <c r="AI93" i="7"/>
  <c r="AC93" i="7"/>
  <c r="BD93" i="7" s="1"/>
  <c r="AD93" i="7"/>
  <c r="BE93" i="7" s="1"/>
  <c r="AB93" i="7"/>
  <c r="BB94" i="7"/>
  <c r="AH93" i="7"/>
  <c r="W93" i="7"/>
  <c r="AX93" i="7" s="1"/>
  <c r="X93" i="7"/>
  <c r="AY93" i="7" s="1"/>
  <c r="U93" i="7"/>
  <c r="AV93" i="7" s="1"/>
  <c r="B106" i="9"/>
  <c r="C107" i="9"/>
  <c r="BB93" i="8"/>
  <c r="AG92" i="8" l="1"/>
  <c r="BH92" i="8" s="1"/>
  <c r="G96" i="7"/>
  <c r="M96" i="7" s="1"/>
  <c r="H95" i="7"/>
  <c r="J95" i="7" s="1"/>
  <c r="M95" i="7"/>
  <c r="U95" i="7" s="1"/>
  <c r="AV95" i="7" s="1"/>
  <c r="T95" i="7"/>
  <c r="AU95" i="7" s="1"/>
  <c r="S95" i="7"/>
  <c r="AT95" i="7" s="1"/>
  <c r="AG92" i="7"/>
  <c r="BH92" i="7" s="1"/>
  <c r="G96" i="8"/>
  <c r="H96" i="8" s="1"/>
  <c r="Z93" i="8"/>
  <c r="BA93" i="8" s="1"/>
  <c r="J94" i="7"/>
  <c r="AR97" i="8"/>
  <c r="BN97" i="8" s="1"/>
  <c r="AQ97" i="8"/>
  <c r="O96" i="7"/>
  <c r="L96" i="7"/>
  <c r="AE96" i="7" s="1"/>
  <c r="BF96" i="7" s="1"/>
  <c r="AI94" i="8"/>
  <c r="AC94" i="8"/>
  <c r="BD94" i="8" s="1"/>
  <c r="AD94" i="8"/>
  <c r="BE94" i="8" s="1"/>
  <c r="AB94" i="8"/>
  <c r="BC94" i="8" s="1"/>
  <c r="B99" i="8"/>
  <c r="A100" i="8"/>
  <c r="AT94" i="7"/>
  <c r="AH94" i="8"/>
  <c r="W94" i="8"/>
  <c r="AX94" i="8" s="1"/>
  <c r="X94" i="8"/>
  <c r="AY94" i="8" s="1"/>
  <c r="AT94" i="8"/>
  <c r="BC93" i="7"/>
  <c r="AF93" i="7"/>
  <c r="BG93" i="7" s="1"/>
  <c r="X106" i="9"/>
  <c r="L106" i="9"/>
  <c r="R106" i="9"/>
  <c r="F106" i="9"/>
  <c r="AA106" i="9"/>
  <c r="P106" i="9"/>
  <c r="I106" i="9"/>
  <c r="E97" i="7" s="1"/>
  <c r="H106" i="9"/>
  <c r="G106" i="9"/>
  <c r="W106" i="9"/>
  <c r="U106" i="9"/>
  <c r="K106" i="9"/>
  <c r="Y106" i="9"/>
  <c r="D97" i="8" s="1"/>
  <c r="I97" i="8" s="1"/>
  <c r="Z106" i="9"/>
  <c r="S106" i="9"/>
  <c r="D97" i="7" s="1"/>
  <c r="I97" i="7" s="1"/>
  <c r="D106" i="9"/>
  <c r="E106" i="9"/>
  <c r="Q106" i="9"/>
  <c r="N106" i="9"/>
  <c r="O106" i="9"/>
  <c r="E97" i="8" s="1"/>
  <c r="M106" i="9"/>
  <c r="J106" i="9"/>
  <c r="V106" i="9"/>
  <c r="T106" i="9"/>
  <c r="BI93" i="7"/>
  <c r="AJ93" i="7"/>
  <c r="BK93" i="7" s="1"/>
  <c r="AK93" i="7"/>
  <c r="AH94" i="7"/>
  <c r="W94" i="7"/>
  <c r="AX94" i="7" s="1"/>
  <c r="X94" i="7"/>
  <c r="AY94" i="7" s="1"/>
  <c r="U94" i="7"/>
  <c r="AV94" i="7" s="1"/>
  <c r="BB94" i="8"/>
  <c r="AL93" i="8"/>
  <c r="BM93" i="8" s="1"/>
  <c r="BJ93" i="8"/>
  <c r="A102" i="7"/>
  <c r="B101" i="7"/>
  <c r="M95" i="8"/>
  <c r="H95" i="8"/>
  <c r="N95" i="8" s="1"/>
  <c r="S95" i="8"/>
  <c r="T95" i="8"/>
  <c r="AU95" i="8" s="1"/>
  <c r="U95" i="8"/>
  <c r="AV95" i="8" s="1"/>
  <c r="BB95" i="7"/>
  <c r="AJ93" i="8"/>
  <c r="BK93" i="8" s="1"/>
  <c r="BI93" i="8"/>
  <c r="AK93" i="8"/>
  <c r="AF93" i="8"/>
  <c r="BG93" i="8" s="1"/>
  <c r="BJ93" i="7"/>
  <c r="AL93" i="7"/>
  <c r="BM93" i="7" s="1"/>
  <c r="C100" i="7"/>
  <c r="AP100" i="7"/>
  <c r="AI94" i="7"/>
  <c r="AC94" i="7"/>
  <c r="BD94" i="7" s="1"/>
  <c r="AD94" i="7"/>
  <c r="BE94" i="7" s="1"/>
  <c r="AB94" i="7"/>
  <c r="BB95" i="8"/>
  <c r="AP98" i="8"/>
  <c r="C98" i="8"/>
  <c r="J94" i="8"/>
  <c r="B107" i="9"/>
  <c r="C108" i="9"/>
  <c r="AR99" i="7"/>
  <c r="BN99" i="7" s="1"/>
  <c r="AQ99" i="7"/>
  <c r="O96" i="8"/>
  <c r="L96" i="8"/>
  <c r="AE96" i="8" s="1"/>
  <c r="BF96" i="8" s="1"/>
  <c r="Z93" i="7"/>
  <c r="BL92" i="7"/>
  <c r="AN92" i="7"/>
  <c r="BO92" i="7" s="1"/>
  <c r="H96" i="7" l="1"/>
  <c r="N95" i="7"/>
  <c r="AI95" i="7" s="1"/>
  <c r="AL95" i="7" s="1"/>
  <c r="BM95" i="7" s="1"/>
  <c r="S96" i="7"/>
  <c r="AT96" i="7" s="1"/>
  <c r="T96" i="7"/>
  <c r="AU96" i="7" s="1"/>
  <c r="K96" i="7"/>
  <c r="AA96" i="7" s="1"/>
  <c r="BB96" i="7" s="1"/>
  <c r="N96" i="7"/>
  <c r="AI96" i="7" s="1"/>
  <c r="AH95" i="7"/>
  <c r="BI95" i="7" s="1"/>
  <c r="W95" i="7"/>
  <c r="AX95" i="7" s="1"/>
  <c r="X95" i="7"/>
  <c r="AY95" i="7" s="1"/>
  <c r="K96" i="8"/>
  <c r="AA96" i="8" s="1"/>
  <c r="BB96" i="8" s="1"/>
  <c r="U96" i="8"/>
  <c r="AV96" i="8" s="1"/>
  <c r="T96" i="8"/>
  <c r="AU96" i="8" s="1"/>
  <c r="S96" i="8"/>
  <c r="AT96" i="8" s="1"/>
  <c r="M96" i="8"/>
  <c r="AH96" i="8" s="1"/>
  <c r="AG93" i="8"/>
  <c r="BH93" i="8" s="1"/>
  <c r="J95" i="8"/>
  <c r="N96" i="8"/>
  <c r="AI96" i="8" s="1"/>
  <c r="Z94" i="8"/>
  <c r="O97" i="7"/>
  <c r="L97" i="7"/>
  <c r="AE97" i="7" s="1"/>
  <c r="BF97" i="7" s="1"/>
  <c r="Z94" i="7"/>
  <c r="AH95" i="8"/>
  <c r="W95" i="8"/>
  <c r="AX95" i="8" s="1"/>
  <c r="X95" i="8"/>
  <c r="AY95" i="8" s="1"/>
  <c r="AG93" i="7"/>
  <c r="BH93" i="7" s="1"/>
  <c r="BA93" i="7"/>
  <c r="AL94" i="8"/>
  <c r="BM94" i="8" s="1"/>
  <c r="BJ94" i="8"/>
  <c r="AR100" i="7"/>
  <c r="BN100" i="7" s="1"/>
  <c r="AQ100" i="7"/>
  <c r="J96" i="8"/>
  <c r="J96" i="7"/>
  <c r="AN93" i="7"/>
  <c r="BO93" i="7" s="1"/>
  <c r="BL93" i="7"/>
  <c r="C109" i="9"/>
  <c r="B108" i="9"/>
  <c r="AH96" i="7"/>
  <c r="W96" i="7"/>
  <c r="AX96" i="7" s="1"/>
  <c r="X96" i="7"/>
  <c r="AY96" i="7" s="1"/>
  <c r="U96" i="7"/>
  <c r="AV96" i="7" s="1"/>
  <c r="AK94" i="7"/>
  <c r="AJ94" i="7"/>
  <c r="BK94" i="7" s="1"/>
  <c r="BI94" i="7"/>
  <c r="BL93" i="8"/>
  <c r="AN93" i="8"/>
  <c r="BO93" i="8" s="1"/>
  <c r="AK94" i="8"/>
  <c r="AJ94" i="8"/>
  <c r="BK94" i="8" s="1"/>
  <c r="BI94" i="8"/>
  <c r="G97" i="8"/>
  <c r="O97" i="8"/>
  <c r="L97" i="8"/>
  <c r="AE97" i="8" s="1"/>
  <c r="BF97" i="8" s="1"/>
  <c r="BJ94" i="7"/>
  <c r="AL94" i="7"/>
  <c r="BM94" i="7" s="1"/>
  <c r="R107" i="9"/>
  <c r="L107" i="9"/>
  <c r="X107" i="9"/>
  <c r="F107" i="9"/>
  <c r="AA107" i="9"/>
  <c r="Y107" i="9"/>
  <c r="D98" i="8" s="1"/>
  <c r="I98" i="8" s="1"/>
  <c r="W107" i="9"/>
  <c r="D107" i="9"/>
  <c r="J107" i="9"/>
  <c r="M107" i="9"/>
  <c r="Z107" i="9"/>
  <c r="T107" i="9"/>
  <c r="V107" i="9"/>
  <c r="G107" i="9"/>
  <c r="O107" i="9"/>
  <c r="E98" i="8" s="1"/>
  <c r="P107" i="9"/>
  <c r="E107" i="9"/>
  <c r="K107" i="9"/>
  <c r="Q107" i="9"/>
  <c r="U107" i="9"/>
  <c r="S107" i="9"/>
  <c r="D98" i="7" s="1"/>
  <c r="I98" i="7" s="1"/>
  <c r="I107" i="9"/>
  <c r="E98" i="7" s="1"/>
  <c r="H107" i="9"/>
  <c r="N107" i="9"/>
  <c r="AT95" i="8"/>
  <c r="B102" i="7"/>
  <c r="A103" i="7"/>
  <c r="G97" i="7"/>
  <c r="A101" i="8"/>
  <c r="B100" i="8"/>
  <c r="AR98" i="8"/>
  <c r="BN98" i="8" s="1"/>
  <c r="AQ98" i="8"/>
  <c r="AF94" i="8"/>
  <c r="BG94" i="8" s="1"/>
  <c r="BC94" i="7"/>
  <c r="AF94" i="7"/>
  <c r="BG94" i="7" s="1"/>
  <c r="AP101" i="7"/>
  <c r="C101" i="7"/>
  <c r="AI95" i="8"/>
  <c r="AC95" i="8"/>
  <c r="BD95" i="8" s="1"/>
  <c r="AD95" i="8"/>
  <c r="BE95" i="8" s="1"/>
  <c r="AB95" i="8"/>
  <c r="C99" i="8"/>
  <c r="AP99" i="8"/>
  <c r="AD95" i="7" l="1"/>
  <c r="BE95" i="7" s="1"/>
  <c r="AB95" i="7"/>
  <c r="BC95" i="7" s="1"/>
  <c r="BJ95" i="7"/>
  <c r="AC95" i="7"/>
  <c r="BD95" i="7" s="1"/>
  <c r="AJ95" i="7"/>
  <c r="BK95" i="7" s="1"/>
  <c r="AK95" i="7"/>
  <c r="BL95" i="7" s="1"/>
  <c r="AB96" i="7"/>
  <c r="BC96" i="7" s="1"/>
  <c r="AD96" i="7"/>
  <c r="BE96" i="7" s="1"/>
  <c r="AC96" i="7"/>
  <c r="BD96" i="7" s="1"/>
  <c r="Z95" i="7"/>
  <c r="BA95" i="7" s="1"/>
  <c r="AF95" i="7"/>
  <c r="BG95" i="7" s="1"/>
  <c r="AB96" i="8"/>
  <c r="BC96" i="8" s="1"/>
  <c r="AC96" i="8"/>
  <c r="BD96" i="8" s="1"/>
  <c r="AD96" i="8"/>
  <c r="BE96" i="8" s="1"/>
  <c r="X96" i="8"/>
  <c r="AY96" i="8" s="1"/>
  <c r="W96" i="8"/>
  <c r="AX96" i="8" s="1"/>
  <c r="G98" i="7"/>
  <c r="T98" i="7" s="1"/>
  <c r="AU98" i="7" s="1"/>
  <c r="BL94" i="7"/>
  <c r="AN94" i="7"/>
  <c r="BO94" i="7" s="1"/>
  <c r="O98" i="8"/>
  <c r="L98" i="8"/>
  <c r="AE98" i="8" s="1"/>
  <c r="BF98" i="8" s="1"/>
  <c r="AQ99" i="8"/>
  <c r="AR99" i="8"/>
  <c r="BN99" i="8" s="1"/>
  <c r="Z96" i="7"/>
  <c r="B101" i="8"/>
  <c r="A102" i="8"/>
  <c r="Z95" i="8"/>
  <c r="BJ96" i="7"/>
  <c r="AL96" i="7"/>
  <c r="BM96" i="7" s="1"/>
  <c r="BA94" i="7"/>
  <c r="AG94" i="7"/>
  <c r="BH94" i="7" s="1"/>
  <c r="B103" i="7"/>
  <c r="A104" i="7"/>
  <c r="AN94" i="8"/>
  <c r="BO94" i="8" s="1"/>
  <c r="BL94" i="8"/>
  <c r="R108" i="9"/>
  <c r="F108" i="9"/>
  <c r="L108" i="9"/>
  <c r="X108" i="9"/>
  <c r="U108" i="9"/>
  <c r="W108" i="9"/>
  <c r="V108" i="9"/>
  <c r="I108" i="9"/>
  <c r="E99" i="7" s="1"/>
  <c r="S108" i="9"/>
  <c r="D99" i="7" s="1"/>
  <c r="I99" i="7" s="1"/>
  <c r="H108" i="9"/>
  <c r="J108" i="9"/>
  <c r="Y108" i="9"/>
  <c r="D99" i="8" s="1"/>
  <c r="I99" i="8" s="1"/>
  <c r="D108" i="9"/>
  <c r="E108" i="9"/>
  <c r="Q108" i="9"/>
  <c r="G108" i="9"/>
  <c r="N108" i="9"/>
  <c r="Z108" i="9"/>
  <c r="M108" i="9"/>
  <c r="O108" i="9"/>
  <c r="E99" i="8" s="1"/>
  <c r="T108" i="9"/>
  <c r="K108" i="9"/>
  <c r="AA108" i="9"/>
  <c r="P108" i="9"/>
  <c r="H97" i="7"/>
  <c r="N97" i="7" s="1"/>
  <c r="M97" i="7"/>
  <c r="T97" i="7"/>
  <c r="AU97" i="7" s="1"/>
  <c r="S97" i="7"/>
  <c r="K97" i="7"/>
  <c r="AA97" i="7" s="1"/>
  <c r="AL96" i="8"/>
  <c r="BM96" i="8" s="1"/>
  <c r="BJ96" i="8"/>
  <c r="B109" i="9"/>
  <c r="C110" i="9"/>
  <c r="G98" i="8"/>
  <c r="K98" i="8" s="1"/>
  <c r="AA98" i="8" s="1"/>
  <c r="M97" i="8"/>
  <c r="H97" i="8"/>
  <c r="N97" i="8" s="1"/>
  <c r="S97" i="8"/>
  <c r="T97" i="8"/>
  <c r="AU97" i="8" s="1"/>
  <c r="U97" i="8"/>
  <c r="AV97" i="8" s="1"/>
  <c r="K97" i="8"/>
  <c r="AA97" i="8" s="1"/>
  <c r="L98" i="7"/>
  <c r="AE98" i="7" s="1"/>
  <c r="BF98" i="7" s="1"/>
  <c r="O98" i="7"/>
  <c r="C102" i="7"/>
  <c r="AP102" i="7"/>
  <c r="BI95" i="8"/>
  <c r="AK95" i="8"/>
  <c r="AJ95" i="8"/>
  <c r="BK95" i="8" s="1"/>
  <c r="BI96" i="7"/>
  <c r="AJ96" i="7"/>
  <c r="BK96" i="7" s="1"/>
  <c r="AK96" i="7"/>
  <c r="AJ96" i="8"/>
  <c r="BK96" i="8" s="1"/>
  <c r="BI96" i="8"/>
  <c r="AK96" i="8"/>
  <c r="AQ101" i="7"/>
  <c r="AR101" i="7"/>
  <c r="BN101" i="7" s="1"/>
  <c r="BC95" i="8"/>
  <c r="AF95" i="8"/>
  <c r="BG95" i="8" s="1"/>
  <c r="BJ95" i="8"/>
  <c r="AL95" i="8"/>
  <c r="BM95" i="8" s="1"/>
  <c r="AP100" i="8"/>
  <c r="C100" i="8"/>
  <c r="BA94" i="8"/>
  <c r="AG94" i="8"/>
  <c r="BH94" i="8" s="1"/>
  <c r="AN95" i="7" l="1"/>
  <c r="BO95" i="7" s="1"/>
  <c r="AF96" i="7"/>
  <c r="BG96" i="7" s="1"/>
  <c r="AF96" i="8"/>
  <c r="BG96" i="8" s="1"/>
  <c r="AG95" i="7"/>
  <c r="BH95" i="7" s="1"/>
  <c r="Z96" i="8"/>
  <c r="BA96" i="8" s="1"/>
  <c r="H98" i="7"/>
  <c r="N98" i="7" s="1"/>
  <c r="AC98" i="7" s="1"/>
  <c r="BD98" i="7" s="1"/>
  <c r="M98" i="7"/>
  <c r="U98" i="7" s="1"/>
  <c r="AV98" i="7" s="1"/>
  <c r="S98" i="7"/>
  <c r="AT98" i="7" s="1"/>
  <c r="K98" i="7"/>
  <c r="AA98" i="7" s="1"/>
  <c r="BB98" i="7" s="1"/>
  <c r="J97" i="7"/>
  <c r="O99" i="8"/>
  <c r="L99" i="8"/>
  <c r="AE99" i="8" s="1"/>
  <c r="BF99" i="8" s="1"/>
  <c r="AH97" i="7"/>
  <c r="W97" i="7"/>
  <c r="AX97" i="7" s="1"/>
  <c r="X97" i="7"/>
  <c r="AY97" i="7" s="1"/>
  <c r="U97" i="7"/>
  <c r="AV97" i="7" s="1"/>
  <c r="AR100" i="8"/>
  <c r="BN100" i="8" s="1"/>
  <c r="AQ100" i="8"/>
  <c r="AR102" i="7"/>
  <c r="BN102" i="7" s="1"/>
  <c r="AQ102" i="7"/>
  <c r="AN96" i="7"/>
  <c r="BO96" i="7" s="1"/>
  <c r="BL96" i="7"/>
  <c r="AG95" i="8"/>
  <c r="BH95" i="8" s="1"/>
  <c r="BA95" i="8"/>
  <c r="B102" i="8"/>
  <c r="A103" i="8"/>
  <c r="AN95" i="8"/>
  <c r="BO95" i="8" s="1"/>
  <c r="BL95" i="8"/>
  <c r="AG96" i="7"/>
  <c r="BH96" i="7" s="1"/>
  <c r="BA96" i="7"/>
  <c r="G99" i="7"/>
  <c r="A105" i="7"/>
  <c r="B104" i="7"/>
  <c r="AT97" i="8"/>
  <c r="BB98" i="8"/>
  <c r="J97" i="8"/>
  <c r="AH97" i="8"/>
  <c r="W97" i="8"/>
  <c r="AX97" i="8" s="1"/>
  <c r="X97" i="8"/>
  <c r="AY97" i="8" s="1"/>
  <c r="O99" i="7"/>
  <c r="L99" i="7"/>
  <c r="AE99" i="7" s="1"/>
  <c r="BF99" i="7" s="1"/>
  <c r="BB97" i="7"/>
  <c r="C103" i="7"/>
  <c r="AP103" i="7"/>
  <c r="AI97" i="7"/>
  <c r="AC97" i="7"/>
  <c r="BD97" i="7" s="1"/>
  <c r="AD97" i="7"/>
  <c r="BE97" i="7" s="1"/>
  <c r="AB97" i="7"/>
  <c r="BC97" i="7" s="1"/>
  <c r="AP101" i="8"/>
  <c r="C101" i="8"/>
  <c r="M98" i="8"/>
  <c r="H98" i="8"/>
  <c r="N98" i="8" s="1"/>
  <c r="S98" i="8"/>
  <c r="U98" i="8"/>
  <c r="AV98" i="8" s="1"/>
  <c r="T98" i="8"/>
  <c r="AU98" i="8" s="1"/>
  <c r="G99" i="8"/>
  <c r="B110" i="9"/>
  <c r="C111" i="9"/>
  <c r="BL96" i="8"/>
  <c r="AN96" i="8"/>
  <c r="BO96" i="8" s="1"/>
  <c r="L109" i="9"/>
  <c r="F109" i="9"/>
  <c r="U109" i="9"/>
  <c r="S109" i="9"/>
  <c r="D100" i="7" s="1"/>
  <c r="I100" i="7" s="1"/>
  <c r="R109" i="9"/>
  <c r="G109" i="9"/>
  <c r="X109" i="9"/>
  <c r="W109" i="9"/>
  <c r="P109" i="9"/>
  <c r="I109" i="9"/>
  <c r="E100" i="7" s="1"/>
  <c r="M109" i="9"/>
  <c r="Z109" i="9"/>
  <c r="E109" i="9"/>
  <c r="AA109" i="9"/>
  <c r="Y109" i="9"/>
  <c r="D100" i="8" s="1"/>
  <c r="I100" i="8" s="1"/>
  <c r="H109" i="9"/>
  <c r="J109" i="9"/>
  <c r="V109" i="9"/>
  <c r="N109" i="9"/>
  <c r="Q109" i="9"/>
  <c r="K109" i="9"/>
  <c r="D109" i="9"/>
  <c r="O109" i="9"/>
  <c r="E100" i="8" s="1"/>
  <c r="T109" i="9"/>
  <c r="AT97" i="7"/>
  <c r="AI97" i="8"/>
  <c r="AC97" i="8"/>
  <c r="BD97" i="8" s="1"/>
  <c r="AD97" i="8"/>
  <c r="BE97" i="8" s="1"/>
  <c r="AB97" i="8"/>
  <c r="BC97" i="8" s="1"/>
  <c r="BB97" i="8"/>
  <c r="X98" i="7" l="1"/>
  <c r="AY98" i="7" s="1"/>
  <c r="W98" i="7"/>
  <c r="AX98" i="7" s="1"/>
  <c r="AH98" i="7"/>
  <c r="AG96" i="8"/>
  <c r="BH96" i="8" s="1"/>
  <c r="J98" i="7"/>
  <c r="Z98" i="7"/>
  <c r="BA98" i="7" s="1"/>
  <c r="AB98" i="7"/>
  <c r="BC98" i="7" s="1"/>
  <c r="AI98" i="7"/>
  <c r="AL98" i="7" s="1"/>
  <c r="BM98" i="7" s="1"/>
  <c r="AD98" i="7"/>
  <c r="BE98" i="7" s="1"/>
  <c r="G100" i="7"/>
  <c r="H100" i="7" s="1"/>
  <c r="J100" i="7" s="1"/>
  <c r="G100" i="8"/>
  <c r="M100" i="8" s="1"/>
  <c r="C102" i="8"/>
  <c r="AP102" i="8"/>
  <c r="X110" i="9"/>
  <c r="L110" i="9"/>
  <c r="F110" i="9"/>
  <c r="R110" i="9"/>
  <c r="T110" i="9"/>
  <c r="U110" i="9"/>
  <c r="D110" i="9"/>
  <c r="H110" i="9"/>
  <c r="J110" i="9"/>
  <c r="V110" i="9"/>
  <c r="M110" i="9"/>
  <c r="AA110" i="9"/>
  <c r="Y110" i="9"/>
  <c r="D101" i="8" s="1"/>
  <c r="I101" i="8" s="1"/>
  <c r="E110" i="9"/>
  <c r="P110" i="9"/>
  <c r="Q110" i="9"/>
  <c r="Z110" i="9"/>
  <c r="I110" i="9"/>
  <c r="E101" i="7" s="1"/>
  <c r="G110" i="9"/>
  <c r="S110" i="9"/>
  <c r="D101" i="7" s="1"/>
  <c r="I101" i="7" s="1"/>
  <c r="W110" i="9"/>
  <c r="K110" i="9"/>
  <c r="O110" i="9"/>
  <c r="E101" i="8" s="1"/>
  <c r="N110" i="9"/>
  <c r="AK97" i="7"/>
  <c r="AJ97" i="7"/>
  <c r="BK97" i="7" s="1"/>
  <c r="BI97" i="7"/>
  <c r="B111" i="9"/>
  <c r="C112" i="9"/>
  <c r="A104" i="8"/>
  <c r="B103" i="8"/>
  <c r="BJ97" i="7"/>
  <c r="AL97" i="7"/>
  <c r="BM97" i="7" s="1"/>
  <c r="AR103" i="7"/>
  <c r="BN103" i="7" s="1"/>
  <c r="AQ103" i="7"/>
  <c r="AT98" i="8"/>
  <c r="Z97" i="8"/>
  <c r="M99" i="8"/>
  <c r="H99" i="8"/>
  <c r="N99" i="8" s="1"/>
  <c r="S99" i="8"/>
  <c r="U99" i="8"/>
  <c r="AV99" i="8" s="1"/>
  <c r="T99" i="8"/>
  <c r="AU99" i="8" s="1"/>
  <c r="O100" i="7"/>
  <c r="L100" i="7"/>
  <c r="AE100" i="7" s="1"/>
  <c r="BF100" i="7" s="1"/>
  <c r="K99" i="8"/>
  <c r="AA99" i="8" s="1"/>
  <c r="AF97" i="7"/>
  <c r="BG97" i="7" s="1"/>
  <c r="AP104" i="7"/>
  <c r="C104" i="7"/>
  <c r="AR101" i="8"/>
  <c r="BN101" i="8" s="1"/>
  <c r="AQ101" i="8"/>
  <c r="AK97" i="8"/>
  <c r="AJ97" i="8"/>
  <c r="BK97" i="8" s="1"/>
  <c r="BI97" i="8"/>
  <c r="AI98" i="8"/>
  <c r="AC98" i="8"/>
  <c r="BD98" i="8" s="1"/>
  <c r="AD98" i="8"/>
  <c r="BE98" i="8" s="1"/>
  <c r="AB98" i="8"/>
  <c r="B105" i="7"/>
  <c r="A106" i="7"/>
  <c r="AL97" i="8"/>
  <c r="BM97" i="8" s="1"/>
  <c r="BJ97" i="8"/>
  <c r="AF97" i="8"/>
  <c r="BG97" i="8" s="1"/>
  <c r="M99" i="7"/>
  <c r="H99" i="7"/>
  <c r="N99" i="7" s="1"/>
  <c r="S99" i="7"/>
  <c r="T99" i="7"/>
  <c r="AU99" i="7" s="1"/>
  <c r="K99" i="7"/>
  <c r="AA99" i="7" s="1"/>
  <c r="O100" i="8"/>
  <c r="L100" i="8"/>
  <c r="AE100" i="8" s="1"/>
  <c r="BF100" i="8" s="1"/>
  <c r="Z97" i="7"/>
  <c r="J98" i="8"/>
  <c r="AH98" i="8"/>
  <c r="W98" i="8"/>
  <c r="AX98" i="8" s="1"/>
  <c r="X98" i="8"/>
  <c r="AY98" i="8" s="1"/>
  <c r="AK98" i="7"/>
  <c r="BI98" i="7"/>
  <c r="AJ98" i="7" l="1"/>
  <c r="BK98" i="7" s="1"/>
  <c r="BJ98" i="7"/>
  <c r="AF98" i="7"/>
  <c r="BG98" i="7" s="1"/>
  <c r="T100" i="8"/>
  <c r="AU100" i="8" s="1"/>
  <c r="S100" i="7"/>
  <c r="AT100" i="7" s="1"/>
  <c r="T100" i="7"/>
  <c r="AU100" i="7" s="1"/>
  <c r="M100" i="7"/>
  <c r="AH100" i="7" s="1"/>
  <c r="K100" i="7"/>
  <c r="AA100" i="7" s="1"/>
  <c r="BB100" i="7" s="1"/>
  <c r="S100" i="8"/>
  <c r="AT100" i="8" s="1"/>
  <c r="U100" i="8"/>
  <c r="AV100" i="8" s="1"/>
  <c r="K100" i="8"/>
  <c r="AA100" i="8" s="1"/>
  <c r="BB100" i="8" s="1"/>
  <c r="N100" i="7"/>
  <c r="AC100" i="7" s="1"/>
  <c r="BD100" i="7" s="1"/>
  <c r="H100" i="8"/>
  <c r="N100" i="8" s="1"/>
  <c r="G101" i="7"/>
  <c r="K101" i="7" s="1"/>
  <c r="AA101" i="7" s="1"/>
  <c r="BB101" i="7" s="1"/>
  <c r="BA97" i="7"/>
  <c r="AG97" i="7"/>
  <c r="BH97" i="7" s="1"/>
  <c r="AT99" i="8"/>
  <c r="AI99" i="8"/>
  <c r="AC99" i="8"/>
  <c r="BD99" i="8" s="1"/>
  <c r="AD99" i="8"/>
  <c r="BE99" i="8" s="1"/>
  <c r="AB99" i="8"/>
  <c r="BC99" i="8" s="1"/>
  <c r="BB99" i="7"/>
  <c r="AH99" i="8"/>
  <c r="W99" i="8"/>
  <c r="AX99" i="8" s="1"/>
  <c r="X99" i="8"/>
  <c r="AY99" i="8" s="1"/>
  <c r="F111" i="9"/>
  <c r="X111" i="9"/>
  <c r="R111" i="9"/>
  <c r="P111" i="9"/>
  <c r="O111" i="9"/>
  <c r="E102" i="8" s="1"/>
  <c r="L111" i="9"/>
  <c r="M111" i="9"/>
  <c r="V111" i="9"/>
  <c r="Z111" i="9"/>
  <c r="E111" i="9"/>
  <c r="G111" i="9"/>
  <c r="K111" i="9"/>
  <c r="N111" i="9"/>
  <c r="U111" i="9"/>
  <c r="S111" i="9"/>
  <c r="D102" i="7" s="1"/>
  <c r="I102" i="7" s="1"/>
  <c r="Y111" i="9"/>
  <c r="D102" i="8" s="1"/>
  <c r="I102" i="8" s="1"/>
  <c r="J111" i="9"/>
  <c r="W111" i="9"/>
  <c r="I111" i="9"/>
  <c r="E102" i="7" s="1"/>
  <c r="D111" i="9"/>
  <c r="AA111" i="9"/>
  <c r="T111" i="9"/>
  <c r="H111" i="9"/>
  <c r="Q111" i="9"/>
  <c r="AN97" i="8"/>
  <c r="BO97" i="8" s="1"/>
  <c r="BL97" i="8"/>
  <c r="B106" i="7"/>
  <c r="A107" i="7"/>
  <c r="C113" i="9"/>
  <c r="B112" i="9"/>
  <c r="AT99" i="7"/>
  <c r="AQ104" i="7"/>
  <c r="AR104" i="7"/>
  <c r="BN104" i="7" s="1"/>
  <c r="AN98" i="7"/>
  <c r="BO98" i="7" s="1"/>
  <c r="BL98" i="7"/>
  <c r="Z98" i="8"/>
  <c r="BL97" i="7"/>
  <c r="AN97" i="7"/>
  <c r="BO97" i="7" s="1"/>
  <c r="O101" i="8"/>
  <c r="L101" i="8"/>
  <c r="AE101" i="8" s="1"/>
  <c r="BF101" i="8" s="1"/>
  <c r="AP103" i="8"/>
  <c r="C103" i="8"/>
  <c r="BC98" i="8"/>
  <c r="AF98" i="8"/>
  <c r="BG98" i="8" s="1"/>
  <c r="BB99" i="8"/>
  <c r="AQ102" i="8"/>
  <c r="AR102" i="8"/>
  <c r="BN102" i="8" s="1"/>
  <c r="L101" i="7"/>
  <c r="AE101" i="7" s="1"/>
  <c r="BF101" i="7" s="1"/>
  <c r="O101" i="7"/>
  <c r="B104" i="8"/>
  <c r="A105" i="8"/>
  <c r="AI99" i="7"/>
  <c r="AC99" i="7"/>
  <c r="BD99" i="7" s="1"/>
  <c r="AD99" i="7"/>
  <c r="BE99" i="7" s="1"/>
  <c r="AB99" i="7"/>
  <c r="BC99" i="7" s="1"/>
  <c r="AL98" i="8"/>
  <c r="BM98" i="8" s="1"/>
  <c r="BJ98" i="8"/>
  <c r="G101" i="8"/>
  <c r="J99" i="8"/>
  <c r="C105" i="7"/>
  <c r="AP105" i="7"/>
  <c r="BA97" i="8"/>
  <c r="AG97" i="8"/>
  <c r="BH97" i="8" s="1"/>
  <c r="J99" i="7"/>
  <c r="AH99" i="7"/>
  <c r="W99" i="7"/>
  <c r="AX99" i="7" s="1"/>
  <c r="X99" i="7"/>
  <c r="AY99" i="7" s="1"/>
  <c r="U99" i="7"/>
  <c r="AV99" i="7" s="1"/>
  <c r="BI98" i="8"/>
  <c r="AK98" i="8"/>
  <c r="AJ98" i="8"/>
  <c r="BK98" i="8" s="1"/>
  <c r="AH100" i="8"/>
  <c r="W100" i="8"/>
  <c r="AX100" i="8" s="1"/>
  <c r="X100" i="8"/>
  <c r="AY100" i="8" s="1"/>
  <c r="AG98" i="7" l="1"/>
  <c r="BH98" i="7" s="1"/>
  <c r="U100" i="7"/>
  <c r="AV100" i="7" s="1"/>
  <c r="X100" i="7"/>
  <c r="AY100" i="7" s="1"/>
  <c r="W100" i="7"/>
  <c r="AX100" i="7" s="1"/>
  <c r="AI100" i="7"/>
  <c r="AJ100" i="7" s="1"/>
  <c r="BK100" i="7" s="1"/>
  <c r="J100" i="8"/>
  <c r="AB100" i="7"/>
  <c r="BC100" i="7" s="1"/>
  <c r="AD100" i="7"/>
  <c r="BE100" i="7" s="1"/>
  <c r="T101" i="7"/>
  <c r="AU101" i="7" s="1"/>
  <c r="S101" i="7"/>
  <c r="AT101" i="7" s="1"/>
  <c r="M101" i="7"/>
  <c r="U101" i="7" s="1"/>
  <c r="AV101" i="7" s="1"/>
  <c r="H101" i="7"/>
  <c r="N101" i="7" s="1"/>
  <c r="AI101" i="7" s="1"/>
  <c r="Z99" i="8"/>
  <c r="BA99" i="8" s="1"/>
  <c r="AF99" i="8"/>
  <c r="BG99" i="8" s="1"/>
  <c r="G102" i="8"/>
  <c r="K102" i="8" s="1"/>
  <c r="AA102" i="8" s="1"/>
  <c r="O102" i="7"/>
  <c r="L102" i="7"/>
  <c r="AE102" i="7" s="1"/>
  <c r="BF102" i="7" s="1"/>
  <c r="O102" i="8"/>
  <c r="L102" i="8"/>
  <c r="AE102" i="8" s="1"/>
  <c r="BF102" i="8" s="1"/>
  <c r="AR103" i="8"/>
  <c r="BN103" i="8" s="1"/>
  <c r="AQ103" i="8"/>
  <c r="AJ99" i="8"/>
  <c r="BK99" i="8" s="1"/>
  <c r="BI99" i="8"/>
  <c r="AK99" i="8"/>
  <c r="BJ99" i="7"/>
  <c r="AL99" i="7"/>
  <c r="BM99" i="7" s="1"/>
  <c r="C106" i="7"/>
  <c r="AP106" i="7"/>
  <c r="BI99" i="7"/>
  <c r="AJ99" i="7"/>
  <c r="BK99" i="7" s="1"/>
  <c r="AK99" i="7"/>
  <c r="Z99" i="7"/>
  <c r="R112" i="9"/>
  <c r="F112" i="9"/>
  <c r="X112" i="9"/>
  <c r="L112" i="9"/>
  <c r="O112" i="9"/>
  <c r="E103" i="8" s="1"/>
  <c r="M112" i="9"/>
  <c r="V112" i="9"/>
  <c r="K112" i="9"/>
  <c r="U112" i="9"/>
  <c r="N112" i="9"/>
  <c r="D112" i="9"/>
  <c r="I112" i="9"/>
  <c r="E103" i="7" s="1"/>
  <c r="Z112" i="9"/>
  <c r="AA112" i="9"/>
  <c r="P112" i="9"/>
  <c r="G112" i="9"/>
  <c r="Y112" i="9"/>
  <c r="D103" i="8" s="1"/>
  <c r="I103" i="8" s="1"/>
  <c r="W112" i="9"/>
  <c r="H112" i="9"/>
  <c r="T112" i="9"/>
  <c r="Q112" i="9"/>
  <c r="E112" i="9"/>
  <c r="J112" i="9"/>
  <c r="S112" i="9"/>
  <c r="D103" i="7" s="1"/>
  <c r="I103" i="7" s="1"/>
  <c r="AF99" i="7"/>
  <c r="BG99" i="7" s="1"/>
  <c r="BA98" i="8"/>
  <c r="AG98" i="8"/>
  <c r="BH98" i="8" s="1"/>
  <c r="AL99" i="8"/>
  <c r="BM99" i="8" s="1"/>
  <c r="BJ99" i="8"/>
  <c r="B105" i="8"/>
  <c r="A106" i="8"/>
  <c r="AK100" i="7"/>
  <c r="BI100" i="7"/>
  <c r="AR105" i="7"/>
  <c r="BN105" i="7" s="1"/>
  <c r="AQ105" i="7"/>
  <c r="G102" i="7"/>
  <c r="AP104" i="8"/>
  <c r="C104" i="8"/>
  <c r="AK100" i="8"/>
  <c r="BI100" i="8"/>
  <c r="M101" i="8"/>
  <c r="H101" i="8"/>
  <c r="N101" i="8" s="1"/>
  <c r="S101" i="8"/>
  <c r="U101" i="8"/>
  <c r="AV101" i="8" s="1"/>
  <c r="T101" i="8"/>
  <c r="AU101" i="8" s="1"/>
  <c r="K101" i="8"/>
  <c r="AA101" i="8" s="1"/>
  <c r="Z100" i="8"/>
  <c r="B113" i="9"/>
  <c r="C114" i="9"/>
  <c r="AN98" i="8"/>
  <c r="BO98" i="8" s="1"/>
  <c r="BL98" i="8"/>
  <c r="AI100" i="8"/>
  <c r="AC100" i="8"/>
  <c r="BD100" i="8" s="1"/>
  <c r="AD100" i="8"/>
  <c r="BE100" i="8" s="1"/>
  <c r="AB100" i="8"/>
  <c r="A108" i="7"/>
  <c r="B107" i="7"/>
  <c r="AL100" i="7" l="1"/>
  <c r="BM100" i="7" s="1"/>
  <c r="BJ100" i="7"/>
  <c r="Z100" i="7"/>
  <c r="BA100" i="7" s="1"/>
  <c r="AF100" i="7"/>
  <c r="BG100" i="7" s="1"/>
  <c r="AB101" i="7"/>
  <c r="BC101" i="7" s="1"/>
  <c r="AD101" i="7"/>
  <c r="BE101" i="7" s="1"/>
  <c r="AH101" i="7"/>
  <c r="AK101" i="7" s="1"/>
  <c r="AC101" i="7"/>
  <c r="BD101" i="7" s="1"/>
  <c r="J101" i="7"/>
  <c r="W101" i="7"/>
  <c r="AX101" i="7" s="1"/>
  <c r="X101" i="7"/>
  <c r="AY101" i="7" s="1"/>
  <c r="AG99" i="8"/>
  <c r="BH99" i="8" s="1"/>
  <c r="G103" i="7"/>
  <c r="K103" i="7" s="1"/>
  <c r="AA103" i="7" s="1"/>
  <c r="G103" i="8"/>
  <c r="M103" i="8" s="1"/>
  <c r="AG99" i="7"/>
  <c r="BH99" i="7" s="1"/>
  <c r="BA99" i="7"/>
  <c r="BL99" i="8"/>
  <c r="AN99" i="8"/>
  <c r="BO99" i="8" s="1"/>
  <c r="BB101" i="8"/>
  <c r="AN99" i="7"/>
  <c r="BO99" i="7" s="1"/>
  <c r="BL99" i="7"/>
  <c r="C105" i="8"/>
  <c r="AP105" i="8"/>
  <c r="AL101" i="7"/>
  <c r="BM101" i="7" s="1"/>
  <c r="BJ101" i="7"/>
  <c r="BC100" i="8"/>
  <c r="AF100" i="8"/>
  <c r="BG100" i="8" s="1"/>
  <c r="O103" i="7"/>
  <c r="L103" i="7"/>
  <c r="AE103" i="7" s="1"/>
  <c r="BF103" i="7" s="1"/>
  <c r="AT101" i="8"/>
  <c r="AI101" i="8"/>
  <c r="AC101" i="8"/>
  <c r="BD101" i="8" s="1"/>
  <c r="AD101" i="8"/>
  <c r="BE101" i="8" s="1"/>
  <c r="AB101" i="8"/>
  <c r="BC101" i="8" s="1"/>
  <c r="AL100" i="8"/>
  <c r="BM100" i="8" s="1"/>
  <c r="BJ100" i="8"/>
  <c r="BL100" i="7"/>
  <c r="AR106" i="7"/>
  <c r="BN106" i="7" s="1"/>
  <c r="AQ106" i="7"/>
  <c r="B108" i="7"/>
  <c r="A109" i="7"/>
  <c r="AR104" i="8"/>
  <c r="BN104" i="8" s="1"/>
  <c r="AQ104" i="8"/>
  <c r="BB102" i="8"/>
  <c r="J101" i="8"/>
  <c r="B114" i="9"/>
  <c r="C115" i="9"/>
  <c r="AP107" i="7"/>
  <c r="C107" i="7"/>
  <c r="A107" i="8"/>
  <c r="B106" i="8"/>
  <c r="O103" i="8"/>
  <c r="L103" i="8"/>
  <c r="AE103" i="8" s="1"/>
  <c r="BF103" i="8" s="1"/>
  <c r="X113" i="9"/>
  <c r="R113" i="9"/>
  <c r="L113" i="9"/>
  <c r="G113" i="9"/>
  <c r="F113" i="9"/>
  <c r="N113" i="9"/>
  <c r="J113" i="9"/>
  <c r="S113" i="9"/>
  <c r="D104" i="7" s="1"/>
  <c r="I104" i="7" s="1"/>
  <c r="D113" i="9"/>
  <c r="I113" i="9"/>
  <c r="E104" i="7" s="1"/>
  <c r="U113" i="9"/>
  <c r="T113" i="9"/>
  <c r="P113" i="9"/>
  <c r="Q113" i="9"/>
  <c r="Z113" i="9"/>
  <c r="W113" i="9"/>
  <c r="V113" i="9"/>
  <c r="Y113" i="9"/>
  <c r="D104" i="8" s="1"/>
  <c r="I104" i="8" s="1"/>
  <c r="H113" i="9"/>
  <c r="O113" i="9"/>
  <c r="E104" i="8" s="1"/>
  <c r="M113" i="9"/>
  <c r="E113" i="9"/>
  <c r="AA113" i="9"/>
  <c r="K113" i="9"/>
  <c r="M102" i="7"/>
  <c r="H102" i="7"/>
  <c r="N102" i="7" s="1"/>
  <c r="T102" i="7"/>
  <c r="AU102" i="7" s="1"/>
  <c r="S102" i="7"/>
  <c r="K102" i="7"/>
  <c r="AA102" i="7" s="1"/>
  <c r="AH101" i="8"/>
  <c r="W101" i="8"/>
  <c r="AX101" i="8" s="1"/>
  <c r="X101" i="8"/>
  <c r="AY101" i="8" s="1"/>
  <c r="AJ100" i="8"/>
  <c r="BK100" i="8" s="1"/>
  <c r="BA100" i="8"/>
  <c r="BL100" i="8"/>
  <c r="M102" i="8"/>
  <c r="H102" i="8"/>
  <c r="N102" i="8" s="1"/>
  <c r="S102" i="8"/>
  <c r="T102" i="8"/>
  <c r="AU102" i="8" s="1"/>
  <c r="U102" i="8"/>
  <c r="AV102" i="8" s="1"/>
  <c r="AN100" i="7" l="1"/>
  <c r="BO100" i="7" s="1"/>
  <c r="AG100" i="7"/>
  <c r="BH100" i="7" s="1"/>
  <c r="BI101" i="7"/>
  <c r="AJ101" i="7"/>
  <c r="BK101" i="7" s="1"/>
  <c r="H103" i="7"/>
  <c r="J103" i="7" s="1"/>
  <c r="AF101" i="7"/>
  <c r="BG101" i="7" s="1"/>
  <c r="G104" i="8"/>
  <c r="T104" i="8" s="1"/>
  <c r="AU104" i="8" s="1"/>
  <c r="M103" i="7"/>
  <c r="AH103" i="7" s="1"/>
  <c r="T103" i="7"/>
  <c r="AU103" i="7" s="1"/>
  <c r="K103" i="8"/>
  <c r="AA103" i="8" s="1"/>
  <c r="BB103" i="8" s="1"/>
  <c r="S103" i="7"/>
  <c r="AT103" i="7" s="1"/>
  <c r="Z101" i="7"/>
  <c r="BA101" i="7" s="1"/>
  <c r="U103" i="8"/>
  <c r="AV103" i="8" s="1"/>
  <c r="T103" i="8"/>
  <c r="AU103" i="8" s="1"/>
  <c r="S103" i="8"/>
  <c r="AT103" i="8" s="1"/>
  <c r="H103" i="8"/>
  <c r="J103" i="8" s="1"/>
  <c r="AN100" i="8"/>
  <c r="BO100" i="8" s="1"/>
  <c r="AF101" i="8"/>
  <c r="BG101" i="8" s="1"/>
  <c r="BJ101" i="8"/>
  <c r="AL101" i="8"/>
  <c r="BM101" i="8" s="1"/>
  <c r="AT102" i="8"/>
  <c r="AI102" i="8"/>
  <c r="AC102" i="8"/>
  <c r="BD102" i="8" s="1"/>
  <c r="AD102" i="8"/>
  <c r="BE102" i="8" s="1"/>
  <c r="AB102" i="8"/>
  <c r="C116" i="9"/>
  <c r="B115" i="9"/>
  <c r="BI101" i="8"/>
  <c r="AK101" i="8"/>
  <c r="AJ101" i="8"/>
  <c r="BK101" i="8" s="1"/>
  <c r="AQ107" i="7"/>
  <c r="AR107" i="7"/>
  <c r="BN107" i="7" s="1"/>
  <c r="J102" i="8"/>
  <c r="AI102" i="7"/>
  <c r="AC102" i="7"/>
  <c r="BD102" i="7" s="1"/>
  <c r="AD102" i="7"/>
  <c r="BE102" i="7" s="1"/>
  <c r="AB102" i="7"/>
  <c r="BC102" i="7" s="1"/>
  <c r="BB103" i="7"/>
  <c r="J102" i="7"/>
  <c r="AG100" i="8"/>
  <c r="BH100" i="8" s="1"/>
  <c r="AH102" i="7"/>
  <c r="W102" i="7"/>
  <c r="AX102" i="7" s="1"/>
  <c r="X102" i="7"/>
  <c r="AY102" i="7" s="1"/>
  <c r="U102" i="7"/>
  <c r="AV102" i="7" s="1"/>
  <c r="C108" i="7"/>
  <c r="AP108" i="7"/>
  <c r="O104" i="8"/>
  <c r="L104" i="8"/>
  <c r="AE104" i="8" s="1"/>
  <c r="BF104" i="8" s="1"/>
  <c r="AH102" i="8"/>
  <c r="W102" i="8"/>
  <c r="AX102" i="8" s="1"/>
  <c r="X102" i="8"/>
  <c r="AY102" i="8" s="1"/>
  <c r="AQ105" i="8"/>
  <c r="AR105" i="8"/>
  <c r="BN105" i="8" s="1"/>
  <c r="L104" i="7"/>
  <c r="AE104" i="7" s="1"/>
  <c r="BF104" i="7" s="1"/>
  <c r="O104" i="7"/>
  <c r="AT102" i="7"/>
  <c r="BB102" i="7"/>
  <c r="AN101" i="7"/>
  <c r="BO101" i="7" s="1"/>
  <c r="BL101" i="7"/>
  <c r="G104" i="7"/>
  <c r="AP106" i="8"/>
  <c r="C106" i="8"/>
  <c r="AH103" i="8"/>
  <c r="W103" i="8"/>
  <c r="AX103" i="8" s="1"/>
  <c r="X103" i="8"/>
  <c r="AY103" i="8" s="1"/>
  <c r="L114" i="9"/>
  <c r="X114" i="9"/>
  <c r="R114" i="9"/>
  <c r="P114" i="9"/>
  <c r="I114" i="9"/>
  <c r="E105" i="7" s="1"/>
  <c r="H114" i="9"/>
  <c r="G114" i="9"/>
  <c r="F114" i="9"/>
  <c r="D114" i="9"/>
  <c r="J114" i="9"/>
  <c r="K114" i="9"/>
  <c r="V114" i="9"/>
  <c r="W114" i="9"/>
  <c r="T114" i="9"/>
  <c r="O114" i="9"/>
  <c r="E105" i="8" s="1"/>
  <c r="Y114" i="9"/>
  <c r="D105" i="8" s="1"/>
  <c r="I105" i="8" s="1"/>
  <c r="E114" i="9"/>
  <c r="Q114" i="9"/>
  <c r="N114" i="9"/>
  <c r="AA114" i="9"/>
  <c r="M114" i="9"/>
  <c r="Z114" i="9"/>
  <c r="U114" i="9"/>
  <c r="S114" i="9"/>
  <c r="D105" i="7" s="1"/>
  <c r="I105" i="7" s="1"/>
  <c r="B107" i="8"/>
  <c r="A108" i="8"/>
  <c r="B109" i="7"/>
  <c r="A110" i="7"/>
  <c r="Z101" i="8"/>
  <c r="U103" i="7" l="1"/>
  <c r="AV103" i="7" s="1"/>
  <c r="X103" i="7"/>
  <c r="AY103" i="7" s="1"/>
  <c r="W103" i="7"/>
  <c r="AX103" i="7" s="1"/>
  <c r="M104" i="8"/>
  <c r="AH104" i="8" s="1"/>
  <c r="N103" i="7"/>
  <c r="AB103" i="7" s="1"/>
  <c r="K104" i="8"/>
  <c r="AA104" i="8" s="1"/>
  <c r="BB104" i="8" s="1"/>
  <c r="H104" i="8"/>
  <c r="N104" i="8" s="1"/>
  <c r="S104" i="8"/>
  <c r="AT104" i="8" s="1"/>
  <c r="U104" i="8"/>
  <c r="AV104" i="8" s="1"/>
  <c r="AG101" i="7"/>
  <c r="BH101" i="7" s="1"/>
  <c r="N103" i="8"/>
  <c r="AB103" i="8" s="1"/>
  <c r="G105" i="7"/>
  <c r="T105" i="7" s="1"/>
  <c r="AU105" i="7" s="1"/>
  <c r="Z103" i="8"/>
  <c r="BA103" i="8" s="1"/>
  <c r="AR108" i="7"/>
  <c r="BN108" i="7" s="1"/>
  <c r="AQ108" i="7"/>
  <c r="R115" i="9"/>
  <c r="F115" i="9"/>
  <c r="L115" i="9"/>
  <c r="X115" i="9"/>
  <c r="S115" i="9"/>
  <c r="D106" i="7" s="1"/>
  <c r="I106" i="7" s="1"/>
  <c r="P115" i="9"/>
  <c r="W115" i="9"/>
  <c r="Y115" i="9"/>
  <c r="D106" i="8" s="1"/>
  <c r="I106" i="8" s="1"/>
  <c r="Z115" i="9"/>
  <c r="AA115" i="9"/>
  <c r="G115" i="9"/>
  <c r="T115" i="9"/>
  <c r="K115" i="9"/>
  <c r="Q115" i="9"/>
  <c r="V115" i="9"/>
  <c r="U115" i="9"/>
  <c r="M115" i="9"/>
  <c r="N115" i="9"/>
  <c r="D115" i="9"/>
  <c r="O115" i="9"/>
  <c r="E106" i="8" s="1"/>
  <c r="E115" i="9"/>
  <c r="J115" i="9"/>
  <c r="I115" i="9"/>
  <c r="E106" i="7" s="1"/>
  <c r="H115" i="9"/>
  <c r="BC102" i="8"/>
  <c r="AF102" i="8"/>
  <c r="BG102" i="8" s="1"/>
  <c r="BJ102" i="7"/>
  <c r="AL102" i="7"/>
  <c r="BM102" i="7" s="1"/>
  <c r="AL102" i="8"/>
  <c r="BM102" i="8" s="1"/>
  <c r="BJ102" i="8"/>
  <c r="AK103" i="8"/>
  <c r="BI103" i="8"/>
  <c r="BA101" i="8"/>
  <c r="AG101" i="8"/>
  <c r="BH101" i="8" s="1"/>
  <c r="AK103" i="7"/>
  <c r="BI103" i="7"/>
  <c r="O105" i="8"/>
  <c r="L105" i="8"/>
  <c r="AE105" i="8" s="1"/>
  <c r="BF105" i="8" s="1"/>
  <c r="AF102" i="7"/>
  <c r="BG102" i="7" s="1"/>
  <c r="BI102" i="7"/>
  <c r="AJ102" i="7"/>
  <c r="BK102" i="7" s="1"/>
  <c r="AK102" i="7"/>
  <c r="Z102" i="8"/>
  <c r="B116" i="9"/>
  <c r="C117" i="9"/>
  <c r="H104" i="7"/>
  <c r="N104" i="7" s="1"/>
  <c r="M104" i="7"/>
  <c r="S104" i="7"/>
  <c r="T104" i="7"/>
  <c r="AU104" i="7" s="1"/>
  <c r="K104" i="7"/>
  <c r="AA104" i="7" s="1"/>
  <c r="G105" i="8"/>
  <c r="AJ102" i="8"/>
  <c r="BK102" i="8" s="1"/>
  <c r="BI102" i="8"/>
  <c r="AK102" i="8"/>
  <c r="B108" i="8"/>
  <c r="A109" i="8"/>
  <c r="O105" i="7"/>
  <c r="L105" i="7"/>
  <c r="AE105" i="7" s="1"/>
  <c r="BF105" i="7" s="1"/>
  <c r="Z102" i="7"/>
  <c r="AN101" i="8"/>
  <c r="BO101" i="8" s="1"/>
  <c r="BL101" i="8"/>
  <c r="AR106" i="8"/>
  <c r="BN106" i="8" s="1"/>
  <c r="AQ106" i="8"/>
  <c r="A111" i="7"/>
  <c r="B110" i="7"/>
  <c r="C109" i="7"/>
  <c r="AP109" i="7"/>
  <c r="AP107" i="8"/>
  <c r="C107" i="8"/>
  <c r="X104" i="8" l="1"/>
  <c r="AY104" i="8" s="1"/>
  <c r="W104" i="8"/>
  <c r="AX104" i="8" s="1"/>
  <c r="Z103" i="7"/>
  <c r="BA103" i="7" s="1"/>
  <c r="AI103" i="8"/>
  <c r="BJ103" i="8" s="1"/>
  <c r="AI103" i="7"/>
  <c r="AJ103" i="7" s="1"/>
  <c r="BK103" i="7" s="1"/>
  <c r="AD103" i="7"/>
  <c r="BE103" i="7" s="1"/>
  <c r="AC103" i="7"/>
  <c r="BD103" i="7" s="1"/>
  <c r="J104" i="8"/>
  <c r="AB104" i="8"/>
  <c r="BC104" i="8" s="1"/>
  <c r="AC104" i="8"/>
  <c r="BD104" i="8" s="1"/>
  <c r="AI104" i="8"/>
  <c r="AL104" i="8" s="1"/>
  <c r="BM104" i="8" s="1"/>
  <c r="AD104" i="8"/>
  <c r="BE104" i="8" s="1"/>
  <c r="S105" i="7"/>
  <c r="AT105" i="7" s="1"/>
  <c r="K105" i="7"/>
  <c r="AA105" i="7" s="1"/>
  <c r="BB105" i="7" s="1"/>
  <c r="H105" i="7"/>
  <c r="J105" i="7" s="1"/>
  <c r="AD103" i="8"/>
  <c r="BE103" i="8" s="1"/>
  <c r="AC103" i="8"/>
  <c r="BD103" i="8" s="1"/>
  <c r="M105" i="7"/>
  <c r="AH105" i="7" s="1"/>
  <c r="G106" i="8"/>
  <c r="K106" i="8" s="1"/>
  <c r="AA106" i="8" s="1"/>
  <c r="BB104" i="7"/>
  <c r="BL103" i="7"/>
  <c r="A110" i="8"/>
  <c r="B109" i="8"/>
  <c r="AL103" i="8"/>
  <c r="BM103" i="8" s="1"/>
  <c r="BC103" i="8"/>
  <c r="G106" i="7"/>
  <c r="AH104" i="7"/>
  <c r="W104" i="7"/>
  <c r="AX104" i="7" s="1"/>
  <c r="X104" i="7"/>
  <c r="AY104" i="7" s="1"/>
  <c r="U104" i="7"/>
  <c r="AV104" i="7" s="1"/>
  <c r="AR107" i="8"/>
  <c r="BN107" i="8" s="1"/>
  <c r="AQ107" i="8"/>
  <c r="BI104" i="8"/>
  <c r="AK104" i="8"/>
  <c r="BL102" i="8"/>
  <c r="AN102" i="8"/>
  <c r="BO102" i="8" s="1"/>
  <c r="R116" i="9"/>
  <c r="L116" i="9"/>
  <c r="X116" i="9"/>
  <c r="I116" i="9"/>
  <c r="E107" i="7" s="1"/>
  <c r="F116" i="9"/>
  <c r="E116" i="9"/>
  <c r="H116" i="9"/>
  <c r="J116" i="9"/>
  <c r="V116" i="9"/>
  <c r="Y116" i="9"/>
  <c r="D107" i="8" s="1"/>
  <c r="I107" i="8" s="1"/>
  <c r="T116" i="9"/>
  <c r="P116" i="9"/>
  <c r="U116" i="9"/>
  <c r="K116" i="9"/>
  <c r="O116" i="9"/>
  <c r="E107" i="8" s="1"/>
  <c r="AA116" i="9"/>
  <c r="Q116" i="9"/>
  <c r="G116" i="9"/>
  <c r="Z116" i="9"/>
  <c r="W116" i="9"/>
  <c r="S116" i="9"/>
  <c r="D107" i="7" s="1"/>
  <c r="I107" i="7" s="1"/>
  <c r="M116" i="9"/>
  <c r="D116" i="9"/>
  <c r="N116" i="9"/>
  <c r="O106" i="7"/>
  <c r="L106" i="7"/>
  <c r="AE106" i="7" s="1"/>
  <c r="BF106" i="7" s="1"/>
  <c r="C108" i="8"/>
  <c r="AP108" i="8"/>
  <c r="BC103" i="7"/>
  <c r="AG102" i="7"/>
  <c r="BH102" i="7" s="1"/>
  <c r="BA102" i="7"/>
  <c r="BA102" i="8"/>
  <c r="AG102" i="8"/>
  <c r="BH102" i="8" s="1"/>
  <c r="BL103" i="8"/>
  <c r="AI104" i="7"/>
  <c r="AC104" i="7"/>
  <c r="BD104" i="7" s="1"/>
  <c r="AD104" i="7"/>
  <c r="BE104" i="7" s="1"/>
  <c r="AB104" i="7"/>
  <c r="BC104" i="7" s="1"/>
  <c r="C118" i="9"/>
  <c r="B117" i="9"/>
  <c r="AP110" i="7"/>
  <c r="C110" i="7"/>
  <c r="O106" i="8"/>
  <c r="L106" i="8"/>
  <c r="AE106" i="8" s="1"/>
  <c r="BF106" i="8" s="1"/>
  <c r="AT104" i="7"/>
  <c r="J104" i="7"/>
  <c r="AR109" i="7"/>
  <c r="BN109" i="7" s="1"/>
  <c r="AQ109" i="7"/>
  <c r="B111" i="7"/>
  <c r="A112" i="7"/>
  <c r="AN102" i="7"/>
  <c r="BO102" i="7" s="1"/>
  <c r="BL102" i="7"/>
  <c r="H105" i="8"/>
  <c r="N105" i="8" s="1"/>
  <c r="M105" i="8"/>
  <c r="S105" i="8"/>
  <c r="T105" i="8"/>
  <c r="AU105" i="8" s="1"/>
  <c r="U105" i="8"/>
  <c r="AV105" i="8" s="1"/>
  <c r="K105" i="8"/>
  <c r="AA105" i="8" s="1"/>
  <c r="BJ103" i="7" l="1"/>
  <c r="Z104" i="8"/>
  <c r="BA104" i="8" s="1"/>
  <c r="AJ103" i="8"/>
  <c r="BK103" i="8" s="1"/>
  <c r="AL103" i="7"/>
  <c r="BM103" i="7" s="1"/>
  <c r="AF103" i="7"/>
  <c r="BG103" i="7" s="1"/>
  <c r="BJ104" i="8"/>
  <c r="N105" i="7"/>
  <c r="AD105" i="7" s="1"/>
  <c r="BE105" i="7" s="1"/>
  <c r="G107" i="7"/>
  <c r="K107" i="7" s="1"/>
  <c r="AA107" i="7" s="1"/>
  <c r="AJ104" i="8"/>
  <c r="BK104" i="8" s="1"/>
  <c r="AF104" i="8"/>
  <c r="BG104" i="8" s="1"/>
  <c r="AF103" i="8"/>
  <c r="BG103" i="8" s="1"/>
  <c r="U106" i="8"/>
  <c r="AV106" i="8" s="1"/>
  <c r="G107" i="8"/>
  <c r="H107" i="8" s="1"/>
  <c r="T106" i="8"/>
  <c r="AU106" i="8" s="1"/>
  <c r="U105" i="7"/>
  <c r="AV105" i="7" s="1"/>
  <c r="X105" i="7"/>
  <c r="AY105" i="7" s="1"/>
  <c r="S106" i="8"/>
  <c r="AT106" i="8" s="1"/>
  <c r="H106" i="8"/>
  <c r="N106" i="8" s="1"/>
  <c r="AB106" i="8" s="1"/>
  <c r="BC106" i="8" s="1"/>
  <c r="M106" i="8"/>
  <c r="W106" i="8" s="1"/>
  <c r="AX106" i="8" s="1"/>
  <c r="W105" i="7"/>
  <c r="AX105" i="7" s="1"/>
  <c r="AN103" i="8"/>
  <c r="BO103" i="8" s="1"/>
  <c r="O107" i="8"/>
  <c r="L107" i="8"/>
  <c r="AE107" i="8" s="1"/>
  <c r="BF107" i="8" s="1"/>
  <c r="AK104" i="7"/>
  <c r="AJ104" i="7"/>
  <c r="BK104" i="7" s="1"/>
  <c r="BI104" i="7"/>
  <c r="AH105" i="8"/>
  <c r="W105" i="8"/>
  <c r="AX105" i="8" s="1"/>
  <c r="X105" i="8"/>
  <c r="AY105" i="8" s="1"/>
  <c r="L107" i="7"/>
  <c r="AE107" i="7" s="1"/>
  <c r="BF107" i="7" s="1"/>
  <c r="O107" i="7"/>
  <c r="H106" i="7"/>
  <c r="N106" i="7" s="1"/>
  <c r="M106" i="7"/>
  <c r="S106" i="7"/>
  <c r="T106" i="7"/>
  <c r="AU106" i="7" s="1"/>
  <c r="K106" i="7"/>
  <c r="AA106" i="7" s="1"/>
  <c r="AL104" i="7"/>
  <c r="BM104" i="7" s="1"/>
  <c r="BJ104" i="7"/>
  <c r="J105" i="8"/>
  <c r="BI105" i="7"/>
  <c r="AK105" i="7"/>
  <c r="AQ110" i="7"/>
  <c r="AR110" i="7"/>
  <c r="BN110" i="7" s="1"/>
  <c r="X117" i="9"/>
  <c r="L117" i="9"/>
  <c r="R117" i="9"/>
  <c r="F117" i="9"/>
  <c r="U117" i="9"/>
  <c r="V117" i="9"/>
  <c r="M117" i="9"/>
  <c r="E117" i="9"/>
  <c r="I117" i="9"/>
  <c r="E108" i="7" s="1"/>
  <c r="J117" i="9"/>
  <c r="S117" i="9"/>
  <c r="D108" i="7" s="1"/>
  <c r="I108" i="7" s="1"/>
  <c r="K117" i="9"/>
  <c r="AA117" i="9"/>
  <c r="W117" i="9"/>
  <c r="N117" i="9"/>
  <c r="O117" i="9"/>
  <c r="E108" i="8" s="1"/>
  <c r="Y117" i="9"/>
  <c r="D108" i="8" s="1"/>
  <c r="I108" i="8" s="1"/>
  <c r="H117" i="9"/>
  <c r="Z117" i="9"/>
  <c r="T117" i="9"/>
  <c r="D117" i="9"/>
  <c r="P117" i="9"/>
  <c r="Q117" i="9"/>
  <c r="G117" i="9"/>
  <c r="C119" i="9"/>
  <c r="B118" i="9"/>
  <c r="AT105" i="8"/>
  <c r="BB106" i="8"/>
  <c r="AP109" i="8"/>
  <c r="C109" i="8"/>
  <c r="B110" i="8"/>
  <c r="A111" i="8"/>
  <c r="BB105" i="8"/>
  <c r="C111" i="7"/>
  <c r="AP111" i="7"/>
  <c r="AQ108" i="8"/>
  <c r="AR108" i="8"/>
  <c r="BN108" i="8" s="1"/>
  <c r="AN104" i="8"/>
  <c r="BO104" i="8" s="1"/>
  <c r="BL104" i="8"/>
  <c r="AI105" i="8"/>
  <c r="AC105" i="8"/>
  <c r="BD105" i="8" s="1"/>
  <c r="AD105" i="8"/>
  <c r="BE105" i="8" s="1"/>
  <c r="AB105" i="8"/>
  <c r="BC105" i="8" s="1"/>
  <c r="Z104" i="7"/>
  <c r="B112" i="7"/>
  <c r="A113" i="7"/>
  <c r="AF104" i="7"/>
  <c r="BG104" i="7" s="1"/>
  <c r="AN103" i="7" l="1"/>
  <c r="BO103" i="7" s="1"/>
  <c r="M107" i="7"/>
  <c r="W107" i="7" s="1"/>
  <c r="AX107" i="7" s="1"/>
  <c r="AG103" i="7"/>
  <c r="BH103" i="7" s="1"/>
  <c r="H107" i="7"/>
  <c r="AB105" i="7"/>
  <c r="BC105" i="7" s="1"/>
  <c r="S107" i="7"/>
  <c r="AT107" i="7" s="1"/>
  <c r="T107" i="7"/>
  <c r="AU107" i="7" s="1"/>
  <c r="AI105" i="7"/>
  <c r="AL105" i="7" s="1"/>
  <c r="BM105" i="7" s="1"/>
  <c r="AC105" i="7"/>
  <c r="BD105" i="7" s="1"/>
  <c r="AG104" i="8"/>
  <c r="BH104" i="8" s="1"/>
  <c r="U107" i="8"/>
  <c r="AV107" i="8" s="1"/>
  <c r="AG103" i="8"/>
  <c r="BH103" i="8" s="1"/>
  <c r="K107" i="8"/>
  <c r="AA107" i="8" s="1"/>
  <c r="BB107" i="8" s="1"/>
  <c r="M107" i="8"/>
  <c r="W107" i="8" s="1"/>
  <c r="AX107" i="8" s="1"/>
  <c r="T107" i="8"/>
  <c r="AU107" i="8" s="1"/>
  <c r="S107" i="8"/>
  <c r="AT107" i="8" s="1"/>
  <c r="AH106" i="8"/>
  <c r="AK106" i="8" s="1"/>
  <c r="AC106" i="8"/>
  <c r="BD106" i="8" s="1"/>
  <c r="AI106" i="8"/>
  <c r="AL106" i="8" s="1"/>
  <c r="BM106" i="8" s="1"/>
  <c r="X106" i="8"/>
  <c r="AY106" i="8" s="1"/>
  <c r="AD106" i="8"/>
  <c r="BE106" i="8" s="1"/>
  <c r="N107" i="8"/>
  <c r="AI107" i="8" s="1"/>
  <c r="BJ105" i="7"/>
  <c r="J106" i="8"/>
  <c r="Z105" i="7"/>
  <c r="J106" i="7"/>
  <c r="G108" i="8"/>
  <c r="K108" i="8" s="1"/>
  <c r="AA108" i="8" s="1"/>
  <c r="BB108" i="8" s="1"/>
  <c r="N107" i="7"/>
  <c r="AI107" i="7" s="1"/>
  <c r="G108" i="7"/>
  <c r="K108" i="7" s="1"/>
  <c r="AA108" i="7" s="1"/>
  <c r="BB108" i="7" s="1"/>
  <c r="AH107" i="7"/>
  <c r="X107" i="7"/>
  <c r="AY107" i="7" s="1"/>
  <c r="U107" i="7"/>
  <c r="AV107" i="7" s="1"/>
  <c r="BB107" i="7"/>
  <c r="BL105" i="7"/>
  <c r="AI106" i="7"/>
  <c r="AC106" i="7"/>
  <c r="BD106" i="7" s="1"/>
  <c r="AD106" i="7"/>
  <c r="BE106" i="7" s="1"/>
  <c r="AB106" i="7"/>
  <c r="BC106" i="7" s="1"/>
  <c r="F118" i="9"/>
  <c r="R118" i="9"/>
  <c r="X118" i="9"/>
  <c r="H118" i="9"/>
  <c r="L118" i="9"/>
  <c r="D118" i="9"/>
  <c r="I118" i="9"/>
  <c r="E109" i="7" s="1"/>
  <c r="Z118" i="9"/>
  <c r="V118" i="9"/>
  <c r="E118" i="9"/>
  <c r="O118" i="9"/>
  <c r="E109" i="8" s="1"/>
  <c r="W118" i="9"/>
  <c r="Q118" i="9"/>
  <c r="M118" i="9"/>
  <c r="Y118" i="9"/>
  <c r="D109" i="8" s="1"/>
  <c r="I109" i="8" s="1"/>
  <c r="P118" i="9"/>
  <c r="S118" i="9"/>
  <c r="D109" i="7" s="1"/>
  <c r="I109" i="7" s="1"/>
  <c r="N118" i="9"/>
  <c r="U118" i="9"/>
  <c r="G118" i="9"/>
  <c r="K118" i="9"/>
  <c r="AA118" i="9"/>
  <c r="T118" i="9"/>
  <c r="J118" i="9"/>
  <c r="AR109" i="8"/>
  <c r="BN109" i="8" s="1"/>
  <c r="AQ109" i="8"/>
  <c r="AL105" i="8"/>
  <c r="BM105" i="8" s="1"/>
  <c r="BJ105" i="8"/>
  <c r="AH106" i="7"/>
  <c r="W106" i="7"/>
  <c r="AX106" i="7" s="1"/>
  <c r="X106" i="7"/>
  <c r="AY106" i="7" s="1"/>
  <c r="U106" i="7"/>
  <c r="AV106" i="7" s="1"/>
  <c r="C120" i="9"/>
  <c r="B119" i="9"/>
  <c r="J107" i="7"/>
  <c r="A114" i="7"/>
  <c r="B113" i="7"/>
  <c r="J107" i="8"/>
  <c r="Z105" i="8"/>
  <c r="AJ105" i="8"/>
  <c r="BK105" i="8" s="1"/>
  <c r="BI105" i="8"/>
  <c r="AK105" i="8"/>
  <c r="AF105" i="8"/>
  <c r="BG105" i="8" s="1"/>
  <c r="O108" i="8"/>
  <c r="L108" i="8"/>
  <c r="AE108" i="8" s="1"/>
  <c r="BF108" i="8" s="1"/>
  <c r="AN104" i="7"/>
  <c r="BO104" i="7" s="1"/>
  <c r="BL104" i="7"/>
  <c r="AT106" i="7"/>
  <c r="AR111" i="7"/>
  <c r="BN111" i="7" s="1"/>
  <c r="AQ111" i="7"/>
  <c r="O108" i="7"/>
  <c r="L108" i="7"/>
  <c r="AE108" i="7" s="1"/>
  <c r="BF108" i="7" s="1"/>
  <c r="C112" i="7"/>
  <c r="AP112" i="7"/>
  <c r="BA104" i="7"/>
  <c r="AG104" i="7"/>
  <c r="BH104" i="7" s="1"/>
  <c r="B111" i="8"/>
  <c r="A112" i="8"/>
  <c r="BB106" i="7"/>
  <c r="C110" i="8"/>
  <c r="AP110" i="8"/>
  <c r="AN105" i="7" l="1"/>
  <c r="BO105" i="7" s="1"/>
  <c r="AJ105" i="7"/>
  <c r="BK105" i="7" s="1"/>
  <c r="X107" i="8"/>
  <c r="AY107" i="8" s="1"/>
  <c r="AH107" i="8"/>
  <c r="AJ107" i="8" s="1"/>
  <c r="BK107" i="8" s="1"/>
  <c r="AF105" i="7"/>
  <c r="BG105" i="7" s="1"/>
  <c r="BJ106" i="8"/>
  <c r="AF106" i="8"/>
  <c r="BG106" i="8" s="1"/>
  <c r="AC107" i="8"/>
  <c r="BD107" i="8" s="1"/>
  <c r="AD107" i="8"/>
  <c r="BE107" i="8" s="1"/>
  <c r="AB107" i="8"/>
  <c r="BC107" i="8" s="1"/>
  <c r="BI106" i="8"/>
  <c r="AJ106" i="8"/>
  <c r="BK106" i="8" s="1"/>
  <c r="Z106" i="8"/>
  <c r="BA106" i="8" s="1"/>
  <c r="U108" i="8"/>
  <c r="AV108" i="8" s="1"/>
  <c r="AB107" i="7"/>
  <c r="BC107" i="7" s="1"/>
  <c r="M108" i="8"/>
  <c r="W108" i="8" s="1"/>
  <c r="AX108" i="8" s="1"/>
  <c r="T108" i="8"/>
  <c r="AU108" i="8" s="1"/>
  <c r="S108" i="8"/>
  <c r="AT108" i="8" s="1"/>
  <c r="AC107" i="7"/>
  <c r="BD107" i="7" s="1"/>
  <c r="AD107" i="7"/>
  <c r="BE107" i="7" s="1"/>
  <c r="H108" i="8"/>
  <c r="N108" i="8" s="1"/>
  <c r="AI108" i="8" s="1"/>
  <c r="BA105" i="7"/>
  <c r="M108" i="7"/>
  <c r="W108" i="7" s="1"/>
  <c r="AX108" i="7" s="1"/>
  <c r="S108" i="7"/>
  <c r="AT108" i="7" s="1"/>
  <c r="H108" i="7"/>
  <c r="N108" i="7" s="1"/>
  <c r="AD108" i="7" s="1"/>
  <c r="BE108" i="7" s="1"/>
  <c r="T108" i="7"/>
  <c r="AU108" i="7" s="1"/>
  <c r="AF106" i="7"/>
  <c r="BG106" i="7" s="1"/>
  <c r="AL107" i="7"/>
  <c r="BM107" i="7" s="1"/>
  <c r="BJ107" i="7"/>
  <c r="O109" i="7"/>
  <c r="L109" i="7"/>
  <c r="AE109" i="7" s="1"/>
  <c r="BF109" i="7" s="1"/>
  <c r="AP113" i="7"/>
  <c r="C113" i="7"/>
  <c r="O109" i="8"/>
  <c r="L109" i="8"/>
  <c r="AE109" i="8" s="1"/>
  <c r="BF109" i="8" s="1"/>
  <c r="BA105" i="8"/>
  <c r="AG105" i="8"/>
  <c r="BH105" i="8" s="1"/>
  <c r="AN106" i="8"/>
  <c r="BO106" i="8" s="1"/>
  <c r="BL106" i="8"/>
  <c r="B114" i="7"/>
  <c r="A115" i="7"/>
  <c r="AQ110" i="8"/>
  <c r="AR110" i="8"/>
  <c r="BN110" i="8" s="1"/>
  <c r="Z106" i="7"/>
  <c r="Z107" i="8"/>
  <c r="G109" i="8"/>
  <c r="AR112" i="7"/>
  <c r="BN112" i="7" s="1"/>
  <c r="AQ112" i="7"/>
  <c r="AL107" i="8"/>
  <c r="BM107" i="8" s="1"/>
  <c r="BJ107" i="8"/>
  <c r="AK107" i="7"/>
  <c r="AJ107" i="7"/>
  <c r="BK107" i="7" s="1"/>
  <c r="BI107" i="7"/>
  <c r="B112" i="8"/>
  <c r="A113" i="8"/>
  <c r="AP111" i="8"/>
  <c r="C111" i="8"/>
  <c r="BI107" i="8"/>
  <c r="AK107" i="8"/>
  <c r="BJ106" i="7"/>
  <c r="AL106" i="7"/>
  <c r="BM106" i="7" s="1"/>
  <c r="Z107" i="7"/>
  <c r="BL105" i="8"/>
  <c r="AN105" i="8"/>
  <c r="BO105" i="8" s="1"/>
  <c r="AK106" i="7"/>
  <c r="AJ106" i="7"/>
  <c r="BK106" i="7" s="1"/>
  <c r="BI106" i="7"/>
  <c r="G109" i="7"/>
  <c r="B120" i="9"/>
  <c r="C121" i="9"/>
  <c r="R119" i="9"/>
  <c r="F119" i="9"/>
  <c r="L119" i="9"/>
  <c r="X119" i="9"/>
  <c r="Y119" i="9"/>
  <c r="D110" i="8" s="1"/>
  <c r="I110" i="8" s="1"/>
  <c r="N119" i="9"/>
  <c r="M119" i="9"/>
  <c r="Q119" i="9"/>
  <c r="O119" i="9"/>
  <c r="E110" i="8" s="1"/>
  <c r="E119" i="9"/>
  <c r="T119" i="9"/>
  <c r="V119" i="9"/>
  <c r="I119" i="9"/>
  <c r="E110" i="7" s="1"/>
  <c r="W119" i="9"/>
  <c r="K119" i="9"/>
  <c r="P119" i="9"/>
  <c r="J119" i="9"/>
  <c r="U119" i="9"/>
  <c r="H119" i="9"/>
  <c r="Z119" i="9"/>
  <c r="D119" i="9"/>
  <c r="AA119" i="9"/>
  <c r="G119" i="9"/>
  <c r="S119" i="9"/>
  <c r="D110" i="7" s="1"/>
  <c r="I110" i="7" s="1"/>
  <c r="AG105" i="7" l="1"/>
  <c r="BH105" i="7" s="1"/>
  <c r="AF107" i="8"/>
  <c r="BG107" i="8" s="1"/>
  <c r="AG106" i="8"/>
  <c r="BH106" i="8" s="1"/>
  <c r="X108" i="8"/>
  <c r="AY108" i="8" s="1"/>
  <c r="AH108" i="8"/>
  <c r="BI108" i="8" s="1"/>
  <c r="AF107" i="7"/>
  <c r="BG107" i="7" s="1"/>
  <c r="AC108" i="8"/>
  <c r="BD108" i="8" s="1"/>
  <c r="AB108" i="8"/>
  <c r="BC108" i="8" s="1"/>
  <c r="AD108" i="8"/>
  <c r="BE108" i="8" s="1"/>
  <c r="U108" i="7"/>
  <c r="AV108" i="7" s="1"/>
  <c r="J108" i="8"/>
  <c r="J108" i="7"/>
  <c r="X108" i="7"/>
  <c r="AY108" i="7" s="1"/>
  <c r="AC108" i="7"/>
  <c r="BD108" i="7" s="1"/>
  <c r="AH108" i="7"/>
  <c r="BI108" i="7" s="1"/>
  <c r="AI108" i="7"/>
  <c r="AL108" i="7" s="1"/>
  <c r="BM108" i="7" s="1"/>
  <c r="AB108" i="7"/>
  <c r="BC108" i="7" s="1"/>
  <c r="G110" i="7"/>
  <c r="H110" i="7" s="1"/>
  <c r="M109" i="8"/>
  <c r="H109" i="8"/>
  <c r="N109" i="8" s="1"/>
  <c r="S109" i="8"/>
  <c r="U109" i="8"/>
  <c r="AV109" i="8" s="1"/>
  <c r="T109" i="8"/>
  <c r="AU109" i="8" s="1"/>
  <c r="K109" i="8"/>
  <c r="AA109" i="8" s="1"/>
  <c r="BA106" i="7"/>
  <c r="AG106" i="7"/>
  <c r="BH106" i="7" s="1"/>
  <c r="O110" i="8"/>
  <c r="L110" i="8"/>
  <c r="AE110" i="8" s="1"/>
  <c r="BF110" i="8" s="1"/>
  <c r="AQ113" i="7"/>
  <c r="AR113" i="7"/>
  <c r="BN113" i="7" s="1"/>
  <c r="BL106" i="7"/>
  <c r="AN106" i="7"/>
  <c r="BO106" i="7" s="1"/>
  <c r="L110" i="7"/>
  <c r="AE110" i="7" s="1"/>
  <c r="BF110" i="7" s="1"/>
  <c r="O110" i="7"/>
  <c r="G110" i="8"/>
  <c r="K110" i="8" s="1"/>
  <c r="AA110" i="8" s="1"/>
  <c r="BA107" i="7"/>
  <c r="AP112" i="8"/>
  <c r="C112" i="8"/>
  <c r="AN107" i="7"/>
  <c r="BO107" i="7" s="1"/>
  <c r="BL107" i="7"/>
  <c r="AL108" i="8"/>
  <c r="BM108" i="8" s="1"/>
  <c r="BJ108" i="8"/>
  <c r="BA107" i="8"/>
  <c r="AG107" i="8"/>
  <c r="BH107" i="8" s="1"/>
  <c r="AN107" i="8"/>
  <c r="BO107" i="8" s="1"/>
  <c r="BL107" i="8"/>
  <c r="C122" i="9"/>
  <c r="B121" i="9"/>
  <c r="X120" i="9"/>
  <c r="F120" i="9"/>
  <c r="R120" i="9"/>
  <c r="L120" i="9"/>
  <c r="J120" i="9"/>
  <c r="N120" i="9"/>
  <c r="U120" i="9"/>
  <c r="AA120" i="9"/>
  <c r="K120" i="9"/>
  <c r="Y120" i="9"/>
  <c r="D111" i="8" s="1"/>
  <c r="I111" i="8" s="1"/>
  <c r="V120" i="9"/>
  <c r="W120" i="9"/>
  <c r="P120" i="9"/>
  <c r="E120" i="9"/>
  <c r="M120" i="9"/>
  <c r="Z120" i="9"/>
  <c r="I120" i="9"/>
  <c r="E111" i="7" s="1"/>
  <c r="T120" i="9"/>
  <c r="G120" i="9"/>
  <c r="D120" i="9"/>
  <c r="O120" i="9"/>
  <c r="E111" i="8" s="1"/>
  <c r="Q120" i="9"/>
  <c r="H120" i="9"/>
  <c r="S120" i="9"/>
  <c r="D111" i="7" s="1"/>
  <c r="I111" i="7" s="1"/>
  <c r="B115" i="7"/>
  <c r="A116" i="7"/>
  <c r="H109" i="7"/>
  <c r="N109" i="7" s="1"/>
  <c r="M109" i="7"/>
  <c r="S109" i="7"/>
  <c r="T109" i="7"/>
  <c r="AU109" i="7" s="1"/>
  <c r="K109" i="7"/>
  <c r="AA109" i="7" s="1"/>
  <c r="AR111" i="8"/>
  <c r="BN111" i="8" s="1"/>
  <c r="AQ111" i="8"/>
  <c r="C114" i="7"/>
  <c r="AP114" i="7"/>
  <c r="A114" i="8"/>
  <c r="B113" i="8"/>
  <c r="Z108" i="8"/>
  <c r="AJ108" i="8" l="1"/>
  <c r="BK108" i="8" s="1"/>
  <c r="AK108" i="8"/>
  <c r="AG107" i="7"/>
  <c r="BH107" i="7" s="1"/>
  <c r="AF108" i="8"/>
  <c r="BG108" i="8" s="1"/>
  <c r="AK108" i="7"/>
  <c r="BL108" i="7" s="1"/>
  <c r="AJ108" i="7"/>
  <c r="BK108" i="7" s="1"/>
  <c r="AF108" i="7"/>
  <c r="BG108" i="7" s="1"/>
  <c r="BJ108" i="7"/>
  <c r="Z108" i="7"/>
  <c r="BA108" i="7" s="1"/>
  <c r="K110" i="7"/>
  <c r="AA110" i="7" s="1"/>
  <c r="BB110" i="7" s="1"/>
  <c r="J109" i="7"/>
  <c r="G111" i="7"/>
  <c r="H111" i="7" s="1"/>
  <c r="N111" i="7" s="1"/>
  <c r="S110" i="7"/>
  <c r="AT110" i="7" s="1"/>
  <c r="T110" i="7"/>
  <c r="AU110" i="7" s="1"/>
  <c r="M110" i="7"/>
  <c r="AH110" i="7" s="1"/>
  <c r="G111" i="8"/>
  <c r="M111" i="8" s="1"/>
  <c r="BB110" i="8"/>
  <c r="AT109" i="8"/>
  <c r="AI109" i="8"/>
  <c r="AC109" i="8"/>
  <c r="BD109" i="8" s="1"/>
  <c r="AD109" i="8"/>
  <c r="BE109" i="8" s="1"/>
  <c r="AB109" i="8"/>
  <c r="BC109" i="8" s="1"/>
  <c r="J109" i="8"/>
  <c r="AQ112" i="8"/>
  <c r="AR112" i="8"/>
  <c r="BN112" i="8" s="1"/>
  <c r="AH109" i="8"/>
  <c r="W109" i="8"/>
  <c r="AX109" i="8" s="1"/>
  <c r="X109" i="8"/>
  <c r="AY109" i="8" s="1"/>
  <c r="AR114" i="7"/>
  <c r="BN114" i="7" s="1"/>
  <c r="AQ114" i="7"/>
  <c r="AT109" i="7"/>
  <c r="BA108" i="8"/>
  <c r="AP113" i="8"/>
  <c r="C113" i="8"/>
  <c r="B114" i="8"/>
  <c r="A115" i="8"/>
  <c r="C115" i="7"/>
  <c r="AP115" i="7"/>
  <c r="O111" i="7"/>
  <c r="L111" i="7"/>
  <c r="AE111" i="7" s="1"/>
  <c r="BF111" i="7" s="1"/>
  <c r="X121" i="9"/>
  <c r="L121" i="9"/>
  <c r="F121" i="9"/>
  <c r="Q121" i="9"/>
  <c r="O121" i="9"/>
  <c r="E112" i="8" s="1"/>
  <c r="T121" i="9"/>
  <c r="S121" i="9"/>
  <c r="D112" i="7" s="1"/>
  <c r="I112" i="7" s="1"/>
  <c r="R121" i="9"/>
  <c r="N121" i="9"/>
  <c r="W121" i="9"/>
  <c r="P121" i="9"/>
  <c r="Z121" i="9"/>
  <c r="M121" i="9"/>
  <c r="I121" i="9"/>
  <c r="E112" i="7" s="1"/>
  <c r="AA121" i="9"/>
  <c r="E121" i="9"/>
  <c r="V121" i="9"/>
  <c r="D121" i="9"/>
  <c r="G121" i="9"/>
  <c r="Y121" i="9"/>
  <c r="D112" i="8" s="1"/>
  <c r="I112" i="8" s="1"/>
  <c r="H121" i="9"/>
  <c r="K121" i="9"/>
  <c r="U121" i="9"/>
  <c r="J121" i="9"/>
  <c r="B122" i="9"/>
  <c r="C123" i="9"/>
  <c r="N110" i="7"/>
  <c r="M110" i="8"/>
  <c r="H110" i="8"/>
  <c r="N110" i="8" s="1"/>
  <c r="S110" i="8"/>
  <c r="U110" i="8"/>
  <c r="AV110" i="8" s="1"/>
  <c r="T110" i="8"/>
  <c r="AU110" i="8" s="1"/>
  <c r="L111" i="8"/>
  <c r="AE111" i="8" s="1"/>
  <c r="BF111" i="8" s="1"/>
  <c r="O111" i="8"/>
  <c r="J110" i="7"/>
  <c r="AH109" i="7"/>
  <c r="W109" i="7"/>
  <c r="AX109" i="7" s="1"/>
  <c r="X109" i="7"/>
  <c r="AY109" i="7" s="1"/>
  <c r="U109" i="7"/>
  <c r="AV109" i="7" s="1"/>
  <c r="A117" i="7"/>
  <c r="B116" i="7"/>
  <c r="BB109" i="7"/>
  <c r="BB109" i="8"/>
  <c r="AI109" i="7"/>
  <c r="AC109" i="7"/>
  <c r="BD109" i="7" s="1"/>
  <c r="AD109" i="7"/>
  <c r="BE109" i="7" s="1"/>
  <c r="AB109" i="7"/>
  <c r="BC109" i="7" s="1"/>
  <c r="BL108" i="8"/>
  <c r="AN108" i="8"/>
  <c r="BO108" i="8" s="1"/>
  <c r="AG108" i="8" l="1"/>
  <c r="BH108" i="8" s="1"/>
  <c r="AN108" i="7"/>
  <c r="BO108" i="7" s="1"/>
  <c r="AG108" i="7"/>
  <c r="BH108" i="7" s="1"/>
  <c r="K111" i="7"/>
  <c r="AA111" i="7" s="1"/>
  <c r="BB111" i="7" s="1"/>
  <c r="M111" i="7"/>
  <c r="X111" i="7" s="1"/>
  <c r="AY111" i="7" s="1"/>
  <c r="S111" i="7"/>
  <c r="AT111" i="7" s="1"/>
  <c r="T111" i="7"/>
  <c r="AU111" i="7" s="1"/>
  <c r="U111" i="8"/>
  <c r="AV111" i="8" s="1"/>
  <c r="K111" i="8"/>
  <c r="AA111" i="8" s="1"/>
  <c r="BB111" i="8" s="1"/>
  <c r="S111" i="8"/>
  <c r="AT111" i="8" s="1"/>
  <c r="T111" i="8"/>
  <c r="AU111" i="8" s="1"/>
  <c r="H111" i="8"/>
  <c r="N111" i="8" s="1"/>
  <c r="AB111" i="8" s="1"/>
  <c r="BC111" i="8" s="1"/>
  <c r="U110" i="7"/>
  <c r="AV110" i="7" s="1"/>
  <c r="X110" i="7"/>
  <c r="AY110" i="7" s="1"/>
  <c r="W110" i="7"/>
  <c r="AX110" i="7" s="1"/>
  <c r="J110" i="8"/>
  <c r="G112" i="7"/>
  <c r="K112" i="7" s="1"/>
  <c r="AA112" i="7" s="1"/>
  <c r="BB112" i="7" s="1"/>
  <c r="G112" i="8"/>
  <c r="S112" i="8" s="1"/>
  <c r="Z109" i="7"/>
  <c r="BA109" i="7" s="1"/>
  <c r="C124" i="9"/>
  <c r="B123" i="9"/>
  <c r="Z109" i="8"/>
  <c r="BI109" i="8"/>
  <c r="AK109" i="8"/>
  <c r="AJ109" i="8"/>
  <c r="BK109" i="8" s="1"/>
  <c r="AI110" i="7"/>
  <c r="AJ110" i="7" s="1"/>
  <c r="BK110" i="7" s="1"/>
  <c r="AC110" i="7"/>
  <c r="BD110" i="7" s="1"/>
  <c r="AD110" i="7"/>
  <c r="BE110" i="7" s="1"/>
  <c r="AB110" i="7"/>
  <c r="AF109" i="8"/>
  <c r="BG109" i="8" s="1"/>
  <c r="AI111" i="7"/>
  <c r="AC111" i="7"/>
  <c r="BD111" i="7" s="1"/>
  <c r="AD111" i="7"/>
  <c r="BE111" i="7" s="1"/>
  <c r="AB111" i="7"/>
  <c r="BC111" i="7" s="1"/>
  <c r="AT110" i="8"/>
  <c r="AR113" i="8"/>
  <c r="BN113" i="8" s="1"/>
  <c r="AQ113" i="8"/>
  <c r="BJ109" i="7"/>
  <c r="AL109" i="7"/>
  <c r="BM109" i="7" s="1"/>
  <c r="L122" i="9"/>
  <c r="X122" i="9"/>
  <c r="F122" i="9"/>
  <c r="R122" i="9"/>
  <c r="Y122" i="9"/>
  <c r="D113" i="8" s="1"/>
  <c r="I113" i="8" s="1"/>
  <c r="D122" i="9"/>
  <c r="E122" i="9"/>
  <c r="V122" i="9"/>
  <c r="I122" i="9"/>
  <c r="E113" i="7" s="1"/>
  <c r="O122" i="9"/>
  <c r="E113" i="8" s="1"/>
  <c r="H122" i="9"/>
  <c r="K122" i="9"/>
  <c r="J122" i="9"/>
  <c r="T122" i="9"/>
  <c r="AA122" i="9"/>
  <c r="Z122" i="9"/>
  <c r="M122" i="9"/>
  <c r="P122" i="9"/>
  <c r="Q122" i="9"/>
  <c r="W122" i="9"/>
  <c r="U122" i="9"/>
  <c r="N122" i="9"/>
  <c r="S122" i="9"/>
  <c r="D113" i="7" s="1"/>
  <c r="I113" i="7" s="1"/>
  <c r="G122" i="9"/>
  <c r="AP116" i="7"/>
  <c r="C116" i="7"/>
  <c r="B117" i="7"/>
  <c r="A118" i="7"/>
  <c r="AI110" i="8"/>
  <c r="AC110" i="8"/>
  <c r="BD110" i="8" s="1"/>
  <c r="AD110" i="8"/>
  <c r="BE110" i="8" s="1"/>
  <c r="AB110" i="8"/>
  <c r="AR115" i="7"/>
  <c r="BN115" i="7" s="1"/>
  <c r="AQ115" i="7"/>
  <c r="J111" i="7"/>
  <c r="AK110" i="7"/>
  <c r="BI110" i="7"/>
  <c r="AF109" i="7"/>
  <c r="BG109" i="7" s="1"/>
  <c r="AH111" i="8"/>
  <c r="W111" i="8"/>
  <c r="AX111" i="8" s="1"/>
  <c r="X111" i="8"/>
  <c r="AY111" i="8" s="1"/>
  <c r="AH110" i="8"/>
  <c r="W110" i="8"/>
  <c r="AX110" i="8" s="1"/>
  <c r="X110" i="8"/>
  <c r="AY110" i="8" s="1"/>
  <c r="O112" i="8"/>
  <c r="L112" i="8"/>
  <c r="AE112" i="8" s="1"/>
  <c r="BF112" i="8" s="1"/>
  <c r="B115" i="8"/>
  <c r="A116" i="8"/>
  <c r="AK109" i="7"/>
  <c r="AJ109" i="7"/>
  <c r="BK109" i="7" s="1"/>
  <c r="BI109" i="7"/>
  <c r="AL109" i="8"/>
  <c r="BM109" i="8" s="1"/>
  <c r="BJ109" i="8"/>
  <c r="O112" i="7"/>
  <c r="L112" i="7"/>
  <c r="AE112" i="7" s="1"/>
  <c r="BF112" i="7" s="1"/>
  <c r="AP114" i="8"/>
  <c r="C114" i="8"/>
  <c r="U111" i="7" l="1"/>
  <c r="AV111" i="7" s="1"/>
  <c r="W111" i="7"/>
  <c r="AX111" i="7" s="1"/>
  <c r="AH111" i="7"/>
  <c r="AJ111" i="7" s="1"/>
  <c r="BK111" i="7" s="1"/>
  <c r="J111" i="8"/>
  <c r="AC111" i="8"/>
  <c r="BD111" i="8" s="1"/>
  <c r="Z110" i="7"/>
  <c r="BA110" i="7" s="1"/>
  <c r="AD111" i="8"/>
  <c r="BE111" i="8" s="1"/>
  <c r="AI111" i="8"/>
  <c r="BJ111" i="8" s="1"/>
  <c r="H112" i="7"/>
  <c r="N112" i="7" s="1"/>
  <c r="AD112" i="7" s="1"/>
  <c r="BE112" i="7" s="1"/>
  <c r="Z111" i="8"/>
  <c r="BA111" i="8" s="1"/>
  <c r="K112" i="8"/>
  <c r="AA112" i="8" s="1"/>
  <c r="BB112" i="8" s="1"/>
  <c r="G113" i="8"/>
  <c r="U113" i="8" s="1"/>
  <c r="AV113" i="8" s="1"/>
  <c r="U112" i="8"/>
  <c r="AV112" i="8" s="1"/>
  <c r="T112" i="8"/>
  <c r="AU112" i="8" s="1"/>
  <c r="M112" i="8"/>
  <c r="AH112" i="8" s="1"/>
  <c r="T112" i="7"/>
  <c r="AU112" i="7" s="1"/>
  <c r="H112" i="8"/>
  <c r="N112" i="8" s="1"/>
  <c r="AI112" i="8" s="1"/>
  <c r="S112" i="7"/>
  <c r="AT112" i="7" s="1"/>
  <c r="M112" i="7"/>
  <c r="X112" i="7" s="1"/>
  <c r="AY112" i="7" s="1"/>
  <c r="BC110" i="8"/>
  <c r="AF110" i="8"/>
  <c r="BG110" i="8" s="1"/>
  <c r="AJ110" i="8"/>
  <c r="BK110" i="8" s="1"/>
  <c r="BI110" i="8"/>
  <c r="AK110" i="8"/>
  <c r="AL110" i="8"/>
  <c r="BM110" i="8" s="1"/>
  <c r="BJ110" i="8"/>
  <c r="Z110" i="8"/>
  <c r="BJ111" i="7"/>
  <c r="AL111" i="7"/>
  <c r="BM111" i="7" s="1"/>
  <c r="AN109" i="8"/>
  <c r="BO109" i="8" s="1"/>
  <c r="BL109" i="8"/>
  <c r="AG109" i="7"/>
  <c r="BH109" i="7" s="1"/>
  <c r="BL109" i="7"/>
  <c r="AN109" i="7"/>
  <c r="BO109" i="7" s="1"/>
  <c r="BC110" i="7"/>
  <c r="AF110" i="7"/>
  <c r="BG110" i="7" s="1"/>
  <c r="AR114" i="8"/>
  <c r="BN114" i="8" s="1"/>
  <c r="AQ114" i="8"/>
  <c r="BA109" i="8"/>
  <c r="AG109" i="8"/>
  <c r="BH109" i="8" s="1"/>
  <c r="AP115" i="8"/>
  <c r="C115" i="8"/>
  <c r="BL110" i="7"/>
  <c r="AT112" i="8"/>
  <c r="R123" i="9"/>
  <c r="F123" i="9"/>
  <c r="L123" i="9"/>
  <c r="X123" i="9"/>
  <c r="U123" i="9"/>
  <c r="S123" i="9"/>
  <c r="D114" i="7" s="1"/>
  <c r="I114" i="7" s="1"/>
  <c r="Q123" i="9"/>
  <c r="O123" i="9"/>
  <c r="E114" i="8" s="1"/>
  <c r="Y123" i="9"/>
  <c r="D114" i="8" s="1"/>
  <c r="I114" i="8" s="1"/>
  <c r="V123" i="9"/>
  <c r="I123" i="9"/>
  <c r="E114" i="7" s="1"/>
  <c r="E123" i="9"/>
  <c r="G123" i="9"/>
  <c r="J123" i="9"/>
  <c r="M123" i="9"/>
  <c r="D123" i="9"/>
  <c r="P123" i="9"/>
  <c r="H123" i="9"/>
  <c r="K123" i="9"/>
  <c r="W123" i="9"/>
  <c r="T123" i="9"/>
  <c r="AA123" i="9"/>
  <c r="N123" i="9"/>
  <c r="Z123" i="9"/>
  <c r="C117" i="7"/>
  <c r="AP117" i="7"/>
  <c r="AL110" i="7"/>
  <c r="BM110" i="7" s="1"/>
  <c r="BJ110" i="7"/>
  <c r="B124" i="9"/>
  <c r="C125" i="9"/>
  <c r="L113" i="7"/>
  <c r="AE113" i="7" s="1"/>
  <c r="BF113" i="7" s="1"/>
  <c r="O113" i="7"/>
  <c r="BI111" i="8"/>
  <c r="AK111" i="8"/>
  <c r="B118" i="7"/>
  <c r="A119" i="7"/>
  <c r="B116" i="8"/>
  <c r="A117" i="8"/>
  <c r="G113" i="7"/>
  <c r="O113" i="8"/>
  <c r="L113" i="8"/>
  <c r="AE113" i="8" s="1"/>
  <c r="BF113" i="8" s="1"/>
  <c r="AQ116" i="7"/>
  <c r="AR116" i="7"/>
  <c r="BN116" i="7" s="1"/>
  <c r="AF111" i="7"/>
  <c r="BG111" i="7" s="1"/>
  <c r="BI111" i="7" l="1"/>
  <c r="AK111" i="7"/>
  <c r="AN111" i="7" s="1"/>
  <c r="BO111" i="7" s="1"/>
  <c r="AJ111" i="8"/>
  <c r="BK111" i="8" s="1"/>
  <c r="AF111" i="8"/>
  <c r="BG111" i="8" s="1"/>
  <c r="Z111" i="7"/>
  <c r="AG111" i="7" s="1"/>
  <c r="BH111" i="7" s="1"/>
  <c r="AL111" i="8"/>
  <c r="BM111" i="8" s="1"/>
  <c r="J112" i="7"/>
  <c r="H113" i="8"/>
  <c r="J113" i="8" s="1"/>
  <c r="AC112" i="7"/>
  <c r="BD112" i="7" s="1"/>
  <c r="AI112" i="7"/>
  <c r="BJ112" i="7" s="1"/>
  <c r="S113" i="8"/>
  <c r="AT113" i="8" s="1"/>
  <c r="M113" i="8"/>
  <c r="AH113" i="8" s="1"/>
  <c r="K113" i="8"/>
  <c r="AA113" i="8" s="1"/>
  <c r="BB113" i="8" s="1"/>
  <c r="AB112" i="7"/>
  <c r="BC112" i="7" s="1"/>
  <c r="X112" i="8"/>
  <c r="AY112" i="8" s="1"/>
  <c r="W112" i="7"/>
  <c r="AX112" i="7" s="1"/>
  <c r="W112" i="8"/>
  <c r="AX112" i="8" s="1"/>
  <c r="AC112" i="8"/>
  <c r="BD112" i="8" s="1"/>
  <c r="AD112" i="8"/>
  <c r="BE112" i="8" s="1"/>
  <c r="AH112" i="7"/>
  <c r="BI112" i="7" s="1"/>
  <c r="T113" i="8"/>
  <c r="AU113" i="8" s="1"/>
  <c r="AB112" i="8"/>
  <c r="BC112" i="8" s="1"/>
  <c r="AN110" i="7"/>
  <c r="BO110" i="7" s="1"/>
  <c r="G114" i="8"/>
  <c r="K114" i="8" s="1"/>
  <c r="AA114" i="8" s="1"/>
  <c r="BB114" i="8" s="1"/>
  <c r="U112" i="7"/>
  <c r="AV112" i="7" s="1"/>
  <c r="G114" i="7"/>
  <c r="K114" i="7" s="1"/>
  <c r="AA114" i="7" s="1"/>
  <c r="J112" i="8"/>
  <c r="BL110" i="8"/>
  <c r="AN110" i="8"/>
  <c r="BO110" i="8" s="1"/>
  <c r="BJ112" i="8"/>
  <c r="AL112" i="8"/>
  <c r="BM112" i="8" s="1"/>
  <c r="O114" i="8"/>
  <c r="L114" i="8"/>
  <c r="AE114" i="8" s="1"/>
  <c r="BF114" i="8" s="1"/>
  <c r="O114" i="7"/>
  <c r="L114" i="7"/>
  <c r="AE114" i="7" s="1"/>
  <c r="BF114" i="7" s="1"/>
  <c r="BA110" i="8"/>
  <c r="AG110" i="8"/>
  <c r="BH110" i="8" s="1"/>
  <c r="BL111" i="8"/>
  <c r="AP116" i="8"/>
  <c r="C116" i="8"/>
  <c r="C126" i="9"/>
  <c r="B125" i="9"/>
  <c r="A118" i="8"/>
  <c r="B117" i="8"/>
  <c r="AR115" i="8"/>
  <c r="BN115" i="8" s="1"/>
  <c r="AQ115" i="8"/>
  <c r="C118" i="7"/>
  <c r="AP118" i="7"/>
  <c r="BI112" i="8"/>
  <c r="AK112" i="8"/>
  <c r="AJ112" i="8"/>
  <c r="BK112" i="8" s="1"/>
  <c r="R124" i="9"/>
  <c r="L124" i="9"/>
  <c r="F124" i="9"/>
  <c r="Z124" i="9"/>
  <c r="X124" i="9"/>
  <c r="H124" i="9"/>
  <c r="K124" i="9"/>
  <c r="D124" i="9"/>
  <c r="G124" i="9"/>
  <c r="W124" i="9"/>
  <c r="T124" i="9"/>
  <c r="O124" i="9"/>
  <c r="E115" i="8" s="1"/>
  <c r="M124" i="9"/>
  <c r="N124" i="9"/>
  <c r="I124" i="9"/>
  <c r="E115" i="7" s="1"/>
  <c r="S124" i="9"/>
  <c r="D115" i="7" s="1"/>
  <c r="I115" i="7" s="1"/>
  <c r="E124" i="9"/>
  <c r="U124" i="9"/>
  <c r="Y124" i="9"/>
  <c r="D115" i="8" s="1"/>
  <c r="I115" i="8" s="1"/>
  <c r="V124" i="9"/>
  <c r="J124" i="9"/>
  <c r="P124" i="9"/>
  <c r="Q124" i="9"/>
  <c r="AA124" i="9"/>
  <c r="H113" i="7"/>
  <c r="N113" i="7" s="1"/>
  <c r="M113" i="7"/>
  <c r="S113" i="7"/>
  <c r="T113" i="7"/>
  <c r="AU113" i="7" s="1"/>
  <c r="K113" i="7"/>
  <c r="AA113" i="7" s="1"/>
  <c r="AR117" i="7"/>
  <c r="BN117" i="7" s="1"/>
  <c r="AQ117" i="7"/>
  <c r="AG110" i="7"/>
  <c r="BH110" i="7" s="1"/>
  <c r="A120" i="7"/>
  <c r="B119" i="7"/>
  <c r="BA111" i="7" l="1"/>
  <c r="BL111" i="7"/>
  <c r="AG111" i="8"/>
  <c r="BH111" i="8" s="1"/>
  <c r="N113" i="8"/>
  <c r="AI113" i="8" s="1"/>
  <c r="AL113" i="8" s="1"/>
  <c r="BM113" i="8" s="1"/>
  <c r="AN111" i="8"/>
  <c r="BO111" i="8" s="1"/>
  <c r="AL112" i="7"/>
  <c r="BM112" i="7" s="1"/>
  <c r="AF112" i="7"/>
  <c r="BG112" i="7" s="1"/>
  <c r="M114" i="7"/>
  <c r="W114" i="7" s="1"/>
  <c r="AX114" i="7" s="1"/>
  <c r="T114" i="7"/>
  <c r="AU114" i="7" s="1"/>
  <c r="X113" i="8"/>
  <c r="AY113" i="8" s="1"/>
  <c r="AD113" i="8"/>
  <c r="BE113" i="8" s="1"/>
  <c r="AB113" i="8"/>
  <c r="BC113" i="8" s="1"/>
  <c r="W113" i="8"/>
  <c r="AX113" i="8" s="1"/>
  <c r="AK112" i="7"/>
  <c r="Z112" i="8"/>
  <c r="BA112" i="8" s="1"/>
  <c r="AJ112" i="7"/>
  <c r="BK112" i="7" s="1"/>
  <c r="AF112" i="8"/>
  <c r="BG112" i="8" s="1"/>
  <c r="G115" i="8"/>
  <c r="M115" i="8" s="1"/>
  <c r="T114" i="8"/>
  <c r="AU114" i="8" s="1"/>
  <c r="U114" i="8"/>
  <c r="AV114" i="8" s="1"/>
  <c r="S114" i="8"/>
  <c r="AT114" i="8" s="1"/>
  <c r="H114" i="8"/>
  <c r="N114" i="8" s="1"/>
  <c r="AI114" i="8" s="1"/>
  <c r="M114" i="8"/>
  <c r="W114" i="8" s="1"/>
  <c r="AX114" i="8" s="1"/>
  <c r="S114" i="7"/>
  <c r="AT114" i="7" s="1"/>
  <c r="Z112" i="7"/>
  <c r="BA112" i="7" s="1"/>
  <c r="H114" i="7"/>
  <c r="N114" i="7" s="1"/>
  <c r="J113" i="7"/>
  <c r="AI113" i="7"/>
  <c r="AC113" i="7"/>
  <c r="BD113" i="7" s="1"/>
  <c r="AD113" i="7"/>
  <c r="BE113" i="7" s="1"/>
  <c r="AB113" i="7"/>
  <c r="BC113" i="7" s="1"/>
  <c r="AP117" i="8"/>
  <c r="C117" i="8"/>
  <c r="X125" i="9"/>
  <c r="L125" i="9"/>
  <c r="R125" i="9"/>
  <c r="F125" i="9"/>
  <c r="T125" i="9"/>
  <c r="G125" i="9"/>
  <c r="U125" i="9"/>
  <c r="K125" i="9"/>
  <c r="W125" i="9"/>
  <c r="N125" i="9"/>
  <c r="Z125" i="9"/>
  <c r="D125" i="9"/>
  <c r="P125" i="9"/>
  <c r="O125" i="9"/>
  <c r="E116" i="8" s="1"/>
  <c r="J125" i="9"/>
  <c r="I125" i="9"/>
  <c r="E116" i="7" s="1"/>
  <c r="M125" i="9"/>
  <c r="V125" i="9"/>
  <c r="H125" i="9"/>
  <c r="Y125" i="9"/>
  <c r="D116" i="8" s="1"/>
  <c r="I116" i="8" s="1"/>
  <c r="Q125" i="9"/>
  <c r="E125" i="9"/>
  <c r="S125" i="9"/>
  <c r="D116" i="7" s="1"/>
  <c r="I116" i="7" s="1"/>
  <c r="AA125" i="9"/>
  <c r="AN112" i="8"/>
  <c r="BO112" i="8" s="1"/>
  <c r="BL112" i="8"/>
  <c r="C127" i="9"/>
  <c r="B126" i="9"/>
  <c r="AR116" i="8"/>
  <c r="BN116" i="8" s="1"/>
  <c r="AQ116" i="8"/>
  <c r="AR118" i="7"/>
  <c r="BN118" i="7" s="1"/>
  <c r="AQ118" i="7"/>
  <c r="B118" i="8"/>
  <c r="A119" i="8"/>
  <c r="AJ113" i="8"/>
  <c r="BK113" i="8" s="1"/>
  <c r="AK113" i="8"/>
  <c r="BI113" i="8"/>
  <c r="O115" i="8"/>
  <c r="L115" i="8"/>
  <c r="AE115" i="8" s="1"/>
  <c r="BF115" i="8" s="1"/>
  <c r="AP119" i="7"/>
  <c r="C119" i="7"/>
  <c r="AT113" i="7"/>
  <c r="O115" i="7"/>
  <c r="L115" i="7"/>
  <c r="AE115" i="7" s="1"/>
  <c r="BF115" i="7" s="1"/>
  <c r="BB113" i="7"/>
  <c r="B120" i="7"/>
  <c r="A121" i="7"/>
  <c r="AH113" i="7"/>
  <c r="W113" i="7"/>
  <c r="AX113" i="7" s="1"/>
  <c r="X113" i="7"/>
  <c r="AY113" i="7" s="1"/>
  <c r="U113" i="7"/>
  <c r="AV113" i="7" s="1"/>
  <c r="BB114" i="7"/>
  <c r="G115" i="7"/>
  <c r="BJ113" i="8" l="1"/>
  <c r="AC113" i="8"/>
  <c r="BD113" i="8" s="1"/>
  <c r="U114" i="7"/>
  <c r="AV114" i="7" s="1"/>
  <c r="AN112" i="7"/>
  <c r="BO112" i="7" s="1"/>
  <c r="X114" i="7"/>
  <c r="AY114" i="7" s="1"/>
  <c r="AH114" i="7"/>
  <c r="Z113" i="8"/>
  <c r="BA113" i="8" s="1"/>
  <c r="AG112" i="8"/>
  <c r="BH112" i="8" s="1"/>
  <c r="BL112" i="7"/>
  <c r="K115" i="8"/>
  <c r="AA115" i="8" s="1"/>
  <c r="BB115" i="8" s="1"/>
  <c r="U115" i="8"/>
  <c r="AV115" i="8" s="1"/>
  <c r="T115" i="8"/>
  <c r="AU115" i="8" s="1"/>
  <c r="H115" i="8"/>
  <c r="N115" i="8" s="1"/>
  <c r="AB115" i="8" s="1"/>
  <c r="BC115" i="8" s="1"/>
  <c r="AH114" i="8"/>
  <c r="AJ114" i="8" s="1"/>
  <c r="BK114" i="8" s="1"/>
  <c r="S115" i="8"/>
  <c r="AT115" i="8" s="1"/>
  <c r="J114" i="8"/>
  <c r="AB114" i="8"/>
  <c r="BC114" i="8" s="1"/>
  <c r="AD114" i="8"/>
  <c r="BE114" i="8" s="1"/>
  <c r="AC114" i="8"/>
  <c r="BD114" i="8" s="1"/>
  <c r="J114" i="7"/>
  <c r="X114" i="8"/>
  <c r="AY114" i="8" s="1"/>
  <c r="AG112" i="7"/>
  <c r="BH112" i="7" s="1"/>
  <c r="G116" i="8"/>
  <c r="U116" i="8" s="1"/>
  <c r="AV116" i="8" s="1"/>
  <c r="AF113" i="7"/>
  <c r="BG113" i="7" s="1"/>
  <c r="Z113" i="7"/>
  <c r="BA113" i="7" s="1"/>
  <c r="C120" i="7"/>
  <c r="AP120" i="7"/>
  <c r="AI114" i="7"/>
  <c r="AC114" i="7"/>
  <c r="BD114" i="7" s="1"/>
  <c r="AD114" i="7"/>
  <c r="BE114" i="7" s="1"/>
  <c r="AB114" i="7"/>
  <c r="H115" i="7"/>
  <c r="N115" i="7" s="1"/>
  <c r="M115" i="7"/>
  <c r="S115" i="7"/>
  <c r="T115" i="7"/>
  <c r="AU115" i="7" s="1"/>
  <c r="K115" i="7"/>
  <c r="AA115" i="7" s="1"/>
  <c r="AQ117" i="8"/>
  <c r="AR117" i="8"/>
  <c r="BN117" i="8" s="1"/>
  <c r="AH115" i="8"/>
  <c r="W115" i="8"/>
  <c r="AX115" i="8" s="1"/>
  <c r="X115" i="8"/>
  <c r="AY115" i="8" s="1"/>
  <c r="AQ119" i="7"/>
  <c r="AR119" i="7"/>
  <c r="BN119" i="7" s="1"/>
  <c r="C118" i="8"/>
  <c r="AP118" i="8"/>
  <c r="O116" i="8"/>
  <c r="L116" i="8"/>
  <c r="AE116" i="8" s="1"/>
  <c r="BF116" i="8" s="1"/>
  <c r="L116" i="7"/>
  <c r="AE116" i="7" s="1"/>
  <c r="BF116" i="7" s="1"/>
  <c r="O116" i="7"/>
  <c r="AK113" i="7"/>
  <c r="AJ113" i="7"/>
  <c r="BK113" i="7" s="1"/>
  <c r="BI113" i="7"/>
  <c r="BJ114" i="8"/>
  <c r="AL114" i="8"/>
  <c r="BM114" i="8" s="1"/>
  <c r="G116" i="7"/>
  <c r="K116" i="7" s="1"/>
  <c r="AA116" i="7" s="1"/>
  <c r="AL113" i="7"/>
  <c r="BM113" i="7" s="1"/>
  <c r="BJ113" i="7"/>
  <c r="BI114" i="7"/>
  <c r="AK114" i="7"/>
  <c r="BL113" i="8"/>
  <c r="AN113" i="8"/>
  <c r="BO113" i="8" s="1"/>
  <c r="F126" i="9"/>
  <c r="R126" i="9"/>
  <c r="L126" i="9"/>
  <c r="AA126" i="9"/>
  <c r="X126" i="9"/>
  <c r="W126" i="9"/>
  <c r="J126" i="9"/>
  <c r="K126" i="9"/>
  <c r="Q126" i="9"/>
  <c r="M126" i="9"/>
  <c r="E126" i="9"/>
  <c r="D126" i="9"/>
  <c r="U126" i="9"/>
  <c r="G126" i="9"/>
  <c r="S126" i="9"/>
  <c r="D117" i="7" s="1"/>
  <c r="I117" i="7" s="1"/>
  <c r="Z126" i="9"/>
  <c r="O126" i="9"/>
  <c r="E117" i="8" s="1"/>
  <c r="T126" i="9"/>
  <c r="I126" i="9"/>
  <c r="E117" i="7" s="1"/>
  <c r="V126" i="9"/>
  <c r="Y126" i="9"/>
  <c r="D117" i="8" s="1"/>
  <c r="I117" i="8" s="1"/>
  <c r="P126" i="9"/>
  <c r="H126" i="9"/>
  <c r="N126" i="9"/>
  <c r="B121" i="7"/>
  <c r="A122" i="7"/>
  <c r="A120" i="8"/>
  <c r="B119" i="8"/>
  <c r="C128" i="9"/>
  <c r="B127" i="9"/>
  <c r="AF113" i="8" l="1"/>
  <c r="BG113" i="8" s="1"/>
  <c r="Z114" i="7"/>
  <c r="BA114" i="7" s="1"/>
  <c r="AG113" i="8"/>
  <c r="BH113" i="8" s="1"/>
  <c r="AJ114" i="7"/>
  <c r="BK114" i="7" s="1"/>
  <c r="AK114" i="8"/>
  <c r="AN114" i="8" s="1"/>
  <c r="BO114" i="8" s="1"/>
  <c r="BI114" i="8"/>
  <c r="J115" i="8"/>
  <c r="AF114" i="8"/>
  <c r="BG114" i="8" s="1"/>
  <c r="Z114" i="8"/>
  <c r="BA114" i="8" s="1"/>
  <c r="AI115" i="8"/>
  <c r="AJ115" i="8" s="1"/>
  <c r="BK115" i="8" s="1"/>
  <c r="G117" i="7"/>
  <c r="H117" i="7" s="1"/>
  <c r="K116" i="8"/>
  <c r="AA116" i="8" s="1"/>
  <c r="BB116" i="8" s="1"/>
  <c r="AG113" i="7"/>
  <c r="BH113" i="7" s="1"/>
  <c r="S116" i="8"/>
  <c r="AT116" i="8" s="1"/>
  <c r="AD115" i="8"/>
  <c r="BE115" i="8" s="1"/>
  <c r="M116" i="8"/>
  <c r="W116" i="8" s="1"/>
  <c r="AX116" i="8" s="1"/>
  <c r="AC115" i="8"/>
  <c r="BD115" i="8" s="1"/>
  <c r="J115" i="7"/>
  <c r="H116" i="8"/>
  <c r="N116" i="8" s="1"/>
  <c r="AI116" i="8" s="1"/>
  <c r="T116" i="8"/>
  <c r="AU116" i="8" s="1"/>
  <c r="Z115" i="8"/>
  <c r="BA115" i="8" s="1"/>
  <c r="BB116" i="7"/>
  <c r="O117" i="8"/>
  <c r="L117" i="8"/>
  <c r="AE117" i="8" s="1"/>
  <c r="BF117" i="8" s="1"/>
  <c r="BJ114" i="7"/>
  <c r="AL114" i="7"/>
  <c r="BM114" i="7" s="1"/>
  <c r="AR120" i="7"/>
  <c r="BN120" i="7" s="1"/>
  <c r="AQ120" i="7"/>
  <c r="BL114" i="7"/>
  <c r="G117" i="8"/>
  <c r="BB115" i="7"/>
  <c r="O117" i="7"/>
  <c r="L117" i="7"/>
  <c r="AE117" i="7" s="1"/>
  <c r="BF117" i="7" s="1"/>
  <c r="AT115" i="7"/>
  <c r="B128" i="9"/>
  <c r="C129" i="9"/>
  <c r="C119" i="8"/>
  <c r="AP119" i="8"/>
  <c r="AN113" i="7"/>
  <c r="BO113" i="7" s="1"/>
  <c r="BL113" i="7"/>
  <c r="A123" i="7"/>
  <c r="B122" i="7"/>
  <c r="AH115" i="7"/>
  <c r="W115" i="7"/>
  <c r="AX115" i="7" s="1"/>
  <c r="X115" i="7"/>
  <c r="AY115" i="7" s="1"/>
  <c r="U115" i="7"/>
  <c r="AV115" i="7" s="1"/>
  <c r="R127" i="9"/>
  <c r="F127" i="9"/>
  <c r="L127" i="9"/>
  <c r="X127" i="9"/>
  <c r="W127" i="9"/>
  <c r="Y127" i="9"/>
  <c r="D118" i="8" s="1"/>
  <c r="I118" i="8" s="1"/>
  <c r="M127" i="9"/>
  <c r="G127" i="9"/>
  <c r="H127" i="9"/>
  <c r="J127" i="9"/>
  <c r="P127" i="9"/>
  <c r="E127" i="9"/>
  <c r="S127" i="9"/>
  <c r="D118" i="7" s="1"/>
  <c r="I118" i="7" s="1"/>
  <c r="K127" i="9"/>
  <c r="N127" i="9"/>
  <c r="AA127" i="9"/>
  <c r="Z127" i="9"/>
  <c r="D127" i="9"/>
  <c r="O127" i="9"/>
  <c r="E118" i="8" s="1"/>
  <c r="T127" i="9"/>
  <c r="Q127" i="9"/>
  <c r="V127" i="9"/>
  <c r="I127" i="9"/>
  <c r="E118" i="7" s="1"/>
  <c r="U127" i="9"/>
  <c r="H116" i="7"/>
  <c r="N116" i="7" s="1"/>
  <c r="M116" i="7"/>
  <c r="T116" i="7"/>
  <c r="AU116" i="7" s="1"/>
  <c r="S116" i="7"/>
  <c r="A121" i="8"/>
  <c r="B120" i="8"/>
  <c r="C121" i="7"/>
  <c r="AP121" i="7"/>
  <c r="AQ118" i="8"/>
  <c r="AR118" i="8"/>
  <c r="BN118" i="8" s="1"/>
  <c r="AI115" i="7"/>
  <c r="AC115" i="7"/>
  <c r="BD115" i="7" s="1"/>
  <c r="AD115" i="7"/>
  <c r="BE115" i="7" s="1"/>
  <c r="AB115" i="7"/>
  <c r="BC115" i="7" s="1"/>
  <c r="BI115" i="8"/>
  <c r="AK115" i="8"/>
  <c r="BC114" i="7"/>
  <c r="AF114" i="7"/>
  <c r="BG114" i="7" s="1"/>
  <c r="BL114" i="8" l="1"/>
  <c r="AG114" i="8"/>
  <c r="BH114" i="8" s="1"/>
  <c r="K117" i="7"/>
  <c r="AA117" i="7" s="1"/>
  <c r="BB117" i="7" s="1"/>
  <c r="AL115" i="8"/>
  <c r="BM115" i="8" s="1"/>
  <c r="BJ115" i="8"/>
  <c r="AN114" i="7"/>
  <c r="BO114" i="7" s="1"/>
  <c r="M117" i="7"/>
  <c r="AH117" i="7" s="1"/>
  <c r="AF115" i="8"/>
  <c r="BG115" i="8" s="1"/>
  <c r="S117" i="7"/>
  <c r="AT117" i="7" s="1"/>
  <c r="T117" i="7"/>
  <c r="AU117" i="7" s="1"/>
  <c r="AB116" i="8"/>
  <c r="BC116" i="8" s="1"/>
  <c r="AH116" i="8"/>
  <c r="AK116" i="8" s="1"/>
  <c r="AD116" i="8"/>
  <c r="BE116" i="8" s="1"/>
  <c r="J116" i="8"/>
  <c r="AC116" i="8"/>
  <c r="BD116" i="8" s="1"/>
  <c r="X116" i="8"/>
  <c r="AY116" i="8" s="1"/>
  <c r="G118" i="8"/>
  <c r="H118" i="8" s="1"/>
  <c r="J116" i="7"/>
  <c r="AG114" i="7"/>
  <c r="BH114" i="7" s="1"/>
  <c r="N117" i="7"/>
  <c r="AC117" i="7" s="1"/>
  <c r="BD117" i="7" s="1"/>
  <c r="G118" i="7"/>
  <c r="K118" i="7" s="1"/>
  <c r="AA118" i="7" s="1"/>
  <c r="BB118" i="7" s="1"/>
  <c r="AR121" i="7"/>
  <c r="BN121" i="7" s="1"/>
  <c r="AQ121" i="7"/>
  <c r="AR119" i="8"/>
  <c r="BN119" i="8" s="1"/>
  <c r="AQ119" i="8"/>
  <c r="C130" i="9"/>
  <c r="B129" i="9"/>
  <c r="J117" i="7"/>
  <c r="O118" i="8"/>
  <c r="L118" i="8"/>
  <c r="AE118" i="8" s="1"/>
  <c r="BF118" i="8" s="1"/>
  <c r="BJ116" i="8"/>
  <c r="AL116" i="8"/>
  <c r="BM116" i="8" s="1"/>
  <c r="AH116" i="7"/>
  <c r="W116" i="7"/>
  <c r="AX116" i="7" s="1"/>
  <c r="X116" i="7"/>
  <c r="AY116" i="7" s="1"/>
  <c r="U116" i="7"/>
  <c r="AV116" i="7" s="1"/>
  <c r="AK115" i="7"/>
  <c r="AJ115" i="7"/>
  <c r="BK115" i="7" s="1"/>
  <c r="BI115" i="7"/>
  <c r="X128" i="9"/>
  <c r="F128" i="9"/>
  <c r="R128" i="9"/>
  <c r="L128" i="9"/>
  <c r="E128" i="9"/>
  <c r="V128" i="9"/>
  <c r="M128" i="9"/>
  <c r="K128" i="9"/>
  <c r="Y128" i="9"/>
  <c r="D119" i="8" s="1"/>
  <c r="I119" i="8" s="1"/>
  <c r="I128" i="9"/>
  <c r="E119" i="7" s="1"/>
  <c r="S128" i="9"/>
  <c r="D119" i="7" s="1"/>
  <c r="I119" i="7" s="1"/>
  <c r="AA128" i="9"/>
  <c r="J128" i="9"/>
  <c r="P128" i="9"/>
  <c r="G128" i="9"/>
  <c r="Z128" i="9"/>
  <c r="O128" i="9"/>
  <c r="E119" i="8" s="1"/>
  <c r="N128" i="9"/>
  <c r="T128" i="9"/>
  <c r="Q128" i="9"/>
  <c r="W128" i="9"/>
  <c r="U128" i="9"/>
  <c r="D128" i="9"/>
  <c r="H128" i="9"/>
  <c r="AP120" i="8"/>
  <c r="C120" i="8"/>
  <c r="AP122" i="7"/>
  <c r="C122" i="7"/>
  <c r="Z115" i="7"/>
  <c r="AF115" i="7"/>
  <c r="BG115" i="7" s="1"/>
  <c r="Z116" i="8"/>
  <c r="B121" i="8"/>
  <c r="A122" i="8"/>
  <c r="AT116" i="7"/>
  <c r="BL115" i="8"/>
  <c r="AI116" i="7"/>
  <c r="AC116" i="7"/>
  <c r="BD116" i="7" s="1"/>
  <c r="AD116" i="7"/>
  <c r="BE116" i="7" s="1"/>
  <c r="AB116" i="7"/>
  <c r="B123" i="7"/>
  <c r="A124" i="7"/>
  <c r="BJ115" i="7"/>
  <c r="AL115" i="7"/>
  <c r="BM115" i="7" s="1"/>
  <c r="O118" i="7"/>
  <c r="L118" i="7"/>
  <c r="AE118" i="7" s="1"/>
  <c r="BF118" i="7" s="1"/>
  <c r="M117" i="8"/>
  <c r="H117" i="8"/>
  <c r="N117" i="8" s="1"/>
  <c r="S117" i="8"/>
  <c r="T117" i="8"/>
  <c r="AU117" i="8" s="1"/>
  <c r="U117" i="8"/>
  <c r="AV117" i="8" s="1"/>
  <c r="K117" i="8"/>
  <c r="AA117" i="8" s="1"/>
  <c r="AN115" i="8" l="1"/>
  <c r="BO115" i="8" s="1"/>
  <c r="U117" i="7"/>
  <c r="AV117" i="7" s="1"/>
  <c r="X117" i="7"/>
  <c r="AY117" i="7" s="1"/>
  <c r="W117" i="7"/>
  <c r="AX117" i="7" s="1"/>
  <c r="AJ116" i="8"/>
  <c r="BK116" i="8" s="1"/>
  <c r="BI116" i="8"/>
  <c r="AG115" i="8"/>
  <c r="BH115" i="8" s="1"/>
  <c r="AF116" i="8"/>
  <c r="BG116" i="8" s="1"/>
  <c r="T118" i="8"/>
  <c r="AU118" i="8" s="1"/>
  <c r="U118" i="8"/>
  <c r="AV118" i="8" s="1"/>
  <c r="K118" i="8"/>
  <c r="AA118" i="8" s="1"/>
  <c r="BB118" i="8" s="1"/>
  <c r="M118" i="8"/>
  <c r="AH118" i="8" s="1"/>
  <c r="S118" i="8"/>
  <c r="AT118" i="8" s="1"/>
  <c r="AI117" i="7"/>
  <c r="AL117" i="7" s="1"/>
  <c r="BM117" i="7" s="1"/>
  <c r="S118" i="7"/>
  <c r="AT118" i="7" s="1"/>
  <c r="N118" i="8"/>
  <c r="AI118" i="8" s="1"/>
  <c r="G119" i="8"/>
  <c r="K119" i="8" s="1"/>
  <c r="AA119" i="8" s="1"/>
  <c r="BB119" i="8" s="1"/>
  <c r="T118" i="7"/>
  <c r="AU118" i="7" s="1"/>
  <c r="M118" i="7"/>
  <c r="U118" i="7" s="1"/>
  <c r="AV118" i="7" s="1"/>
  <c r="H118" i="7"/>
  <c r="J118" i="8"/>
  <c r="AB117" i="7"/>
  <c r="BC117" i="7" s="1"/>
  <c r="J117" i="8"/>
  <c r="AD117" i="7"/>
  <c r="BE117" i="7" s="1"/>
  <c r="AK116" i="7"/>
  <c r="AJ116" i="7"/>
  <c r="BK116" i="7" s="1"/>
  <c r="BI116" i="7"/>
  <c r="AQ120" i="8"/>
  <c r="AR120" i="8"/>
  <c r="BN120" i="8" s="1"/>
  <c r="AL116" i="7"/>
  <c r="BM116" i="7" s="1"/>
  <c r="BJ116" i="7"/>
  <c r="BL116" i="8"/>
  <c r="AN116" i="8"/>
  <c r="BO116" i="8" s="1"/>
  <c r="C121" i="8"/>
  <c r="AP121" i="8"/>
  <c r="BB117" i="8"/>
  <c r="BA116" i="8"/>
  <c r="BI117" i="7"/>
  <c r="AK117" i="7"/>
  <c r="B124" i="7"/>
  <c r="A125" i="7"/>
  <c r="AI117" i="8"/>
  <c r="AC117" i="8"/>
  <c r="BD117" i="8" s="1"/>
  <c r="AD117" i="8"/>
  <c r="BE117" i="8" s="1"/>
  <c r="AB117" i="8"/>
  <c r="BC117" i="8" s="1"/>
  <c r="C123" i="7"/>
  <c r="AP123" i="7"/>
  <c r="BC116" i="7"/>
  <c r="AF116" i="7"/>
  <c r="BG116" i="7" s="1"/>
  <c r="BA115" i="7"/>
  <c r="AG115" i="7"/>
  <c r="BH115" i="7" s="1"/>
  <c r="L119" i="7"/>
  <c r="AE119" i="7" s="1"/>
  <c r="BF119" i="7" s="1"/>
  <c r="O119" i="7"/>
  <c r="X129" i="9"/>
  <c r="L129" i="9"/>
  <c r="R129" i="9"/>
  <c r="F129" i="9"/>
  <c r="E129" i="9"/>
  <c r="D129" i="9"/>
  <c r="K129" i="9"/>
  <c r="G129" i="9"/>
  <c r="H129" i="9"/>
  <c r="Y129" i="9"/>
  <c r="D120" i="8" s="1"/>
  <c r="I120" i="8" s="1"/>
  <c r="U129" i="9"/>
  <c r="T129" i="9"/>
  <c r="Q129" i="9"/>
  <c r="J129" i="9"/>
  <c r="V129" i="9"/>
  <c r="I129" i="9"/>
  <c r="E120" i="7" s="1"/>
  <c r="O129" i="9"/>
  <c r="E120" i="8" s="1"/>
  <c r="S129" i="9"/>
  <c r="D120" i="7" s="1"/>
  <c r="I120" i="7" s="1"/>
  <c r="N129" i="9"/>
  <c r="W129" i="9"/>
  <c r="P129" i="9"/>
  <c r="AA129" i="9"/>
  <c r="M129" i="9"/>
  <c r="Z129" i="9"/>
  <c r="Z116" i="7"/>
  <c r="A123" i="8"/>
  <c r="B122" i="8"/>
  <c r="AT117" i="8"/>
  <c r="AH117" i="8"/>
  <c r="W117" i="8"/>
  <c r="AX117" i="8" s="1"/>
  <c r="X117" i="8"/>
  <c r="AY117" i="8" s="1"/>
  <c r="G119" i="7"/>
  <c r="BL115" i="7"/>
  <c r="AN115" i="7"/>
  <c r="BO115" i="7" s="1"/>
  <c r="B130" i="9"/>
  <c r="C131" i="9"/>
  <c r="AQ122" i="7"/>
  <c r="AR122" i="7"/>
  <c r="BN122" i="7" s="1"/>
  <c r="O119" i="8"/>
  <c r="L119" i="8"/>
  <c r="AE119" i="8" s="1"/>
  <c r="BF119" i="8" s="1"/>
  <c r="Z117" i="7" l="1"/>
  <c r="AG116" i="8"/>
  <c r="BH116" i="8" s="1"/>
  <c r="AB118" i="8"/>
  <c r="BC118" i="8" s="1"/>
  <c r="AD118" i="8"/>
  <c r="BE118" i="8" s="1"/>
  <c r="AC118" i="8"/>
  <c r="BD118" i="8" s="1"/>
  <c r="AH118" i="7"/>
  <c r="BI118" i="7" s="1"/>
  <c r="W118" i="7"/>
  <c r="AX118" i="7" s="1"/>
  <c r="X118" i="8"/>
  <c r="AY118" i="8" s="1"/>
  <c r="W118" i="8"/>
  <c r="AX118" i="8" s="1"/>
  <c r="AJ117" i="7"/>
  <c r="BK117" i="7" s="1"/>
  <c r="BJ117" i="7"/>
  <c r="X118" i="7"/>
  <c r="AY118" i="7" s="1"/>
  <c r="U119" i="8"/>
  <c r="AV119" i="8" s="1"/>
  <c r="M119" i="8"/>
  <c r="X119" i="8" s="1"/>
  <c r="AY119" i="8" s="1"/>
  <c r="H119" i="8"/>
  <c r="N119" i="8" s="1"/>
  <c r="AB119" i="8" s="1"/>
  <c r="T119" i="8"/>
  <c r="AU119" i="8" s="1"/>
  <c r="S119" i="8"/>
  <c r="AT119" i="8" s="1"/>
  <c r="N118" i="7"/>
  <c r="J118" i="7"/>
  <c r="AF117" i="7"/>
  <c r="BG117" i="7" s="1"/>
  <c r="AQ121" i="8"/>
  <c r="AR121" i="8"/>
  <c r="BN121" i="8" s="1"/>
  <c r="L120" i="8"/>
  <c r="AE120" i="8" s="1"/>
  <c r="BF120" i="8" s="1"/>
  <c r="O120" i="8"/>
  <c r="BA117" i="7"/>
  <c r="AN117" i="7"/>
  <c r="BO117" i="7" s="1"/>
  <c r="BL117" i="7"/>
  <c r="BJ118" i="8"/>
  <c r="AL118" i="8"/>
  <c r="BM118" i="8" s="1"/>
  <c r="O120" i="7"/>
  <c r="L120" i="7"/>
  <c r="AE120" i="7" s="1"/>
  <c r="BF120" i="7" s="1"/>
  <c r="Z117" i="8"/>
  <c r="G120" i="7"/>
  <c r="K120" i="7" s="1"/>
  <c r="AA120" i="7" s="1"/>
  <c r="H119" i="7"/>
  <c r="N119" i="7" s="1"/>
  <c r="M119" i="7"/>
  <c r="T119" i="7"/>
  <c r="AU119" i="7" s="1"/>
  <c r="S119" i="7"/>
  <c r="K119" i="7"/>
  <c r="AA119" i="7" s="1"/>
  <c r="AJ117" i="8"/>
  <c r="BK117" i="8" s="1"/>
  <c r="BI117" i="8"/>
  <c r="AK117" i="8"/>
  <c r="AN116" i="7"/>
  <c r="BO116" i="7" s="1"/>
  <c r="BL116" i="7"/>
  <c r="L130" i="9"/>
  <c r="X130" i="9"/>
  <c r="R130" i="9"/>
  <c r="P130" i="9"/>
  <c r="H130" i="9"/>
  <c r="F130" i="9"/>
  <c r="E130" i="9"/>
  <c r="Z130" i="9"/>
  <c r="W130" i="9"/>
  <c r="O130" i="9"/>
  <c r="E121" i="8" s="1"/>
  <c r="U130" i="9"/>
  <c r="G130" i="9"/>
  <c r="S130" i="9"/>
  <c r="D121" i="7" s="1"/>
  <c r="I121" i="7" s="1"/>
  <c r="T130" i="9"/>
  <c r="Q130" i="9"/>
  <c r="N130" i="9"/>
  <c r="D130" i="9"/>
  <c r="V130" i="9"/>
  <c r="Y130" i="9"/>
  <c r="D121" i="8" s="1"/>
  <c r="I121" i="8" s="1"/>
  <c r="M130" i="9"/>
  <c r="I130" i="9"/>
  <c r="E121" i="7" s="1"/>
  <c r="AA130" i="9"/>
  <c r="J130" i="9"/>
  <c r="K130" i="9"/>
  <c r="AR123" i="7"/>
  <c r="BN123" i="7" s="1"/>
  <c r="AQ123" i="7"/>
  <c r="C122" i="8"/>
  <c r="AP122" i="8"/>
  <c r="AF118" i="8"/>
  <c r="BG118" i="8" s="1"/>
  <c r="BJ117" i="8"/>
  <c r="AL117" i="8"/>
  <c r="BM117" i="8" s="1"/>
  <c r="BI118" i="8"/>
  <c r="AK118" i="8"/>
  <c r="AJ118" i="8"/>
  <c r="BK118" i="8" s="1"/>
  <c r="C124" i="7"/>
  <c r="AP124" i="7"/>
  <c r="G120" i="8"/>
  <c r="A124" i="8"/>
  <c r="B123" i="8"/>
  <c r="C132" i="9"/>
  <c r="B131" i="9"/>
  <c r="BA116" i="7"/>
  <c r="AG116" i="7"/>
  <c r="BH116" i="7" s="1"/>
  <c r="A126" i="7"/>
  <c r="B125" i="7"/>
  <c r="AF117" i="8"/>
  <c r="BG117" i="8" s="1"/>
  <c r="AK118" i="7" l="1"/>
  <c r="BL118" i="7" s="1"/>
  <c r="AD119" i="8"/>
  <c r="BE119" i="8" s="1"/>
  <c r="W119" i="8"/>
  <c r="AX119" i="8" s="1"/>
  <c r="AH119" i="8"/>
  <c r="AK119" i="8" s="1"/>
  <c r="AC119" i="8"/>
  <c r="BD119" i="8" s="1"/>
  <c r="AI119" i="8"/>
  <c r="BJ119" i="8" s="1"/>
  <c r="Z118" i="8"/>
  <c r="BA118" i="8" s="1"/>
  <c r="J119" i="8"/>
  <c r="Z118" i="7"/>
  <c r="BA118" i="7" s="1"/>
  <c r="G121" i="7"/>
  <c r="T121" i="7" s="1"/>
  <c r="AU121" i="7" s="1"/>
  <c r="AG117" i="7"/>
  <c r="BH117" i="7" s="1"/>
  <c r="AD118" i="7"/>
  <c r="BE118" i="7" s="1"/>
  <c r="AI118" i="7"/>
  <c r="AC118" i="7"/>
  <c r="BD118" i="7" s="1"/>
  <c r="AB118" i="7"/>
  <c r="BB120" i="7"/>
  <c r="BB119" i="7"/>
  <c r="O121" i="8"/>
  <c r="L121" i="8"/>
  <c r="AE121" i="8" s="1"/>
  <c r="BF121" i="8" s="1"/>
  <c r="H120" i="8"/>
  <c r="N120" i="8" s="1"/>
  <c r="M120" i="8"/>
  <c r="S120" i="8"/>
  <c r="T120" i="8"/>
  <c r="AU120" i="8" s="1"/>
  <c r="U120" i="8"/>
  <c r="AV120" i="8" s="1"/>
  <c r="K120" i="8"/>
  <c r="AA120" i="8" s="1"/>
  <c r="AQ122" i="8"/>
  <c r="AR122" i="8"/>
  <c r="BN122" i="8" s="1"/>
  <c r="AH119" i="7"/>
  <c r="W119" i="7"/>
  <c r="AX119" i="7" s="1"/>
  <c r="X119" i="7"/>
  <c r="AY119" i="7" s="1"/>
  <c r="U119" i="7"/>
  <c r="AV119" i="7" s="1"/>
  <c r="B126" i="7"/>
  <c r="A127" i="7"/>
  <c r="AR124" i="7"/>
  <c r="BN124" i="7" s="1"/>
  <c r="AQ124" i="7"/>
  <c r="AP125" i="7"/>
  <c r="C125" i="7"/>
  <c r="AI119" i="7"/>
  <c r="AC119" i="7"/>
  <c r="BD119" i="7" s="1"/>
  <c r="AD119" i="7"/>
  <c r="BE119" i="7" s="1"/>
  <c r="AB119" i="7"/>
  <c r="BC119" i="7" s="1"/>
  <c r="O121" i="7"/>
  <c r="L121" i="7"/>
  <c r="AE121" i="7" s="1"/>
  <c r="BF121" i="7" s="1"/>
  <c r="J119" i="7"/>
  <c r="AT119" i="7"/>
  <c r="R131" i="9"/>
  <c r="F131" i="9"/>
  <c r="X131" i="9"/>
  <c r="L131" i="9"/>
  <c r="I131" i="9"/>
  <c r="E122" i="7" s="1"/>
  <c r="G131" i="9"/>
  <c r="Y131" i="9"/>
  <c r="D122" i="8" s="1"/>
  <c r="I122" i="8" s="1"/>
  <c r="E131" i="9"/>
  <c r="K131" i="9"/>
  <c r="Z131" i="9"/>
  <c r="P131" i="9"/>
  <c r="H131" i="9"/>
  <c r="J131" i="9"/>
  <c r="D131" i="9"/>
  <c r="O131" i="9"/>
  <c r="E122" i="8" s="1"/>
  <c r="AA131" i="9"/>
  <c r="T131" i="9"/>
  <c r="V131" i="9"/>
  <c r="U131" i="9"/>
  <c r="W131" i="9"/>
  <c r="S131" i="9"/>
  <c r="D122" i="7" s="1"/>
  <c r="I122" i="7" s="1"/>
  <c r="M131" i="9"/>
  <c r="N131" i="9"/>
  <c r="Q131" i="9"/>
  <c r="B132" i="9"/>
  <c r="C133" i="9"/>
  <c r="BL118" i="8"/>
  <c r="AN118" i="8"/>
  <c r="BO118" i="8" s="1"/>
  <c r="M120" i="7"/>
  <c r="H120" i="7"/>
  <c r="N120" i="7" s="1"/>
  <c r="T120" i="7"/>
  <c r="AU120" i="7" s="1"/>
  <c r="S120" i="7"/>
  <c r="AP123" i="8"/>
  <c r="C123" i="8"/>
  <c r="BA117" i="8"/>
  <c r="AG117" i="8"/>
  <c r="BH117" i="8" s="1"/>
  <c r="BC119" i="8"/>
  <c r="B124" i="8"/>
  <c r="A125" i="8"/>
  <c r="G121" i="8"/>
  <c r="BL117" i="8"/>
  <c r="AN117" i="8"/>
  <c r="BO117" i="8" s="1"/>
  <c r="Z119" i="8" l="1"/>
  <c r="BI119" i="8"/>
  <c r="AJ119" i="8"/>
  <c r="BK119" i="8" s="1"/>
  <c r="AF119" i="8"/>
  <c r="BG119" i="8" s="1"/>
  <c r="K121" i="7"/>
  <c r="AA121" i="7" s="1"/>
  <c r="BB121" i="7" s="1"/>
  <c r="AL119" i="8"/>
  <c r="BM119" i="8" s="1"/>
  <c r="H121" i="7"/>
  <c r="J121" i="7" s="1"/>
  <c r="AG118" i="8"/>
  <c r="BH118" i="8" s="1"/>
  <c r="S121" i="7"/>
  <c r="AT121" i="7" s="1"/>
  <c r="M121" i="7"/>
  <c r="X121" i="7" s="1"/>
  <c r="AY121" i="7" s="1"/>
  <c r="BC118" i="7"/>
  <c r="AF118" i="7"/>
  <c r="AF119" i="7"/>
  <c r="BG119" i="7" s="1"/>
  <c r="BJ118" i="7"/>
  <c r="AL118" i="7"/>
  <c r="AJ118" i="7"/>
  <c r="BK118" i="7" s="1"/>
  <c r="AT120" i="7"/>
  <c r="BB120" i="8"/>
  <c r="B127" i="7"/>
  <c r="A128" i="7"/>
  <c r="C126" i="7"/>
  <c r="AP126" i="7"/>
  <c r="AT120" i="8"/>
  <c r="AQ125" i="7"/>
  <c r="AR125" i="7"/>
  <c r="BN125" i="7" s="1"/>
  <c r="AI120" i="7"/>
  <c r="AC120" i="7"/>
  <c r="BD120" i="7" s="1"/>
  <c r="AD120" i="7"/>
  <c r="BE120" i="7" s="1"/>
  <c r="AB120" i="7"/>
  <c r="M121" i="8"/>
  <c r="H121" i="8"/>
  <c r="N121" i="8" s="1"/>
  <c r="S121" i="8"/>
  <c r="T121" i="8"/>
  <c r="AU121" i="8" s="1"/>
  <c r="U121" i="8"/>
  <c r="AV121" i="8" s="1"/>
  <c r="AH120" i="7"/>
  <c r="W120" i="7"/>
  <c r="AX120" i="7" s="1"/>
  <c r="X120" i="7"/>
  <c r="AY120" i="7" s="1"/>
  <c r="U120" i="7"/>
  <c r="AV120" i="7" s="1"/>
  <c r="AH120" i="8"/>
  <c r="W120" i="8"/>
  <c r="AX120" i="8" s="1"/>
  <c r="X120" i="8"/>
  <c r="AY120" i="8" s="1"/>
  <c r="BA119" i="8"/>
  <c r="K121" i="8"/>
  <c r="AA121" i="8" s="1"/>
  <c r="G122" i="7"/>
  <c r="AI120" i="8"/>
  <c r="AC120" i="8"/>
  <c r="BD120" i="8" s="1"/>
  <c r="AD120" i="8"/>
  <c r="BE120" i="8" s="1"/>
  <c r="AB120" i="8"/>
  <c r="BC120" i="8" s="1"/>
  <c r="A126" i="8"/>
  <c r="B125" i="8"/>
  <c r="J120" i="7"/>
  <c r="AK119" i="7"/>
  <c r="AJ119" i="7"/>
  <c r="BK119" i="7" s="1"/>
  <c r="BI119" i="7"/>
  <c r="J120" i="8"/>
  <c r="O122" i="8"/>
  <c r="L122" i="8"/>
  <c r="AE122" i="8" s="1"/>
  <c r="BF122" i="8" s="1"/>
  <c r="C124" i="8"/>
  <c r="AP124" i="8"/>
  <c r="C134" i="9"/>
  <c r="B133" i="9"/>
  <c r="L122" i="7"/>
  <c r="AE122" i="7" s="1"/>
  <c r="BF122" i="7" s="1"/>
  <c r="O122" i="7"/>
  <c r="G122" i="8"/>
  <c r="K122" i="8" s="1"/>
  <c r="AA122" i="8" s="1"/>
  <c r="F132" i="9"/>
  <c r="X132" i="9"/>
  <c r="R132" i="9"/>
  <c r="Q132" i="9"/>
  <c r="P132" i="9"/>
  <c r="L132" i="9"/>
  <c r="D132" i="9"/>
  <c r="J132" i="9"/>
  <c r="K132" i="9"/>
  <c r="T132" i="9"/>
  <c r="V132" i="9"/>
  <c r="Y132" i="9"/>
  <c r="D123" i="8" s="1"/>
  <c r="I123" i="8" s="1"/>
  <c r="W132" i="9"/>
  <c r="E132" i="9"/>
  <c r="S132" i="9"/>
  <c r="D123" i="7" s="1"/>
  <c r="I123" i="7" s="1"/>
  <c r="O132" i="9"/>
  <c r="E123" i="8" s="1"/>
  <c r="G132" i="9"/>
  <c r="I132" i="9"/>
  <c r="E123" i="7" s="1"/>
  <c r="AA132" i="9"/>
  <c r="Z132" i="9"/>
  <c r="H132" i="9"/>
  <c r="U132" i="9"/>
  <c r="N132" i="9"/>
  <c r="M132" i="9"/>
  <c r="AL119" i="7"/>
  <c r="BM119" i="7" s="1"/>
  <c r="BJ119" i="7"/>
  <c r="BL119" i="8"/>
  <c r="AQ123" i="8"/>
  <c r="AR123" i="8"/>
  <c r="BN123" i="8" s="1"/>
  <c r="Z119" i="7"/>
  <c r="AN119" i="8" l="1"/>
  <c r="BO119" i="8" s="1"/>
  <c r="AH121" i="7"/>
  <c r="AK121" i="7" s="1"/>
  <c r="G123" i="8"/>
  <c r="U123" i="8" s="1"/>
  <c r="AV123" i="8" s="1"/>
  <c r="AG119" i="8"/>
  <c r="BH119" i="8" s="1"/>
  <c r="N121" i="7"/>
  <c r="AD121" i="7" s="1"/>
  <c r="BE121" i="7" s="1"/>
  <c r="W121" i="7"/>
  <c r="AX121" i="7" s="1"/>
  <c r="U121" i="7"/>
  <c r="AV121" i="7" s="1"/>
  <c r="G123" i="7"/>
  <c r="M123" i="7" s="1"/>
  <c r="BM118" i="7"/>
  <c r="AN118" i="7"/>
  <c r="BO118" i="7" s="1"/>
  <c r="Z120" i="8"/>
  <c r="BA120" i="8" s="1"/>
  <c r="BG118" i="7"/>
  <c r="AG118" i="7"/>
  <c r="BH118" i="7" s="1"/>
  <c r="AI121" i="8"/>
  <c r="AC121" i="8"/>
  <c r="BD121" i="8" s="1"/>
  <c r="AD121" i="8"/>
  <c r="BE121" i="8" s="1"/>
  <c r="AB121" i="8"/>
  <c r="BC121" i="8" s="1"/>
  <c r="AR126" i="7"/>
  <c r="BN126" i="7" s="1"/>
  <c r="AQ126" i="7"/>
  <c r="AH121" i="8"/>
  <c r="W121" i="8"/>
  <c r="AX121" i="8" s="1"/>
  <c r="X121" i="8"/>
  <c r="AY121" i="8" s="1"/>
  <c r="BB122" i="8"/>
  <c r="O123" i="7"/>
  <c r="L123" i="7"/>
  <c r="AE123" i="7" s="1"/>
  <c r="BF123" i="7" s="1"/>
  <c r="AK120" i="8"/>
  <c r="AJ120" i="8"/>
  <c r="BK120" i="8" s="1"/>
  <c r="BI120" i="8"/>
  <c r="BC120" i="7"/>
  <c r="AF120" i="7"/>
  <c r="BG120" i="7" s="1"/>
  <c r="A129" i="7"/>
  <c r="B128" i="7"/>
  <c r="C125" i="8"/>
  <c r="AP125" i="8"/>
  <c r="C127" i="7"/>
  <c r="AP127" i="7"/>
  <c r="A127" i="8"/>
  <c r="B126" i="8"/>
  <c r="BA119" i="7"/>
  <c r="AG119" i="7"/>
  <c r="BH119" i="7" s="1"/>
  <c r="J121" i="8"/>
  <c r="AF120" i="8"/>
  <c r="BG120" i="8" s="1"/>
  <c r="X133" i="9"/>
  <c r="L133" i="9"/>
  <c r="F133" i="9"/>
  <c r="R133" i="9"/>
  <c r="O133" i="9"/>
  <c r="E124" i="8" s="1"/>
  <c r="K133" i="9"/>
  <c r="Y133" i="9"/>
  <c r="D124" i="8" s="1"/>
  <c r="I124" i="8" s="1"/>
  <c r="N133" i="9"/>
  <c r="J133" i="9"/>
  <c r="E133" i="9"/>
  <c r="Q133" i="9"/>
  <c r="H133" i="9"/>
  <c r="M133" i="9"/>
  <c r="V133" i="9"/>
  <c r="I133" i="9"/>
  <c r="E124" i="7" s="1"/>
  <c r="Z133" i="9"/>
  <c r="D133" i="9"/>
  <c r="T133" i="9"/>
  <c r="P133" i="9"/>
  <c r="U133" i="9"/>
  <c r="S133" i="9"/>
  <c r="D124" i="7" s="1"/>
  <c r="I124" i="7" s="1"/>
  <c r="G133" i="9"/>
  <c r="AA133" i="9"/>
  <c r="W133" i="9"/>
  <c r="BI121" i="7"/>
  <c r="H122" i="8"/>
  <c r="N122" i="8" s="1"/>
  <c r="M122" i="8"/>
  <c r="S122" i="8"/>
  <c r="U122" i="8"/>
  <c r="AV122" i="8" s="1"/>
  <c r="T122" i="8"/>
  <c r="AU122" i="8" s="1"/>
  <c r="BJ120" i="8"/>
  <c r="AL120" i="8"/>
  <c r="BM120" i="8" s="1"/>
  <c r="BJ120" i="7"/>
  <c r="AL120" i="7"/>
  <c r="BM120" i="7" s="1"/>
  <c r="AT121" i="8"/>
  <c r="C135" i="9"/>
  <c r="B134" i="9"/>
  <c r="AR124" i="8"/>
  <c r="BN124" i="8" s="1"/>
  <c r="AQ124" i="8"/>
  <c r="L123" i="8"/>
  <c r="AE123" i="8" s="1"/>
  <c r="BF123" i="8" s="1"/>
  <c r="O123" i="8"/>
  <c r="AN119" i="7"/>
  <c r="BO119" i="7" s="1"/>
  <c r="BL119" i="7"/>
  <c r="H122" i="7"/>
  <c r="N122" i="7" s="1"/>
  <c r="M122" i="7"/>
  <c r="T122" i="7"/>
  <c r="AU122" i="7" s="1"/>
  <c r="S122" i="7"/>
  <c r="K122" i="7"/>
  <c r="AA122" i="7" s="1"/>
  <c r="BI120" i="7"/>
  <c r="AJ120" i="7"/>
  <c r="BK120" i="7" s="1"/>
  <c r="AK120" i="7"/>
  <c r="Z120" i="7"/>
  <c r="BB121" i="8"/>
  <c r="K123" i="8" l="1"/>
  <c r="AA123" i="8" s="1"/>
  <c r="H123" i="8"/>
  <c r="N123" i="8" s="1"/>
  <c r="AI123" i="8" s="1"/>
  <c r="M123" i="8"/>
  <c r="AH123" i="8" s="1"/>
  <c r="S123" i="8"/>
  <c r="AT123" i="8" s="1"/>
  <c r="K123" i="7"/>
  <c r="AA123" i="7" s="1"/>
  <c r="BB123" i="7" s="1"/>
  <c r="T123" i="8"/>
  <c r="AU123" i="8" s="1"/>
  <c r="Z121" i="7"/>
  <c r="BA121" i="7" s="1"/>
  <c r="AC121" i="7"/>
  <c r="BD121" i="7" s="1"/>
  <c r="AI121" i="7"/>
  <c r="AJ121" i="7" s="1"/>
  <c r="BK121" i="7" s="1"/>
  <c r="AB121" i="7"/>
  <c r="BC121" i="7" s="1"/>
  <c r="H123" i="7"/>
  <c r="J123" i="7" s="1"/>
  <c r="S123" i="7"/>
  <c r="AT123" i="7" s="1"/>
  <c r="T123" i="7"/>
  <c r="AU123" i="7" s="1"/>
  <c r="Z121" i="8"/>
  <c r="BA121" i="8" s="1"/>
  <c r="AH123" i="7"/>
  <c r="W123" i="7"/>
  <c r="AX123" i="7" s="1"/>
  <c r="X123" i="7"/>
  <c r="AY123" i="7" s="1"/>
  <c r="U123" i="7"/>
  <c r="AV123" i="7" s="1"/>
  <c r="BL121" i="7"/>
  <c r="AN120" i="7"/>
  <c r="BO120" i="7" s="1"/>
  <c r="BL120" i="7"/>
  <c r="AP128" i="7"/>
  <c r="C128" i="7"/>
  <c r="R134" i="9"/>
  <c r="F134" i="9"/>
  <c r="L134" i="9"/>
  <c r="X134" i="9"/>
  <c r="E134" i="9"/>
  <c r="AA134" i="9"/>
  <c r="N134" i="9"/>
  <c r="J134" i="9"/>
  <c r="D134" i="9"/>
  <c r="Y134" i="9"/>
  <c r="D125" i="8" s="1"/>
  <c r="I125" i="8" s="1"/>
  <c r="Z134" i="9"/>
  <c r="I134" i="9"/>
  <c r="E125" i="7" s="1"/>
  <c r="Q134" i="9"/>
  <c r="H134" i="9"/>
  <c r="K134" i="9"/>
  <c r="G134" i="9"/>
  <c r="W134" i="9"/>
  <c r="U134" i="9"/>
  <c r="P134" i="9"/>
  <c r="V134" i="9"/>
  <c r="S134" i="9"/>
  <c r="D125" i="7" s="1"/>
  <c r="I125" i="7" s="1"/>
  <c r="O134" i="9"/>
  <c r="E125" i="8" s="1"/>
  <c r="M134" i="9"/>
  <c r="T134" i="9"/>
  <c r="O124" i="8"/>
  <c r="L124" i="8"/>
  <c r="AE124" i="8" s="1"/>
  <c r="BF124" i="8" s="1"/>
  <c r="AP126" i="8"/>
  <c r="C126" i="8"/>
  <c r="AN120" i="8"/>
  <c r="BO120" i="8" s="1"/>
  <c r="BL120" i="8"/>
  <c r="AH122" i="8"/>
  <c r="W122" i="8"/>
  <c r="AX122" i="8" s="1"/>
  <c r="X122" i="8"/>
  <c r="AY122" i="8" s="1"/>
  <c r="BB123" i="8"/>
  <c r="B127" i="8"/>
  <c r="A128" i="8"/>
  <c r="B129" i="7"/>
  <c r="A130" i="7"/>
  <c r="O124" i="7"/>
  <c r="L124" i="7"/>
  <c r="AE124" i="7" s="1"/>
  <c r="BF124" i="7" s="1"/>
  <c r="G124" i="8"/>
  <c r="AR127" i="7"/>
  <c r="BN127" i="7" s="1"/>
  <c r="AQ127" i="7"/>
  <c r="BI121" i="8"/>
  <c r="AK121" i="8"/>
  <c r="AJ121" i="8"/>
  <c r="BK121" i="8" s="1"/>
  <c r="BJ121" i="8"/>
  <c r="AL121" i="8"/>
  <c r="BM121" i="8" s="1"/>
  <c r="BB122" i="7"/>
  <c r="AT122" i="7"/>
  <c r="AH122" i="7"/>
  <c r="W122" i="7"/>
  <c r="AX122" i="7" s="1"/>
  <c r="X122" i="7"/>
  <c r="AY122" i="7" s="1"/>
  <c r="U122" i="7"/>
  <c r="AV122" i="7" s="1"/>
  <c r="AT122" i="8"/>
  <c r="AI122" i="7"/>
  <c r="AC122" i="7"/>
  <c r="BD122" i="7" s="1"/>
  <c r="AD122" i="7"/>
  <c r="BE122" i="7" s="1"/>
  <c r="AB122" i="7"/>
  <c r="BC122" i="7" s="1"/>
  <c r="J122" i="7"/>
  <c r="AI122" i="8"/>
  <c r="AC122" i="8"/>
  <c r="BD122" i="8" s="1"/>
  <c r="AD122" i="8"/>
  <c r="BE122" i="8" s="1"/>
  <c r="AB122" i="8"/>
  <c r="AF121" i="8"/>
  <c r="BG121" i="8" s="1"/>
  <c r="J122" i="8"/>
  <c r="AG120" i="8"/>
  <c r="BH120" i="8" s="1"/>
  <c r="C136" i="9"/>
  <c r="B135" i="9"/>
  <c r="AG120" i="7"/>
  <c r="BH120" i="7" s="1"/>
  <c r="BA120" i="7"/>
  <c r="G124" i="7"/>
  <c r="AR125" i="8"/>
  <c r="BN125" i="8" s="1"/>
  <c r="AQ125" i="8"/>
  <c r="J123" i="8" l="1"/>
  <c r="X123" i="8"/>
  <c r="AY123" i="8" s="1"/>
  <c r="W123" i="8"/>
  <c r="AX123" i="8" s="1"/>
  <c r="AL121" i="7"/>
  <c r="BM121" i="7" s="1"/>
  <c r="N123" i="7"/>
  <c r="AB123" i="7" s="1"/>
  <c r="BC123" i="7" s="1"/>
  <c r="BJ121" i="7"/>
  <c r="AF121" i="7"/>
  <c r="BG121" i="7" s="1"/>
  <c r="AB123" i="8"/>
  <c r="BC123" i="8" s="1"/>
  <c r="AD123" i="8"/>
  <c r="BE123" i="8" s="1"/>
  <c r="G125" i="7"/>
  <c r="M125" i="7" s="1"/>
  <c r="AI123" i="7"/>
  <c r="BJ123" i="7" s="1"/>
  <c r="AC123" i="8"/>
  <c r="G125" i="8"/>
  <c r="T125" i="8" s="1"/>
  <c r="AU125" i="8" s="1"/>
  <c r="AG121" i="8"/>
  <c r="BH121" i="8" s="1"/>
  <c r="C129" i="7"/>
  <c r="AP129" i="7"/>
  <c r="BL121" i="8"/>
  <c r="AN121" i="8"/>
  <c r="BO121" i="8" s="1"/>
  <c r="O125" i="8"/>
  <c r="L125" i="8"/>
  <c r="AE125" i="8" s="1"/>
  <c r="BF125" i="8" s="1"/>
  <c r="BI123" i="7"/>
  <c r="AK123" i="7"/>
  <c r="B130" i="7"/>
  <c r="A131" i="7"/>
  <c r="BJ122" i="8"/>
  <c r="AL122" i="8"/>
  <c r="BM122" i="8" s="1"/>
  <c r="L125" i="7"/>
  <c r="AE125" i="7" s="1"/>
  <c r="BF125" i="7" s="1"/>
  <c r="O125" i="7"/>
  <c r="B136" i="9"/>
  <c r="C137" i="9"/>
  <c r="Z122" i="7"/>
  <c r="AF122" i="7"/>
  <c r="BG122" i="7" s="1"/>
  <c r="H124" i="7"/>
  <c r="N124" i="7" s="1"/>
  <c r="M124" i="7"/>
  <c r="S124" i="7"/>
  <c r="T124" i="7"/>
  <c r="AU124" i="7" s="1"/>
  <c r="K124" i="7"/>
  <c r="AA124" i="7" s="1"/>
  <c r="Z123" i="7"/>
  <c r="M124" i="8"/>
  <c r="H124" i="8"/>
  <c r="N124" i="8" s="1"/>
  <c r="S124" i="8"/>
  <c r="U124" i="8"/>
  <c r="AV124" i="8" s="1"/>
  <c r="T124" i="8"/>
  <c r="AU124" i="8" s="1"/>
  <c r="K124" i="8"/>
  <c r="AA124" i="8" s="1"/>
  <c r="AK122" i="8"/>
  <c r="AJ122" i="8"/>
  <c r="BK122" i="8" s="1"/>
  <c r="BI122" i="8"/>
  <c r="AK123" i="8"/>
  <c r="AJ123" i="8"/>
  <c r="BK123" i="8" s="1"/>
  <c r="BI123" i="8"/>
  <c r="AR126" i="8"/>
  <c r="BN126" i="8" s="1"/>
  <c r="AQ126" i="8"/>
  <c r="R135" i="9"/>
  <c r="F135" i="9"/>
  <c r="L135" i="9"/>
  <c r="X135" i="9"/>
  <c r="G135" i="9"/>
  <c r="I135" i="9"/>
  <c r="E126" i="7" s="1"/>
  <c r="Q135" i="9"/>
  <c r="J135" i="9"/>
  <c r="Z135" i="9"/>
  <c r="W135" i="9"/>
  <c r="D135" i="9"/>
  <c r="N135" i="9"/>
  <c r="K135" i="9"/>
  <c r="U135" i="9"/>
  <c r="O135" i="9"/>
  <c r="E126" i="8" s="1"/>
  <c r="S135" i="9"/>
  <c r="D126" i="7" s="1"/>
  <c r="I126" i="7" s="1"/>
  <c r="AA135" i="9"/>
  <c r="E135" i="9"/>
  <c r="M135" i="9"/>
  <c r="H135" i="9"/>
  <c r="V135" i="9"/>
  <c r="Y135" i="9"/>
  <c r="D126" i="8" s="1"/>
  <c r="I126" i="8" s="1"/>
  <c r="T135" i="9"/>
  <c r="P135" i="9"/>
  <c r="C127" i="8"/>
  <c r="AP127" i="8"/>
  <c r="A129" i="8"/>
  <c r="B128" i="8"/>
  <c r="AK122" i="7"/>
  <c r="AJ122" i="7"/>
  <c r="BK122" i="7" s="1"/>
  <c r="BI122" i="7"/>
  <c r="AQ128" i="7"/>
  <c r="AR128" i="7"/>
  <c r="BN128" i="7" s="1"/>
  <c r="AL122" i="7"/>
  <c r="BM122" i="7" s="1"/>
  <c r="BJ122" i="7"/>
  <c r="BC122" i="8"/>
  <c r="AF122" i="8"/>
  <c r="BG122" i="8" s="1"/>
  <c r="Z122" i="8"/>
  <c r="BJ123" i="8"/>
  <c r="AL123" i="8"/>
  <c r="BM123" i="8" s="1"/>
  <c r="Z123" i="8" l="1"/>
  <c r="AD123" i="7"/>
  <c r="BE123" i="7" s="1"/>
  <c r="AC123" i="7"/>
  <c r="BD123" i="7" s="1"/>
  <c r="K125" i="7"/>
  <c r="AA125" i="7" s="1"/>
  <c r="BB125" i="7" s="1"/>
  <c r="AN121" i="7"/>
  <c r="BO121" i="7" s="1"/>
  <c r="AJ123" i="7"/>
  <c r="BK123" i="7" s="1"/>
  <c r="AG121" i="7"/>
  <c r="BH121" i="7" s="1"/>
  <c r="H125" i="7"/>
  <c r="J125" i="7" s="1"/>
  <c r="H125" i="8"/>
  <c r="N125" i="8" s="1"/>
  <c r="AD125" i="8" s="1"/>
  <c r="BE125" i="8" s="1"/>
  <c r="T125" i="7"/>
  <c r="AU125" i="7" s="1"/>
  <c r="S125" i="8"/>
  <c r="AT125" i="8" s="1"/>
  <c r="S125" i="7"/>
  <c r="AT125" i="7" s="1"/>
  <c r="AL123" i="7"/>
  <c r="BM123" i="7" s="1"/>
  <c r="G126" i="8"/>
  <c r="K126" i="8" s="1"/>
  <c r="AA126" i="8" s="1"/>
  <c r="BB126" i="8" s="1"/>
  <c r="M125" i="8"/>
  <c r="AH125" i="8" s="1"/>
  <c r="U125" i="8"/>
  <c r="AV125" i="8" s="1"/>
  <c r="K125" i="8"/>
  <c r="AA125" i="8" s="1"/>
  <c r="BB125" i="8" s="1"/>
  <c r="J124" i="7"/>
  <c r="BD123" i="8"/>
  <c r="AF123" i="8"/>
  <c r="BG123" i="8" s="1"/>
  <c r="J124" i="8"/>
  <c r="BA122" i="7"/>
  <c r="AG122" i="7"/>
  <c r="BH122" i="7" s="1"/>
  <c r="O126" i="7"/>
  <c r="L126" i="7"/>
  <c r="AE126" i="7" s="1"/>
  <c r="BF126" i="7" s="1"/>
  <c r="BA122" i="8"/>
  <c r="AG122" i="8"/>
  <c r="BH122" i="8" s="1"/>
  <c r="AH124" i="8"/>
  <c r="W124" i="8"/>
  <c r="AX124" i="8" s="1"/>
  <c r="X124" i="8"/>
  <c r="AY124" i="8" s="1"/>
  <c r="AR129" i="7"/>
  <c r="BN129" i="7" s="1"/>
  <c r="AQ129" i="7"/>
  <c r="A130" i="8"/>
  <c r="B129" i="8"/>
  <c r="BA123" i="7"/>
  <c r="AT124" i="7"/>
  <c r="BB124" i="8"/>
  <c r="A132" i="7"/>
  <c r="B131" i="7"/>
  <c r="AH124" i="7"/>
  <c r="W124" i="7"/>
  <c r="AX124" i="7" s="1"/>
  <c r="X124" i="7"/>
  <c r="AY124" i="7" s="1"/>
  <c r="U124" i="7"/>
  <c r="AV124" i="7" s="1"/>
  <c r="C130" i="7"/>
  <c r="AP130" i="7"/>
  <c r="AH125" i="7"/>
  <c r="W125" i="7"/>
  <c r="AX125" i="7" s="1"/>
  <c r="X125" i="7"/>
  <c r="AY125" i="7" s="1"/>
  <c r="U125" i="7"/>
  <c r="AV125" i="7" s="1"/>
  <c r="BL123" i="7"/>
  <c r="AR127" i="8"/>
  <c r="BN127" i="8" s="1"/>
  <c r="AQ127" i="8"/>
  <c r="L126" i="8"/>
  <c r="AE126" i="8" s="1"/>
  <c r="BF126" i="8" s="1"/>
  <c r="O126" i="8"/>
  <c r="G126" i="7"/>
  <c r="AT124" i="8"/>
  <c r="AI124" i="7"/>
  <c r="AC124" i="7"/>
  <c r="BD124" i="7" s="1"/>
  <c r="AD124" i="7"/>
  <c r="BE124" i="7" s="1"/>
  <c r="AB124" i="7"/>
  <c r="BC124" i="7" s="1"/>
  <c r="BA123" i="8"/>
  <c r="C138" i="9"/>
  <c r="B137" i="9"/>
  <c r="X136" i="9"/>
  <c r="L136" i="9"/>
  <c r="R136" i="9"/>
  <c r="F136" i="9"/>
  <c r="K136" i="9"/>
  <c r="W136" i="9"/>
  <c r="P136" i="9"/>
  <c r="Z136" i="9"/>
  <c r="S136" i="9"/>
  <c r="D127" i="7" s="1"/>
  <c r="I127" i="7" s="1"/>
  <c r="V136" i="9"/>
  <c r="O136" i="9"/>
  <c r="E127" i="8" s="1"/>
  <c r="H136" i="9"/>
  <c r="M136" i="9"/>
  <c r="N136" i="9"/>
  <c r="T136" i="9"/>
  <c r="G136" i="9"/>
  <c r="I136" i="9"/>
  <c r="E127" i="7" s="1"/>
  <c r="D136" i="9"/>
  <c r="E136" i="9"/>
  <c r="U136" i="9"/>
  <c r="J136" i="9"/>
  <c r="Y136" i="9"/>
  <c r="D127" i="8" s="1"/>
  <c r="I127" i="8" s="1"/>
  <c r="Q136" i="9"/>
  <c r="AA136" i="9"/>
  <c r="BB124" i="7"/>
  <c r="AN123" i="8"/>
  <c r="BO123" i="8" s="1"/>
  <c r="BL123" i="8"/>
  <c r="AN122" i="7"/>
  <c r="BO122" i="7" s="1"/>
  <c r="BL122" i="7"/>
  <c r="C128" i="8"/>
  <c r="AP128" i="8"/>
  <c r="AN122" i="8"/>
  <c r="BO122" i="8" s="1"/>
  <c r="BL122" i="8"/>
  <c r="AI124" i="8"/>
  <c r="AC124" i="8"/>
  <c r="BD124" i="8" s="1"/>
  <c r="AD124" i="8"/>
  <c r="BE124" i="8" s="1"/>
  <c r="AB124" i="8"/>
  <c r="BC124" i="8" s="1"/>
  <c r="AF123" i="7" l="1"/>
  <c r="BG123" i="7" s="1"/>
  <c r="N125" i="7"/>
  <c r="AD125" i="7" s="1"/>
  <c r="BE125" i="7" s="1"/>
  <c r="AI125" i="8"/>
  <c r="AC125" i="8"/>
  <c r="BD125" i="8" s="1"/>
  <c r="AB125" i="8"/>
  <c r="BC125" i="8" s="1"/>
  <c r="J125" i="8"/>
  <c r="T126" i="8"/>
  <c r="AU126" i="8" s="1"/>
  <c r="U126" i="8"/>
  <c r="AV126" i="8" s="1"/>
  <c r="S126" i="8"/>
  <c r="AT126" i="8" s="1"/>
  <c r="H126" i="8"/>
  <c r="N126" i="8" s="1"/>
  <c r="AD126" i="8" s="1"/>
  <c r="BE126" i="8" s="1"/>
  <c r="X125" i="8"/>
  <c r="AY125" i="8" s="1"/>
  <c r="AN123" i="7"/>
  <c r="BO123" i="7" s="1"/>
  <c r="M126" i="8"/>
  <c r="AH126" i="8" s="1"/>
  <c r="W125" i="8"/>
  <c r="AX125" i="8" s="1"/>
  <c r="AG123" i="8"/>
  <c r="BH123" i="8" s="1"/>
  <c r="BI124" i="8"/>
  <c r="AJ124" i="8"/>
  <c r="BK124" i="8" s="1"/>
  <c r="AK124" i="8"/>
  <c r="O127" i="7"/>
  <c r="L127" i="7"/>
  <c r="AE127" i="7" s="1"/>
  <c r="BF127" i="7" s="1"/>
  <c r="AL125" i="8"/>
  <c r="BM125" i="8" s="1"/>
  <c r="BJ125" i="8"/>
  <c r="AI125" i="7"/>
  <c r="AC125" i="7"/>
  <c r="BD125" i="7" s="1"/>
  <c r="AR128" i="8"/>
  <c r="BN128" i="8" s="1"/>
  <c r="AQ128" i="8"/>
  <c r="Z124" i="8"/>
  <c r="AK125" i="7"/>
  <c r="BI125" i="7"/>
  <c r="Z125" i="7"/>
  <c r="O127" i="8"/>
  <c r="L127" i="8"/>
  <c r="AE127" i="8" s="1"/>
  <c r="BF127" i="8" s="1"/>
  <c r="Z124" i="7"/>
  <c r="AF124" i="7"/>
  <c r="BG124" i="7" s="1"/>
  <c r="AR130" i="7"/>
  <c r="BN130" i="7" s="1"/>
  <c r="AQ130" i="7"/>
  <c r="AP131" i="7"/>
  <c r="C131" i="7"/>
  <c r="M126" i="7"/>
  <c r="H126" i="7"/>
  <c r="N126" i="7" s="1"/>
  <c r="S126" i="7"/>
  <c r="T126" i="7"/>
  <c r="AU126" i="7" s="1"/>
  <c r="K126" i="7"/>
  <c r="AA126" i="7" s="1"/>
  <c r="B132" i="7"/>
  <c r="A133" i="7"/>
  <c r="AP129" i="8"/>
  <c r="C129" i="8"/>
  <c r="AK124" i="7"/>
  <c r="AJ124" i="7"/>
  <c r="BK124" i="7" s="1"/>
  <c r="BI124" i="7"/>
  <c r="X137" i="9"/>
  <c r="L137" i="9"/>
  <c r="F137" i="9"/>
  <c r="S137" i="9"/>
  <c r="D128" i="7" s="1"/>
  <c r="I128" i="7" s="1"/>
  <c r="R137" i="9"/>
  <c r="P137" i="9"/>
  <c r="O137" i="9"/>
  <c r="E128" i="8" s="1"/>
  <c r="Q137" i="9"/>
  <c r="W137" i="9"/>
  <c r="Y137" i="9"/>
  <c r="D128" i="8" s="1"/>
  <c r="I128" i="8" s="1"/>
  <c r="E137" i="9"/>
  <c r="K137" i="9"/>
  <c r="M137" i="9"/>
  <c r="T137" i="9"/>
  <c r="G137" i="9"/>
  <c r="U137" i="9"/>
  <c r="AA137" i="9"/>
  <c r="V137" i="9"/>
  <c r="D137" i="9"/>
  <c r="I137" i="9"/>
  <c r="E128" i="7" s="1"/>
  <c r="Z137" i="9"/>
  <c r="J137" i="9"/>
  <c r="N137" i="9"/>
  <c r="H137" i="9"/>
  <c r="B130" i="8"/>
  <c r="A131" i="8"/>
  <c r="G127" i="7"/>
  <c r="K127" i="7" s="1"/>
  <c r="AA127" i="7" s="1"/>
  <c r="BJ124" i="7"/>
  <c r="AL124" i="7"/>
  <c r="BM124" i="7" s="1"/>
  <c r="AK125" i="8"/>
  <c r="AJ125" i="8"/>
  <c r="BK125" i="8" s="1"/>
  <c r="BI125" i="8"/>
  <c r="BJ124" i="8"/>
  <c r="AL124" i="8"/>
  <c r="BM124" i="8" s="1"/>
  <c r="G127" i="8"/>
  <c r="C139" i="9"/>
  <c r="B138" i="9"/>
  <c r="AF124" i="8"/>
  <c r="BG124" i="8" s="1"/>
  <c r="AF125" i="8" l="1"/>
  <c r="BG125" i="8" s="1"/>
  <c r="AB125" i="7"/>
  <c r="BC125" i="7" s="1"/>
  <c r="AG123" i="7"/>
  <c r="BH123" i="7" s="1"/>
  <c r="J126" i="8"/>
  <c r="AI126" i="8"/>
  <c r="AL126" i="8" s="1"/>
  <c r="BM126" i="8" s="1"/>
  <c r="AC126" i="8"/>
  <c r="BD126" i="8" s="1"/>
  <c r="Z125" i="8"/>
  <c r="BA125" i="8" s="1"/>
  <c r="AB126" i="8"/>
  <c r="X126" i="8"/>
  <c r="AY126" i="8" s="1"/>
  <c r="W126" i="8"/>
  <c r="AX126" i="8" s="1"/>
  <c r="C130" i="8"/>
  <c r="AP130" i="8"/>
  <c r="AL125" i="7"/>
  <c r="BM125" i="7" s="1"/>
  <c r="BJ125" i="7"/>
  <c r="BA124" i="7"/>
  <c r="AG124" i="7"/>
  <c r="BH124" i="7" s="1"/>
  <c r="J126" i="7"/>
  <c r="O128" i="8"/>
  <c r="L128" i="8"/>
  <c r="AE128" i="8" s="1"/>
  <c r="BF128" i="8" s="1"/>
  <c r="BB127" i="7"/>
  <c r="R138" i="9"/>
  <c r="F138" i="9"/>
  <c r="L138" i="9"/>
  <c r="X138" i="9"/>
  <c r="AA138" i="9"/>
  <c r="K138" i="9"/>
  <c r="V138" i="9"/>
  <c r="E138" i="9"/>
  <c r="W138" i="9"/>
  <c r="U138" i="9"/>
  <c r="G138" i="9"/>
  <c r="S138" i="9"/>
  <c r="D129" i="7" s="1"/>
  <c r="I129" i="7" s="1"/>
  <c r="T138" i="9"/>
  <c r="M138" i="9"/>
  <c r="H138" i="9"/>
  <c r="I138" i="9"/>
  <c r="E129" i="7" s="1"/>
  <c r="P138" i="9"/>
  <c r="Q138" i="9"/>
  <c r="Y138" i="9"/>
  <c r="D129" i="8" s="1"/>
  <c r="I129" i="8" s="1"/>
  <c r="O138" i="9"/>
  <c r="E129" i="8" s="1"/>
  <c r="J138" i="9"/>
  <c r="N138" i="9"/>
  <c r="D138" i="9"/>
  <c r="Z138" i="9"/>
  <c r="BA125" i="7"/>
  <c r="L128" i="7"/>
  <c r="AE128" i="7" s="1"/>
  <c r="BF128" i="7" s="1"/>
  <c r="O128" i="7"/>
  <c r="AN125" i="8"/>
  <c r="BO125" i="8" s="1"/>
  <c r="BL125" i="8"/>
  <c r="G128" i="7"/>
  <c r="K128" i="7" s="1"/>
  <c r="AA128" i="7" s="1"/>
  <c r="AR129" i="8"/>
  <c r="BN129" i="8" s="1"/>
  <c r="AQ129" i="8"/>
  <c r="AJ125" i="7"/>
  <c r="BK125" i="7" s="1"/>
  <c r="AK126" i="8"/>
  <c r="AJ126" i="8"/>
  <c r="BK126" i="8" s="1"/>
  <c r="BI126" i="8"/>
  <c r="AH126" i="7"/>
  <c r="W126" i="7"/>
  <c r="AX126" i="7" s="1"/>
  <c r="X126" i="7"/>
  <c r="AY126" i="7" s="1"/>
  <c r="U126" i="7"/>
  <c r="AV126" i="7" s="1"/>
  <c r="G128" i="8"/>
  <c r="B133" i="7"/>
  <c r="A134" i="7"/>
  <c r="BL125" i="7"/>
  <c r="BL124" i="8"/>
  <c r="AN124" i="8"/>
  <c r="BO124" i="8" s="1"/>
  <c r="BB126" i="7"/>
  <c r="C140" i="9"/>
  <c r="B139" i="9"/>
  <c r="H127" i="7"/>
  <c r="N127" i="7" s="1"/>
  <c r="M127" i="7"/>
  <c r="S127" i="7"/>
  <c r="T127" i="7"/>
  <c r="AU127" i="7" s="1"/>
  <c r="C132" i="7"/>
  <c r="AP132" i="7"/>
  <c r="AQ131" i="7"/>
  <c r="AR131" i="7"/>
  <c r="BN131" i="7" s="1"/>
  <c r="AG124" i="8"/>
  <c r="BH124" i="8" s="1"/>
  <c r="BA124" i="8"/>
  <c r="AT126" i="7"/>
  <c r="AI126" i="7"/>
  <c r="AC126" i="7"/>
  <c r="BD126" i="7" s="1"/>
  <c r="AD126" i="7"/>
  <c r="BE126" i="7" s="1"/>
  <c r="AB126" i="7"/>
  <c r="BC126" i="7" s="1"/>
  <c r="BL124" i="7"/>
  <c r="AN124" i="7"/>
  <c r="BO124" i="7" s="1"/>
  <c r="M127" i="8"/>
  <c r="H127" i="8"/>
  <c r="N127" i="8" s="1"/>
  <c r="S127" i="8"/>
  <c r="U127" i="8"/>
  <c r="AV127" i="8" s="1"/>
  <c r="T127" i="8"/>
  <c r="AU127" i="8" s="1"/>
  <c r="K127" i="8"/>
  <c r="AA127" i="8" s="1"/>
  <c r="A132" i="8"/>
  <c r="B131" i="8"/>
  <c r="BJ126" i="8" l="1"/>
  <c r="AF125" i="7"/>
  <c r="BG125" i="7" s="1"/>
  <c r="AF126" i="8"/>
  <c r="BG126" i="8" s="1"/>
  <c r="Z126" i="8"/>
  <c r="BA126" i="8" s="1"/>
  <c r="AG125" i="8"/>
  <c r="BH125" i="8" s="1"/>
  <c r="BC126" i="8"/>
  <c r="AN125" i="7"/>
  <c r="BO125" i="7" s="1"/>
  <c r="J127" i="7"/>
  <c r="Z126" i="7"/>
  <c r="BA126" i="7" s="1"/>
  <c r="G129" i="8"/>
  <c r="U129" i="8" s="1"/>
  <c r="AV129" i="8" s="1"/>
  <c r="G129" i="7"/>
  <c r="M129" i="7" s="1"/>
  <c r="AG125" i="7"/>
  <c r="BH125" i="7" s="1"/>
  <c r="BB128" i="7"/>
  <c r="AT127" i="8"/>
  <c r="AT127" i="7"/>
  <c r="A135" i="7"/>
  <c r="B134" i="7"/>
  <c r="C133" i="7"/>
  <c r="AP133" i="7"/>
  <c r="J127" i="8"/>
  <c r="AI127" i="7"/>
  <c r="AC127" i="7"/>
  <c r="BD127" i="7" s="1"/>
  <c r="AD127" i="7"/>
  <c r="BE127" i="7" s="1"/>
  <c r="AB127" i="7"/>
  <c r="C131" i="8"/>
  <c r="AP131" i="8"/>
  <c r="BJ126" i="7"/>
  <c r="AL126" i="7"/>
  <c r="BM126" i="7" s="1"/>
  <c r="AI127" i="8"/>
  <c r="AC127" i="8"/>
  <c r="BD127" i="8" s="1"/>
  <c r="AD127" i="8"/>
  <c r="BE127" i="8" s="1"/>
  <c r="AB127" i="8"/>
  <c r="BC127" i="8" s="1"/>
  <c r="AH127" i="7"/>
  <c r="W127" i="7"/>
  <c r="AX127" i="7" s="1"/>
  <c r="X127" i="7"/>
  <c r="AY127" i="7" s="1"/>
  <c r="U127" i="7"/>
  <c r="AV127" i="7" s="1"/>
  <c r="AH127" i="8"/>
  <c r="W127" i="8"/>
  <c r="AX127" i="8" s="1"/>
  <c r="X127" i="8"/>
  <c r="AY127" i="8" s="1"/>
  <c r="R139" i="9"/>
  <c r="F139" i="9"/>
  <c r="L139" i="9"/>
  <c r="X139" i="9"/>
  <c r="G139" i="9"/>
  <c r="W139" i="9"/>
  <c r="Q139" i="9"/>
  <c r="T139" i="9"/>
  <c r="P139" i="9"/>
  <c r="I139" i="9"/>
  <c r="E130" i="7" s="1"/>
  <c r="N139" i="9"/>
  <c r="Y139" i="9"/>
  <c r="D130" i="8" s="1"/>
  <c r="I130" i="8" s="1"/>
  <c r="D139" i="9"/>
  <c r="O139" i="9"/>
  <c r="E130" i="8" s="1"/>
  <c r="M139" i="9"/>
  <c r="AA139" i="9"/>
  <c r="U139" i="9"/>
  <c r="S139" i="9"/>
  <c r="D130" i="7" s="1"/>
  <c r="I130" i="7" s="1"/>
  <c r="Z139" i="9"/>
  <c r="H139" i="9"/>
  <c r="V139" i="9"/>
  <c r="K139" i="9"/>
  <c r="E139" i="9"/>
  <c r="J139" i="9"/>
  <c r="B140" i="9"/>
  <c r="C141" i="9"/>
  <c r="AR132" i="7"/>
  <c r="BN132" i="7" s="1"/>
  <c r="AQ132" i="7"/>
  <c r="H128" i="7"/>
  <c r="N128" i="7" s="1"/>
  <c r="M128" i="7"/>
  <c r="S128" i="7"/>
  <c r="T128" i="7"/>
  <c r="AU128" i="7" s="1"/>
  <c r="H128" i="8"/>
  <c r="N128" i="8" s="1"/>
  <c r="M128" i="8"/>
  <c r="S128" i="8"/>
  <c r="U128" i="8"/>
  <c r="AV128" i="8" s="1"/>
  <c r="T128" i="8"/>
  <c r="AU128" i="8" s="1"/>
  <c r="A133" i="8"/>
  <c r="B132" i="8"/>
  <c r="BI126" i="7"/>
  <c r="AJ126" i="7"/>
  <c r="BK126" i="7" s="1"/>
  <c r="AK126" i="7"/>
  <c r="AF126" i="7"/>
  <c r="BG126" i="7" s="1"/>
  <c r="AR130" i="8"/>
  <c r="BN130" i="8" s="1"/>
  <c r="AQ130" i="8"/>
  <c r="L129" i="8"/>
  <c r="AE129" i="8" s="1"/>
  <c r="BF129" i="8" s="1"/>
  <c r="O129" i="8"/>
  <c r="K128" i="8"/>
  <c r="AA128" i="8" s="1"/>
  <c r="BB127" i="8"/>
  <c r="AN126" i="8"/>
  <c r="BO126" i="8" s="1"/>
  <c r="BL126" i="8"/>
  <c r="O129" i="7"/>
  <c r="L129" i="7"/>
  <c r="AE129" i="7" s="1"/>
  <c r="BF129" i="7" s="1"/>
  <c r="AG126" i="8" l="1"/>
  <c r="BH126" i="8" s="1"/>
  <c r="K129" i="7"/>
  <c r="AA129" i="7" s="1"/>
  <c r="BB129" i="7" s="1"/>
  <c r="M129" i="8"/>
  <c r="X129" i="8" s="1"/>
  <c r="AY129" i="8" s="1"/>
  <c r="H129" i="8"/>
  <c r="N129" i="8" s="1"/>
  <c r="T129" i="7"/>
  <c r="AU129" i="7" s="1"/>
  <c r="S129" i="7"/>
  <c r="AT129" i="7" s="1"/>
  <c r="K129" i="8"/>
  <c r="AA129" i="8" s="1"/>
  <c r="BB129" i="8" s="1"/>
  <c r="H129" i="7"/>
  <c r="J129" i="7" s="1"/>
  <c r="S129" i="8"/>
  <c r="AT129" i="8" s="1"/>
  <c r="T129" i="8"/>
  <c r="AU129" i="8" s="1"/>
  <c r="AF127" i="8"/>
  <c r="BG127" i="8" s="1"/>
  <c r="G130" i="7"/>
  <c r="M130" i="7" s="1"/>
  <c r="X140" i="9"/>
  <c r="L140" i="9"/>
  <c r="R140" i="9"/>
  <c r="G140" i="9"/>
  <c r="F140" i="9"/>
  <c r="W140" i="9"/>
  <c r="M140" i="9"/>
  <c r="Y140" i="9"/>
  <c r="D131" i="8" s="1"/>
  <c r="I131" i="8" s="1"/>
  <c r="I140" i="9"/>
  <c r="E131" i="7" s="1"/>
  <c r="Q140" i="9"/>
  <c r="K140" i="9"/>
  <c r="E140" i="9"/>
  <c r="AA140" i="9"/>
  <c r="Z140" i="9"/>
  <c r="H140" i="9"/>
  <c r="S140" i="9"/>
  <c r="D131" i="7" s="1"/>
  <c r="I131" i="7" s="1"/>
  <c r="D140" i="9"/>
  <c r="U140" i="9"/>
  <c r="P140" i="9"/>
  <c r="J140" i="9"/>
  <c r="N140" i="9"/>
  <c r="T140" i="9"/>
  <c r="V140" i="9"/>
  <c r="O140" i="9"/>
  <c r="E131" i="8" s="1"/>
  <c r="AI128" i="8"/>
  <c r="AC128" i="8"/>
  <c r="BD128" i="8" s="1"/>
  <c r="AD128" i="8"/>
  <c r="BE128" i="8" s="1"/>
  <c r="AB128" i="8"/>
  <c r="BC128" i="8" s="1"/>
  <c r="AR133" i="7"/>
  <c r="BN133" i="7" s="1"/>
  <c r="AQ133" i="7"/>
  <c r="B135" i="7"/>
  <c r="A136" i="7"/>
  <c r="BC127" i="7"/>
  <c r="AF127" i="7"/>
  <c r="BG127" i="7" s="1"/>
  <c r="Z127" i="7"/>
  <c r="AN126" i="7"/>
  <c r="BO126" i="7" s="1"/>
  <c r="BL126" i="7"/>
  <c r="O130" i="7"/>
  <c r="L130" i="7"/>
  <c r="AE130" i="7" s="1"/>
  <c r="BF130" i="7" s="1"/>
  <c r="AK127" i="7"/>
  <c r="AJ127" i="7"/>
  <c r="BK127" i="7" s="1"/>
  <c r="BI127" i="7"/>
  <c r="O130" i="8"/>
  <c r="L130" i="8"/>
  <c r="AE130" i="8" s="1"/>
  <c r="BF130" i="8" s="1"/>
  <c r="AG126" i="7"/>
  <c r="BH126" i="7" s="1"/>
  <c r="Z127" i="8"/>
  <c r="AH129" i="8"/>
  <c r="W129" i="8"/>
  <c r="AX129" i="8" s="1"/>
  <c r="AQ131" i="8"/>
  <c r="AR131" i="8"/>
  <c r="BN131" i="8" s="1"/>
  <c r="AH128" i="7"/>
  <c r="W128" i="7"/>
  <c r="AX128" i="7" s="1"/>
  <c r="X128" i="7"/>
  <c r="AY128" i="7" s="1"/>
  <c r="U128" i="7"/>
  <c r="AV128" i="7" s="1"/>
  <c r="AP132" i="8"/>
  <c r="C132" i="8"/>
  <c r="B133" i="8"/>
  <c r="A134" i="8"/>
  <c r="BJ127" i="7"/>
  <c r="AL127" i="7"/>
  <c r="BM127" i="7" s="1"/>
  <c r="J128" i="8"/>
  <c r="BI127" i="8"/>
  <c r="AK127" i="8"/>
  <c r="AJ127" i="8"/>
  <c r="BK127" i="8" s="1"/>
  <c r="AI128" i="7"/>
  <c r="AC128" i="7"/>
  <c r="BD128" i="7" s="1"/>
  <c r="AD128" i="7"/>
  <c r="BE128" i="7" s="1"/>
  <c r="AB128" i="7"/>
  <c r="BB128" i="8"/>
  <c r="AT128" i="8"/>
  <c r="AH129" i="7"/>
  <c r="W129" i="7"/>
  <c r="AX129" i="7" s="1"/>
  <c r="X129" i="7"/>
  <c r="AY129" i="7" s="1"/>
  <c r="U129" i="7"/>
  <c r="AV129" i="7" s="1"/>
  <c r="AT128" i="7"/>
  <c r="AP134" i="7"/>
  <c r="C134" i="7"/>
  <c r="J128" i="7"/>
  <c r="AH128" i="8"/>
  <c r="W128" i="8"/>
  <c r="AX128" i="8" s="1"/>
  <c r="X128" i="8"/>
  <c r="AY128" i="8" s="1"/>
  <c r="C142" i="9"/>
  <c r="B141" i="9"/>
  <c r="G130" i="8"/>
  <c r="BJ127" i="8"/>
  <c r="AL127" i="8"/>
  <c r="BM127" i="8" s="1"/>
  <c r="J129" i="8" l="1"/>
  <c r="AD129" i="8"/>
  <c r="BE129" i="8" s="1"/>
  <c r="AB129" i="8"/>
  <c r="BC129" i="8" s="1"/>
  <c r="AI129" i="8"/>
  <c r="AL129" i="8" s="1"/>
  <c r="BM129" i="8" s="1"/>
  <c r="AC129" i="8"/>
  <c r="BD129" i="8" s="1"/>
  <c r="N129" i="7"/>
  <c r="AI129" i="7" s="1"/>
  <c r="BJ129" i="7" s="1"/>
  <c r="K130" i="7"/>
  <c r="AA130" i="7" s="1"/>
  <c r="BB130" i="7" s="1"/>
  <c r="S130" i="7"/>
  <c r="AT130" i="7" s="1"/>
  <c r="H130" i="7"/>
  <c r="N130" i="7" s="1"/>
  <c r="AI130" i="7" s="1"/>
  <c r="T130" i="7"/>
  <c r="AU130" i="7" s="1"/>
  <c r="G131" i="7"/>
  <c r="K131" i="7" s="1"/>
  <c r="AA131" i="7" s="1"/>
  <c r="AF128" i="8"/>
  <c r="BG128" i="8" s="1"/>
  <c r="G131" i="8"/>
  <c r="T131" i="8" s="1"/>
  <c r="AU131" i="8" s="1"/>
  <c r="Z129" i="8"/>
  <c r="BA129" i="8" s="1"/>
  <c r="BL127" i="8"/>
  <c r="AN127" i="8"/>
  <c r="BO127" i="8" s="1"/>
  <c r="AR132" i="8"/>
  <c r="BN132" i="8" s="1"/>
  <c r="AQ132" i="8"/>
  <c r="AK128" i="7"/>
  <c r="AJ128" i="7"/>
  <c r="BK128" i="7" s="1"/>
  <c r="BI128" i="7"/>
  <c r="BI129" i="7"/>
  <c r="AK129" i="7"/>
  <c r="AG127" i="8"/>
  <c r="BH127" i="8" s="1"/>
  <c r="BA127" i="8"/>
  <c r="C135" i="7"/>
  <c r="AP135" i="7"/>
  <c r="B136" i="7"/>
  <c r="A137" i="7"/>
  <c r="L131" i="7"/>
  <c r="AE131" i="7" s="1"/>
  <c r="BF131" i="7" s="1"/>
  <c r="O131" i="7"/>
  <c r="O131" i="8"/>
  <c r="L131" i="8"/>
  <c r="AE131" i="8" s="1"/>
  <c r="BF131" i="8" s="1"/>
  <c r="AK129" i="8"/>
  <c r="BI129" i="8"/>
  <c r="C143" i="9"/>
  <c r="B142" i="9"/>
  <c r="AH130" i="7"/>
  <c r="W130" i="7"/>
  <c r="AX130" i="7" s="1"/>
  <c r="X130" i="7"/>
  <c r="AY130" i="7" s="1"/>
  <c r="U130" i="7"/>
  <c r="AV130" i="7" s="1"/>
  <c r="BA127" i="7"/>
  <c r="AG127" i="7"/>
  <c r="BH127" i="7" s="1"/>
  <c r="AK128" i="8"/>
  <c r="AJ128" i="8"/>
  <c r="BK128" i="8" s="1"/>
  <c r="BI128" i="8"/>
  <c r="Z128" i="8"/>
  <c r="AQ134" i="7"/>
  <c r="AR134" i="7"/>
  <c r="BN134" i="7" s="1"/>
  <c r="A135" i="8"/>
  <c r="B134" i="8"/>
  <c r="C133" i="8"/>
  <c r="AP133" i="8"/>
  <c r="BL127" i="7"/>
  <c r="AN127" i="7"/>
  <c r="BO127" i="7" s="1"/>
  <c r="X141" i="9"/>
  <c r="L141" i="9"/>
  <c r="F141" i="9"/>
  <c r="T141" i="9"/>
  <c r="S141" i="9"/>
  <c r="D132" i="7" s="1"/>
  <c r="I132" i="7" s="1"/>
  <c r="R141" i="9"/>
  <c r="P141" i="9"/>
  <c r="O141" i="9"/>
  <c r="E132" i="8" s="1"/>
  <c r="D141" i="9"/>
  <c r="E141" i="9"/>
  <c r="U141" i="9"/>
  <c r="V141" i="9"/>
  <c r="N141" i="9"/>
  <c r="I141" i="9"/>
  <c r="E132" i="7" s="1"/>
  <c r="H141" i="9"/>
  <c r="Z141" i="9"/>
  <c r="K141" i="9"/>
  <c r="Q141" i="9"/>
  <c r="M141" i="9"/>
  <c r="Y141" i="9"/>
  <c r="D132" i="8" s="1"/>
  <c r="I132" i="8" s="1"/>
  <c r="W141" i="9"/>
  <c r="AA141" i="9"/>
  <c r="G141" i="9"/>
  <c r="J141" i="9"/>
  <c r="Z129" i="7"/>
  <c r="BC128" i="7"/>
  <c r="AF128" i="7"/>
  <c r="BG128" i="7" s="1"/>
  <c r="M130" i="8"/>
  <c r="H130" i="8"/>
  <c r="N130" i="8" s="1"/>
  <c r="S130" i="8"/>
  <c r="U130" i="8"/>
  <c r="AV130" i="8" s="1"/>
  <c r="T130" i="8"/>
  <c r="AU130" i="8" s="1"/>
  <c r="K130" i="8"/>
  <c r="AA130" i="8" s="1"/>
  <c r="Z128" i="7"/>
  <c r="AL128" i="7"/>
  <c r="BM128" i="7" s="1"/>
  <c r="BJ128" i="7"/>
  <c r="AL128" i="8"/>
  <c r="BM128" i="8" s="1"/>
  <c r="BJ128" i="8"/>
  <c r="AB129" i="7" l="1"/>
  <c r="BC129" i="7" s="1"/>
  <c r="AJ129" i="8"/>
  <c r="BK129" i="8" s="1"/>
  <c r="AD129" i="7"/>
  <c r="BE129" i="7" s="1"/>
  <c r="AF129" i="8"/>
  <c r="BG129" i="8" s="1"/>
  <c r="AB130" i="7"/>
  <c r="BC130" i="7" s="1"/>
  <c r="AJ129" i="7"/>
  <c r="BK129" i="7" s="1"/>
  <c r="AL129" i="7"/>
  <c r="BM129" i="7" s="1"/>
  <c r="AD130" i="7"/>
  <c r="BE130" i="7" s="1"/>
  <c r="BJ129" i="8"/>
  <c r="H131" i="7"/>
  <c r="N131" i="7" s="1"/>
  <c r="AC131" i="7" s="1"/>
  <c r="BD131" i="7" s="1"/>
  <c r="J130" i="7"/>
  <c r="T131" i="7"/>
  <c r="AU131" i="7" s="1"/>
  <c r="S131" i="7"/>
  <c r="AT131" i="7" s="1"/>
  <c r="M131" i="7"/>
  <c r="X131" i="7" s="1"/>
  <c r="AY131" i="7" s="1"/>
  <c r="AC129" i="7"/>
  <c r="BD129" i="7" s="1"/>
  <c r="AC130" i="7"/>
  <c r="H131" i="8"/>
  <c r="N131" i="8" s="1"/>
  <c r="M131" i="8"/>
  <c r="AH131" i="8" s="1"/>
  <c r="S131" i="8"/>
  <c r="AT131" i="8" s="1"/>
  <c r="K131" i="8"/>
  <c r="AA131" i="8" s="1"/>
  <c r="BB131" i="8" s="1"/>
  <c r="G132" i="7"/>
  <c r="K132" i="7" s="1"/>
  <c r="AA132" i="7" s="1"/>
  <c r="BB132" i="7" s="1"/>
  <c r="U131" i="8"/>
  <c r="AV131" i="8" s="1"/>
  <c r="AN128" i="7"/>
  <c r="BO128" i="7" s="1"/>
  <c r="BL128" i="7"/>
  <c r="AN129" i="8"/>
  <c r="BO129" i="8" s="1"/>
  <c r="BL129" i="8"/>
  <c r="BL129" i="7"/>
  <c r="L132" i="8"/>
  <c r="AE132" i="8" s="1"/>
  <c r="BF132" i="8" s="1"/>
  <c r="O132" i="8"/>
  <c r="BJ130" i="7"/>
  <c r="AL130" i="7"/>
  <c r="BM130" i="7" s="1"/>
  <c r="J130" i="8"/>
  <c r="A136" i="8"/>
  <c r="B135" i="8"/>
  <c r="A138" i="7"/>
  <c r="B137" i="7"/>
  <c r="BA128" i="7"/>
  <c r="AG128" i="7"/>
  <c r="BH128" i="7" s="1"/>
  <c r="BB130" i="8"/>
  <c r="AN128" i="8"/>
  <c r="BO128" i="8" s="1"/>
  <c r="BL128" i="8"/>
  <c r="G132" i="8"/>
  <c r="AK130" i="7"/>
  <c r="AJ130" i="7"/>
  <c r="BK130" i="7" s="1"/>
  <c r="BI130" i="7"/>
  <c r="C136" i="7"/>
  <c r="AP136" i="7"/>
  <c r="AR133" i="8"/>
  <c r="BN133" i="8" s="1"/>
  <c r="AQ133" i="8"/>
  <c r="AT130" i="8"/>
  <c r="AI130" i="8"/>
  <c r="AC130" i="8"/>
  <c r="BD130" i="8" s="1"/>
  <c r="AD130" i="8"/>
  <c r="BE130" i="8" s="1"/>
  <c r="AB130" i="8"/>
  <c r="BC130" i="8" s="1"/>
  <c r="O132" i="7"/>
  <c r="L132" i="7"/>
  <c r="AE132" i="7" s="1"/>
  <c r="BF132" i="7" s="1"/>
  <c r="R142" i="9"/>
  <c r="F142" i="9"/>
  <c r="L142" i="9"/>
  <c r="X142" i="9"/>
  <c r="E142" i="9"/>
  <c r="J142" i="9"/>
  <c r="Q142" i="9"/>
  <c r="N142" i="9"/>
  <c r="K142" i="9"/>
  <c r="D142" i="9"/>
  <c r="M142" i="9"/>
  <c r="Z142" i="9"/>
  <c r="I142" i="9"/>
  <c r="E133" i="7" s="1"/>
  <c r="P142" i="9"/>
  <c r="O142" i="9"/>
  <c r="E133" i="8" s="1"/>
  <c r="W142" i="9"/>
  <c r="Y142" i="9"/>
  <c r="D133" i="8" s="1"/>
  <c r="I133" i="8" s="1"/>
  <c r="U142" i="9"/>
  <c r="AA142" i="9"/>
  <c r="V142" i="9"/>
  <c r="S142" i="9"/>
  <c r="D133" i="7" s="1"/>
  <c r="I133" i="7" s="1"/>
  <c r="G142" i="9"/>
  <c r="T142" i="9"/>
  <c r="H142" i="9"/>
  <c r="AR135" i="7"/>
  <c r="BN135" i="7" s="1"/>
  <c r="AQ135" i="7"/>
  <c r="BB131" i="7"/>
  <c r="Z130" i="7"/>
  <c r="AH130" i="8"/>
  <c r="W130" i="8"/>
  <c r="AX130" i="8" s="1"/>
  <c r="X130" i="8"/>
  <c r="AY130" i="8" s="1"/>
  <c r="C144" i="9"/>
  <c r="B143" i="9"/>
  <c r="BA129" i="7"/>
  <c r="C134" i="8"/>
  <c r="AP134" i="8"/>
  <c r="BA128" i="8"/>
  <c r="AG128" i="8"/>
  <c r="BH128" i="8" s="1"/>
  <c r="AG129" i="8"/>
  <c r="BH129" i="8" s="1"/>
  <c r="AI131" i="7" l="1"/>
  <c r="BJ131" i="7" s="1"/>
  <c r="J131" i="7"/>
  <c r="AB131" i="7"/>
  <c r="BC131" i="7" s="1"/>
  <c r="AN129" i="7"/>
  <c r="BO129" i="7" s="1"/>
  <c r="AD131" i="7"/>
  <c r="BE131" i="7" s="1"/>
  <c r="W131" i="7"/>
  <c r="AX131" i="7" s="1"/>
  <c r="AH131" i="7"/>
  <c r="AK131" i="7" s="1"/>
  <c r="AF129" i="7"/>
  <c r="BG129" i="7" s="1"/>
  <c r="J131" i="8"/>
  <c r="U131" i="7"/>
  <c r="AV131" i="7" s="1"/>
  <c r="X131" i="8"/>
  <c r="AY131" i="8" s="1"/>
  <c r="W131" i="8"/>
  <c r="AX131" i="8" s="1"/>
  <c r="BD130" i="7"/>
  <c r="AF130" i="7"/>
  <c r="BG130" i="7" s="1"/>
  <c r="T132" i="7"/>
  <c r="AU132" i="7" s="1"/>
  <c r="S132" i="7"/>
  <c r="AT132" i="7" s="1"/>
  <c r="M132" i="7"/>
  <c r="X132" i="7" s="1"/>
  <c r="AY132" i="7" s="1"/>
  <c r="H132" i="7"/>
  <c r="N132" i="7" s="1"/>
  <c r="AD132" i="7" s="1"/>
  <c r="BE132" i="7" s="1"/>
  <c r="BL130" i="7"/>
  <c r="AN130" i="7"/>
  <c r="BO130" i="7" s="1"/>
  <c r="B144" i="9"/>
  <c r="C145" i="9"/>
  <c r="AI131" i="8"/>
  <c r="AJ131" i="8" s="1"/>
  <c r="BK131" i="8" s="1"/>
  <c r="AC131" i="8"/>
  <c r="BD131" i="8" s="1"/>
  <c r="AD131" i="8"/>
  <c r="BE131" i="8" s="1"/>
  <c r="AB131" i="8"/>
  <c r="O133" i="7"/>
  <c r="L133" i="7"/>
  <c r="AE133" i="7" s="1"/>
  <c r="BF133" i="7" s="1"/>
  <c r="BJ130" i="8"/>
  <c r="AL130" i="8"/>
  <c r="BM130" i="8" s="1"/>
  <c r="AF130" i="8"/>
  <c r="BG130" i="8" s="1"/>
  <c r="AK131" i="8"/>
  <c r="BI131" i="8"/>
  <c r="BI130" i="8"/>
  <c r="AK130" i="8"/>
  <c r="AJ130" i="8"/>
  <c r="BK130" i="8" s="1"/>
  <c r="AP137" i="7"/>
  <c r="C137" i="7"/>
  <c r="B138" i="7"/>
  <c r="A139" i="7"/>
  <c r="O133" i="8"/>
  <c r="L133" i="8"/>
  <c r="AE133" i="8" s="1"/>
  <c r="BF133" i="8" s="1"/>
  <c r="G133" i="7"/>
  <c r="AP135" i="8"/>
  <c r="C135" i="8"/>
  <c r="R143" i="9"/>
  <c r="F143" i="9"/>
  <c r="L143" i="9"/>
  <c r="X143" i="9"/>
  <c r="N143" i="9"/>
  <c r="G143" i="9"/>
  <c r="M143" i="9"/>
  <c r="Y143" i="9"/>
  <c r="D134" i="8" s="1"/>
  <c r="I134" i="8" s="1"/>
  <c r="J143" i="9"/>
  <c r="Z143" i="9"/>
  <c r="D143" i="9"/>
  <c r="U143" i="9"/>
  <c r="H143" i="9"/>
  <c r="V143" i="9"/>
  <c r="K143" i="9"/>
  <c r="E143" i="9"/>
  <c r="S143" i="9"/>
  <c r="D134" i="7" s="1"/>
  <c r="I134" i="7" s="1"/>
  <c r="O143" i="9"/>
  <c r="E134" i="8" s="1"/>
  <c r="P143" i="9"/>
  <c r="AA143" i="9"/>
  <c r="T143" i="9"/>
  <c r="Q143" i="9"/>
  <c r="I143" i="9"/>
  <c r="E134" i="7" s="1"/>
  <c r="W143" i="9"/>
  <c r="M132" i="8"/>
  <c r="H132" i="8"/>
  <c r="N132" i="8" s="1"/>
  <c r="S132" i="8"/>
  <c r="U132" i="8"/>
  <c r="AV132" i="8" s="1"/>
  <c r="T132" i="8"/>
  <c r="AU132" i="8" s="1"/>
  <c r="K132" i="8"/>
  <c r="AA132" i="8" s="1"/>
  <c r="G133" i="8"/>
  <c r="K133" i="8" s="1"/>
  <c r="AA133" i="8" s="1"/>
  <c r="B136" i="8"/>
  <c r="A137" i="8"/>
  <c r="Z130" i="8"/>
  <c r="BA130" i="7"/>
  <c r="AR134" i="8"/>
  <c r="BN134" i="8" s="1"/>
  <c r="AQ134" i="8"/>
  <c r="AR136" i="7"/>
  <c r="BN136" i="7" s="1"/>
  <c r="AQ136" i="7"/>
  <c r="AL131" i="7" l="1"/>
  <c r="BM131" i="7" s="1"/>
  <c r="AG129" i="7"/>
  <c r="BH129" i="7" s="1"/>
  <c r="AF131" i="7"/>
  <c r="BG131" i="7" s="1"/>
  <c r="BI131" i="7"/>
  <c r="AJ131" i="7"/>
  <c r="BK131" i="7" s="1"/>
  <c r="Z131" i="7"/>
  <c r="BA131" i="7" s="1"/>
  <c r="Z131" i="8"/>
  <c r="BA131" i="8" s="1"/>
  <c r="AG130" i="7"/>
  <c r="BH130" i="7" s="1"/>
  <c r="AC132" i="7"/>
  <c r="BD132" i="7" s="1"/>
  <c r="AI132" i="7"/>
  <c r="BJ132" i="7" s="1"/>
  <c r="W132" i="7"/>
  <c r="AX132" i="7" s="1"/>
  <c r="AH132" i="7"/>
  <c r="AB132" i="7"/>
  <c r="BC132" i="7" s="1"/>
  <c r="J132" i="7"/>
  <c r="U132" i="7"/>
  <c r="AV132" i="7" s="1"/>
  <c r="G134" i="8"/>
  <c r="U134" i="8" s="1"/>
  <c r="AV134" i="8" s="1"/>
  <c r="BB133" i="8"/>
  <c r="AT132" i="8"/>
  <c r="BC131" i="8"/>
  <c r="AF131" i="8"/>
  <c r="BG131" i="8" s="1"/>
  <c r="B139" i="7"/>
  <c r="A140" i="7"/>
  <c r="C138" i="7"/>
  <c r="AP138" i="7"/>
  <c r="AI132" i="8"/>
  <c r="AC132" i="8"/>
  <c r="BD132" i="8" s="1"/>
  <c r="AD132" i="8"/>
  <c r="BE132" i="8" s="1"/>
  <c r="AB132" i="8"/>
  <c r="BC132" i="8" s="1"/>
  <c r="BL131" i="8"/>
  <c r="AL131" i="8"/>
  <c r="BM131" i="8" s="1"/>
  <c r="BJ131" i="8"/>
  <c r="AG130" i="8"/>
  <c r="BH130" i="8" s="1"/>
  <c r="BA130" i="8"/>
  <c r="BL131" i="7"/>
  <c r="AH132" i="8"/>
  <c r="W132" i="8"/>
  <c r="AX132" i="8" s="1"/>
  <c r="X132" i="8"/>
  <c r="AY132" i="8" s="1"/>
  <c r="AR135" i="8"/>
  <c r="BN135" i="8" s="1"/>
  <c r="AQ135" i="8"/>
  <c r="AQ137" i="7"/>
  <c r="AR137" i="7"/>
  <c r="BN137" i="7" s="1"/>
  <c r="C146" i="9"/>
  <c r="B145" i="9"/>
  <c r="A138" i="8"/>
  <c r="B137" i="8"/>
  <c r="G134" i="7"/>
  <c r="K134" i="7" s="1"/>
  <c r="AA134" i="7" s="1"/>
  <c r="X144" i="9"/>
  <c r="L144" i="9"/>
  <c r="R144" i="9"/>
  <c r="I144" i="9"/>
  <c r="E135" i="7" s="1"/>
  <c r="G144" i="9"/>
  <c r="F144" i="9"/>
  <c r="D144" i="9"/>
  <c r="E144" i="9"/>
  <c r="Q144" i="9"/>
  <c r="O144" i="9"/>
  <c r="E135" i="8" s="1"/>
  <c r="V144" i="9"/>
  <c r="J144" i="9"/>
  <c r="H144" i="9"/>
  <c r="U144" i="9"/>
  <c r="N144" i="9"/>
  <c r="Z144" i="9"/>
  <c r="S144" i="9"/>
  <c r="D135" i="7" s="1"/>
  <c r="I135" i="7" s="1"/>
  <c r="P144" i="9"/>
  <c r="Y144" i="9"/>
  <c r="D135" i="8" s="1"/>
  <c r="I135" i="8" s="1"/>
  <c r="AA144" i="9"/>
  <c r="T144" i="9"/>
  <c r="K144" i="9"/>
  <c r="M144" i="9"/>
  <c r="W144" i="9"/>
  <c r="C136" i="8"/>
  <c r="AP136" i="8"/>
  <c r="M133" i="8"/>
  <c r="H133" i="8"/>
  <c r="N133" i="8" s="1"/>
  <c r="S133" i="8"/>
  <c r="U133" i="8"/>
  <c r="AV133" i="8" s="1"/>
  <c r="T133" i="8"/>
  <c r="AU133" i="8" s="1"/>
  <c r="L134" i="7"/>
  <c r="AE134" i="7" s="1"/>
  <c r="BF134" i="7" s="1"/>
  <c r="O134" i="7"/>
  <c r="J132" i="8"/>
  <c r="BB132" i="8"/>
  <c r="O134" i="8"/>
  <c r="L134" i="8"/>
  <c r="AE134" i="8" s="1"/>
  <c r="BF134" i="8" s="1"/>
  <c r="H133" i="7"/>
  <c r="N133" i="7" s="1"/>
  <c r="M133" i="7"/>
  <c r="T133" i="7"/>
  <c r="AU133" i="7" s="1"/>
  <c r="S133" i="7"/>
  <c r="K133" i="7"/>
  <c r="AA133" i="7" s="1"/>
  <c r="BL130" i="8"/>
  <c r="AN130" i="8"/>
  <c r="BO130" i="8" s="1"/>
  <c r="AN131" i="7" l="1"/>
  <c r="BO131" i="7" s="1"/>
  <c r="AL132" i="7"/>
  <c r="BM132" i="7" s="1"/>
  <c r="AG131" i="7"/>
  <c r="BH131" i="7" s="1"/>
  <c r="AJ132" i="7"/>
  <c r="BK132" i="7" s="1"/>
  <c r="BI132" i="7"/>
  <c r="AF132" i="7"/>
  <c r="BG132" i="7" s="1"/>
  <c r="AK132" i="7"/>
  <c r="BL132" i="7" s="1"/>
  <c r="Z132" i="7"/>
  <c r="BA132" i="7" s="1"/>
  <c r="S134" i="8"/>
  <c r="AT134" i="8" s="1"/>
  <c r="H134" i="8"/>
  <c r="J134" i="8" s="1"/>
  <c r="M134" i="8"/>
  <c r="X134" i="8" s="1"/>
  <c r="AY134" i="8" s="1"/>
  <c r="K134" i="8"/>
  <c r="AA134" i="8" s="1"/>
  <c r="BB134" i="8" s="1"/>
  <c r="T134" i="8"/>
  <c r="AU134" i="8" s="1"/>
  <c r="AG131" i="8"/>
  <c r="BH131" i="8" s="1"/>
  <c r="J133" i="7"/>
  <c r="AF132" i="8"/>
  <c r="BG132" i="8" s="1"/>
  <c r="G135" i="7"/>
  <c r="T135" i="7" s="1"/>
  <c r="AU135" i="7" s="1"/>
  <c r="G135" i="8"/>
  <c r="K135" i="8" s="1"/>
  <c r="AA135" i="8" s="1"/>
  <c r="BB135" i="8" s="1"/>
  <c r="AT133" i="8"/>
  <c r="AN131" i="8"/>
  <c r="BO131" i="8" s="1"/>
  <c r="A141" i="7"/>
  <c r="B140" i="7"/>
  <c r="AI133" i="8"/>
  <c r="AC133" i="8"/>
  <c r="BD133" i="8" s="1"/>
  <c r="AD133" i="8"/>
  <c r="BE133" i="8" s="1"/>
  <c r="AB133" i="8"/>
  <c r="C139" i="7"/>
  <c r="AP139" i="7"/>
  <c r="AH133" i="8"/>
  <c r="W133" i="8"/>
  <c r="AX133" i="8" s="1"/>
  <c r="X133" i="8"/>
  <c r="AY133" i="8" s="1"/>
  <c r="H134" i="7"/>
  <c r="N134" i="7" s="1"/>
  <c r="M134" i="7"/>
  <c r="T134" i="7"/>
  <c r="AU134" i="7" s="1"/>
  <c r="S134" i="7"/>
  <c r="AI133" i="7"/>
  <c r="AC133" i="7"/>
  <c r="BD133" i="7" s="1"/>
  <c r="AD133" i="7"/>
  <c r="BE133" i="7" s="1"/>
  <c r="AB133" i="7"/>
  <c r="BC133" i="7" s="1"/>
  <c r="J133" i="8"/>
  <c r="C137" i="8"/>
  <c r="AP137" i="8"/>
  <c r="AK132" i="8"/>
  <c r="AJ132" i="8"/>
  <c r="BK132" i="8" s="1"/>
  <c r="BI132" i="8"/>
  <c r="Z132" i="8"/>
  <c r="AR138" i="7"/>
  <c r="BN138" i="7" s="1"/>
  <c r="AQ138" i="7"/>
  <c r="BB134" i="7"/>
  <c r="L135" i="8"/>
  <c r="AE135" i="8" s="1"/>
  <c r="BF135" i="8" s="1"/>
  <c r="O135" i="8"/>
  <c r="A139" i="8"/>
  <c r="B138" i="8"/>
  <c r="AH133" i="7"/>
  <c r="W133" i="7"/>
  <c r="AX133" i="7" s="1"/>
  <c r="X133" i="7"/>
  <c r="AY133" i="7" s="1"/>
  <c r="U133" i="7"/>
  <c r="AV133" i="7" s="1"/>
  <c r="BB133" i="7"/>
  <c r="X145" i="9"/>
  <c r="L145" i="9"/>
  <c r="F145" i="9"/>
  <c r="R145" i="9"/>
  <c r="T145" i="9"/>
  <c r="S145" i="9"/>
  <c r="D136" i="7" s="1"/>
  <c r="I136" i="7" s="1"/>
  <c r="M145" i="9"/>
  <c r="Z145" i="9"/>
  <c r="K145" i="9"/>
  <c r="Y145" i="9"/>
  <c r="D136" i="8" s="1"/>
  <c r="I136" i="8" s="1"/>
  <c r="N145" i="9"/>
  <c r="P145" i="9"/>
  <c r="Q145" i="9"/>
  <c r="O145" i="9"/>
  <c r="E136" i="8" s="1"/>
  <c r="G145" i="9"/>
  <c r="V145" i="9"/>
  <c r="I145" i="9"/>
  <c r="E136" i="7" s="1"/>
  <c r="H145" i="9"/>
  <c r="J145" i="9"/>
  <c r="W145" i="9"/>
  <c r="D145" i="9"/>
  <c r="AA145" i="9"/>
  <c r="E145" i="9"/>
  <c r="U145" i="9"/>
  <c r="AR136" i="8"/>
  <c r="BN136" i="8" s="1"/>
  <c r="AQ136" i="8"/>
  <c r="AT133" i="7"/>
  <c r="O135" i="7"/>
  <c r="L135" i="7"/>
  <c r="AE135" i="7" s="1"/>
  <c r="BF135" i="7" s="1"/>
  <c r="C147" i="9"/>
  <c r="B146" i="9"/>
  <c r="AL132" i="8"/>
  <c r="BM132" i="8" s="1"/>
  <c r="BJ132" i="8"/>
  <c r="AH134" i="8" l="1"/>
  <c r="N134" i="8"/>
  <c r="AI134" i="8" s="1"/>
  <c r="BJ134" i="8" s="1"/>
  <c r="AG132" i="7"/>
  <c r="BH132" i="7" s="1"/>
  <c r="AN132" i="7"/>
  <c r="BO132" i="7" s="1"/>
  <c r="W134" i="8"/>
  <c r="AX134" i="8" s="1"/>
  <c r="G136" i="8"/>
  <c r="U136" i="8" s="1"/>
  <c r="AV136" i="8" s="1"/>
  <c r="H135" i="7"/>
  <c r="N135" i="7" s="1"/>
  <c r="S135" i="7"/>
  <c r="AT135" i="7" s="1"/>
  <c r="K135" i="7"/>
  <c r="AA135" i="7" s="1"/>
  <c r="BB135" i="7" s="1"/>
  <c r="M135" i="7"/>
  <c r="U135" i="7" s="1"/>
  <c r="AV135" i="7" s="1"/>
  <c r="U135" i="8"/>
  <c r="AV135" i="8" s="1"/>
  <c r="T135" i="8"/>
  <c r="AU135" i="8" s="1"/>
  <c r="S135" i="8"/>
  <c r="AT135" i="8" s="1"/>
  <c r="H135" i="8"/>
  <c r="N135" i="8" s="1"/>
  <c r="AD135" i="8" s="1"/>
  <c r="BE135" i="8" s="1"/>
  <c r="M135" i="8"/>
  <c r="W135" i="8" s="1"/>
  <c r="AX135" i="8" s="1"/>
  <c r="Z133" i="7"/>
  <c r="AF133" i="7"/>
  <c r="BG133" i="7" s="1"/>
  <c r="G136" i="7"/>
  <c r="K136" i="7" s="1"/>
  <c r="AA136" i="7" s="1"/>
  <c r="BB136" i="7" s="1"/>
  <c r="C148" i="9"/>
  <c r="B147" i="9"/>
  <c r="AR137" i="8"/>
  <c r="BN137" i="8" s="1"/>
  <c r="AQ137" i="8"/>
  <c r="B141" i="7"/>
  <c r="A142" i="7"/>
  <c r="AH134" i="7"/>
  <c r="W134" i="7"/>
  <c r="AX134" i="7" s="1"/>
  <c r="X134" i="7"/>
  <c r="AY134" i="7" s="1"/>
  <c r="U134" i="7"/>
  <c r="AV134" i="7" s="1"/>
  <c r="R146" i="9"/>
  <c r="F146" i="9"/>
  <c r="L146" i="9"/>
  <c r="E146" i="9"/>
  <c r="AA146" i="9"/>
  <c r="X146" i="9"/>
  <c r="W146" i="9"/>
  <c r="U146" i="9"/>
  <c r="G146" i="9"/>
  <c r="S146" i="9"/>
  <c r="D137" i="7" s="1"/>
  <c r="I137" i="7" s="1"/>
  <c r="T146" i="9"/>
  <c r="J146" i="9"/>
  <c r="Q146" i="9"/>
  <c r="I146" i="9"/>
  <c r="E137" i="7" s="1"/>
  <c r="P146" i="9"/>
  <c r="D146" i="9"/>
  <c r="V146" i="9"/>
  <c r="N146" i="9"/>
  <c r="O146" i="9"/>
  <c r="E137" i="8" s="1"/>
  <c r="Z146" i="9"/>
  <c r="M146" i="9"/>
  <c r="Y146" i="9"/>
  <c r="D137" i="8" s="1"/>
  <c r="I137" i="8" s="1"/>
  <c r="K146" i="9"/>
  <c r="H146" i="9"/>
  <c r="Z133" i="8"/>
  <c r="B139" i="8"/>
  <c r="A140" i="8"/>
  <c r="AN132" i="8"/>
  <c r="BO132" i="8" s="1"/>
  <c r="BL132" i="8"/>
  <c r="AR139" i="7"/>
  <c r="BN139" i="7" s="1"/>
  <c r="AQ139" i="7"/>
  <c r="AP140" i="7"/>
  <c r="C140" i="7"/>
  <c r="AI134" i="7"/>
  <c r="AC134" i="7"/>
  <c r="BD134" i="7" s="1"/>
  <c r="AD134" i="7"/>
  <c r="BE134" i="7" s="1"/>
  <c r="AB134" i="7"/>
  <c r="BC133" i="8"/>
  <c r="AF133" i="8"/>
  <c r="BG133" i="8" s="1"/>
  <c r="AK134" i="8"/>
  <c r="J134" i="7"/>
  <c r="AK133" i="7"/>
  <c r="AJ133" i="7"/>
  <c r="BK133" i="7" s="1"/>
  <c r="BI133" i="7"/>
  <c r="BA132" i="8"/>
  <c r="AG132" i="8"/>
  <c r="BH132" i="8" s="1"/>
  <c r="BJ133" i="7"/>
  <c r="AL133" i="7"/>
  <c r="BM133" i="7" s="1"/>
  <c r="BJ133" i="8"/>
  <c r="AL133" i="8"/>
  <c r="BM133" i="8" s="1"/>
  <c r="BI133" i="8"/>
  <c r="AJ133" i="8"/>
  <c r="BK133" i="8" s="1"/>
  <c r="AK133" i="8"/>
  <c r="O136" i="8"/>
  <c r="L136" i="8"/>
  <c r="AE136" i="8" s="1"/>
  <c r="BF136" i="8" s="1"/>
  <c r="O136" i="7"/>
  <c r="L136" i="7"/>
  <c r="AE136" i="7" s="1"/>
  <c r="BF136" i="7" s="1"/>
  <c r="AP138" i="8"/>
  <c r="C138" i="8"/>
  <c r="AT134" i="7"/>
  <c r="AC134" i="8" l="1"/>
  <c r="AL134" i="8"/>
  <c r="BM134" i="8" s="1"/>
  <c r="AD134" i="8"/>
  <c r="BE134" i="8" s="1"/>
  <c r="AB134" i="8"/>
  <c r="BC134" i="8" s="1"/>
  <c r="M136" i="8"/>
  <c r="X136" i="8" s="1"/>
  <c r="AY136" i="8" s="1"/>
  <c r="Z134" i="8"/>
  <c r="BA134" i="8" s="1"/>
  <c r="AJ134" i="8"/>
  <c r="BK134" i="8" s="1"/>
  <c r="BI134" i="8"/>
  <c r="H136" i="8"/>
  <c r="J136" i="8" s="1"/>
  <c r="S136" i="8"/>
  <c r="AT136" i="8" s="1"/>
  <c r="K136" i="8"/>
  <c r="AA136" i="8" s="1"/>
  <c r="BB136" i="8" s="1"/>
  <c r="T136" i="8"/>
  <c r="AU136" i="8" s="1"/>
  <c r="J135" i="7"/>
  <c r="W135" i="7"/>
  <c r="AX135" i="7" s="1"/>
  <c r="AH135" i="7"/>
  <c r="BI135" i="7" s="1"/>
  <c r="X135" i="7"/>
  <c r="AY135" i="7" s="1"/>
  <c r="AI135" i="8"/>
  <c r="BJ135" i="8" s="1"/>
  <c r="AH135" i="8"/>
  <c r="AK135" i="8" s="1"/>
  <c r="BD134" i="8"/>
  <c r="AF134" i="8"/>
  <c r="BG134" i="8" s="1"/>
  <c r="AC135" i="8"/>
  <c r="BD135" i="8" s="1"/>
  <c r="AG133" i="7"/>
  <c r="BH133" i="7" s="1"/>
  <c r="BA133" i="7"/>
  <c r="AB135" i="8"/>
  <c r="X135" i="8"/>
  <c r="AY135" i="8" s="1"/>
  <c r="J135" i="8"/>
  <c r="S136" i="7"/>
  <c r="AT136" i="7" s="1"/>
  <c r="T136" i="7"/>
  <c r="AU136" i="7" s="1"/>
  <c r="M136" i="7"/>
  <c r="AH136" i="7" s="1"/>
  <c r="H136" i="7"/>
  <c r="N136" i="7" s="1"/>
  <c r="AB136" i="7" s="1"/>
  <c r="L137" i="7"/>
  <c r="AE137" i="7" s="1"/>
  <c r="BF137" i="7" s="1"/>
  <c r="O137" i="7"/>
  <c r="AR138" i="8"/>
  <c r="BN138" i="8" s="1"/>
  <c r="AQ138" i="8"/>
  <c r="AK134" i="7"/>
  <c r="AJ134" i="7"/>
  <c r="BK134" i="7" s="1"/>
  <c r="BI134" i="7"/>
  <c r="B142" i="7"/>
  <c r="A143" i="7"/>
  <c r="G137" i="8"/>
  <c r="C141" i="7"/>
  <c r="AP141" i="7"/>
  <c r="BC134" i="7"/>
  <c r="AF134" i="7"/>
  <c r="BG134" i="7" s="1"/>
  <c r="AL134" i="7"/>
  <c r="BM134" i="7" s="1"/>
  <c r="BJ134" i="7"/>
  <c r="BL133" i="7"/>
  <c r="AN133" i="7"/>
  <c r="BO133" i="7" s="1"/>
  <c r="AG133" i="8"/>
  <c r="BH133" i="8" s="1"/>
  <c r="BA133" i="8"/>
  <c r="R147" i="9"/>
  <c r="F147" i="9"/>
  <c r="L147" i="9"/>
  <c r="X147" i="9"/>
  <c r="V147" i="9"/>
  <c r="K147" i="9"/>
  <c r="D147" i="9"/>
  <c r="P147" i="9"/>
  <c r="N147" i="9"/>
  <c r="I147" i="9"/>
  <c r="E138" i="7" s="1"/>
  <c r="Y147" i="9"/>
  <c r="D138" i="8" s="1"/>
  <c r="I138" i="8" s="1"/>
  <c r="U147" i="9"/>
  <c r="H147" i="9"/>
  <c r="O147" i="9"/>
  <c r="E138" i="8" s="1"/>
  <c r="S147" i="9"/>
  <c r="D138" i="7" s="1"/>
  <c r="I138" i="7" s="1"/>
  <c r="J147" i="9"/>
  <c r="Z147" i="9"/>
  <c r="G147" i="9"/>
  <c r="W147" i="9"/>
  <c r="AA147" i="9"/>
  <c r="E147" i="9"/>
  <c r="T147" i="9"/>
  <c r="M147" i="9"/>
  <c r="Q147" i="9"/>
  <c r="BL133" i="8"/>
  <c r="AN133" i="8"/>
  <c r="BO133" i="8" s="1"/>
  <c r="C139" i="8"/>
  <c r="AP139" i="8"/>
  <c r="AQ140" i="7"/>
  <c r="AR140" i="7"/>
  <c r="BN140" i="7" s="1"/>
  <c r="B148" i="9"/>
  <c r="C149" i="9"/>
  <c r="O137" i="8"/>
  <c r="L137" i="8"/>
  <c r="AE137" i="8" s="1"/>
  <c r="BF137" i="8" s="1"/>
  <c r="Z134" i="7"/>
  <c r="G137" i="7"/>
  <c r="AI135" i="7"/>
  <c r="AC135" i="7"/>
  <c r="BD135" i="7" s="1"/>
  <c r="AD135" i="7"/>
  <c r="BE135" i="7" s="1"/>
  <c r="AB135" i="7"/>
  <c r="A141" i="8"/>
  <c r="B140" i="8"/>
  <c r="BL134" i="8"/>
  <c r="AN134" i="8" l="1"/>
  <c r="BO134" i="8" s="1"/>
  <c r="AH136" i="8"/>
  <c r="BI136" i="8" s="1"/>
  <c r="W136" i="8"/>
  <c r="AX136" i="8" s="1"/>
  <c r="N136" i="8"/>
  <c r="AI136" i="8" s="1"/>
  <c r="BJ136" i="8" s="1"/>
  <c r="AJ135" i="7"/>
  <c r="BK135" i="7" s="1"/>
  <c r="AL135" i="8"/>
  <c r="BM135" i="8" s="1"/>
  <c r="Z135" i="7"/>
  <c r="BA135" i="7" s="1"/>
  <c r="AK135" i="7"/>
  <c r="BL135" i="7" s="1"/>
  <c r="AF135" i="8"/>
  <c r="BG135" i="8" s="1"/>
  <c r="BI135" i="8"/>
  <c r="BC135" i="8"/>
  <c r="AJ135" i="8"/>
  <c r="BK135" i="8" s="1"/>
  <c r="U136" i="7"/>
  <c r="AV136" i="7" s="1"/>
  <c r="W136" i="7"/>
  <c r="AX136" i="7" s="1"/>
  <c r="X136" i="7"/>
  <c r="AY136" i="7" s="1"/>
  <c r="AG134" i="8"/>
  <c r="BH134" i="8" s="1"/>
  <c r="Z135" i="8"/>
  <c r="BA135" i="8" s="1"/>
  <c r="AD136" i="7"/>
  <c r="BE136" i="7" s="1"/>
  <c r="AC136" i="7"/>
  <c r="BD136" i="7" s="1"/>
  <c r="AI136" i="7"/>
  <c r="AL136" i="7" s="1"/>
  <c r="BM136" i="7" s="1"/>
  <c r="J136" i="7"/>
  <c r="G138" i="7"/>
  <c r="M138" i="7" s="1"/>
  <c r="Z136" i="8"/>
  <c r="BA136" i="8" s="1"/>
  <c r="AK136" i="7"/>
  <c r="BI136" i="7"/>
  <c r="A144" i="7"/>
  <c r="B143" i="7"/>
  <c r="C142" i="7"/>
  <c r="AP142" i="7"/>
  <c r="BC136" i="7"/>
  <c r="H137" i="7"/>
  <c r="N137" i="7" s="1"/>
  <c r="M137" i="7"/>
  <c r="S137" i="7"/>
  <c r="T137" i="7"/>
  <c r="AU137" i="7" s="1"/>
  <c r="K137" i="7"/>
  <c r="AA137" i="7" s="1"/>
  <c r="L138" i="8"/>
  <c r="AE138" i="8" s="1"/>
  <c r="BF138" i="8" s="1"/>
  <c r="O138" i="8"/>
  <c r="AN134" i="7"/>
  <c r="BO134" i="7" s="1"/>
  <c r="BL134" i="7"/>
  <c r="C150" i="9"/>
  <c r="B149" i="9"/>
  <c r="AR139" i="8"/>
  <c r="BN139" i="8" s="1"/>
  <c r="AQ139" i="8"/>
  <c r="O138" i="7"/>
  <c r="L138" i="7"/>
  <c r="AE138" i="7" s="1"/>
  <c r="BF138" i="7" s="1"/>
  <c r="AR141" i="7"/>
  <c r="BN141" i="7" s="1"/>
  <c r="AQ141" i="7"/>
  <c r="BA134" i="7"/>
  <c r="AG134" i="7"/>
  <c r="BH134" i="7" s="1"/>
  <c r="X148" i="9"/>
  <c r="L148" i="9"/>
  <c r="R148" i="9"/>
  <c r="F148" i="9"/>
  <c r="P148" i="9"/>
  <c r="I148" i="9"/>
  <c r="E139" i="7" s="1"/>
  <c r="G148" i="9"/>
  <c r="K148" i="9"/>
  <c r="Z148" i="9"/>
  <c r="V148" i="9"/>
  <c r="O148" i="9"/>
  <c r="E139" i="8" s="1"/>
  <c r="Q148" i="9"/>
  <c r="U148" i="9"/>
  <c r="M148" i="9"/>
  <c r="D148" i="9"/>
  <c r="S148" i="9"/>
  <c r="D139" i="7" s="1"/>
  <c r="I139" i="7" s="1"/>
  <c r="E148" i="9"/>
  <c r="N148" i="9"/>
  <c r="T148" i="9"/>
  <c r="J148" i="9"/>
  <c r="W148" i="9"/>
  <c r="Y148" i="9"/>
  <c r="D139" i="8" s="1"/>
  <c r="I139" i="8" s="1"/>
  <c r="AA148" i="9"/>
  <c r="H148" i="9"/>
  <c r="BL135" i="8"/>
  <c r="C140" i="8"/>
  <c r="AP140" i="8"/>
  <c r="G138" i="8"/>
  <c r="K138" i="8" s="1"/>
  <c r="AA138" i="8" s="1"/>
  <c r="BC135" i="7"/>
  <c r="AF135" i="7"/>
  <c r="AK136" i="8"/>
  <c r="AJ136" i="8"/>
  <c r="BK136" i="8" s="1"/>
  <c r="BJ135" i="7"/>
  <c r="AL135" i="7"/>
  <c r="BM135" i="7" s="1"/>
  <c r="A142" i="8"/>
  <c r="B141" i="8"/>
  <c r="H137" i="8"/>
  <c r="N137" i="8" s="1"/>
  <c r="M137" i="8"/>
  <c r="S137" i="8"/>
  <c r="T137" i="8"/>
  <c r="AU137" i="8" s="1"/>
  <c r="U137" i="8"/>
  <c r="AV137" i="8" s="1"/>
  <c r="K137" i="8"/>
  <c r="AA137" i="8" s="1"/>
  <c r="AN135" i="8" l="1"/>
  <c r="BO135" i="8" s="1"/>
  <c r="AB136" i="8"/>
  <c r="BC136" i="8" s="1"/>
  <c r="AD136" i="8"/>
  <c r="BE136" i="8" s="1"/>
  <c r="AL136" i="8"/>
  <c r="BM136" i="8" s="1"/>
  <c r="AC136" i="8"/>
  <c r="BD136" i="8" s="1"/>
  <c r="AG135" i="8"/>
  <c r="BH135" i="8" s="1"/>
  <c r="AF136" i="7"/>
  <c r="BG136" i="7" s="1"/>
  <c r="BJ136" i="7"/>
  <c r="Z136" i="7"/>
  <c r="BA136" i="7" s="1"/>
  <c r="AJ136" i="7"/>
  <c r="BK136" i="7" s="1"/>
  <c r="T138" i="7"/>
  <c r="AU138" i="7" s="1"/>
  <c r="S138" i="7"/>
  <c r="AT138" i="7" s="1"/>
  <c r="H138" i="7"/>
  <c r="N138" i="7" s="1"/>
  <c r="AB138" i="7" s="1"/>
  <c r="BC138" i="7" s="1"/>
  <c r="K138" i="7"/>
  <c r="AA138" i="7" s="1"/>
  <c r="BB138" i="7" s="1"/>
  <c r="G139" i="8"/>
  <c r="H139" i="8" s="1"/>
  <c r="J139" i="8" s="1"/>
  <c r="J137" i="7"/>
  <c r="G139" i="7"/>
  <c r="K139" i="7" s="1"/>
  <c r="AA139" i="7" s="1"/>
  <c r="BB139" i="7" s="1"/>
  <c r="AP141" i="8"/>
  <c r="C141" i="8"/>
  <c r="AR142" i="7"/>
  <c r="BN142" i="7" s="1"/>
  <c r="AQ142" i="7"/>
  <c r="BB137" i="8"/>
  <c r="BB137" i="7"/>
  <c r="AN135" i="7"/>
  <c r="BO135" i="7" s="1"/>
  <c r="BG135" i="7"/>
  <c r="AG135" i="7"/>
  <c r="BH135" i="7" s="1"/>
  <c r="AP143" i="7"/>
  <c r="C143" i="7"/>
  <c r="B142" i="8"/>
  <c r="A143" i="8"/>
  <c r="X149" i="9"/>
  <c r="L149" i="9"/>
  <c r="F149" i="9"/>
  <c r="R149" i="9"/>
  <c r="O149" i="9"/>
  <c r="E140" i="8" s="1"/>
  <c r="J149" i="9"/>
  <c r="E149" i="9"/>
  <c r="K149" i="9"/>
  <c r="M149" i="9"/>
  <c r="U149" i="9"/>
  <c r="N149" i="9"/>
  <c r="S149" i="9"/>
  <c r="D140" i="7" s="1"/>
  <c r="I140" i="7" s="1"/>
  <c r="Y149" i="9"/>
  <c r="D140" i="8" s="1"/>
  <c r="I140" i="8" s="1"/>
  <c r="T149" i="9"/>
  <c r="P149" i="9"/>
  <c r="AA149" i="9"/>
  <c r="G149" i="9"/>
  <c r="H149" i="9"/>
  <c r="Z149" i="9"/>
  <c r="I149" i="9"/>
  <c r="E140" i="7" s="1"/>
  <c r="D149" i="9"/>
  <c r="W149" i="9"/>
  <c r="V149" i="9"/>
  <c r="Q149" i="9"/>
  <c r="AT137" i="7"/>
  <c r="B144" i="7"/>
  <c r="A145" i="7"/>
  <c r="O139" i="8"/>
  <c r="L139" i="8"/>
  <c r="AE139" i="8" s="1"/>
  <c r="BF139" i="8" s="1"/>
  <c r="AH137" i="8"/>
  <c r="W137" i="8"/>
  <c r="AX137" i="8" s="1"/>
  <c r="X137" i="8"/>
  <c r="AY137" i="8" s="1"/>
  <c r="M138" i="8"/>
  <c r="H138" i="8"/>
  <c r="N138" i="8" s="1"/>
  <c r="S138" i="8"/>
  <c r="T138" i="8"/>
  <c r="AU138" i="8" s="1"/>
  <c r="U138" i="8"/>
  <c r="AV138" i="8" s="1"/>
  <c r="AH138" i="7"/>
  <c r="W138" i="7"/>
  <c r="AX138" i="7" s="1"/>
  <c r="X138" i="7"/>
  <c r="AY138" i="7" s="1"/>
  <c r="U138" i="7"/>
  <c r="AV138" i="7" s="1"/>
  <c r="AH137" i="7"/>
  <c r="W137" i="7"/>
  <c r="AX137" i="7" s="1"/>
  <c r="X137" i="7"/>
  <c r="AY137" i="7" s="1"/>
  <c r="U137" i="7"/>
  <c r="AV137" i="7" s="1"/>
  <c r="BL136" i="8"/>
  <c r="AT137" i="8"/>
  <c r="AI137" i="8"/>
  <c r="AC137" i="8"/>
  <c r="BD137" i="8" s="1"/>
  <c r="AD137" i="8"/>
  <c r="BE137" i="8" s="1"/>
  <c r="AB137" i="8"/>
  <c r="BC137" i="8" s="1"/>
  <c r="J137" i="8"/>
  <c r="AR140" i="8"/>
  <c r="BN140" i="8" s="1"/>
  <c r="AQ140" i="8"/>
  <c r="C151" i="9"/>
  <c r="B150" i="9"/>
  <c r="BB138" i="8"/>
  <c r="O139" i="7"/>
  <c r="L139" i="7"/>
  <c r="AE139" i="7" s="1"/>
  <c r="BF139" i="7" s="1"/>
  <c r="AI137" i="7"/>
  <c r="AC137" i="7"/>
  <c r="BD137" i="7" s="1"/>
  <c r="AD137" i="7"/>
  <c r="BE137" i="7" s="1"/>
  <c r="AB137" i="7"/>
  <c r="BC137" i="7" s="1"/>
  <c r="BL136" i="7"/>
  <c r="AN136" i="7"/>
  <c r="BO136" i="7" s="1"/>
  <c r="AN136" i="8" l="1"/>
  <c r="BO136" i="8" s="1"/>
  <c r="AF136" i="8"/>
  <c r="BG136" i="8" s="1"/>
  <c r="AG136" i="7"/>
  <c r="BH136" i="7" s="1"/>
  <c r="AI138" i="7"/>
  <c r="AL138" i="7" s="1"/>
  <c r="BM138" i="7" s="1"/>
  <c r="T139" i="8"/>
  <c r="AU139" i="8" s="1"/>
  <c r="U139" i="8"/>
  <c r="AV139" i="8" s="1"/>
  <c r="J138" i="7"/>
  <c r="K139" i="8"/>
  <c r="AA139" i="8" s="1"/>
  <c r="BB139" i="8" s="1"/>
  <c r="S139" i="8"/>
  <c r="AT139" i="8" s="1"/>
  <c r="AD138" i="7"/>
  <c r="BE138" i="7" s="1"/>
  <c r="G140" i="8"/>
  <c r="H140" i="8" s="1"/>
  <c r="N140" i="8" s="1"/>
  <c r="AC138" i="7"/>
  <c r="BD138" i="7" s="1"/>
  <c r="M139" i="8"/>
  <c r="X139" i="8" s="1"/>
  <c r="AY139" i="8" s="1"/>
  <c r="T139" i="7"/>
  <c r="AU139" i="7" s="1"/>
  <c r="S139" i="7"/>
  <c r="AT139" i="7" s="1"/>
  <c r="M139" i="7"/>
  <c r="AH139" i="7" s="1"/>
  <c r="H139" i="7"/>
  <c r="N139" i="7" s="1"/>
  <c r="AB139" i="7" s="1"/>
  <c r="J138" i="8"/>
  <c r="AK137" i="8"/>
  <c r="AJ137" i="8"/>
  <c r="BK137" i="8" s="1"/>
  <c r="BI137" i="8"/>
  <c r="AL137" i="7"/>
  <c r="BM137" i="7" s="1"/>
  <c r="BJ137" i="7"/>
  <c r="AF137" i="8"/>
  <c r="BG137" i="8" s="1"/>
  <c r="AL137" i="8"/>
  <c r="BM137" i="8" s="1"/>
  <c r="BJ137" i="8"/>
  <c r="B145" i="7"/>
  <c r="A146" i="7"/>
  <c r="C142" i="8"/>
  <c r="AP142" i="8"/>
  <c r="AF137" i="7"/>
  <c r="BG137" i="7" s="1"/>
  <c r="AH138" i="8"/>
  <c r="W138" i="8"/>
  <c r="AX138" i="8" s="1"/>
  <c r="X138" i="8"/>
  <c r="AY138" i="8" s="1"/>
  <c r="Z138" i="7"/>
  <c r="BI138" i="7"/>
  <c r="AK138" i="7"/>
  <c r="A144" i="8"/>
  <c r="B143" i="8"/>
  <c r="C152" i="9"/>
  <c r="B151" i="9"/>
  <c r="AT138" i="8"/>
  <c r="AQ143" i="7"/>
  <c r="AR143" i="7"/>
  <c r="BN143" i="7" s="1"/>
  <c r="AR141" i="8"/>
  <c r="BN141" i="8" s="1"/>
  <c r="AQ141" i="8"/>
  <c r="O140" i="8"/>
  <c r="L140" i="8"/>
  <c r="AE140" i="8" s="1"/>
  <c r="BF140" i="8" s="1"/>
  <c r="R150" i="9"/>
  <c r="F150" i="9"/>
  <c r="L150" i="9"/>
  <c r="X150" i="9"/>
  <c r="E150" i="9"/>
  <c r="AA150" i="9"/>
  <c r="Y150" i="9"/>
  <c r="D141" i="8" s="1"/>
  <c r="I141" i="8" s="1"/>
  <c r="M150" i="9"/>
  <c r="K150" i="9"/>
  <c r="D150" i="9"/>
  <c r="H150" i="9"/>
  <c r="Z150" i="9"/>
  <c r="I150" i="9"/>
  <c r="E141" i="7" s="1"/>
  <c r="P150" i="9"/>
  <c r="O150" i="9"/>
  <c r="E141" i="8" s="1"/>
  <c r="V150" i="9"/>
  <c r="U150" i="9"/>
  <c r="T150" i="9"/>
  <c r="Q150" i="9"/>
  <c r="S150" i="9"/>
  <c r="D141" i="7" s="1"/>
  <c r="I141" i="7" s="1"/>
  <c r="J150" i="9"/>
  <c r="G150" i="9"/>
  <c r="N150" i="9"/>
  <c r="W150" i="9"/>
  <c r="Z137" i="8"/>
  <c r="C144" i="7"/>
  <c r="AP144" i="7"/>
  <c r="G140" i="7"/>
  <c r="AK137" i="7"/>
  <c r="AJ137" i="7"/>
  <c r="BK137" i="7" s="1"/>
  <c r="BI137" i="7"/>
  <c r="L140" i="7"/>
  <c r="AE140" i="7" s="1"/>
  <c r="BF140" i="7" s="1"/>
  <c r="O140" i="7"/>
  <c r="Z137" i="7"/>
  <c r="AI138" i="8"/>
  <c r="AC138" i="8"/>
  <c r="BD138" i="8" s="1"/>
  <c r="AD138" i="8"/>
  <c r="BE138" i="8" s="1"/>
  <c r="AB138" i="8"/>
  <c r="N139" i="8"/>
  <c r="AG136" i="8" l="1"/>
  <c r="BH136" i="8" s="1"/>
  <c r="AJ138" i="7"/>
  <c r="BK138" i="7" s="1"/>
  <c r="BJ138" i="7"/>
  <c r="K140" i="8"/>
  <c r="AA140" i="8" s="1"/>
  <c r="BB140" i="8" s="1"/>
  <c r="U140" i="8"/>
  <c r="AV140" i="8" s="1"/>
  <c r="T140" i="8"/>
  <c r="AU140" i="8" s="1"/>
  <c r="S140" i="8"/>
  <c r="AT140" i="8" s="1"/>
  <c r="M140" i="8"/>
  <c r="AH140" i="8" s="1"/>
  <c r="AF138" i="7"/>
  <c r="BG138" i="7" s="1"/>
  <c r="W139" i="8"/>
  <c r="AX139" i="8" s="1"/>
  <c r="AH139" i="8"/>
  <c r="BI139" i="8" s="1"/>
  <c r="AD139" i="7"/>
  <c r="BE139" i="7" s="1"/>
  <c r="AC139" i="7"/>
  <c r="BD139" i="7" s="1"/>
  <c r="AI139" i="7"/>
  <c r="AJ139" i="7" s="1"/>
  <c r="BK139" i="7" s="1"/>
  <c r="U139" i="7"/>
  <c r="AV139" i="7" s="1"/>
  <c r="X139" i="7"/>
  <c r="AY139" i="7" s="1"/>
  <c r="W139" i="7"/>
  <c r="AX139" i="7" s="1"/>
  <c r="J139" i="7"/>
  <c r="G141" i="7"/>
  <c r="M141" i="7" s="1"/>
  <c r="G141" i="8"/>
  <c r="K141" i="8" s="1"/>
  <c r="AA141" i="8" s="1"/>
  <c r="BA138" i="7"/>
  <c r="C145" i="7"/>
  <c r="AP145" i="7"/>
  <c r="AL138" i="8"/>
  <c r="BM138" i="8" s="1"/>
  <c r="BJ138" i="8"/>
  <c r="A147" i="7"/>
  <c r="B146" i="7"/>
  <c r="AI140" i="8"/>
  <c r="AC140" i="8"/>
  <c r="BD140" i="8" s="1"/>
  <c r="AD140" i="8"/>
  <c r="BE140" i="8" s="1"/>
  <c r="AB140" i="8"/>
  <c r="BC140" i="8" s="1"/>
  <c r="J140" i="8"/>
  <c r="Z138" i="8"/>
  <c r="AK138" i="8"/>
  <c r="AJ138" i="8"/>
  <c r="BK138" i="8" s="1"/>
  <c r="BI138" i="8"/>
  <c r="BC139" i="7"/>
  <c r="BA137" i="8"/>
  <c r="AG137" i="8"/>
  <c r="BH137" i="8" s="1"/>
  <c r="AR144" i="7"/>
  <c r="BN144" i="7" s="1"/>
  <c r="AQ144" i="7"/>
  <c r="R151" i="9"/>
  <c r="F151" i="9"/>
  <c r="L151" i="9"/>
  <c r="X151" i="9"/>
  <c r="G151" i="9"/>
  <c r="Z151" i="9"/>
  <c r="J151" i="9"/>
  <c r="N151" i="9"/>
  <c r="O151" i="9"/>
  <c r="E142" i="8" s="1"/>
  <c r="S151" i="9"/>
  <c r="D142" i="7" s="1"/>
  <c r="I142" i="7" s="1"/>
  <c r="M151" i="9"/>
  <c r="E151" i="9"/>
  <c r="W151" i="9"/>
  <c r="Q151" i="9"/>
  <c r="T151" i="9"/>
  <c r="U151" i="9"/>
  <c r="AA151" i="9"/>
  <c r="Y151" i="9"/>
  <c r="D142" i="8" s="1"/>
  <c r="I142" i="8" s="1"/>
  <c r="I151" i="9"/>
  <c r="E142" i="7" s="1"/>
  <c r="H151" i="9"/>
  <c r="V151" i="9"/>
  <c r="K151" i="9"/>
  <c r="P151" i="9"/>
  <c r="D151" i="9"/>
  <c r="BA137" i="7"/>
  <c r="AG137" i="7"/>
  <c r="BH137" i="7" s="1"/>
  <c r="B152" i="9"/>
  <c r="C153" i="9"/>
  <c r="AI139" i="8"/>
  <c r="AC139" i="8"/>
  <c r="BD139" i="8" s="1"/>
  <c r="AD139" i="8"/>
  <c r="BE139" i="8" s="1"/>
  <c r="AB139" i="8"/>
  <c r="L141" i="8"/>
  <c r="AE141" i="8" s="1"/>
  <c r="BF141" i="8" s="1"/>
  <c r="O141" i="8"/>
  <c r="AK139" i="7"/>
  <c r="BI139" i="7"/>
  <c r="C143" i="8"/>
  <c r="AP143" i="8"/>
  <c r="O141" i="7"/>
  <c r="L141" i="7"/>
  <c r="AE141" i="7" s="1"/>
  <c r="BF141" i="7" s="1"/>
  <c r="BC138" i="8"/>
  <c r="AF138" i="8"/>
  <c r="BG138" i="8" s="1"/>
  <c r="AN137" i="7"/>
  <c r="BO137" i="7" s="1"/>
  <c r="BL137" i="7"/>
  <c r="A145" i="8"/>
  <c r="B144" i="8"/>
  <c r="H140" i="7"/>
  <c r="N140" i="7" s="1"/>
  <c r="M140" i="7"/>
  <c r="S140" i="7"/>
  <c r="T140" i="7"/>
  <c r="AU140" i="7" s="1"/>
  <c r="K140" i="7"/>
  <c r="AA140" i="7" s="1"/>
  <c r="AN138" i="7"/>
  <c r="BO138" i="7" s="1"/>
  <c r="BL138" i="7"/>
  <c r="AR142" i="8"/>
  <c r="BN142" i="8" s="1"/>
  <c r="AQ142" i="8"/>
  <c r="AN137" i="8"/>
  <c r="BO137" i="8" s="1"/>
  <c r="BL137" i="8"/>
  <c r="W140" i="8" l="1"/>
  <c r="AX140" i="8" s="1"/>
  <c r="X140" i="8"/>
  <c r="AY140" i="8" s="1"/>
  <c r="K141" i="7"/>
  <c r="AA141" i="7" s="1"/>
  <c r="BB141" i="7" s="1"/>
  <c r="AK139" i="8"/>
  <c r="BL139" i="8" s="1"/>
  <c r="AG138" i="7"/>
  <c r="BH138" i="7" s="1"/>
  <c r="AL139" i="7"/>
  <c r="BM139" i="7" s="1"/>
  <c r="BJ139" i="7"/>
  <c r="Z139" i="7"/>
  <c r="BA139" i="7" s="1"/>
  <c r="AJ139" i="8"/>
  <c r="BK139" i="8" s="1"/>
  <c r="Z139" i="8"/>
  <c r="BA139" i="8" s="1"/>
  <c r="AF139" i="7"/>
  <c r="BG139" i="7" s="1"/>
  <c r="T141" i="8"/>
  <c r="AU141" i="8" s="1"/>
  <c r="S141" i="8"/>
  <c r="AT141" i="8" s="1"/>
  <c r="U141" i="8"/>
  <c r="AV141" i="8" s="1"/>
  <c r="T141" i="7"/>
  <c r="AU141" i="7" s="1"/>
  <c r="H141" i="8"/>
  <c r="N141" i="8" s="1"/>
  <c r="AB141" i="8" s="1"/>
  <c r="BC141" i="8" s="1"/>
  <c r="H141" i="7"/>
  <c r="N141" i="7" s="1"/>
  <c r="AI141" i="7" s="1"/>
  <c r="S141" i="7"/>
  <c r="AT141" i="7" s="1"/>
  <c r="M141" i="8"/>
  <c r="W141" i="8" s="1"/>
  <c r="AX141" i="8" s="1"/>
  <c r="J140" i="7"/>
  <c r="G142" i="8"/>
  <c r="K142" i="8" s="1"/>
  <c r="AA142" i="8" s="1"/>
  <c r="AK140" i="8"/>
  <c r="AJ140" i="8"/>
  <c r="BK140" i="8" s="1"/>
  <c r="BI140" i="8"/>
  <c r="BB141" i="8"/>
  <c r="B145" i="8"/>
  <c r="A146" i="8"/>
  <c r="AL140" i="8"/>
  <c r="BM140" i="8" s="1"/>
  <c r="BJ140" i="8"/>
  <c r="AP146" i="7"/>
  <c r="C146" i="7"/>
  <c r="C154" i="9"/>
  <c r="B153" i="9"/>
  <c r="B147" i="7"/>
  <c r="A148" i="7"/>
  <c r="AP144" i="8"/>
  <c r="C144" i="8"/>
  <c r="AR145" i="7"/>
  <c r="BN145" i="7" s="1"/>
  <c r="AQ145" i="7"/>
  <c r="BB140" i="7"/>
  <c r="O142" i="7"/>
  <c r="L142" i="7"/>
  <c r="AE142" i="7" s="1"/>
  <c r="BF142" i="7" s="1"/>
  <c r="X152" i="9"/>
  <c r="L152" i="9"/>
  <c r="R152" i="9"/>
  <c r="F152" i="9"/>
  <c r="P152" i="9"/>
  <c r="K152" i="9"/>
  <c r="G152" i="9"/>
  <c r="H152" i="9"/>
  <c r="W152" i="9"/>
  <c r="M152" i="9"/>
  <c r="T152" i="9"/>
  <c r="N152" i="9"/>
  <c r="J152" i="9"/>
  <c r="E152" i="9"/>
  <c r="Y152" i="9"/>
  <c r="D143" i="8" s="1"/>
  <c r="I143" i="8" s="1"/>
  <c r="O152" i="9"/>
  <c r="E143" i="8" s="1"/>
  <c r="AA152" i="9"/>
  <c r="D152" i="9"/>
  <c r="U152" i="9"/>
  <c r="I152" i="9"/>
  <c r="E143" i="7" s="1"/>
  <c r="Q152" i="9"/>
  <c r="V152" i="9"/>
  <c r="S152" i="9"/>
  <c r="D143" i="7" s="1"/>
  <c r="I143" i="7" s="1"/>
  <c r="Z152" i="9"/>
  <c r="BA138" i="8"/>
  <c r="AG138" i="8"/>
  <c r="BH138" i="8" s="1"/>
  <c r="AH141" i="7"/>
  <c r="W141" i="7"/>
  <c r="AX141" i="7" s="1"/>
  <c r="X141" i="7"/>
  <c r="AY141" i="7" s="1"/>
  <c r="U141" i="7"/>
  <c r="AV141" i="7" s="1"/>
  <c r="AH140" i="7"/>
  <c r="W140" i="7"/>
  <c r="AX140" i="7" s="1"/>
  <c r="X140" i="7"/>
  <c r="AY140" i="7" s="1"/>
  <c r="U140" i="7"/>
  <c r="AV140" i="7" s="1"/>
  <c r="AN138" i="8"/>
  <c r="BO138" i="8" s="1"/>
  <c r="BL138" i="8"/>
  <c r="BL139" i="7"/>
  <c r="BC139" i="8"/>
  <c r="AF139" i="8"/>
  <c r="AT140" i="7"/>
  <c r="BJ139" i="8"/>
  <c r="AL139" i="8"/>
  <c r="BM139" i="8" s="1"/>
  <c r="AR143" i="8"/>
  <c r="BN143" i="8" s="1"/>
  <c r="AQ143" i="8"/>
  <c r="G142" i="7"/>
  <c r="AF140" i="8"/>
  <c r="BG140" i="8" s="1"/>
  <c r="AI140" i="7"/>
  <c r="AC140" i="7"/>
  <c r="BD140" i="7" s="1"/>
  <c r="AD140" i="7"/>
  <c r="BE140" i="7" s="1"/>
  <c r="AB140" i="7"/>
  <c r="BC140" i="7" s="1"/>
  <c r="O142" i="8"/>
  <c r="L142" i="8"/>
  <c r="AE142" i="8" s="1"/>
  <c r="BF142" i="8" s="1"/>
  <c r="AN139" i="7" l="1"/>
  <c r="BO139" i="7" s="1"/>
  <c r="Z140" i="8"/>
  <c r="BA140" i="8" s="1"/>
  <c r="AG139" i="7"/>
  <c r="BH139" i="7" s="1"/>
  <c r="J141" i="7"/>
  <c r="J141" i="8"/>
  <c r="AC141" i="8"/>
  <c r="BD141" i="8" s="1"/>
  <c r="AD141" i="8"/>
  <c r="BE141" i="8" s="1"/>
  <c r="AI141" i="8"/>
  <c r="BJ141" i="8" s="1"/>
  <c r="M142" i="8"/>
  <c r="X142" i="8" s="1"/>
  <c r="AY142" i="8" s="1"/>
  <c r="AH141" i="8"/>
  <c r="AK141" i="8" s="1"/>
  <c r="X141" i="8"/>
  <c r="AY141" i="8" s="1"/>
  <c r="T142" i="8"/>
  <c r="AU142" i="8" s="1"/>
  <c r="U142" i="8"/>
  <c r="AV142" i="8" s="1"/>
  <c r="AB141" i="7"/>
  <c r="BC141" i="7" s="1"/>
  <c r="AD141" i="7"/>
  <c r="BE141" i="7" s="1"/>
  <c r="AC141" i="7"/>
  <c r="BD141" i="7" s="1"/>
  <c r="S142" i="8"/>
  <c r="AT142" i="8" s="1"/>
  <c r="AG140" i="8"/>
  <c r="BH140" i="8" s="1"/>
  <c r="H142" i="8"/>
  <c r="N142" i="8" s="1"/>
  <c r="AI142" i="8" s="1"/>
  <c r="G143" i="8"/>
  <c r="K143" i="8" s="1"/>
  <c r="AA143" i="8" s="1"/>
  <c r="AR144" i="8"/>
  <c r="BN144" i="8" s="1"/>
  <c r="AQ144" i="8"/>
  <c r="BJ141" i="7"/>
  <c r="AL141" i="7"/>
  <c r="BM141" i="7" s="1"/>
  <c r="BB142" i="8"/>
  <c r="Z141" i="7"/>
  <c r="A147" i="8"/>
  <c r="B146" i="8"/>
  <c r="B148" i="7"/>
  <c r="A149" i="7"/>
  <c r="C145" i="8"/>
  <c r="AP145" i="8"/>
  <c r="AL140" i="7"/>
  <c r="BM140" i="7" s="1"/>
  <c r="BJ140" i="7"/>
  <c r="X153" i="9"/>
  <c r="L153" i="9"/>
  <c r="F153" i="9"/>
  <c r="S153" i="9"/>
  <c r="D144" i="7" s="1"/>
  <c r="I144" i="7" s="1"/>
  <c r="R153" i="9"/>
  <c r="P153" i="9"/>
  <c r="O153" i="9"/>
  <c r="E144" i="8" s="1"/>
  <c r="V153" i="9"/>
  <c r="D153" i="9"/>
  <c r="Q153" i="9"/>
  <c r="G153" i="9"/>
  <c r="I153" i="9"/>
  <c r="E144" i="7" s="1"/>
  <c r="H153" i="9"/>
  <c r="AA153" i="9"/>
  <c r="Z153" i="9"/>
  <c r="W153" i="9"/>
  <c r="M153" i="9"/>
  <c r="T153" i="9"/>
  <c r="N153" i="9"/>
  <c r="E153" i="9"/>
  <c r="U153" i="9"/>
  <c r="J153" i="9"/>
  <c r="K153" i="9"/>
  <c r="Y153" i="9"/>
  <c r="D144" i="8" s="1"/>
  <c r="I144" i="8" s="1"/>
  <c r="O143" i="8"/>
  <c r="L143" i="8"/>
  <c r="AE143" i="8" s="1"/>
  <c r="BF143" i="8" s="1"/>
  <c r="G143" i="7"/>
  <c r="K143" i="7" s="1"/>
  <c r="AA143" i="7" s="1"/>
  <c r="C155" i="9"/>
  <c r="B154" i="9"/>
  <c r="H142" i="7"/>
  <c r="N142" i="7" s="1"/>
  <c r="M142" i="7"/>
  <c r="S142" i="7"/>
  <c r="T142" i="7"/>
  <c r="AU142" i="7" s="1"/>
  <c r="K142" i="7"/>
  <c r="AA142" i="7" s="1"/>
  <c r="BI141" i="7"/>
  <c r="AJ141" i="7"/>
  <c r="BK141" i="7" s="1"/>
  <c r="AK141" i="7"/>
  <c r="AF140" i="7"/>
  <c r="BG140" i="7" s="1"/>
  <c r="AK140" i="7"/>
  <c r="AJ140" i="7"/>
  <c r="BK140" i="7" s="1"/>
  <c r="BI140" i="7"/>
  <c r="L143" i="7"/>
  <c r="AE143" i="7" s="1"/>
  <c r="BF143" i="7" s="1"/>
  <c r="O143" i="7"/>
  <c r="Z140" i="7"/>
  <c r="BG139" i="8"/>
  <c r="AG139" i="8"/>
  <c r="BH139" i="8" s="1"/>
  <c r="AQ146" i="7"/>
  <c r="AR146" i="7"/>
  <c r="BN146" i="7" s="1"/>
  <c r="C147" i="7"/>
  <c r="AP147" i="7"/>
  <c r="AN139" i="8"/>
  <c r="BO139" i="8" s="1"/>
  <c r="AN140" i="8"/>
  <c r="BO140" i="8" s="1"/>
  <c r="BL140" i="8"/>
  <c r="AF141" i="8" l="1"/>
  <c r="BG141" i="8" s="1"/>
  <c r="AH142" i="8"/>
  <c r="AJ142" i="8" s="1"/>
  <c r="BK142" i="8" s="1"/>
  <c r="AL141" i="8"/>
  <c r="BM141" i="8" s="1"/>
  <c r="W142" i="8"/>
  <c r="AX142" i="8" s="1"/>
  <c r="BI141" i="8"/>
  <c r="Z141" i="8"/>
  <c r="BA141" i="8" s="1"/>
  <c r="AJ141" i="8"/>
  <c r="BK141" i="8" s="1"/>
  <c r="AB142" i="8"/>
  <c r="BC142" i="8" s="1"/>
  <c r="AD142" i="8"/>
  <c r="BE142" i="8" s="1"/>
  <c r="AF141" i="7"/>
  <c r="BG141" i="7" s="1"/>
  <c r="T143" i="8"/>
  <c r="AU143" i="8" s="1"/>
  <c r="U143" i="8"/>
  <c r="AV143" i="8" s="1"/>
  <c r="S143" i="8"/>
  <c r="AT143" i="8" s="1"/>
  <c r="M143" i="8"/>
  <c r="W143" i="8" s="1"/>
  <c r="AX143" i="8" s="1"/>
  <c r="H143" i="8"/>
  <c r="N143" i="8" s="1"/>
  <c r="AC143" i="8" s="1"/>
  <c r="BD143" i="8" s="1"/>
  <c r="AC142" i="8"/>
  <c r="BD142" i="8" s="1"/>
  <c r="J142" i="7"/>
  <c r="G144" i="8"/>
  <c r="U144" i="8" s="1"/>
  <c r="AV144" i="8" s="1"/>
  <c r="J142" i="8"/>
  <c r="AR145" i="8"/>
  <c r="BN145" i="8" s="1"/>
  <c r="AQ145" i="8"/>
  <c r="C148" i="7"/>
  <c r="AP148" i="7"/>
  <c r="AN141" i="7"/>
  <c r="BO141" i="7" s="1"/>
  <c r="BL141" i="7"/>
  <c r="BB143" i="7"/>
  <c r="AI142" i="7"/>
  <c r="AC142" i="7"/>
  <c r="BD142" i="7" s="1"/>
  <c r="AD142" i="7"/>
  <c r="BE142" i="7" s="1"/>
  <c r="AB142" i="7"/>
  <c r="BC142" i="7" s="1"/>
  <c r="A150" i="7"/>
  <c r="B149" i="7"/>
  <c r="R154" i="9"/>
  <c r="F154" i="9"/>
  <c r="L154" i="9"/>
  <c r="X154" i="9"/>
  <c r="AA154" i="9"/>
  <c r="V154" i="9"/>
  <c r="Z154" i="9"/>
  <c r="O154" i="9"/>
  <c r="E145" i="8" s="1"/>
  <c r="J154" i="9"/>
  <c r="Y154" i="9"/>
  <c r="D145" i="8" s="1"/>
  <c r="I145" i="8" s="1"/>
  <c r="M154" i="9"/>
  <c r="I154" i="9"/>
  <c r="E145" i="7" s="1"/>
  <c r="H154" i="9"/>
  <c r="Q154" i="9"/>
  <c r="E154" i="9"/>
  <c r="N154" i="9"/>
  <c r="P154" i="9"/>
  <c r="W154" i="9"/>
  <c r="S154" i="9"/>
  <c r="D145" i="7" s="1"/>
  <c r="I145" i="7" s="1"/>
  <c r="K154" i="9"/>
  <c r="G154" i="9"/>
  <c r="T154" i="9"/>
  <c r="D154" i="9"/>
  <c r="U154" i="9"/>
  <c r="BA141" i="7"/>
  <c r="AR147" i="7"/>
  <c r="BN147" i="7" s="1"/>
  <c r="AQ147" i="7"/>
  <c r="C156" i="9"/>
  <c r="B155" i="9"/>
  <c r="A148" i="8"/>
  <c r="B147" i="8"/>
  <c r="AN140" i="7"/>
  <c r="BO140" i="7" s="1"/>
  <c r="BL140" i="7"/>
  <c r="BB142" i="7"/>
  <c r="AH142" i="7"/>
  <c r="W142" i="7"/>
  <c r="AX142" i="7" s="1"/>
  <c r="X142" i="7"/>
  <c r="AY142" i="7" s="1"/>
  <c r="U142" i="7"/>
  <c r="AV142" i="7" s="1"/>
  <c r="C146" i="8"/>
  <c r="AP146" i="8"/>
  <c r="H143" i="7"/>
  <c r="N143" i="7" s="1"/>
  <c r="M143" i="7"/>
  <c r="S143" i="7"/>
  <c r="T143" i="7"/>
  <c r="AU143" i="7" s="1"/>
  <c r="G144" i="7"/>
  <c r="BB143" i="8"/>
  <c r="BA140" i="7"/>
  <c r="AG140" i="7"/>
  <c r="BH140" i="7" s="1"/>
  <c r="O144" i="7"/>
  <c r="L144" i="7"/>
  <c r="AE144" i="7" s="1"/>
  <c r="BF144" i="7" s="1"/>
  <c r="BJ142" i="8"/>
  <c r="AL142" i="8"/>
  <c r="BM142" i="8" s="1"/>
  <c r="L144" i="8"/>
  <c r="AE144" i="8" s="1"/>
  <c r="BF144" i="8" s="1"/>
  <c r="O144" i="8"/>
  <c r="BL141" i="8"/>
  <c r="AT142" i="7"/>
  <c r="AK142" i="8" l="1"/>
  <c r="AN142" i="8" s="1"/>
  <c r="BO142" i="8" s="1"/>
  <c r="BI142" i="8"/>
  <c r="AG141" i="8"/>
  <c r="BH141" i="8" s="1"/>
  <c r="AN141" i="8"/>
  <c r="BO141" i="8" s="1"/>
  <c r="Z142" i="8"/>
  <c r="BA142" i="8" s="1"/>
  <c r="AG141" i="7"/>
  <c r="BH141" i="7" s="1"/>
  <c r="AH143" i="8"/>
  <c r="AK143" i="8" s="1"/>
  <c r="J143" i="8"/>
  <c r="AB143" i="8"/>
  <c r="BC143" i="8" s="1"/>
  <c r="AD143" i="8"/>
  <c r="BE143" i="8" s="1"/>
  <c r="AI143" i="8"/>
  <c r="BJ143" i="8" s="1"/>
  <c r="AF142" i="8"/>
  <c r="BG142" i="8" s="1"/>
  <c r="X143" i="8"/>
  <c r="AY143" i="8" s="1"/>
  <c r="K144" i="8"/>
  <c r="AA144" i="8" s="1"/>
  <c r="BB144" i="8" s="1"/>
  <c r="S144" i="8"/>
  <c r="AT144" i="8" s="1"/>
  <c r="H144" i="8"/>
  <c r="N144" i="8" s="1"/>
  <c r="AI144" i="8" s="1"/>
  <c r="M144" i="8"/>
  <c r="W144" i="8" s="1"/>
  <c r="AX144" i="8" s="1"/>
  <c r="T144" i="8"/>
  <c r="AU144" i="8" s="1"/>
  <c r="J143" i="7"/>
  <c r="O145" i="8"/>
  <c r="L145" i="8"/>
  <c r="AE145" i="8" s="1"/>
  <c r="BF145" i="8" s="1"/>
  <c r="G145" i="8"/>
  <c r="AR146" i="8"/>
  <c r="BN146" i="8" s="1"/>
  <c r="AQ146" i="8"/>
  <c r="R155" i="9"/>
  <c r="F155" i="9"/>
  <c r="L155" i="9"/>
  <c r="X155" i="9"/>
  <c r="G155" i="9"/>
  <c r="N155" i="9"/>
  <c r="M155" i="9"/>
  <c r="Z155" i="9"/>
  <c r="I155" i="9"/>
  <c r="E146" i="7" s="1"/>
  <c r="Y155" i="9"/>
  <c r="D146" i="8" s="1"/>
  <c r="I146" i="8" s="1"/>
  <c r="D155" i="9"/>
  <c r="U155" i="9"/>
  <c r="H155" i="9"/>
  <c r="AA155" i="9"/>
  <c r="V155" i="9"/>
  <c r="K155" i="9"/>
  <c r="S155" i="9"/>
  <c r="D146" i="7" s="1"/>
  <c r="I146" i="7" s="1"/>
  <c r="P155" i="9"/>
  <c r="Q155" i="9"/>
  <c r="O155" i="9"/>
  <c r="E146" i="8" s="1"/>
  <c r="T155" i="9"/>
  <c r="E155" i="9"/>
  <c r="J155" i="9"/>
  <c r="W155" i="9"/>
  <c r="B156" i="9"/>
  <c r="C157" i="9"/>
  <c r="BJ142" i="7"/>
  <c r="AL142" i="7"/>
  <c r="BM142" i="7" s="1"/>
  <c r="AK142" i="7"/>
  <c r="AJ142" i="7"/>
  <c r="BK142" i="7" s="1"/>
  <c r="BI142" i="7"/>
  <c r="AT143" i="7"/>
  <c r="AF142" i="7"/>
  <c r="BG142" i="7" s="1"/>
  <c r="AR148" i="7"/>
  <c r="BN148" i="7" s="1"/>
  <c r="AQ148" i="7"/>
  <c r="O145" i="7"/>
  <c r="L145" i="7"/>
  <c r="AE145" i="7" s="1"/>
  <c r="BF145" i="7" s="1"/>
  <c r="Z142" i="7"/>
  <c r="AH143" i="7"/>
  <c r="W143" i="7"/>
  <c r="AX143" i="7" s="1"/>
  <c r="X143" i="7"/>
  <c r="AY143" i="7" s="1"/>
  <c r="U143" i="7"/>
  <c r="AV143" i="7" s="1"/>
  <c r="M144" i="7"/>
  <c r="H144" i="7"/>
  <c r="N144" i="7" s="1"/>
  <c r="S144" i="7"/>
  <c r="T144" i="7"/>
  <c r="AU144" i="7" s="1"/>
  <c r="G145" i="7"/>
  <c r="K145" i="7" s="1"/>
  <c r="AA145" i="7" s="1"/>
  <c r="AP149" i="7"/>
  <c r="C149" i="7"/>
  <c r="K144" i="7"/>
  <c r="AA144" i="7" s="1"/>
  <c r="AP147" i="8"/>
  <c r="C147" i="8"/>
  <c r="AI143" i="7"/>
  <c r="AC143" i="7"/>
  <c r="BD143" i="7" s="1"/>
  <c r="AD143" i="7"/>
  <c r="BE143" i="7" s="1"/>
  <c r="AB143" i="7"/>
  <c r="B148" i="8"/>
  <c r="A149" i="8"/>
  <c r="B150" i="7"/>
  <c r="A151" i="7"/>
  <c r="BL142" i="8" l="1"/>
  <c r="AF143" i="8"/>
  <c r="BG143" i="8" s="1"/>
  <c r="BI143" i="8"/>
  <c r="AL143" i="8"/>
  <c r="BM143" i="8" s="1"/>
  <c r="AG142" i="8"/>
  <c r="BH142" i="8" s="1"/>
  <c r="AJ143" i="8"/>
  <c r="BK143" i="8" s="1"/>
  <c r="AH144" i="8"/>
  <c r="BI144" i="8" s="1"/>
  <c r="Z143" i="8"/>
  <c r="AC144" i="8"/>
  <c r="BD144" i="8" s="1"/>
  <c r="AB144" i="8"/>
  <c r="BC144" i="8" s="1"/>
  <c r="AD144" i="8"/>
  <c r="BE144" i="8" s="1"/>
  <c r="X144" i="8"/>
  <c r="AY144" i="8" s="1"/>
  <c r="J144" i="8"/>
  <c r="BB145" i="7"/>
  <c r="AL144" i="8"/>
  <c r="BM144" i="8" s="1"/>
  <c r="BJ144" i="8"/>
  <c r="BA142" i="7"/>
  <c r="AG142" i="7"/>
  <c r="BH142" i="7" s="1"/>
  <c r="AQ149" i="7"/>
  <c r="AR149" i="7"/>
  <c r="BN149" i="7" s="1"/>
  <c r="AK143" i="7"/>
  <c r="AJ143" i="7"/>
  <c r="BK143" i="7" s="1"/>
  <c r="BI143" i="7"/>
  <c r="C158" i="9"/>
  <c r="B157" i="9"/>
  <c r="BL142" i="7"/>
  <c r="AN142" i="7"/>
  <c r="BO142" i="7" s="1"/>
  <c r="B151" i="7"/>
  <c r="A152" i="7"/>
  <c r="X156" i="9"/>
  <c r="L156" i="9"/>
  <c r="R156" i="9"/>
  <c r="G156" i="9"/>
  <c r="F156" i="9"/>
  <c r="D156" i="9"/>
  <c r="O156" i="9"/>
  <c r="E147" i="8" s="1"/>
  <c r="Q156" i="9"/>
  <c r="U156" i="9"/>
  <c r="P156" i="9"/>
  <c r="N156" i="9"/>
  <c r="T156" i="9"/>
  <c r="AA156" i="9"/>
  <c r="Z156" i="9"/>
  <c r="I156" i="9"/>
  <c r="E147" i="7" s="1"/>
  <c r="E156" i="9"/>
  <c r="J156" i="9"/>
  <c r="W156" i="9"/>
  <c r="Y156" i="9"/>
  <c r="D147" i="8" s="1"/>
  <c r="I147" i="8" s="1"/>
  <c r="S156" i="9"/>
  <c r="D147" i="7" s="1"/>
  <c r="I147" i="7" s="1"/>
  <c r="K156" i="9"/>
  <c r="M156" i="9"/>
  <c r="V156" i="9"/>
  <c r="H156" i="9"/>
  <c r="BL143" i="8"/>
  <c r="J144" i="7"/>
  <c r="O146" i="8"/>
  <c r="L146" i="8"/>
  <c r="AE146" i="8" s="1"/>
  <c r="BF146" i="8" s="1"/>
  <c r="Z143" i="7"/>
  <c r="AL143" i="7"/>
  <c r="BM143" i="7" s="1"/>
  <c r="BJ143" i="7"/>
  <c r="AR147" i="8"/>
  <c r="BN147" i="8" s="1"/>
  <c r="AQ147" i="8"/>
  <c r="G146" i="7"/>
  <c r="K146" i="7" s="1"/>
  <c r="AA146" i="7" s="1"/>
  <c r="M145" i="8"/>
  <c r="H145" i="8"/>
  <c r="N145" i="8" s="1"/>
  <c r="S145" i="8"/>
  <c r="U145" i="8"/>
  <c r="AV145" i="8" s="1"/>
  <c r="T145" i="8"/>
  <c r="AU145" i="8" s="1"/>
  <c r="K145" i="8"/>
  <c r="AA145" i="8" s="1"/>
  <c r="L146" i="7"/>
  <c r="AE146" i="7" s="1"/>
  <c r="BF146" i="7" s="1"/>
  <c r="O146" i="7"/>
  <c r="H145" i="7"/>
  <c r="N145" i="7" s="1"/>
  <c r="M145" i="7"/>
  <c r="S145" i="7"/>
  <c r="T145" i="7"/>
  <c r="AU145" i="7" s="1"/>
  <c r="BB144" i="7"/>
  <c r="AI144" i="7"/>
  <c r="AC144" i="7"/>
  <c r="BD144" i="7" s="1"/>
  <c r="AD144" i="7"/>
  <c r="BE144" i="7" s="1"/>
  <c r="AB144" i="7"/>
  <c r="BC144" i="7" s="1"/>
  <c r="C150" i="7"/>
  <c r="AP150" i="7"/>
  <c r="G146" i="8"/>
  <c r="AT144" i="7"/>
  <c r="A150" i="8"/>
  <c r="B149" i="8"/>
  <c r="AH144" i="7"/>
  <c r="W144" i="7"/>
  <c r="AX144" i="7" s="1"/>
  <c r="X144" i="7"/>
  <c r="AY144" i="7" s="1"/>
  <c r="U144" i="7"/>
  <c r="AV144" i="7" s="1"/>
  <c r="C148" i="8"/>
  <c r="AP148" i="8"/>
  <c r="BC143" i="7"/>
  <c r="AF143" i="7"/>
  <c r="BG143" i="7" s="1"/>
  <c r="AJ144" i="8" l="1"/>
  <c r="BK144" i="8" s="1"/>
  <c r="AK144" i="8"/>
  <c r="AN144" i="8" s="1"/>
  <c r="BO144" i="8" s="1"/>
  <c r="AN143" i="8"/>
  <c r="BO143" i="8" s="1"/>
  <c r="AG143" i="8"/>
  <c r="BH143" i="8" s="1"/>
  <c r="Z144" i="8"/>
  <c r="BA144" i="8" s="1"/>
  <c r="AF144" i="8"/>
  <c r="BG144" i="8" s="1"/>
  <c r="BA143" i="8"/>
  <c r="J145" i="7"/>
  <c r="G147" i="7"/>
  <c r="S147" i="7" s="1"/>
  <c r="AF144" i="7"/>
  <c r="BG144" i="7" s="1"/>
  <c r="AN143" i="7"/>
  <c r="BO143" i="7" s="1"/>
  <c r="BL143" i="7"/>
  <c r="AT145" i="7"/>
  <c r="H146" i="8"/>
  <c r="N146" i="8" s="1"/>
  <c r="M146" i="8"/>
  <c r="S146" i="8"/>
  <c r="T146" i="8"/>
  <c r="AU146" i="8" s="1"/>
  <c r="U146" i="8"/>
  <c r="AV146" i="8" s="1"/>
  <c r="J145" i="8"/>
  <c r="AH145" i="8"/>
  <c r="W145" i="8"/>
  <c r="AX145" i="8" s="1"/>
  <c r="X145" i="8"/>
  <c r="AY145" i="8" s="1"/>
  <c r="H146" i="7"/>
  <c r="N146" i="7" s="1"/>
  <c r="M146" i="7"/>
  <c r="T146" i="7"/>
  <c r="AU146" i="7" s="1"/>
  <c r="S146" i="7"/>
  <c r="AR148" i="8"/>
  <c r="BN148" i="8" s="1"/>
  <c r="AQ148" i="8"/>
  <c r="AR150" i="7"/>
  <c r="BN150" i="7" s="1"/>
  <c r="AQ150" i="7"/>
  <c r="A153" i="7"/>
  <c r="B152" i="7"/>
  <c r="BI144" i="7"/>
  <c r="AJ144" i="7"/>
  <c r="BK144" i="7" s="1"/>
  <c r="AK144" i="7"/>
  <c r="C151" i="7"/>
  <c r="AP151" i="7"/>
  <c r="O147" i="7"/>
  <c r="L147" i="7"/>
  <c r="AE147" i="7" s="1"/>
  <c r="BF147" i="7" s="1"/>
  <c r="AT145" i="8"/>
  <c r="AH145" i="7"/>
  <c r="W145" i="7"/>
  <c r="AX145" i="7" s="1"/>
  <c r="X145" i="7"/>
  <c r="AY145" i="7" s="1"/>
  <c r="U145" i="7"/>
  <c r="AV145" i="7" s="1"/>
  <c r="K146" i="8"/>
  <c r="AA146" i="8" s="1"/>
  <c r="AI145" i="7"/>
  <c r="AC145" i="7"/>
  <c r="BD145" i="7" s="1"/>
  <c r="AD145" i="7"/>
  <c r="BE145" i="7" s="1"/>
  <c r="AB145" i="7"/>
  <c r="BJ144" i="7"/>
  <c r="AL144" i="7"/>
  <c r="BM144" i="7" s="1"/>
  <c r="L147" i="8"/>
  <c r="AE147" i="8" s="1"/>
  <c r="BF147" i="8" s="1"/>
  <c r="O147" i="8"/>
  <c r="G147" i="8"/>
  <c r="K147" i="8" s="1"/>
  <c r="AA147" i="8" s="1"/>
  <c r="C159" i="9"/>
  <c r="B158" i="9"/>
  <c r="AI145" i="8"/>
  <c r="AC145" i="8"/>
  <c r="BD145" i="8" s="1"/>
  <c r="AD145" i="8"/>
  <c r="BE145" i="8" s="1"/>
  <c r="AB145" i="8"/>
  <c r="BC145" i="8" s="1"/>
  <c r="BL144" i="8"/>
  <c r="BB146" i="7"/>
  <c r="C149" i="8"/>
  <c r="AP149" i="8"/>
  <c r="A151" i="8"/>
  <c r="B150" i="8"/>
  <c r="BB145" i="8"/>
  <c r="Z144" i="7"/>
  <c r="BA143" i="7"/>
  <c r="AG143" i="7"/>
  <c r="BH143" i="7" s="1"/>
  <c r="X157" i="9"/>
  <c r="L157" i="9"/>
  <c r="F157" i="9"/>
  <c r="T157" i="9"/>
  <c r="S157" i="9"/>
  <c r="D148" i="7" s="1"/>
  <c r="I148" i="7" s="1"/>
  <c r="R157" i="9"/>
  <c r="P157" i="9"/>
  <c r="O157" i="9"/>
  <c r="E148" i="8" s="1"/>
  <c r="Y157" i="9"/>
  <c r="D148" i="8" s="1"/>
  <c r="I148" i="8" s="1"/>
  <c r="M157" i="9"/>
  <c r="Z157" i="9"/>
  <c r="K157" i="9"/>
  <c r="U157" i="9"/>
  <c r="V157" i="9"/>
  <c r="N157" i="9"/>
  <c r="AA157" i="9"/>
  <c r="J157" i="9"/>
  <c r="D157" i="9"/>
  <c r="E157" i="9"/>
  <c r="I157" i="9"/>
  <c r="E148" i="7" s="1"/>
  <c r="Q157" i="9"/>
  <c r="G157" i="9"/>
  <c r="H157" i="9"/>
  <c r="W157" i="9"/>
  <c r="AG144" i="8" l="1"/>
  <c r="BH144" i="8" s="1"/>
  <c r="M147" i="7"/>
  <c r="AH147" i="7" s="1"/>
  <c r="H147" i="7"/>
  <c r="J147" i="7" s="1"/>
  <c r="T147" i="7"/>
  <c r="AU147" i="7" s="1"/>
  <c r="K147" i="7"/>
  <c r="AA147" i="7" s="1"/>
  <c r="BB147" i="7" s="1"/>
  <c r="Z145" i="8"/>
  <c r="BA145" i="8" s="1"/>
  <c r="BB147" i="8"/>
  <c r="AP152" i="7"/>
  <c r="C152" i="7"/>
  <c r="AH146" i="8"/>
  <c r="W146" i="8"/>
  <c r="AX146" i="8" s="1"/>
  <c r="X146" i="8"/>
  <c r="AY146" i="8" s="1"/>
  <c r="AP150" i="8"/>
  <c r="C150" i="8"/>
  <c r="B151" i="8"/>
  <c r="A152" i="8"/>
  <c r="AT146" i="8"/>
  <c r="AH146" i="7"/>
  <c r="W146" i="7"/>
  <c r="AX146" i="7" s="1"/>
  <c r="X146" i="7"/>
  <c r="AY146" i="7" s="1"/>
  <c r="U146" i="7"/>
  <c r="AV146" i="7" s="1"/>
  <c r="AI146" i="8"/>
  <c r="AC146" i="8"/>
  <c r="BD146" i="8" s="1"/>
  <c r="AD146" i="8"/>
  <c r="BE146" i="8" s="1"/>
  <c r="AB146" i="8"/>
  <c r="BC146" i="8" s="1"/>
  <c r="O148" i="7"/>
  <c r="L148" i="7"/>
  <c r="AE148" i="7" s="1"/>
  <c r="BF148" i="7" s="1"/>
  <c r="B153" i="7"/>
  <c r="A154" i="7"/>
  <c r="AI146" i="7"/>
  <c r="AC146" i="7"/>
  <c r="BD146" i="7" s="1"/>
  <c r="AD146" i="7"/>
  <c r="BE146" i="7" s="1"/>
  <c r="AB146" i="7"/>
  <c r="J146" i="8"/>
  <c r="R158" i="9"/>
  <c r="F158" i="9"/>
  <c r="L158" i="9"/>
  <c r="X158" i="9"/>
  <c r="E158" i="9"/>
  <c r="J158" i="9"/>
  <c r="AA158" i="9"/>
  <c r="Z158" i="9"/>
  <c r="Q158" i="9"/>
  <c r="P158" i="9"/>
  <c r="W158" i="9"/>
  <c r="Y158" i="9"/>
  <c r="D149" i="8" s="1"/>
  <c r="I149" i="8" s="1"/>
  <c r="U158" i="9"/>
  <c r="G158" i="9"/>
  <c r="S158" i="9"/>
  <c r="D149" i="7" s="1"/>
  <c r="I149" i="7" s="1"/>
  <c r="T158" i="9"/>
  <c r="V158" i="9"/>
  <c r="M158" i="9"/>
  <c r="O158" i="9"/>
  <c r="E149" i="8" s="1"/>
  <c r="D158" i="9"/>
  <c r="N158" i="9"/>
  <c r="K158" i="9"/>
  <c r="H158" i="9"/>
  <c r="I158" i="9"/>
  <c r="E149" i="7" s="1"/>
  <c r="AR151" i="7"/>
  <c r="BN151" i="7" s="1"/>
  <c r="AQ151" i="7"/>
  <c r="J146" i="7"/>
  <c r="Z145" i="7"/>
  <c r="C160" i="9"/>
  <c r="B159" i="9"/>
  <c r="M147" i="8"/>
  <c r="H147" i="8"/>
  <c r="N147" i="8" s="1"/>
  <c r="S147" i="8"/>
  <c r="T147" i="8"/>
  <c r="AU147" i="8" s="1"/>
  <c r="U147" i="8"/>
  <c r="AV147" i="8" s="1"/>
  <c r="AK145" i="7"/>
  <c r="AJ145" i="7"/>
  <c r="BK145" i="7" s="1"/>
  <c r="BI145" i="7"/>
  <c r="AG144" i="7"/>
  <c r="BH144" i="7" s="1"/>
  <c r="BA144" i="7"/>
  <c r="AT147" i="7"/>
  <c r="AR149" i="8"/>
  <c r="BN149" i="8" s="1"/>
  <c r="AQ149" i="8"/>
  <c r="AT146" i="7"/>
  <c r="O148" i="8"/>
  <c r="L148" i="8"/>
  <c r="AE148" i="8" s="1"/>
  <c r="BF148" i="8" s="1"/>
  <c r="BJ145" i="7"/>
  <c r="AL145" i="7"/>
  <c r="BM145" i="7" s="1"/>
  <c r="AN144" i="7"/>
  <c r="BO144" i="7" s="1"/>
  <c r="BL144" i="7"/>
  <c r="BC145" i="7"/>
  <c r="AF145" i="7"/>
  <c r="BG145" i="7" s="1"/>
  <c r="G148" i="7"/>
  <c r="G148" i="8"/>
  <c r="AF145" i="8"/>
  <c r="BG145" i="8" s="1"/>
  <c r="BJ145" i="8"/>
  <c r="AL145" i="8"/>
  <c r="BM145" i="8" s="1"/>
  <c r="BB146" i="8"/>
  <c r="BI145" i="8"/>
  <c r="AK145" i="8"/>
  <c r="AJ145" i="8"/>
  <c r="BK145" i="8" s="1"/>
  <c r="U147" i="7" l="1"/>
  <c r="AV147" i="7" s="1"/>
  <c r="X147" i="7"/>
  <c r="AY147" i="7" s="1"/>
  <c r="W147" i="7"/>
  <c r="AX147" i="7" s="1"/>
  <c r="N147" i="7"/>
  <c r="AD147" i="7" s="1"/>
  <c r="BE147" i="7" s="1"/>
  <c r="Z146" i="7"/>
  <c r="BA146" i="7" s="1"/>
  <c r="G149" i="7"/>
  <c r="H149" i="7" s="1"/>
  <c r="J149" i="7" s="1"/>
  <c r="O149" i="8"/>
  <c r="L149" i="8"/>
  <c r="AE149" i="8" s="1"/>
  <c r="BF149" i="8" s="1"/>
  <c r="AL146" i="8"/>
  <c r="BM146" i="8" s="1"/>
  <c r="BJ146" i="8"/>
  <c r="C151" i="8"/>
  <c r="AP151" i="8"/>
  <c r="AR150" i="8"/>
  <c r="BN150" i="8" s="1"/>
  <c r="AQ150" i="8"/>
  <c r="BL145" i="8"/>
  <c r="AN145" i="8"/>
  <c r="BO145" i="8" s="1"/>
  <c r="AI147" i="8"/>
  <c r="AC147" i="8"/>
  <c r="BD147" i="8" s="1"/>
  <c r="AD147" i="8"/>
  <c r="BE147" i="8" s="1"/>
  <c r="AB147" i="8"/>
  <c r="AL146" i="7"/>
  <c r="BM146" i="7" s="1"/>
  <c r="BJ146" i="7"/>
  <c r="AK146" i="7"/>
  <c r="AJ146" i="7"/>
  <c r="BK146" i="7" s="1"/>
  <c r="BI146" i="7"/>
  <c r="AT147" i="8"/>
  <c r="B154" i="7"/>
  <c r="A155" i="7"/>
  <c r="AK146" i="8"/>
  <c r="AJ146" i="8"/>
  <c r="BK146" i="8" s="1"/>
  <c r="BI146" i="8"/>
  <c r="M148" i="8"/>
  <c r="H148" i="8"/>
  <c r="N148" i="8" s="1"/>
  <c r="S148" i="8"/>
  <c r="T148" i="8"/>
  <c r="AU148" i="8" s="1"/>
  <c r="U148" i="8"/>
  <c r="AV148" i="8" s="1"/>
  <c r="H148" i="7"/>
  <c r="N148" i="7" s="1"/>
  <c r="M148" i="7"/>
  <c r="S148" i="7"/>
  <c r="T148" i="7"/>
  <c r="AU148" i="7" s="1"/>
  <c r="K148" i="7"/>
  <c r="AA148" i="7" s="1"/>
  <c r="A153" i="8"/>
  <c r="B152" i="8"/>
  <c r="K148" i="8"/>
  <c r="AA148" i="8" s="1"/>
  <c r="AH147" i="8"/>
  <c r="W147" i="8"/>
  <c r="AX147" i="8" s="1"/>
  <c r="X147" i="8"/>
  <c r="AY147" i="8" s="1"/>
  <c r="R159" i="9"/>
  <c r="F159" i="9"/>
  <c r="L159" i="9"/>
  <c r="X159" i="9"/>
  <c r="N159" i="9"/>
  <c r="G159" i="9"/>
  <c r="J159" i="9"/>
  <c r="V159" i="9"/>
  <c r="K159" i="9"/>
  <c r="D159" i="9"/>
  <c r="O159" i="9"/>
  <c r="E150" i="8" s="1"/>
  <c r="S159" i="9"/>
  <c r="D150" i="7" s="1"/>
  <c r="I150" i="7" s="1"/>
  <c r="AA159" i="9"/>
  <c r="E159" i="9"/>
  <c r="W159" i="9"/>
  <c r="Q159" i="9"/>
  <c r="P159" i="9"/>
  <c r="Z159" i="9"/>
  <c r="H159" i="9"/>
  <c r="T159" i="9"/>
  <c r="Y159" i="9"/>
  <c r="D150" i="8" s="1"/>
  <c r="I150" i="8" s="1"/>
  <c r="I159" i="9"/>
  <c r="E150" i="7" s="1"/>
  <c r="M159" i="9"/>
  <c r="U159" i="9"/>
  <c r="C153" i="7"/>
  <c r="AP153" i="7"/>
  <c r="Z146" i="8"/>
  <c r="G149" i="8"/>
  <c r="B160" i="9"/>
  <c r="C161" i="9"/>
  <c r="AQ152" i="7"/>
  <c r="AR152" i="7"/>
  <c r="BN152" i="7" s="1"/>
  <c r="BC146" i="7"/>
  <c r="AF146" i="7"/>
  <c r="BG146" i="7" s="1"/>
  <c r="AF146" i="8"/>
  <c r="BG146" i="8" s="1"/>
  <c r="BA145" i="7"/>
  <c r="AG145" i="7"/>
  <c r="BH145" i="7" s="1"/>
  <c r="BL145" i="7"/>
  <c r="AN145" i="7"/>
  <c r="BO145" i="7" s="1"/>
  <c r="BI147" i="7"/>
  <c r="AK147" i="7"/>
  <c r="J147" i="8"/>
  <c r="AG145" i="8"/>
  <c r="BH145" i="8" s="1"/>
  <c r="L149" i="7"/>
  <c r="AE149" i="7" s="1"/>
  <c r="BF149" i="7" s="1"/>
  <c r="O149" i="7"/>
  <c r="Z147" i="7" l="1"/>
  <c r="BA147" i="7" s="1"/>
  <c r="M149" i="7"/>
  <c r="W149" i="7" s="1"/>
  <c r="AX149" i="7" s="1"/>
  <c r="AI147" i="7"/>
  <c r="AJ147" i="7" s="1"/>
  <c r="BK147" i="7" s="1"/>
  <c r="AB147" i="7"/>
  <c r="AC147" i="7"/>
  <c r="BD147" i="7" s="1"/>
  <c r="K149" i="7"/>
  <c r="AA149" i="7" s="1"/>
  <c r="BB149" i="7" s="1"/>
  <c r="S149" i="7"/>
  <c r="AT149" i="7" s="1"/>
  <c r="G150" i="8"/>
  <c r="H150" i="8" s="1"/>
  <c r="J148" i="7"/>
  <c r="T149" i="7"/>
  <c r="AU149" i="7" s="1"/>
  <c r="G150" i="7"/>
  <c r="S150" i="7" s="1"/>
  <c r="AR153" i="7"/>
  <c r="BN153" i="7" s="1"/>
  <c r="AQ153" i="7"/>
  <c r="AN146" i="8"/>
  <c r="BO146" i="8" s="1"/>
  <c r="BL146" i="8"/>
  <c r="AL147" i="8"/>
  <c r="BM147" i="8" s="1"/>
  <c r="BJ147" i="8"/>
  <c r="A156" i="7"/>
  <c r="B155" i="7"/>
  <c r="BA146" i="8"/>
  <c r="AG146" i="8"/>
  <c r="BH146" i="8" s="1"/>
  <c r="BC147" i="7"/>
  <c r="AR151" i="8"/>
  <c r="BN151" i="8" s="1"/>
  <c r="AQ151" i="8"/>
  <c r="H149" i="8"/>
  <c r="N149" i="8" s="1"/>
  <c r="M149" i="8"/>
  <c r="S149" i="8"/>
  <c r="T149" i="8"/>
  <c r="AU149" i="8" s="1"/>
  <c r="U149" i="8"/>
  <c r="AV149" i="8" s="1"/>
  <c r="Z147" i="8"/>
  <c r="L150" i="8"/>
  <c r="AE150" i="8" s="1"/>
  <c r="BF150" i="8" s="1"/>
  <c r="O150" i="8"/>
  <c r="BB148" i="8"/>
  <c r="AT148" i="8"/>
  <c r="C154" i="7"/>
  <c r="AP154" i="7"/>
  <c r="C152" i="8"/>
  <c r="AP152" i="8"/>
  <c r="K149" i="8"/>
  <c r="AA149" i="8" s="1"/>
  <c r="O150" i="7"/>
  <c r="L150" i="7"/>
  <c r="AE150" i="7" s="1"/>
  <c r="BF150" i="7" s="1"/>
  <c r="A154" i="8"/>
  <c r="B153" i="8"/>
  <c r="J148" i="8"/>
  <c r="AH149" i="7"/>
  <c r="U149" i="7"/>
  <c r="AV149" i="7" s="1"/>
  <c r="BJ147" i="7"/>
  <c r="AT148" i="7"/>
  <c r="AH148" i="7"/>
  <c r="W148" i="7"/>
  <c r="AX148" i="7" s="1"/>
  <c r="X148" i="7"/>
  <c r="AY148" i="7" s="1"/>
  <c r="U148" i="7"/>
  <c r="AV148" i="7" s="1"/>
  <c r="AK147" i="8"/>
  <c r="AJ147" i="8"/>
  <c r="BK147" i="8" s="1"/>
  <c r="BI147" i="8"/>
  <c r="C162" i="9"/>
  <c r="B161" i="9"/>
  <c r="BB148" i="7"/>
  <c r="AI148" i="8"/>
  <c r="AC148" i="8"/>
  <c r="BD148" i="8" s="1"/>
  <c r="AD148" i="8"/>
  <c r="BE148" i="8" s="1"/>
  <c r="AB148" i="8"/>
  <c r="BC148" i="8" s="1"/>
  <c r="BC147" i="8"/>
  <c r="AF147" i="8"/>
  <c r="BG147" i="8" s="1"/>
  <c r="AN146" i="7"/>
  <c r="BO146" i="7" s="1"/>
  <c r="BL146" i="7"/>
  <c r="AI148" i="7"/>
  <c r="AC148" i="7"/>
  <c r="BD148" i="7" s="1"/>
  <c r="AD148" i="7"/>
  <c r="BE148" i="7" s="1"/>
  <c r="AB148" i="7"/>
  <c r="BC148" i="7" s="1"/>
  <c r="AG146" i="7"/>
  <c r="BH146" i="7" s="1"/>
  <c r="BL147" i="7"/>
  <c r="X160" i="9"/>
  <c r="L160" i="9"/>
  <c r="R160" i="9"/>
  <c r="I160" i="9"/>
  <c r="E151" i="7" s="1"/>
  <c r="G160" i="9"/>
  <c r="F160" i="9"/>
  <c r="J160" i="9"/>
  <c r="M160" i="9"/>
  <c r="AA160" i="9"/>
  <c r="E160" i="9"/>
  <c r="Y160" i="9"/>
  <c r="D151" i="8" s="1"/>
  <c r="I151" i="8" s="1"/>
  <c r="D160" i="9"/>
  <c r="V160" i="9"/>
  <c r="U160" i="9"/>
  <c r="T160" i="9"/>
  <c r="W160" i="9"/>
  <c r="N160" i="9"/>
  <c r="P160" i="9"/>
  <c r="Q160" i="9"/>
  <c r="O160" i="9"/>
  <c r="E151" i="8" s="1"/>
  <c r="K160" i="9"/>
  <c r="Z160" i="9"/>
  <c r="S160" i="9"/>
  <c r="D151" i="7" s="1"/>
  <c r="I151" i="7" s="1"/>
  <c r="H160" i="9"/>
  <c r="AH148" i="8"/>
  <c r="W148" i="8"/>
  <c r="AX148" i="8" s="1"/>
  <c r="X148" i="8"/>
  <c r="AY148" i="8" s="1"/>
  <c r="N149" i="7"/>
  <c r="X149" i="7" l="1"/>
  <c r="AY149" i="7" s="1"/>
  <c r="AF147" i="7"/>
  <c r="AL147" i="7"/>
  <c r="BM147" i="7" s="1"/>
  <c r="M150" i="8"/>
  <c r="AH150" i="8" s="1"/>
  <c r="K150" i="8"/>
  <c r="AA150" i="8" s="1"/>
  <c r="BB150" i="8" s="1"/>
  <c r="K150" i="7"/>
  <c r="AA150" i="7" s="1"/>
  <c r="BB150" i="7" s="1"/>
  <c r="U150" i="8"/>
  <c r="AV150" i="8" s="1"/>
  <c r="T150" i="8"/>
  <c r="AU150" i="8" s="1"/>
  <c r="S150" i="8"/>
  <c r="AT150" i="8" s="1"/>
  <c r="H150" i="7"/>
  <c r="N150" i="7" s="1"/>
  <c r="AI150" i="7" s="1"/>
  <c r="M150" i="7"/>
  <c r="U150" i="7" s="1"/>
  <c r="AV150" i="7" s="1"/>
  <c r="T150" i="7"/>
  <c r="AU150" i="7" s="1"/>
  <c r="J149" i="8"/>
  <c r="G151" i="7"/>
  <c r="T151" i="7" s="1"/>
  <c r="AU151" i="7" s="1"/>
  <c r="BA147" i="8"/>
  <c r="AG147" i="8"/>
  <c r="BH147" i="8" s="1"/>
  <c r="AI149" i="8"/>
  <c r="AC149" i="8"/>
  <c r="BD149" i="8" s="1"/>
  <c r="AD149" i="8"/>
  <c r="BE149" i="8" s="1"/>
  <c r="AB149" i="8"/>
  <c r="BC149" i="8" s="1"/>
  <c r="X161" i="9"/>
  <c r="L161" i="9"/>
  <c r="F161" i="9"/>
  <c r="R161" i="9"/>
  <c r="S161" i="9"/>
  <c r="D152" i="7" s="1"/>
  <c r="I152" i="7" s="1"/>
  <c r="J161" i="9"/>
  <c r="Z161" i="9"/>
  <c r="M161" i="9"/>
  <c r="I161" i="9"/>
  <c r="E152" i="7" s="1"/>
  <c r="H161" i="9"/>
  <c r="T161" i="9"/>
  <c r="W161" i="9"/>
  <c r="E161" i="9"/>
  <c r="AA161" i="9"/>
  <c r="V161" i="9"/>
  <c r="K161" i="9"/>
  <c r="P161" i="9"/>
  <c r="O161" i="9"/>
  <c r="E152" i="8" s="1"/>
  <c r="G161" i="9"/>
  <c r="D161" i="9"/>
  <c r="Y161" i="9"/>
  <c r="D152" i="8" s="1"/>
  <c r="I152" i="8" s="1"/>
  <c r="N161" i="9"/>
  <c r="Q161" i="9"/>
  <c r="U161" i="9"/>
  <c r="AH149" i="8"/>
  <c r="W149" i="8"/>
  <c r="AX149" i="8" s="1"/>
  <c r="X149" i="8"/>
  <c r="AY149" i="8" s="1"/>
  <c r="C163" i="9"/>
  <c r="B162" i="9"/>
  <c r="AP155" i="7"/>
  <c r="C155" i="7"/>
  <c r="B156" i="7"/>
  <c r="A157" i="7"/>
  <c r="AN147" i="8"/>
  <c r="BO147" i="8" s="1"/>
  <c r="BL147" i="8"/>
  <c r="BI148" i="8"/>
  <c r="AK148" i="8"/>
  <c r="AJ148" i="8"/>
  <c r="BK148" i="8" s="1"/>
  <c r="Z149" i="7"/>
  <c r="N150" i="8"/>
  <c r="BG147" i="7"/>
  <c r="AG147" i="7"/>
  <c r="BH147" i="7" s="1"/>
  <c r="AR152" i="8"/>
  <c r="BN152" i="8" s="1"/>
  <c r="AQ152" i="8"/>
  <c r="AI149" i="7"/>
  <c r="AC149" i="7"/>
  <c r="BD149" i="7" s="1"/>
  <c r="AD149" i="7"/>
  <c r="BE149" i="7" s="1"/>
  <c r="AB149" i="7"/>
  <c r="AK149" i="7"/>
  <c r="BI149" i="7"/>
  <c r="Z148" i="8"/>
  <c r="J150" i="8"/>
  <c r="AP153" i="8"/>
  <c r="C153" i="8"/>
  <c r="X150" i="8"/>
  <c r="AY150" i="8" s="1"/>
  <c r="BJ148" i="7"/>
  <c r="AL148" i="7"/>
  <c r="BM148" i="7" s="1"/>
  <c r="AR154" i="7"/>
  <c r="BN154" i="7" s="1"/>
  <c r="AQ154" i="7"/>
  <c r="BJ148" i="8"/>
  <c r="AL148" i="8"/>
  <c r="BM148" i="8" s="1"/>
  <c r="B154" i="8"/>
  <c r="A155" i="8"/>
  <c r="AT150" i="7"/>
  <c r="O151" i="8"/>
  <c r="L151" i="8"/>
  <c r="AE151" i="8" s="1"/>
  <c r="BF151" i="8" s="1"/>
  <c r="AN147" i="7"/>
  <c r="BO147" i="7" s="1"/>
  <c r="AF148" i="7"/>
  <c r="BG148" i="7" s="1"/>
  <c r="AF148" i="8"/>
  <c r="BG148" i="8" s="1"/>
  <c r="BB149" i="8"/>
  <c r="O151" i="7"/>
  <c r="L151" i="7"/>
  <c r="AE151" i="7" s="1"/>
  <c r="BF151" i="7" s="1"/>
  <c r="G151" i="8"/>
  <c r="AK148" i="7"/>
  <c r="AJ148" i="7"/>
  <c r="BK148" i="7" s="1"/>
  <c r="BI148" i="7"/>
  <c r="Z148" i="7"/>
  <c r="AT149" i="8"/>
  <c r="W150" i="8" l="1"/>
  <c r="AX150" i="8" s="1"/>
  <c r="AB150" i="7"/>
  <c r="BC150" i="7" s="1"/>
  <c r="AD150" i="7"/>
  <c r="BE150" i="7" s="1"/>
  <c r="AC150" i="7"/>
  <c r="BD150" i="7" s="1"/>
  <c r="J150" i="7"/>
  <c r="AH150" i="7"/>
  <c r="BI150" i="7" s="1"/>
  <c r="K151" i="7"/>
  <c r="AA151" i="7" s="1"/>
  <c r="BB151" i="7" s="1"/>
  <c r="W150" i="7"/>
  <c r="AX150" i="7" s="1"/>
  <c r="X150" i="7"/>
  <c r="AY150" i="7" s="1"/>
  <c r="S151" i="7"/>
  <c r="AT151" i="7" s="1"/>
  <c r="H151" i="7"/>
  <c r="N151" i="7" s="1"/>
  <c r="AI151" i="7" s="1"/>
  <c r="M151" i="7"/>
  <c r="AH151" i="7" s="1"/>
  <c r="G152" i="8"/>
  <c r="T152" i="8" s="1"/>
  <c r="AU152" i="8" s="1"/>
  <c r="AF149" i="8"/>
  <c r="BG149" i="8" s="1"/>
  <c r="BC149" i="7"/>
  <c r="AF149" i="7"/>
  <c r="BG149" i="7" s="1"/>
  <c r="A156" i="8"/>
  <c r="B155" i="8"/>
  <c r="AK150" i="8"/>
  <c r="BI150" i="8"/>
  <c r="C164" i="9"/>
  <c r="B163" i="9"/>
  <c r="AL149" i="7"/>
  <c r="BM149" i="7" s="1"/>
  <c r="BJ149" i="7"/>
  <c r="AR153" i="8"/>
  <c r="BN153" i="8" s="1"/>
  <c r="AQ153" i="8"/>
  <c r="L152" i="7"/>
  <c r="AE152" i="7" s="1"/>
  <c r="BF152" i="7" s="1"/>
  <c r="O152" i="7"/>
  <c r="AG148" i="8"/>
  <c r="BH148" i="8" s="1"/>
  <c r="BA148" i="8"/>
  <c r="BJ150" i="7"/>
  <c r="AL150" i="7"/>
  <c r="BM150" i="7" s="1"/>
  <c r="R162" i="9"/>
  <c r="F162" i="9"/>
  <c r="X162" i="9"/>
  <c r="L162" i="9"/>
  <c r="AA162" i="9"/>
  <c r="Z162" i="9"/>
  <c r="Y162" i="9"/>
  <c r="D153" i="8" s="1"/>
  <c r="I153" i="8" s="1"/>
  <c r="I162" i="9"/>
  <c r="E153" i="7" s="1"/>
  <c r="H162" i="9"/>
  <c r="P162" i="9"/>
  <c r="O162" i="9"/>
  <c r="E153" i="8" s="1"/>
  <c r="W162" i="9"/>
  <c r="S162" i="9"/>
  <c r="D153" i="7" s="1"/>
  <c r="I153" i="7" s="1"/>
  <c r="T162" i="9"/>
  <c r="D162" i="9"/>
  <c r="Q162" i="9"/>
  <c r="U162" i="9"/>
  <c r="N162" i="9"/>
  <c r="K162" i="9"/>
  <c r="G162" i="9"/>
  <c r="J162" i="9"/>
  <c r="M162" i="9"/>
  <c r="V162" i="9"/>
  <c r="E162" i="9"/>
  <c r="C154" i="8"/>
  <c r="AP154" i="8"/>
  <c r="AJ149" i="7"/>
  <c r="BK149" i="7" s="1"/>
  <c r="AI150" i="8"/>
  <c r="AC150" i="8"/>
  <c r="BD150" i="8" s="1"/>
  <c r="AD150" i="8"/>
  <c r="BE150" i="8" s="1"/>
  <c r="AB150" i="8"/>
  <c r="B157" i="7"/>
  <c r="A158" i="7"/>
  <c r="M151" i="8"/>
  <c r="H151" i="8"/>
  <c r="N151" i="8" s="1"/>
  <c r="S151" i="8"/>
  <c r="T151" i="8"/>
  <c r="AU151" i="8" s="1"/>
  <c r="U151" i="8"/>
  <c r="AV151" i="8" s="1"/>
  <c r="K151" i="8"/>
  <c r="AA151" i="8" s="1"/>
  <c r="C156" i="7"/>
  <c r="AP156" i="7"/>
  <c r="G152" i="7"/>
  <c r="AL149" i="8"/>
  <c r="BM149" i="8" s="1"/>
  <c r="BJ149" i="8"/>
  <c r="BL148" i="7"/>
  <c r="AN148" i="7"/>
  <c r="BO148" i="7" s="1"/>
  <c r="O152" i="8"/>
  <c r="L152" i="8"/>
  <c r="AE152" i="8" s="1"/>
  <c r="BF152" i="8" s="1"/>
  <c r="AQ155" i="7"/>
  <c r="AR155" i="7"/>
  <c r="BN155" i="7" s="1"/>
  <c r="BA148" i="7"/>
  <c r="AG148" i="7"/>
  <c r="BH148" i="7" s="1"/>
  <c r="AK149" i="8"/>
  <c r="AJ149" i="8"/>
  <c r="BK149" i="8" s="1"/>
  <c r="BI149" i="8"/>
  <c r="BL149" i="7"/>
  <c r="BA149" i="7"/>
  <c r="Z149" i="8"/>
  <c r="BL148" i="8"/>
  <c r="AN148" i="8"/>
  <c r="BO148" i="8" s="1"/>
  <c r="Z150" i="8"/>
  <c r="AF150" i="7" l="1"/>
  <c r="BG150" i="7" s="1"/>
  <c r="AJ150" i="7"/>
  <c r="BK150" i="7" s="1"/>
  <c r="J151" i="7"/>
  <c r="AK150" i="7"/>
  <c r="AN150" i="7" s="1"/>
  <c r="BO150" i="7" s="1"/>
  <c r="Z150" i="7"/>
  <c r="BA150" i="7" s="1"/>
  <c r="U151" i="7"/>
  <c r="AV151" i="7" s="1"/>
  <c r="X151" i="7"/>
  <c r="AY151" i="7" s="1"/>
  <c r="W151" i="7"/>
  <c r="AX151" i="7" s="1"/>
  <c r="K152" i="8"/>
  <c r="AA152" i="8" s="1"/>
  <c r="BB152" i="8" s="1"/>
  <c r="AB151" i="7"/>
  <c r="BC151" i="7" s="1"/>
  <c r="AD151" i="7"/>
  <c r="BE151" i="7" s="1"/>
  <c r="AC151" i="7"/>
  <c r="BD151" i="7" s="1"/>
  <c r="H152" i="8"/>
  <c r="N152" i="8" s="1"/>
  <c r="M152" i="8"/>
  <c r="AH152" i="8" s="1"/>
  <c r="S152" i="8"/>
  <c r="AT152" i="8" s="1"/>
  <c r="U152" i="8"/>
  <c r="AV152" i="8" s="1"/>
  <c r="G153" i="7"/>
  <c r="M153" i="7" s="1"/>
  <c r="AG149" i="7"/>
  <c r="BH149" i="7" s="1"/>
  <c r="BL150" i="8"/>
  <c r="AI151" i="8"/>
  <c r="AC151" i="8"/>
  <c r="BD151" i="8" s="1"/>
  <c r="AD151" i="8"/>
  <c r="BE151" i="8" s="1"/>
  <c r="AB151" i="8"/>
  <c r="BC151" i="8" s="1"/>
  <c r="AL150" i="8"/>
  <c r="BM150" i="8" s="1"/>
  <c r="BJ150" i="8"/>
  <c r="A157" i="8"/>
  <c r="B156" i="8"/>
  <c r="AH151" i="8"/>
  <c r="W151" i="8"/>
  <c r="AX151" i="8" s="1"/>
  <c r="X151" i="8"/>
  <c r="AY151" i="8" s="1"/>
  <c r="AR154" i="8"/>
  <c r="BN154" i="8" s="1"/>
  <c r="AQ154" i="8"/>
  <c r="C155" i="8"/>
  <c r="AP155" i="8"/>
  <c r="J151" i="8"/>
  <c r="L153" i="8"/>
  <c r="AE153" i="8" s="1"/>
  <c r="BF153" i="8" s="1"/>
  <c r="O153" i="8"/>
  <c r="BJ151" i="7"/>
  <c r="AL151" i="7"/>
  <c r="BM151" i="7" s="1"/>
  <c r="BA149" i="8"/>
  <c r="AG149" i="8"/>
  <c r="BH149" i="8" s="1"/>
  <c r="AR156" i="7"/>
  <c r="BN156" i="7" s="1"/>
  <c r="AQ156" i="7"/>
  <c r="R163" i="9"/>
  <c r="F163" i="9"/>
  <c r="L163" i="9"/>
  <c r="X163" i="9"/>
  <c r="H163" i="9"/>
  <c r="N163" i="9"/>
  <c r="P163" i="9"/>
  <c r="I163" i="9"/>
  <c r="E154" i="7" s="1"/>
  <c r="M163" i="9"/>
  <c r="U163" i="9"/>
  <c r="W163" i="9"/>
  <c r="T163" i="9"/>
  <c r="E163" i="9"/>
  <c r="K163" i="9"/>
  <c r="S163" i="9"/>
  <c r="D154" i="7" s="1"/>
  <c r="I154" i="7" s="1"/>
  <c r="Y163" i="9"/>
  <c r="D154" i="8" s="1"/>
  <c r="I154" i="8" s="1"/>
  <c r="Z163" i="9"/>
  <c r="J163" i="9"/>
  <c r="O163" i="9"/>
  <c r="E154" i="8" s="1"/>
  <c r="AA163" i="9"/>
  <c r="G163" i="9"/>
  <c r="D163" i="9"/>
  <c r="V163" i="9"/>
  <c r="Q163" i="9"/>
  <c r="H152" i="7"/>
  <c r="N152" i="7" s="1"/>
  <c r="M152" i="7"/>
  <c r="T152" i="7"/>
  <c r="AU152" i="7" s="1"/>
  <c r="S152" i="7"/>
  <c r="K152" i="7"/>
  <c r="AA152" i="7" s="1"/>
  <c r="G153" i="8"/>
  <c r="B164" i="9"/>
  <c r="C165" i="9"/>
  <c r="AT151" i="8"/>
  <c r="AN149" i="8"/>
  <c r="BO149" i="8" s="1"/>
  <c r="BL149" i="8"/>
  <c r="A159" i="7"/>
  <c r="B158" i="7"/>
  <c r="C157" i="7"/>
  <c r="AP157" i="7"/>
  <c r="BB151" i="8"/>
  <c r="AK151" i="7"/>
  <c r="AJ151" i="7"/>
  <c r="BK151" i="7" s="1"/>
  <c r="BI151" i="7"/>
  <c r="O153" i="7"/>
  <c r="L153" i="7"/>
  <c r="AE153" i="7" s="1"/>
  <c r="BF153" i="7" s="1"/>
  <c r="BA150" i="8"/>
  <c r="AN149" i="7"/>
  <c r="BO149" i="7" s="1"/>
  <c r="BC150" i="8"/>
  <c r="AF150" i="8"/>
  <c r="BG150" i="8" s="1"/>
  <c r="AJ150" i="8"/>
  <c r="BK150" i="8" s="1"/>
  <c r="AG150" i="7" l="1"/>
  <c r="BH150" i="7" s="1"/>
  <c r="BL150" i="7"/>
  <c r="AF151" i="7"/>
  <c r="BG151" i="7" s="1"/>
  <c r="Z151" i="7"/>
  <c r="BA151" i="7" s="1"/>
  <c r="T153" i="7"/>
  <c r="AU153" i="7" s="1"/>
  <c r="J152" i="8"/>
  <c r="X152" i="8"/>
  <c r="AY152" i="8" s="1"/>
  <c r="S153" i="7"/>
  <c r="AT153" i="7" s="1"/>
  <c r="W152" i="8"/>
  <c r="AX152" i="8" s="1"/>
  <c r="G154" i="7"/>
  <c r="K154" i="7" s="1"/>
  <c r="AA154" i="7" s="1"/>
  <c r="K153" i="7"/>
  <c r="AA153" i="7" s="1"/>
  <c r="BB153" i="7" s="1"/>
  <c r="G154" i="8"/>
  <c r="T154" i="8" s="1"/>
  <c r="AU154" i="8" s="1"/>
  <c r="H153" i="7"/>
  <c r="N153" i="7" s="1"/>
  <c r="AG150" i="8"/>
  <c r="BH150" i="8" s="1"/>
  <c r="AN150" i="8"/>
  <c r="BO150" i="8" s="1"/>
  <c r="AP158" i="7"/>
  <c r="C158" i="7"/>
  <c r="BJ151" i="8"/>
  <c r="AL151" i="8"/>
  <c r="BM151" i="8" s="1"/>
  <c r="BB152" i="7"/>
  <c r="O154" i="7"/>
  <c r="L154" i="7"/>
  <c r="AE154" i="7" s="1"/>
  <c r="BF154" i="7" s="1"/>
  <c r="AK152" i="8"/>
  <c r="BI152" i="8"/>
  <c r="AT152" i="7"/>
  <c r="O154" i="8"/>
  <c r="L154" i="8"/>
  <c r="AE154" i="8" s="1"/>
  <c r="BF154" i="8" s="1"/>
  <c r="J152" i="7"/>
  <c r="AR155" i="8"/>
  <c r="BN155" i="8" s="1"/>
  <c r="AQ155" i="8"/>
  <c r="AP156" i="8"/>
  <c r="C156" i="8"/>
  <c r="B159" i="7"/>
  <c r="A160" i="7"/>
  <c r="AI152" i="7"/>
  <c r="AC152" i="7"/>
  <c r="BD152" i="7" s="1"/>
  <c r="AD152" i="7"/>
  <c r="BE152" i="7" s="1"/>
  <c r="AB152" i="7"/>
  <c r="BC152" i="7" s="1"/>
  <c r="AF151" i="8"/>
  <c r="BG151" i="8" s="1"/>
  <c r="B165" i="9"/>
  <c r="C166" i="9"/>
  <c r="AI152" i="8"/>
  <c r="AJ152" i="8" s="1"/>
  <c r="BK152" i="8" s="1"/>
  <c r="AC152" i="8"/>
  <c r="BD152" i="8" s="1"/>
  <c r="AD152" i="8"/>
  <c r="BE152" i="8" s="1"/>
  <c r="AB152" i="8"/>
  <c r="B157" i="8"/>
  <c r="A158" i="8"/>
  <c r="AR157" i="7"/>
  <c r="BN157" i="7" s="1"/>
  <c r="AQ157" i="7"/>
  <c r="X164" i="9"/>
  <c r="L164" i="9"/>
  <c r="F164" i="9"/>
  <c r="U164" i="9"/>
  <c r="T164" i="9"/>
  <c r="R164" i="9"/>
  <c r="Y164" i="9"/>
  <c r="D155" i="8" s="1"/>
  <c r="I155" i="8" s="1"/>
  <c r="N164" i="9"/>
  <c r="I164" i="9"/>
  <c r="E155" i="7" s="1"/>
  <c r="K164" i="9"/>
  <c r="G164" i="9"/>
  <c r="Z164" i="9"/>
  <c r="J164" i="9"/>
  <c r="Q164" i="9"/>
  <c r="P164" i="9"/>
  <c r="D164" i="9"/>
  <c r="M164" i="9"/>
  <c r="H164" i="9"/>
  <c r="O164" i="9"/>
  <c r="E155" i="8" s="1"/>
  <c r="AA164" i="9"/>
  <c r="V164" i="9"/>
  <c r="W164" i="9"/>
  <c r="S164" i="9"/>
  <c r="D155" i="7" s="1"/>
  <c r="I155" i="7" s="1"/>
  <c r="E164" i="9"/>
  <c r="AH152" i="7"/>
  <c r="W152" i="7"/>
  <c r="AX152" i="7" s="1"/>
  <c r="X152" i="7"/>
  <c r="AY152" i="7" s="1"/>
  <c r="U152" i="7"/>
  <c r="AV152" i="7" s="1"/>
  <c r="BI151" i="8"/>
  <c r="AJ151" i="8"/>
  <c r="BK151" i="8" s="1"/>
  <c r="AK151" i="8"/>
  <c r="Z151" i="8"/>
  <c r="BL151" i="7"/>
  <c r="AN151" i="7"/>
  <c r="BO151" i="7" s="1"/>
  <c r="M153" i="8"/>
  <c r="H153" i="8"/>
  <c r="N153" i="8" s="1"/>
  <c r="S153" i="8"/>
  <c r="T153" i="8"/>
  <c r="AU153" i="8" s="1"/>
  <c r="U153" i="8"/>
  <c r="AV153" i="8" s="1"/>
  <c r="K153" i="8"/>
  <c r="AA153" i="8" s="1"/>
  <c r="AH153" i="7"/>
  <c r="W153" i="7"/>
  <c r="AX153" i="7" s="1"/>
  <c r="X153" i="7"/>
  <c r="AY153" i="7" s="1"/>
  <c r="U153" i="7"/>
  <c r="AV153" i="7" s="1"/>
  <c r="AG151" i="7" l="1"/>
  <c r="BH151" i="7" s="1"/>
  <c r="Z152" i="8"/>
  <c r="BA152" i="8" s="1"/>
  <c r="T154" i="7"/>
  <c r="AU154" i="7" s="1"/>
  <c r="S154" i="7"/>
  <c r="AT154" i="7" s="1"/>
  <c r="M154" i="7"/>
  <c r="AH154" i="7" s="1"/>
  <c r="J153" i="7"/>
  <c r="H154" i="7"/>
  <c r="J154" i="7" s="1"/>
  <c r="H154" i="8"/>
  <c r="N154" i="8" s="1"/>
  <c r="AI154" i="8" s="1"/>
  <c r="M154" i="8"/>
  <c r="AH154" i="8" s="1"/>
  <c r="K154" i="8"/>
  <c r="AA154" i="8" s="1"/>
  <c r="BB154" i="8" s="1"/>
  <c r="S154" i="8"/>
  <c r="AT154" i="8" s="1"/>
  <c r="U154" i="8"/>
  <c r="AV154" i="8" s="1"/>
  <c r="G155" i="8"/>
  <c r="K155" i="8" s="1"/>
  <c r="AA155" i="8" s="1"/>
  <c r="BB155" i="8" s="1"/>
  <c r="Z152" i="7"/>
  <c r="BA152" i="7" s="1"/>
  <c r="AH153" i="8"/>
  <c r="W153" i="8"/>
  <c r="AX153" i="8" s="1"/>
  <c r="X153" i="8"/>
  <c r="AY153" i="8" s="1"/>
  <c r="L155" i="7"/>
  <c r="AE155" i="7" s="1"/>
  <c r="BF155" i="7" s="1"/>
  <c r="O155" i="7"/>
  <c r="BL151" i="8"/>
  <c r="AN151" i="8"/>
  <c r="BO151" i="8" s="1"/>
  <c r="O155" i="8"/>
  <c r="L155" i="8"/>
  <c r="AE155" i="8" s="1"/>
  <c r="BF155" i="8" s="1"/>
  <c r="AG151" i="8"/>
  <c r="BH151" i="8" s="1"/>
  <c r="BA151" i="8"/>
  <c r="A159" i="8"/>
  <c r="B158" i="8"/>
  <c r="C159" i="7"/>
  <c r="AP159" i="7"/>
  <c r="AI153" i="7"/>
  <c r="AJ153" i="7" s="1"/>
  <c r="BK153" i="7" s="1"/>
  <c r="AC153" i="7"/>
  <c r="BD153" i="7" s="1"/>
  <c r="AD153" i="7"/>
  <c r="BE153" i="7" s="1"/>
  <c r="AB153" i="7"/>
  <c r="BL152" i="8"/>
  <c r="AF152" i="7"/>
  <c r="BG152" i="7" s="1"/>
  <c r="G155" i="7"/>
  <c r="C157" i="8"/>
  <c r="AP157" i="8"/>
  <c r="AL152" i="8"/>
  <c r="BM152" i="8" s="1"/>
  <c r="BJ152" i="8"/>
  <c r="AR156" i="8"/>
  <c r="BN156" i="8" s="1"/>
  <c r="AQ156" i="8"/>
  <c r="Z153" i="7"/>
  <c r="B160" i="7"/>
  <c r="A161" i="7"/>
  <c r="BC152" i="8"/>
  <c r="AF152" i="8"/>
  <c r="C167" i="9"/>
  <c r="B166" i="9"/>
  <c r="AL152" i="7"/>
  <c r="BM152" i="7" s="1"/>
  <c r="BJ152" i="7"/>
  <c r="BI153" i="7"/>
  <c r="AK153" i="7"/>
  <c r="BB153" i="8"/>
  <c r="AT153" i="8"/>
  <c r="AK152" i="7"/>
  <c r="AJ152" i="7"/>
  <c r="BK152" i="7" s="1"/>
  <c r="BI152" i="7"/>
  <c r="X165" i="9"/>
  <c r="L165" i="9"/>
  <c r="F165" i="9"/>
  <c r="R165" i="9"/>
  <c r="V165" i="9"/>
  <c r="Z165" i="9"/>
  <c r="Y165" i="9"/>
  <c r="D156" i="8" s="1"/>
  <c r="I156" i="8" s="1"/>
  <c r="W165" i="9"/>
  <c r="M165" i="9"/>
  <c r="D165" i="9"/>
  <c r="AA165" i="9"/>
  <c r="T165" i="9"/>
  <c r="Q165" i="9"/>
  <c r="N165" i="9"/>
  <c r="E165" i="9"/>
  <c r="H165" i="9"/>
  <c r="U165" i="9"/>
  <c r="S165" i="9"/>
  <c r="D156" i="7" s="1"/>
  <c r="I156" i="7" s="1"/>
  <c r="P165" i="9"/>
  <c r="I165" i="9"/>
  <c r="E156" i="7" s="1"/>
  <c r="O165" i="9"/>
  <c r="E156" i="8" s="1"/>
  <c r="J165" i="9"/>
  <c r="K165" i="9"/>
  <c r="G165" i="9"/>
  <c r="BB154" i="7"/>
  <c r="AI153" i="8"/>
  <c r="AC153" i="8"/>
  <c r="BD153" i="8" s="1"/>
  <c r="AD153" i="8"/>
  <c r="BE153" i="8" s="1"/>
  <c r="AB153" i="8"/>
  <c r="BC153" i="8" s="1"/>
  <c r="J153" i="8"/>
  <c r="AQ158" i="7"/>
  <c r="AR158" i="7"/>
  <c r="BN158" i="7" s="1"/>
  <c r="N154" i="7" l="1"/>
  <c r="AB154" i="7" s="1"/>
  <c r="BC154" i="7" s="1"/>
  <c r="U154" i="7"/>
  <c r="AV154" i="7" s="1"/>
  <c r="X154" i="7"/>
  <c r="AY154" i="7" s="1"/>
  <c r="W154" i="7"/>
  <c r="AX154" i="7" s="1"/>
  <c r="J154" i="8"/>
  <c r="X154" i="8"/>
  <c r="AY154" i="8" s="1"/>
  <c r="G156" i="7"/>
  <c r="K156" i="7" s="1"/>
  <c r="AA156" i="7" s="1"/>
  <c r="W154" i="8"/>
  <c r="AX154" i="8" s="1"/>
  <c r="M155" i="8"/>
  <c r="X155" i="8" s="1"/>
  <c r="AY155" i="8" s="1"/>
  <c r="H155" i="8"/>
  <c r="N155" i="8" s="1"/>
  <c r="AB155" i="8" s="1"/>
  <c r="S155" i="8"/>
  <c r="AT155" i="8" s="1"/>
  <c r="T155" i="8"/>
  <c r="AU155" i="8" s="1"/>
  <c r="AN152" i="8"/>
  <c r="BO152" i="8" s="1"/>
  <c r="U155" i="8"/>
  <c r="AV155" i="8" s="1"/>
  <c r="AD154" i="8"/>
  <c r="BE154" i="8" s="1"/>
  <c r="AB154" i="8"/>
  <c r="BC154" i="8" s="1"/>
  <c r="AC154" i="8"/>
  <c r="BD154" i="8" s="1"/>
  <c r="AG152" i="7"/>
  <c r="BH152" i="7" s="1"/>
  <c r="G156" i="8"/>
  <c r="K156" i="8" s="1"/>
  <c r="AA156" i="8" s="1"/>
  <c r="Z153" i="8"/>
  <c r="BA153" i="8" s="1"/>
  <c r="BL153" i="7"/>
  <c r="C160" i="7"/>
  <c r="AP160" i="7"/>
  <c r="H155" i="7"/>
  <c r="N155" i="7" s="1"/>
  <c r="M155" i="7"/>
  <c r="T155" i="7"/>
  <c r="AU155" i="7" s="1"/>
  <c r="S155" i="7"/>
  <c r="K155" i="7"/>
  <c r="AA155" i="7" s="1"/>
  <c r="BA153" i="7"/>
  <c r="BC153" i="7"/>
  <c r="AF153" i="7"/>
  <c r="BG153" i="7" s="1"/>
  <c r="C158" i="8"/>
  <c r="AP158" i="8"/>
  <c r="A160" i="8"/>
  <c r="B159" i="8"/>
  <c r="BJ153" i="7"/>
  <c r="AL153" i="7"/>
  <c r="BM153" i="7" s="1"/>
  <c r="AL153" i="8"/>
  <c r="BM153" i="8" s="1"/>
  <c r="BJ153" i="8"/>
  <c r="C168" i="9"/>
  <c r="B167" i="9"/>
  <c r="AR157" i="8"/>
  <c r="BN157" i="8" s="1"/>
  <c r="AQ157" i="8"/>
  <c r="AR159" i="7"/>
  <c r="BN159" i="7" s="1"/>
  <c r="AQ159" i="7"/>
  <c r="AN152" i="7"/>
  <c r="BO152" i="7" s="1"/>
  <c r="BL152" i="7"/>
  <c r="BI154" i="8"/>
  <c r="AK154" i="8"/>
  <c r="AJ154" i="8"/>
  <c r="BK154" i="8" s="1"/>
  <c r="BG152" i="8"/>
  <c r="AG152" i="8"/>
  <c r="BH152" i="8" s="1"/>
  <c r="AK153" i="8"/>
  <c r="AJ153" i="8"/>
  <c r="BK153" i="8" s="1"/>
  <c r="BI153" i="8"/>
  <c r="L156" i="8"/>
  <c r="AE156" i="8" s="1"/>
  <c r="BF156" i="8" s="1"/>
  <c r="O156" i="8"/>
  <c r="AF153" i="8"/>
  <c r="BG153" i="8" s="1"/>
  <c r="R166" i="9"/>
  <c r="F166" i="9"/>
  <c r="X166" i="9"/>
  <c r="L166" i="9"/>
  <c r="W166" i="9"/>
  <c r="I166" i="9"/>
  <c r="E157" i="7" s="1"/>
  <c r="E166" i="9"/>
  <c r="Q166" i="9"/>
  <c r="K166" i="9"/>
  <c r="Y166" i="9"/>
  <c r="D157" i="8" s="1"/>
  <c r="I157" i="8" s="1"/>
  <c r="N166" i="9"/>
  <c r="V166" i="9"/>
  <c r="AA166" i="9"/>
  <c r="M166" i="9"/>
  <c r="J166" i="9"/>
  <c r="D166" i="9"/>
  <c r="O166" i="9"/>
  <c r="E157" i="8" s="1"/>
  <c r="G166" i="9"/>
  <c r="P166" i="9"/>
  <c r="H166" i="9"/>
  <c r="T166" i="9"/>
  <c r="Z166" i="9"/>
  <c r="U166" i="9"/>
  <c r="S166" i="9"/>
  <c r="D157" i="7" s="1"/>
  <c r="I157" i="7" s="1"/>
  <c r="O156" i="7"/>
  <c r="L156" i="7"/>
  <c r="AE156" i="7" s="1"/>
  <c r="BF156" i="7" s="1"/>
  <c r="A162" i="7"/>
  <c r="B161" i="7"/>
  <c r="AK154" i="7"/>
  <c r="BI154" i="7"/>
  <c r="BJ154" i="8"/>
  <c r="AL154" i="8"/>
  <c r="BM154" i="8" s="1"/>
  <c r="Z154" i="7" l="1"/>
  <c r="BA154" i="7" s="1"/>
  <c r="AD154" i="7"/>
  <c r="BE154" i="7" s="1"/>
  <c r="AC154" i="7"/>
  <c r="BD154" i="7" s="1"/>
  <c r="AI154" i="7"/>
  <c r="AL154" i="7" s="1"/>
  <c r="BM154" i="7" s="1"/>
  <c r="S156" i="7"/>
  <c r="AT156" i="7" s="1"/>
  <c r="T156" i="7"/>
  <c r="AU156" i="7" s="1"/>
  <c r="H156" i="7"/>
  <c r="J156" i="7" s="1"/>
  <c r="M156" i="7"/>
  <c r="AH156" i="7" s="1"/>
  <c r="Z154" i="8"/>
  <c r="BA154" i="8" s="1"/>
  <c r="AI155" i="8"/>
  <c r="AL155" i="8" s="1"/>
  <c r="BM155" i="8" s="1"/>
  <c r="J155" i="8"/>
  <c r="AH155" i="8"/>
  <c r="BI155" i="8" s="1"/>
  <c r="AC155" i="8"/>
  <c r="BD155" i="8" s="1"/>
  <c r="W155" i="8"/>
  <c r="AX155" i="8" s="1"/>
  <c r="AD155" i="8"/>
  <c r="BE155" i="8" s="1"/>
  <c r="AF154" i="8"/>
  <c r="BG154" i="8" s="1"/>
  <c r="S156" i="8"/>
  <c r="AT156" i="8" s="1"/>
  <c r="H156" i="8"/>
  <c r="N156" i="8" s="1"/>
  <c r="AI156" i="8" s="1"/>
  <c r="M156" i="8"/>
  <c r="X156" i="8" s="1"/>
  <c r="AY156" i="8" s="1"/>
  <c r="U156" i="8"/>
  <c r="AV156" i="8" s="1"/>
  <c r="T156" i="8"/>
  <c r="AU156" i="8" s="1"/>
  <c r="AG153" i="8"/>
  <c r="BH153" i="8" s="1"/>
  <c r="G157" i="7"/>
  <c r="M157" i="7" s="1"/>
  <c r="AT155" i="7"/>
  <c r="AH155" i="7"/>
  <c r="W155" i="7"/>
  <c r="AX155" i="7" s="1"/>
  <c r="X155" i="7"/>
  <c r="AY155" i="7" s="1"/>
  <c r="U155" i="7"/>
  <c r="AV155" i="7" s="1"/>
  <c r="O157" i="8"/>
  <c r="L157" i="8"/>
  <c r="AE157" i="8" s="1"/>
  <c r="BF157" i="8" s="1"/>
  <c r="A161" i="8"/>
  <c r="B160" i="8"/>
  <c r="BB156" i="7"/>
  <c r="BB155" i="7"/>
  <c r="AQ158" i="8"/>
  <c r="AR158" i="8"/>
  <c r="BN158" i="8" s="1"/>
  <c r="AI155" i="7"/>
  <c r="AC155" i="7"/>
  <c r="BD155" i="7" s="1"/>
  <c r="AD155" i="7"/>
  <c r="BE155" i="7" s="1"/>
  <c r="AB155" i="7"/>
  <c r="BC155" i="7" s="1"/>
  <c r="J155" i="7"/>
  <c r="AN153" i="8"/>
  <c r="BO153" i="8" s="1"/>
  <c r="BL153" i="8"/>
  <c r="B162" i="7"/>
  <c r="A163" i="7"/>
  <c r="BC155" i="8"/>
  <c r="R167" i="9"/>
  <c r="F167" i="9"/>
  <c r="L167" i="9"/>
  <c r="X167" i="9"/>
  <c r="T167" i="9"/>
  <c r="S167" i="9"/>
  <c r="D158" i="7" s="1"/>
  <c r="I158" i="7" s="1"/>
  <c r="Z167" i="9"/>
  <c r="D167" i="9"/>
  <c r="O167" i="9"/>
  <c r="E158" i="8" s="1"/>
  <c r="Y167" i="9"/>
  <c r="D158" i="8" s="1"/>
  <c r="I158" i="8" s="1"/>
  <c r="AA167" i="9"/>
  <c r="V167" i="9"/>
  <c r="M167" i="9"/>
  <c r="Q167" i="9"/>
  <c r="W167" i="9"/>
  <c r="H167" i="9"/>
  <c r="I167" i="9"/>
  <c r="E158" i="7" s="1"/>
  <c r="J167" i="9"/>
  <c r="K167" i="9"/>
  <c r="U167" i="9"/>
  <c r="E167" i="9"/>
  <c r="N167" i="9"/>
  <c r="P167" i="9"/>
  <c r="G167" i="9"/>
  <c r="AR160" i="7"/>
  <c r="BN160" i="7" s="1"/>
  <c r="AQ160" i="7"/>
  <c r="AP159" i="8"/>
  <c r="C159" i="8"/>
  <c r="BL154" i="7"/>
  <c r="AP161" i="7"/>
  <c r="C161" i="7"/>
  <c r="BL154" i="8"/>
  <c r="AN154" i="8"/>
  <c r="BO154" i="8" s="1"/>
  <c r="B168" i="9"/>
  <c r="C169" i="9"/>
  <c r="G157" i="8"/>
  <c r="O157" i="7"/>
  <c r="L157" i="7"/>
  <c r="AE157" i="7" s="1"/>
  <c r="BF157" i="7" s="1"/>
  <c r="BB156" i="8"/>
  <c r="AG153" i="7"/>
  <c r="BH153" i="7" s="1"/>
  <c r="AN153" i="7"/>
  <c r="BO153" i="7" s="1"/>
  <c r="AF154" i="7" l="1"/>
  <c r="BG154" i="7" s="1"/>
  <c r="N156" i="7"/>
  <c r="AI156" i="7" s="1"/>
  <c r="AL156" i="7" s="1"/>
  <c r="BM156" i="7" s="1"/>
  <c r="AN154" i="7"/>
  <c r="BO154" i="7" s="1"/>
  <c r="BJ154" i="7"/>
  <c r="AJ154" i="7"/>
  <c r="BK154" i="7" s="1"/>
  <c r="U156" i="7"/>
  <c r="AV156" i="7" s="1"/>
  <c r="X156" i="7"/>
  <c r="AY156" i="7" s="1"/>
  <c r="W156" i="7"/>
  <c r="AX156" i="7" s="1"/>
  <c r="AJ155" i="8"/>
  <c r="BK155" i="8" s="1"/>
  <c r="BJ155" i="8"/>
  <c r="AK155" i="8"/>
  <c r="AN155" i="8" s="1"/>
  <c r="BO155" i="8" s="1"/>
  <c r="AF155" i="8"/>
  <c r="BG155" i="8" s="1"/>
  <c r="AG154" i="7"/>
  <c r="BH154" i="7" s="1"/>
  <c r="AH156" i="8"/>
  <c r="AJ156" i="8" s="1"/>
  <c r="BK156" i="8" s="1"/>
  <c r="W156" i="8"/>
  <c r="AX156" i="8" s="1"/>
  <c r="Z155" i="8"/>
  <c r="BA155" i="8" s="1"/>
  <c r="AB156" i="8"/>
  <c r="BC156" i="8" s="1"/>
  <c r="AD156" i="8"/>
  <c r="BE156" i="8" s="1"/>
  <c r="AC156" i="8"/>
  <c r="BD156" i="8" s="1"/>
  <c r="J156" i="8"/>
  <c r="AG154" i="8"/>
  <c r="BH154" i="8" s="1"/>
  <c r="AC156" i="7"/>
  <c r="BD156" i="7" s="1"/>
  <c r="AD156" i="7"/>
  <c r="BE156" i="7" s="1"/>
  <c r="AB156" i="7"/>
  <c r="BC156" i="7" s="1"/>
  <c r="K157" i="7"/>
  <c r="AA157" i="7" s="1"/>
  <c r="BB157" i="7" s="1"/>
  <c r="T157" i="7"/>
  <c r="AU157" i="7" s="1"/>
  <c r="H157" i="7"/>
  <c r="N157" i="7" s="1"/>
  <c r="AD157" i="7" s="1"/>
  <c r="BE157" i="7" s="1"/>
  <c r="S157" i="7"/>
  <c r="AT157" i="7" s="1"/>
  <c r="G158" i="8"/>
  <c r="H158" i="8" s="1"/>
  <c r="G158" i="7"/>
  <c r="S158" i="7" s="1"/>
  <c r="BI156" i="7"/>
  <c r="AJ156" i="7"/>
  <c r="BK156" i="7" s="1"/>
  <c r="AK156" i="7"/>
  <c r="L158" i="7"/>
  <c r="AE158" i="7" s="1"/>
  <c r="BF158" i="7" s="1"/>
  <c r="O158" i="7"/>
  <c r="AF155" i="7"/>
  <c r="BG155" i="7" s="1"/>
  <c r="M157" i="8"/>
  <c r="H157" i="8"/>
  <c r="N157" i="8" s="1"/>
  <c r="S157" i="8"/>
  <c r="T157" i="8"/>
  <c r="AU157" i="8" s="1"/>
  <c r="U157" i="8"/>
  <c r="AV157" i="8" s="1"/>
  <c r="K157" i="8"/>
  <c r="AA157" i="8" s="1"/>
  <c r="AH157" i="7"/>
  <c r="W157" i="7"/>
  <c r="AX157" i="7" s="1"/>
  <c r="X157" i="7"/>
  <c r="AY157" i="7" s="1"/>
  <c r="U157" i="7"/>
  <c r="AV157" i="7" s="1"/>
  <c r="AK155" i="7"/>
  <c r="AJ155" i="7"/>
  <c r="BK155" i="7" s="1"/>
  <c r="BI155" i="7"/>
  <c r="AQ161" i="7"/>
  <c r="AR161" i="7"/>
  <c r="BN161" i="7" s="1"/>
  <c r="AL155" i="7"/>
  <c r="BM155" i="7" s="1"/>
  <c r="BJ155" i="7"/>
  <c r="AL156" i="8"/>
  <c r="BM156" i="8" s="1"/>
  <c r="BJ156" i="8"/>
  <c r="C162" i="7"/>
  <c r="AP162" i="7"/>
  <c r="B169" i="9"/>
  <c r="C170" i="9"/>
  <c r="X168" i="9"/>
  <c r="L168" i="9"/>
  <c r="F168" i="9"/>
  <c r="R168" i="9"/>
  <c r="J168" i="9"/>
  <c r="P168" i="9"/>
  <c r="V168" i="9"/>
  <c r="M168" i="9"/>
  <c r="W168" i="9"/>
  <c r="N168" i="9"/>
  <c r="AA168" i="9"/>
  <c r="Z168" i="9"/>
  <c r="U168" i="9"/>
  <c r="S168" i="9"/>
  <c r="D159" i="7" s="1"/>
  <c r="I159" i="7" s="1"/>
  <c r="Q168" i="9"/>
  <c r="O168" i="9"/>
  <c r="E159" i="8" s="1"/>
  <c r="H168" i="9"/>
  <c r="Y168" i="9"/>
  <c r="D159" i="8" s="1"/>
  <c r="I159" i="8" s="1"/>
  <c r="I168" i="9"/>
  <c r="E159" i="7" s="1"/>
  <c r="E168" i="9"/>
  <c r="K168" i="9"/>
  <c r="T168" i="9"/>
  <c r="D168" i="9"/>
  <c r="G168" i="9"/>
  <c r="BJ156" i="7"/>
  <c r="Z155" i="7"/>
  <c r="B163" i="7"/>
  <c r="A164" i="7"/>
  <c r="AR159" i="8"/>
  <c r="BN159" i="8" s="1"/>
  <c r="AQ159" i="8"/>
  <c r="AP160" i="8"/>
  <c r="C160" i="8"/>
  <c r="O158" i="8"/>
  <c r="L158" i="8"/>
  <c r="AE158" i="8" s="1"/>
  <c r="BF158" i="8" s="1"/>
  <c r="B161" i="8"/>
  <c r="A162" i="8"/>
  <c r="BL155" i="8" l="1"/>
  <c r="Z156" i="7"/>
  <c r="AG155" i="8"/>
  <c r="BH155" i="8" s="1"/>
  <c r="BI156" i="8"/>
  <c r="AK156" i="8"/>
  <c r="AN156" i="8" s="1"/>
  <c r="BO156" i="8" s="1"/>
  <c r="Z156" i="8"/>
  <c r="BA156" i="8" s="1"/>
  <c r="AF156" i="8"/>
  <c r="BG156" i="8" s="1"/>
  <c r="AF156" i="7"/>
  <c r="BG156" i="7" s="1"/>
  <c r="J157" i="7"/>
  <c r="K158" i="8"/>
  <c r="AA158" i="8" s="1"/>
  <c r="BB158" i="8" s="1"/>
  <c r="AC157" i="7"/>
  <c r="BD157" i="7" s="1"/>
  <c r="AI157" i="7"/>
  <c r="AL157" i="7" s="1"/>
  <c r="BM157" i="7" s="1"/>
  <c r="AB157" i="7"/>
  <c r="BC157" i="7" s="1"/>
  <c r="K158" i="7"/>
  <c r="AA158" i="7" s="1"/>
  <c r="BB158" i="7" s="1"/>
  <c r="U158" i="8"/>
  <c r="AV158" i="8" s="1"/>
  <c r="T158" i="8"/>
  <c r="AU158" i="8" s="1"/>
  <c r="S158" i="8"/>
  <c r="AT158" i="8" s="1"/>
  <c r="M158" i="7"/>
  <c r="X158" i="7" s="1"/>
  <c r="AY158" i="7" s="1"/>
  <c r="M158" i="8"/>
  <c r="W158" i="8" s="1"/>
  <c r="AX158" i="8" s="1"/>
  <c r="H158" i="7"/>
  <c r="N158" i="7" s="1"/>
  <c r="AI158" i="7" s="1"/>
  <c r="T158" i="7"/>
  <c r="AU158" i="7" s="1"/>
  <c r="G159" i="7"/>
  <c r="K159" i="7" s="1"/>
  <c r="AA159" i="7" s="1"/>
  <c r="BB159" i="7" s="1"/>
  <c r="X169" i="9"/>
  <c r="L169" i="9"/>
  <c r="R169" i="9"/>
  <c r="F169" i="9"/>
  <c r="AA169" i="9"/>
  <c r="O169" i="9"/>
  <c r="E160" i="8" s="1"/>
  <c r="I169" i="9"/>
  <c r="E160" i="7" s="1"/>
  <c r="V169" i="9"/>
  <c r="M169" i="9"/>
  <c r="D169" i="9"/>
  <c r="G169" i="9"/>
  <c r="J169" i="9"/>
  <c r="Z169" i="9"/>
  <c r="H169" i="9"/>
  <c r="P169" i="9"/>
  <c r="K169" i="9"/>
  <c r="U169" i="9"/>
  <c r="S169" i="9"/>
  <c r="D160" i="7" s="1"/>
  <c r="I160" i="7" s="1"/>
  <c r="T169" i="9"/>
  <c r="Y169" i="9"/>
  <c r="D160" i="8" s="1"/>
  <c r="I160" i="8" s="1"/>
  <c r="N169" i="9"/>
  <c r="E169" i="9"/>
  <c r="W169" i="9"/>
  <c r="Q169" i="9"/>
  <c r="J157" i="8"/>
  <c r="AT158" i="7"/>
  <c r="A165" i="7"/>
  <c r="B164" i="7"/>
  <c r="AN155" i="7"/>
  <c r="BO155" i="7" s="1"/>
  <c r="BL155" i="7"/>
  <c r="AH157" i="8"/>
  <c r="W157" i="8"/>
  <c r="AX157" i="8" s="1"/>
  <c r="X157" i="8"/>
  <c r="AY157" i="8" s="1"/>
  <c r="AR162" i="7"/>
  <c r="BN162" i="7" s="1"/>
  <c r="AQ162" i="7"/>
  <c r="L159" i="8"/>
  <c r="AE159" i="8" s="1"/>
  <c r="BF159" i="8" s="1"/>
  <c r="O159" i="8"/>
  <c r="AI157" i="8"/>
  <c r="AC157" i="8"/>
  <c r="BD157" i="8" s="1"/>
  <c r="AD157" i="8"/>
  <c r="BE157" i="8" s="1"/>
  <c r="AB157" i="8"/>
  <c r="BC157" i="8" s="1"/>
  <c r="N158" i="8"/>
  <c r="AK157" i="7"/>
  <c r="BI157" i="7"/>
  <c r="BA156" i="7"/>
  <c r="C163" i="7"/>
  <c r="AP163" i="7"/>
  <c r="G159" i="8"/>
  <c r="BB157" i="8"/>
  <c r="AN156" i="7"/>
  <c r="BO156" i="7" s="1"/>
  <c r="BL156" i="7"/>
  <c r="AP161" i="8"/>
  <c r="C161" i="8"/>
  <c r="BA155" i="7"/>
  <c r="AG155" i="7"/>
  <c r="BH155" i="7" s="1"/>
  <c r="O159" i="7"/>
  <c r="L159" i="7"/>
  <c r="AE159" i="7" s="1"/>
  <c r="BF159" i="7" s="1"/>
  <c r="C171" i="9"/>
  <c r="B170" i="9"/>
  <c r="A163" i="8"/>
  <c r="B162" i="8"/>
  <c r="J158" i="8"/>
  <c r="AQ160" i="8"/>
  <c r="AR160" i="8"/>
  <c r="BN160" i="8" s="1"/>
  <c r="AT157" i="8"/>
  <c r="Z157" i="7"/>
  <c r="BL156" i="8" l="1"/>
  <c r="AG156" i="8"/>
  <c r="BH156" i="8" s="1"/>
  <c r="AG156" i="7"/>
  <c r="BH156" i="7" s="1"/>
  <c r="AH158" i="7"/>
  <c r="AK158" i="7" s="1"/>
  <c r="BJ157" i="7"/>
  <c r="AJ157" i="7"/>
  <c r="BK157" i="7" s="1"/>
  <c r="AF157" i="7"/>
  <c r="BG157" i="7" s="1"/>
  <c r="W158" i="7"/>
  <c r="AX158" i="7" s="1"/>
  <c r="U158" i="7"/>
  <c r="AV158" i="7" s="1"/>
  <c r="J158" i="7"/>
  <c r="AB158" i="7"/>
  <c r="BC158" i="7" s="1"/>
  <c r="X158" i="8"/>
  <c r="AY158" i="8" s="1"/>
  <c r="AH158" i="8"/>
  <c r="AK158" i="8" s="1"/>
  <c r="AD158" i="7"/>
  <c r="BE158" i="7" s="1"/>
  <c r="AC158" i="7"/>
  <c r="M159" i="7"/>
  <c r="AH159" i="7" s="1"/>
  <c r="S159" i="7"/>
  <c r="AT159" i="7" s="1"/>
  <c r="H159" i="7"/>
  <c r="N159" i="7" s="1"/>
  <c r="AC159" i="7" s="1"/>
  <c r="BD159" i="7" s="1"/>
  <c r="T159" i="7"/>
  <c r="AU159" i="7" s="1"/>
  <c r="G160" i="7"/>
  <c r="M160" i="7" s="1"/>
  <c r="Z157" i="8"/>
  <c r="BA157" i="8" s="1"/>
  <c r="BI157" i="8"/>
  <c r="AK157" i="8"/>
  <c r="AJ157" i="8"/>
  <c r="BK157" i="8" s="1"/>
  <c r="BJ157" i="8"/>
  <c r="AL157" i="8"/>
  <c r="BM157" i="8" s="1"/>
  <c r="G160" i="8"/>
  <c r="K160" i="8" s="1"/>
  <c r="AA160" i="8" s="1"/>
  <c r="A164" i="8"/>
  <c r="B163" i="8"/>
  <c r="O160" i="7"/>
  <c r="L160" i="7"/>
  <c r="AE160" i="7" s="1"/>
  <c r="BF160" i="7" s="1"/>
  <c r="BL157" i="7"/>
  <c r="AN157" i="7"/>
  <c r="BO157" i="7" s="1"/>
  <c r="B165" i="7"/>
  <c r="A166" i="7"/>
  <c r="AR161" i="8"/>
  <c r="BN161" i="8" s="1"/>
  <c r="AQ161" i="8"/>
  <c r="BA157" i="7"/>
  <c r="O160" i="8"/>
  <c r="L160" i="8"/>
  <c r="AE160" i="8" s="1"/>
  <c r="BF160" i="8" s="1"/>
  <c r="AP164" i="7"/>
  <c r="C164" i="7"/>
  <c r="AI158" i="8"/>
  <c r="AC158" i="8"/>
  <c r="BD158" i="8" s="1"/>
  <c r="AD158" i="8"/>
  <c r="BE158" i="8" s="1"/>
  <c r="AB158" i="8"/>
  <c r="M159" i="8"/>
  <c r="H159" i="8"/>
  <c r="N159" i="8" s="1"/>
  <c r="S159" i="8"/>
  <c r="U159" i="8"/>
  <c r="AV159" i="8" s="1"/>
  <c r="T159" i="8"/>
  <c r="AU159" i="8" s="1"/>
  <c r="K159" i="8"/>
  <c r="AA159" i="8" s="1"/>
  <c r="AL158" i="7"/>
  <c r="BM158" i="7" s="1"/>
  <c r="BJ158" i="7"/>
  <c r="AJ158" i="7"/>
  <c r="BK158" i="7" s="1"/>
  <c r="BI158" i="7"/>
  <c r="AR163" i="7"/>
  <c r="BN163" i="7" s="1"/>
  <c r="AQ163" i="7"/>
  <c r="AP162" i="8"/>
  <c r="C162" i="8"/>
  <c r="R170" i="9"/>
  <c r="F170" i="9"/>
  <c r="L170" i="9"/>
  <c r="X170" i="9"/>
  <c r="P170" i="9"/>
  <c r="Y170" i="9"/>
  <c r="D161" i="8" s="1"/>
  <c r="I161" i="8" s="1"/>
  <c r="M170" i="9"/>
  <c r="V170" i="9"/>
  <c r="H170" i="9"/>
  <c r="K170" i="9"/>
  <c r="W170" i="9"/>
  <c r="D170" i="9"/>
  <c r="N170" i="9"/>
  <c r="Z170" i="9"/>
  <c r="E170" i="9"/>
  <c r="O170" i="9"/>
  <c r="E161" i="8" s="1"/>
  <c r="AA170" i="9"/>
  <c r="G170" i="9"/>
  <c r="S170" i="9"/>
  <c r="D161" i="7" s="1"/>
  <c r="I161" i="7" s="1"/>
  <c r="T170" i="9"/>
  <c r="U170" i="9"/>
  <c r="I170" i="9"/>
  <c r="E161" i="7" s="1"/>
  <c r="J170" i="9"/>
  <c r="Q170" i="9"/>
  <c r="C172" i="9"/>
  <c r="B171" i="9"/>
  <c r="AF157" i="8"/>
  <c r="BG157" i="8" s="1"/>
  <c r="AG157" i="7" l="1"/>
  <c r="BH157" i="7" s="1"/>
  <c r="Z158" i="7"/>
  <c r="BA158" i="7" s="1"/>
  <c r="AJ158" i="8"/>
  <c r="BK158" i="8" s="1"/>
  <c r="Z158" i="8"/>
  <c r="BA158" i="8" s="1"/>
  <c r="BI158" i="8"/>
  <c r="U159" i="7"/>
  <c r="AV159" i="7" s="1"/>
  <c r="X159" i="7"/>
  <c r="AY159" i="7" s="1"/>
  <c r="W159" i="7"/>
  <c r="AX159" i="7" s="1"/>
  <c r="AI159" i="7"/>
  <c r="AL159" i="7" s="1"/>
  <c r="BM159" i="7" s="1"/>
  <c r="J159" i="7"/>
  <c r="BD158" i="7"/>
  <c r="AF158" i="7"/>
  <c r="BG158" i="7" s="1"/>
  <c r="AB159" i="7"/>
  <c r="BC159" i="7" s="1"/>
  <c r="H160" i="7"/>
  <c r="N160" i="7" s="1"/>
  <c r="AC160" i="7" s="1"/>
  <c r="BD160" i="7" s="1"/>
  <c r="AD159" i="7"/>
  <c r="BE159" i="7" s="1"/>
  <c r="K160" i="7"/>
  <c r="AA160" i="7" s="1"/>
  <c r="BB160" i="7" s="1"/>
  <c r="T160" i="7"/>
  <c r="AU160" i="7" s="1"/>
  <c r="S160" i="7"/>
  <c r="AT160" i="7" s="1"/>
  <c r="BC158" i="8"/>
  <c r="AF158" i="8"/>
  <c r="BG158" i="8" s="1"/>
  <c r="B166" i="7"/>
  <c r="A167" i="7"/>
  <c r="AH160" i="7"/>
  <c r="W160" i="7"/>
  <c r="AX160" i="7" s="1"/>
  <c r="X160" i="7"/>
  <c r="AY160" i="7" s="1"/>
  <c r="U160" i="7"/>
  <c r="AV160" i="7" s="1"/>
  <c r="BL158" i="8"/>
  <c r="AL158" i="8"/>
  <c r="BM158" i="8" s="1"/>
  <c r="BJ158" i="8"/>
  <c r="BB159" i="8"/>
  <c r="C165" i="7"/>
  <c r="AP165" i="7"/>
  <c r="L161" i="7"/>
  <c r="AE161" i="7" s="1"/>
  <c r="BF161" i="7" s="1"/>
  <c r="O161" i="7"/>
  <c r="AH159" i="8"/>
  <c r="W159" i="8"/>
  <c r="AX159" i="8" s="1"/>
  <c r="X159" i="8"/>
  <c r="AY159" i="8" s="1"/>
  <c r="G161" i="8"/>
  <c r="R171" i="9"/>
  <c r="F171" i="9"/>
  <c r="X171" i="9"/>
  <c r="L171" i="9"/>
  <c r="O171" i="9"/>
  <c r="E162" i="8" s="1"/>
  <c r="K171" i="9"/>
  <c r="V171" i="9"/>
  <c r="W171" i="9"/>
  <c r="E171" i="9"/>
  <c r="M171" i="9"/>
  <c r="Y171" i="9"/>
  <c r="D162" i="8" s="1"/>
  <c r="I162" i="8" s="1"/>
  <c r="Q171" i="9"/>
  <c r="N171" i="9"/>
  <c r="P171" i="9"/>
  <c r="G171" i="9"/>
  <c r="H171" i="9"/>
  <c r="AA171" i="9"/>
  <c r="T171" i="9"/>
  <c r="U171" i="9"/>
  <c r="J171" i="9"/>
  <c r="S171" i="9"/>
  <c r="D162" i="7" s="1"/>
  <c r="I162" i="7" s="1"/>
  <c r="Z171" i="9"/>
  <c r="D171" i="9"/>
  <c r="I171" i="9"/>
  <c r="E162" i="7" s="1"/>
  <c r="AQ164" i="7"/>
  <c r="AR164" i="7"/>
  <c r="BN164" i="7" s="1"/>
  <c r="B172" i="9"/>
  <c r="C173" i="9"/>
  <c r="AR162" i="8"/>
  <c r="BN162" i="8" s="1"/>
  <c r="AQ162" i="8"/>
  <c r="AT159" i="8"/>
  <c r="AP163" i="8"/>
  <c r="C163" i="8"/>
  <c r="BL157" i="8"/>
  <c r="AN157" i="8"/>
  <c r="BO157" i="8" s="1"/>
  <c r="AN158" i="7"/>
  <c r="BO158" i="7" s="1"/>
  <c r="BL158" i="7"/>
  <c r="BI159" i="7"/>
  <c r="AK159" i="7"/>
  <c r="B164" i="8"/>
  <c r="A165" i="8"/>
  <c r="AG157" i="8"/>
  <c r="BH157" i="8" s="1"/>
  <c r="AI159" i="8"/>
  <c r="AC159" i="8"/>
  <c r="BD159" i="8" s="1"/>
  <c r="AD159" i="8"/>
  <c r="BE159" i="8" s="1"/>
  <c r="AB159" i="8"/>
  <c r="BC159" i="8" s="1"/>
  <c r="H160" i="8"/>
  <c r="N160" i="8" s="1"/>
  <c r="M160" i="8"/>
  <c r="S160" i="8"/>
  <c r="T160" i="8"/>
  <c r="AU160" i="8" s="1"/>
  <c r="U160" i="8"/>
  <c r="AV160" i="8" s="1"/>
  <c r="O161" i="8"/>
  <c r="L161" i="8"/>
  <c r="AE161" i="8" s="1"/>
  <c r="BF161" i="8" s="1"/>
  <c r="G161" i="7"/>
  <c r="BB160" i="8"/>
  <c r="J159" i="8"/>
  <c r="Z159" i="7" l="1"/>
  <c r="BJ159" i="7"/>
  <c r="AJ159" i="7"/>
  <c r="BK159" i="7" s="1"/>
  <c r="AI160" i="7"/>
  <c r="BJ160" i="7" s="1"/>
  <c r="AG158" i="8"/>
  <c r="BH158" i="8" s="1"/>
  <c r="AG158" i="7"/>
  <c r="BH158" i="7" s="1"/>
  <c r="AB160" i="7"/>
  <c r="BC160" i="7" s="1"/>
  <c r="AD160" i="7"/>
  <c r="BE160" i="7" s="1"/>
  <c r="J160" i="7"/>
  <c r="G162" i="7"/>
  <c r="K162" i="7" s="1"/>
  <c r="AA162" i="7" s="1"/>
  <c r="AF159" i="7"/>
  <c r="BG159" i="7" s="1"/>
  <c r="Z159" i="8"/>
  <c r="BA159" i="8" s="1"/>
  <c r="J160" i="8"/>
  <c r="AF159" i="8"/>
  <c r="BG159" i="8" s="1"/>
  <c r="BJ159" i="8"/>
  <c r="AL159" i="8"/>
  <c r="BM159" i="8" s="1"/>
  <c r="M161" i="8"/>
  <c r="H161" i="8"/>
  <c r="N161" i="8" s="1"/>
  <c r="S161" i="8"/>
  <c r="T161" i="8"/>
  <c r="AU161" i="8" s="1"/>
  <c r="U161" i="8"/>
  <c r="AV161" i="8" s="1"/>
  <c r="A168" i="7"/>
  <c r="B167" i="7"/>
  <c r="O162" i="8"/>
  <c r="L162" i="8"/>
  <c r="AE162" i="8" s="1"/>
  <c r="BF162" i="8" s="1"/>
  <c r="AN158" i="8"/>
  <c r="BO158" i="8" s="1"/>
  <c r="C166" i="7"/>
  <c r="AP166" i="7"/>
  <c r="BA159" i="7"/>
  <c r="O162" i="7"/>
  <c r="L162" i="7"/>
  <c r="AE162" i="7" s="1"/>
  <c r="BF162" i="7" s="1"/>
  <c r="BI159" i="8"/>
  <c r="AK159" i="8"/>
  <c r="AJ159" i="8"/>
  <c r="BK159" i="8" s="1"/>
  <c r="AR163" i="8"/>
  <c r="BN163" i="8" s="1"/>
  <c r="AQ163" i="8"/>
  <c r="K161" i="8"/>
  <c r="AA161" i="8" s="1"/>
  <c r="AP164" i="8"/>
  <c r="C164" i="8"/>
  <c r="AT160" i="8"/>
  <c r="AN159" i="7"/>
  <c r="BO159" i="7" s="1"/>
  <c r="BL159" i="7"/>
  <c r="AK160" i="7"/>
  <c r="BI160" i="7"/>
  <c r="H161" i="7"/>
  <c r="N161" i="7" s="1"/>
  <c r="M161" i="7"/>
  <c r="S161" i="7"/>
  <c r="T161" i="7"/>
  <c r="AU161" i="7" s="1"/>
  <c r="K161" i="7"/>
  <c r="AA161" i="7" s="1"/>
  <c r="A166" i="8"/>
  <c r="B165" i="8"/>
  <c r="AH160" i="8"/>
  <c r="W160" i="8"/>
  <c r="AX160" i="8" s="1"/>
  <c r="X160" i="8"/>
  <c r="AY160" i="8" s="1"/>
  <c r="AI160" i="8"/>
  <c r="AC160" i="8"/>
  <c r="BD160" i="8" s="1"/>
  <c r="AD160" i="8"/>
  <c r="BE160" i="8" s="1"/>
  <c r="AB160" i="8"/>
  <c r="C174" i="9"/>
  <c r="B173" i="9"/>
  <c r="AR165" i="7"/>
  <c r="BN165" i="7" s="1"/>
  <c r="AQ165" i="7"/>
  <c r="Z160" i="7"/>
  <c r="X172" i="9"/>
  <c r="L172" i="9"/>
  <c r="R172" i="9"/>
  <c r="F172" i="9"/>
  <c r="I172" i="9"/>
  <c r="E163" i="7" s="1"/>
  <c r="Q172" i="9"/>
  <c r="P172" i="9"/>
  <c r="K172" i="9"/>
  <c r="V172" i="9"/>
  <c r="E172" i="9"/>
  <c r="Y172" i="9"/>
  <c r="D163" i="8" s="1"/>
  <c r="I163" i="8" s="1"/>
  <c r="H172" i="9"/>
  <c r="D172" i="9"/>
  <c r="G172" i="9"/>
  <c r="S172" i="9"/>
  <c r="D163" i="7" s="1"/>
  <c r="I163" i="7" s="1"/>
  <c r="N172" i="9"/>
  <c r="W172" i="9"/>
  <c r="O172" i="9"/>
  <c r="E163" i="8" s="1"/>
  <c r="AA172" i="9"/>
  <c r="M172" i="9"/>
  <c r="U172" i="9"/>
  <c r="Z172" i="9"/>
  <c r="T172" i="9"/>
  <c r="J172" i="9"/>
  <c r="G162" i="8"/>
  <c r="K162" i="8" s="1"/>
  <c r="AA162" i="8" s="1"/>
  <c r="AJ160" i="7" l="1"/>
  <c r="BK160" i="7" s="1"/>
  <c r="AL160" i="7"/>
  <c r="BM160" i="7" s="1"/>
  <c r="AF160" i="7"/>
  <c r="BG160" i="7" s="1"/>
  <c r="S162" i="7"/>
  <c r="AT162" i="7" s="1"/>
  <c r="T162" i="7"/>
  <c r="AU162" i="7" s="1"/>
  <c r="H162" i="7"/>
  <c r="N162" i="7" s="1"/>
  <c r="AI162" i="7" s="1"/>
  <c r="G163" i="8"/>
  <c r="H163" i="8" s="1"/>
  <c r="M162" i="7"/>
  <c r="U162" i="7" s="1"/>
  <c r="AV162" i="7" s="1"/>
  <c r="AG159" i="7"/>
  <c r="BH159" i="7" s="1"/>
  <c r="AG159" i="8"/>
  <c r="BH159" i="8" s="1"/>
  <c r="BB162" i="8"/>
  <c r="AK160" i="8"/>
  <c r="AJ160" i="8"/>
  <c r="BK160" i="8" s="1"/>
  <c r="BI160" i="8"/>
  <c r="AI161" i="8"/>
  <c r="AC161" i="8"/>
  <c r="BD161" i="8" s="1"/>
  <c r="AD161" i="8"/>
  <c r="BE161" i="8" s="1"/>
  <c r="AB161" i="8"/>
  <c r="BC161" i="8" s="1"/>
  <c r="H162" i="8"/>
  <c r="N162" i="8" s="1"/>
  <c r="M162" i="8"/>
  <c r="S162" i="8"/>
  <c r="T162" i="8"/>
  <c r="AU162" i="8" s="1"/>
  <c r="U162" i="8"/>
  <c r="AV162" i="8" s="1"/>
  <c r="BA160" i="7"/>
  <c r="BL160" i="7"/>
  <c r="AR164" i="8"/>
  <c r="BN164" i="8" s="1"/>
  <c r="AQ164" i="8"/>
  <c r="AR166" i="7"/>
  <c r="BN166" i="7" s="1"/>
  <c r="AQ166" i="7"/>
  <c r="J161" i="8"/>
  <c r="O163" i="7"/>
  <c r="L163" i="7"/>
  <c r="AE163" i="7" s="1"/>
  <c r="BF163" i="7" s="1"/>
  <c r="J161" i="7"/>
  <c r="O163" i="8"/>
  <c r="L163" i="8"/>
  <c r="AE163" i="8" s="1"/>
  <c r="BF163" i="8" s="1"/>
  <c r="BB161" i="8"/>
  <c r="AH161" i="8"/>
  <c r="W161" i="8"/>
  <c r="AX161" i="8" s="1"/>
  <c r="X161" i="8"/>
  <c r="AY161" i="8" s="1"/>
  <c r="A167" i="8"/>
  <c r="B166" i="8"/>
  <c r="BB162" i="7"/>
  <c r="AP165" i="8"/>
  <c r="C165" i="8"/>
  <c r="C175" i="9"/>
  <c r="B174" i="9"/>
  <c r="BB161" i="7"/>
  <c r="Z160" i="8"/>
  <c r="AT161" i="8"/>
  <c r="X173" i="9"/>
  <c r="L173" i="9"/>
  <c r="F173" i="9"/>
  <c r="S173" i="9"/>
  <c r="D164" i="7" s="1"/>
  <c r="I164" i="7" s="1"/>
  <c r="R173" i="9"/>
  <c r="W173" i="9"/>
  <c r="O173" i="9"/>
  <c r="E164" i="8" s="1"/>
  <c r="T173" i="9"/>
  <c r="J173" i="9"/>
  <c r="P173" i="9"/>
  <c r="Q173" i="9"/>
  <c r="AA173" i="9"/>
  <c r="H173" i="9"/>
  <c r="Y173" i="9"/>
  <c r="D164" i="8" s="1"/>
  <c r="I164" i="8" s="1"/>
  <c r="N173" i="9"/>
  <c r="M173" i="9"/>
  <c r="G173" i="9"/>
  <c r="I173" i="9"/>
  <c r="E164" i="7" s="1"/>
  <c r="E173" i="9"/>
  <c r="Z173" i="9"/>
  <c r="D173" i="9"/>
  <c r="U173" i="9"/>
  <c r="K173" i="9"/>
  <c r="V173" i="9"/>
  <c r="BC160" i="8"/>
  <c r="AF160" i="8"/>
  <c r="BG160" i="8" s="1"/>
  <c r="AL160" i="8"/>
  <c r="BM160" i="8" s="1"/>
  <c r="BJ160" i="8"/>
  <c r="AI161" i="7"/>
  <c r="AC161" i="7"/>
  <c r="BD161" i="7" s="1"/>
  <c r="AD161" i="7"/>
  <c r="BE161" i="7" s="1"/>
  <c r="AB161" i="7"/>
  <c r="BC161" i="7" s="1"/>
  <c r="AT161" i="7"/>
  <c r="AP167" i="7"/>
  <c r="C167" i="7"/>
  <c r="G163" i="7"/>
  <c r="AH161" i="7"/>
  <c r="W161" i="7"/>
  <c r="AX161" i="7" s="1"/>
  <c r="X161" i="7"/>
  <c r="AY161" i="7" s="1"/>
  <c r="U161" i="7"/>
  <c r="AV161" i="7" s="1"/>
  <c r="AN159" i="8"/>
  <c r="BO159" i="8" s="1"/>
  <c r="BL159" i="8"/>
  <c r="B168" i="7"/>
  <c r="A169" i="7"/>
  <c r="K163" i="8" l="1"/>
  <c r="AA163" i="8" s="1"/>
  <c r="BB163" i="8" s="1"/>
  <c r="AN160" i="7"/>
  <c r="BO160" i="7" s="1"/>
  <c r="J162" i="7"/>
  <c r="AB162" i="7"/>
  <c r="BC162" i="7" s="1"/>
  <c r="AD162" i="7"/>
  <c r="BE162" i="7" s="1"/>
  <c r="T163" i="8"/>
  <c r="AU163" i="8" s="1"/>
  <c r="U163" i="8"/>
  <c r="AV163" i="8" s="1"/>
  <c r="M163" i="8"/>
  <c r="W163" i="8" s="1"/>
  <c r="AX163" i="8" s="1"/>
  <c r="S163" i="8"/>
  <c r="AT163" i="8" s="1"/>
  <c r="AC162" i="7"/>
  <c r="BD162" i="7" s="1"/>
  <c r="AG160" i="7"/>
  <c r="BH160" i="7" s="1"/>
  <c r="AH162" i="7"/>
  <c r="AK162" i="7" s="1"/>
  <c r="N163" i="8"/>
  <c r="AI163" i="8" s="1"/>
  <c r="X162" i="7"/>
  <c r="AY162" i="7" s="1"/>
  <c r="W162" i="7"/>
  <c r="AX162" i="7" s="1"/>
  <c r="G164" i="7"/>
  <c r="T164" i="7" s="1"/>
  <c r="AU164" i="7" s="1"/>
  <c r="Z161" i="8"/>
  <c r="BA161" i="8" s="1"/>
  <c r="H163" i="7"/>
  <c r="N163" i="7" s="1"/>
  <c r="M163" i="7"/>
  <c r="S163" i="7"/>
  <c r="T163" i="7"/>
  <c r="AU163" i="7" s="1"/>
  <c r="K163" i="7"/>
  <c r="AA163" i="7" s="1"/>
  <c r="AR165" i="8"/>
  <c r="BN165" i="8" s="1"/>
  <c r="AQ165" i="8"/>
  <c r="AP166" i="8"/>
  <c r="C166" i="8"/>
  <c r="AT162" i="8"/>
  <c r="O164" i="8"/>
  <c r="L164" i="8"/>
  <c r="AE164" i="8" s="1"/>
  <c r="BF164" i="8" s="1"/>
  <c r="A168" i="8"/>
  <c r="B167" i="8"/>
  <c r="R174" i="9"/>
  <c r="F174" i="9"/>
  <c r="L174" i="9"/>
  <c r="X174" i="9"/>
  <c r="Y174" i="9"/>
  <c r="D165" i="8" s="1"/>
  <c r="I165" i="8" s="1"/>
  <c r="D174" i="9"/>
  <c r="I174" i="9"/>
  <c r="E165" i="7" s="1"/>
  <c r="P174" i="9"/>
  <c r="O174" i="9"/>
  <c r="E165" i="8" s="1"/>
  <c r="T174" i="9"/>
  <c r="M174" i="9"/>
  <c r="U174" i="9"/>
  <c r="G174" i="9"/>
  <c r="S174" i="9"/>
  <c r="D165" i="7" s="1"/>
  <c r="I165" i="7" s="1"/>
  <c r="V174" i="9"/>
  <c r="Q174" i="9"/>
  <c r="AA174" i="9"/>
  <c r="E174" i="9"/>
  <c r="Z174" i="9"/>
  <c r="W174" i="9"/>
  <c r="K174" i="9"/>
  <c r="H174" i="9"/>
  <c r="J174" i="9"/>
  <c r="N174" i="9"/>
  <c r="J163" i="8"/>
  <c r="G164" i="8"/>
  <c r="BJ162" i="7"/>
  <c r="AL162" i="7"/>
  <c r="BM162" i="7" s="1"/>
  <c r="AH162" i="8"/>
  <c r="W162" i="8"/>
  <c r="AX162" i="8" s="1"/>
  <c r="X162" i="8"/>
  <c r="AY162" i="8" s="1"/>
  <c r="AF161" i="8"/>
  <c r="BG161" i="8" s="1"/>
  <c r="AL161" i="8"/>
  <c r="BM161" i="8" s="1"/>
  <c r="BJ161" i="8"/>
  <c r="AK161" i="7"/>
  <c r="AJ161" i="7"/>
  <c r="BK161" i="7" s="1"/>
  <c r="BI161" i="7"/>
  <c r="BA160" i="8"/>
  <c r="AG160" i="8"/>
  <c r="BH160" i="8" s="1"/>
  <c r="AI162" i="8"/>
  <c r="AC162" i="8"/>
  <c r="BD162" i="8" s="1"/>
  <c r="AD162" i="8"/>
  <c r="BE162" i="8" s="1"/>
  <c r="AB162" i="8"/>
  <c r="AN160" i="8"/>
  <c r="BO160" i="8" s="1"/>
  <c r="BL160" i="8"/>
  <c r="C176" i="9"/>
  <c r="B175" i="9"/>
  <c r="AQ167" i="7"/>
  <c r="AR167" i="7"/>
  <c r="BN167" i="7" s="1"/>
  <c r="B169" i="7"/>
  <c r="A170" i="7"/>
  <c r="C168" i="7"/>
  <c r="AP168" i="7"/>
  <c r="AL161" i="7"/>
  <c r="BM161" i="7" s="1"/>
  <c r="BJ161" i="7"/>
  <c r="AF161" i="7"/>
  <c r="BG161" i="7" s="1"/>
  <c r="J162" i="8"/>
  <c r="Z161" i="7"/>
  <c r="L164" i="7"/>
  <c r="AE164" i="7" s="1"/>
  <c r="BF164" i="7" s="1"/>
  <c r="O164" i="7"/>
  <c r="AK161" i="8"/>
  <c r="AJ161" i="8"/>
  <c r="BK161" i="8" s="1"/>
  <c r="BI161" i="8"/>
  <c r="H164" i="7" l="1"/>
  <c r="J164" i="7" s="1"/>
  <c r="M164" i="7"/>
  <c r="X163" i="8"/>
  <c r="AY163" i="8" s="1"/>
  <c r="AH163" i="8"/>
  <c r="BI163" i="8" s="1"/>
  <c r="AF162" i="7"/>
  <c r="BG162" i="7" s="1"/>
  <c r="AJ162" i="7"/>
  <c r="BK162" i="7" s="1"/>
  <c r="AB163" i="8"/>
  <c r="BC163" i="8" s="1"/>
  <c r="BI162" i="7"/>
  <c r="AD163" i="8"/>
  <c r="BE163" i="8" s="1"/>
  <c r="AC163" i="8"/>
  <c r="BD163" i="8" s="1"/>
  <c r="Z162" i="7"/>
  <c r="BA162" i="7" s="1"/>
  <c r="S164" i="7"/>
  <c r="AT164" i="7" s="1"/>
  <c r="K164" i="7"/>
  <c r="AA164" i="7" s="1"/>
  <c r="BB164" i="7" s="1"/>
  <c r="G165" i="7"/>
  <c r="K165" i="7" s="1"/>
  <c r="AA165" i="7" s="1"/>
  <c r="BB165" i="7" s="1"/>
  <c r="G165" i="8"/>
  <c r="K165" i="8" s="1"/>
  <c r="AA165" i="8" s="1"/>
  <c r="J163" i="7"/>
  <c r="A169" i="8"/>
  <c r="B168" i="8"/>
  <c r="BB163" i="7"/>
  <c r="AR168" i="7"/>
  <c r="BN168" i="7" s="1"/>
  <c r="AQ168" i="7"/>
  <c r="AT163" i="7"/>
  <c r="AN162" i="7"/>
  <c r="BO162" i="7" s="1"/>
  <c r="BL162" i="7"/>
  <c r="L165" i="8"/>
  <c r="AE165" i="8" s="1"/>
  <c r="BF165" i="8" s="1"/>
  <c r="O165" i="8"/>
  <c r="AH163" i="7"/>
  <c r="W163" i="7"/>
  <c r="AX163" i="7" s="1"/>
  <c r="X163" i="7"/>
  <c r="AY163" i="7" s="1"/>
  <c r="U163" i="7"/>
  <c r="AV163" i="7" s="1"/>
  <c r="BI162" i="8"/>
  <c r="AK162" i="8"/>
  <c r="AJ162" i="8"/>
  <c r="BK162" i="8" s="1"/>
  <c r="AL162" i="8"/>
  <c r="BM162" i="8" s="1"/>
  <c r="BJ162" i="8"/>
  <c r="H164" i="8"/>
  <c r="N164" i="8" s="1"/>
  <c r="M164" i="8"/>
  <c r="S164" i="8"/>
  <c r="T164" i="8"/>
  <c r="AU164" i="8" s="1"/>
  <c r="U164" i="8"/>
  <c r="AV164" i="8" s="1"/>
  <c r="K164" i="8"/>
  <c r="AA164" i="8" s="1"/>
  <c r="AH164" i="7"/>
  <c r="W164" i="7"/>
  <c r="AX164" i="7" s="1"/>
  <c r="X164" i="7"/>
  <c r="AY164" i="7" s="1"/>
  <c r="U164" i="7"/>
  <c r="AV164" i="7" s="1"/>
  <c r="BC162" i="8"/>
  <c r="AF162" i="8"/>
  <c r="BG162" i="8" s="1"/>
  <c r="AG161" i="8"/>
  <c r="BH161" i="8" s="1"/>
  <c r="BL161" i="8"/>
  <c r="AN161" i="8"/>
  <c r="BO161" i="8" s="1"/>
  <c r="AI163" i="7"/>
  <c r="AC163" i="7"/>
  <c r="BD163" i="7" s="1"/>
  <c r="AD163" i="7"/>
  <c r="BE163" i="7" s="1"/>
  <c r="AB163" i="7"/>
  <c r="BC163" i="7" s="1"/>
  <c r="C167" i="8"/>
  <c r="AP167" i="8"/>
  <c r="A171" i="7"/>
  <c r="B170" i="7"/>
  <c r="O165" i="7"/>
  <c r="L165" i="7"/>
  <c r="AE165" i="7" s="1"/>
  <c r="BF165" i="7" s="1"/>
  <c r="Z162" i="8"/>
  <c r="BA161" i="7"/>
  <c r="AG161" i="7"/>
  <c r="BH161" i="7" s="1"/>
  <c r="AN161" i="7"/>
  <c r="BO161" i="7" s="1"/>
  <c r="BL161" i="7"/>
  <c r="C169" i="7"/>
  <c r="AP169" i="7"/>
  <c r="AR166" i="8"/>
  <c r="BN166" i="8" s="1"/>
  <c r="AQ166" i="8"/>
  <c r="R175" i="9"/>
  <c r="F175" i="9"/>
  <c r="X175" i="9"/>
  <c r="L175" i="9"/>
  <c r="I175" i="9"/>
  <c r="E166" i="7" s="1"/>
  <c r="H175" i="9"/>
  <c r="S175" i="9"/>
  <c r="D166" i="7" s="1"/>
  <c r="I166" i="7" s="1"/>
  <c r="M175" i="9"/>
  <c r="N175" i="9"/>
  <c r="U175" i="9"/>
  <c r="AA175" i="9"/>
  <c r="Y175" i="9"/>
  <c r="D166" i="8" s="1"/>
  <c r="I166" i="8" s="1"/>
  <c r="G175" i="9"/>
  <c r="V175" i="9"/>
  <c r="W175" i="9"/>
  <c r="Z175" i="9"/>
  <c r="K175" i="9"/>
  <c r="T175" i="9"/>
  <c r="D175" i="9"/>
  <c r="J175" i="9"/>
  <c r="P175" i="9"/>
  <c r="Q175" i="9"/>
  <c r="E175" i="9"/>
  <c r="O175" i="9"/>
  <c r="E166" i="8" s="1"/>
  <c r="B176" i="9"/>
  <c r="C177" i="9"/>
  <c r="BJ163" i="8"/>
  <c r="AL163" i="8"/>
  <c r="BM163" i="8" s="1"/>
  <c r="Z163" i="8" l="1"/>
  <c r="N164" i="7"/>
  <c r="AB164" i="7" s="1"/>
  <c r="BC164" i="7" s="1"/>
  <c r="AJ163" i="8"/>
  <c r="BK163" i="8" s="1"/>
  <c r="AF163" i="8"/>
  <c r="BG163" i="8" s="1"/>
  <c r="AK163" i="8"/>
  <c r="BL163" i="8" s="1"/>
  <c r="H165" i="7"/>
  <c r="N165" i="7" s="1"/>
  <c r="AB165" i="7" s="1"/>
  <c r="AG162" i="7"/>
  <c r="BH162" i="7" s="1"/>
  <c r="M165" i="7"/>
  <c r="AH165" i="7" s="1"/>
  <c r="T165" i="8"/>
  <c r="AU165" i="8" s="1"/>
  <c r="U165" i="8"/>
  <c r="AV165" i="8" s="1"/>
  <c r="S165" i="8"/>
  <c r="AT165" i="8" s="1"/>
  <c r="T165" i="7"/>
  <c r="AU165" i="7" s="1"/>
  <c r="H165" i="8"/>
  <c r="N165" i="8" s="1"/>
  <c r="S165" i="7"/>
  <c r="AT165" i="7" s="1"/>
  <c r="M165" i="8"/>
  <c r="AH165" i="8" s="1"/>
  <c r="G166" i="8"/>
  <c r="K166" i="8" s="1"/>
  <c r="AA166" i="8" s="1"/>
  <c r="BB166" i="8" s="1"/>
  <c r="Z164" i="7"/>
  <c r="BA164" i="7" s="1"/>
  <c r="AF163" i="7"/>
  <c r="BG163" i="7" s="1"/>
  <c r="G166" i="7"/>
  <c r="K166" i="7" s="1"/>
  <c r="AA166" i="7" s="1"/>
  <c r="BB166" i="7" s="1"/>
  <c r="BJ163" i="7"/>
  <c r="AL163" i="7"/>
  <c r="BM163" i="7" s="1"/>
  <c r="AN162" i="8"/>
  <c r="BO162" i="8" s="1"/>
  <c r="BL162" i="8"/>
  <c r="BA163" i="8"/>
  <c r="Z163" i="7"/>
  <c r="BB164" i="8"/>
  <c r="A170" i="8"/>
  <c r="B169" i="8"/>
  <c r="BA162" i="8"/>
  <c r="AG162" i="8"/>
  <c r="BH162" i="8" s="1"/>
  <c r="O166" i="7"/>
  <c r="L166" i="7"/>
  <c r="AE166" i="7" s="1"/>
  <c r="BF166" i="7" s="1"/>
  <c r="AP170" i="7"/>
  <c r="C170" i="7"/>
  <c r="AT164" i="8"/>
  <c r="B171" i="7"/>
  <c r="A172" i="7"/>
  <c r="AH164" i="8"/>
  <c r="W164" i="8"/>
  <c r="AX164" i="8" s="1"/>
  <c r="X164" i="8"/>
  <c r="AY164" i="8" s="1"/>
  <c r="AK163" i="7"/>
  <c r="AJ163" i="7"/>
  <c r="BK163" i="7" s="1"/>
  <c r="BI163" i="7"/>
  <c r="C168" i="8"/>
  <c r="AP168" i="8"/>
  <c r="BB165" i="8"/>
  <c r="AR167" i="8"/>
  <c r="BN167" i="8" s="1"/>
  <c r="AQ167" i="8"/>
  <c r="AI164" i="8"/>
  <c r="AC164" i="8"/>
  <c r="BD164" i="8" s="1"/>
  <c r="AD164" i="8"/>
  <c r="BE164" i="8" s="1"/>
  <c r="AB164" i="8"/>
  <c r="BC164" i="8" s="1"/>
  <c r="C178" i="9"/>
  <c r="B177" i="9"/>
  <c r="J164" i="8"/>
  <c r="X176" i="9"/>
  <c r="L176" i="9"/>
  <c r="R176" i="9"/>
  <c r="F176" i="9"/>
  <c r="D176" i="9"/>
  <c r="V176" i="9"/>
  <c r="M176" i="9"/>
  <c r="Y176" i="9"/>
  <c r="D167" i="8" s="1"/>
  <c r="I167" i="8" s="1"/>
  <c r="N176" i="9"/>
  <c r="W176" i="9"/>
  <c r="AA176" i="9"/>
  <c r="J176" i="9"/>
  <c r="Z176" i="9"/>
  <c r="S176" i="9"/>
  <c r="D167" i="7" s="1"/>
  <c r="I167" i="7" s="1"/>
  <c r="P176" i="9"/>
  <c r="E176" i="9"/>
  <c r="O176" i="9"/>
  <c r="E167" i="8" s="1"/>
  <c r="G176" i="9"/>
  <c r="Q176" i="9"/>
  <c r="I176" i="9"/>
  <c r="E167" i="7" s="1"/>
  <c r="U176" i="9"/>
  <c r="H176" i="9"/>
  <c r="T176" i="9"/>
  <c r="K176" i="9"/>
  <c r="AR169" i="7"/>
  <c r="BN169" i="7" s="1"/>
  <c r="AQ169" i="7"/>
  <c r="O166" i="8"/>
  <c r="L166" i="8"/>
  <c r="AE166" i="8" s="1"/>
  <c r="BF166" i="8" s="1"/>
  <c r="AK164" i="7"/>
  <c r="BI164" i="7"/>
  <c r="AD165" i="7" l="1"/>
  <c r="BE165" i="7" s="1"/>
  <c r="AC165" i="7"/>
  <c r="BD165" i="7" s="1"/>
  <c r="AN163" i="8"/>
  <c r="BO163" i="8" s="1"/>
  <c r="AI164" i="7"/>
  <c r="AL164" i="7" s="1"/>
  <c r="BM164" i="7" s="1"/>
  <c r="AC164" i="7"/>
  <c r="BD164" i="7" s="1"/>
  <c r="AD164" i="7"/>
  <c r="BE164" i="7" s="1"/>
  <c r="AI165" i="7"/>
  <c r="AL165" i="7" s="1"/>
  <c r="BM165" i="7" s="1"/>
  <c r="S166" i="8"/>
  <c r="AT166" i="8" s="1"/>
  <c r="H166" i="8"/>
  <c r="N166" i="8" s="1"/>
  <c r="AI166" i="8" s="1"/>
  <c r="U165" i="7"/>
  <c r="AV165" i="7" s="1"/>
  <c r="AG163" i="8"/>
  <c r="BH163" i="8" s="1"/>
  <c r="X165" i="7"/>
  <c r="AY165" i="7" s="1"/>
  <c r="W165" i="7"/>
  <c r="AX165" i="7" s="1"/>
  <c r="Z164" i="8"/>
  <c r="BA164" i="8" s="1"/>
  <c r="J165" i="7"/>
  <c r="T166" i="7"/>
  <c r="AU166" i="7" s="1"/>
  <c r="S166" i="7"/>
  <c r="AT166" i="7" s="1"/>
  <c r="M166" i="7"/>
  <c r="AH166" i="7" s="1"/>
  <c r="H166" i="7"/>
  <c r="N166" i="7" s="1"/>
  <c r="AI166" i="7" s="1"/>
  <c r="J165" i="8"/>
  <c r="M166" i="8"/>
  <c r="AH166" i="8" s="1"/>
  <c r="W165" i="8"/>
  <c r="AX165" i="8" s="1"/>
  <c r="X165" i="8"/>
  <c r="AY165" i="8" s="1"/>
  <c r="G167" i="7"/>
  <c r="K167" i="7" s="1"/>
  <c r="AA167" i="7" s="1"/>
  <c r="BB167" i="7" s="1"/>
  <c r="U166" i="8"/>
  <c r="AV166" i="8" s="1"/>
  <c r="T166" i="8"/>
  <c r="AU166" i="8" s="1"/>
  <c r="G167" i="8"/>
  <c r="H167" i="8" s="1"/>
  <c r="X177" i="9"/>
  <c r="L177" i="9"/>
  <c r="F177" i="9"/>
  <c r="R177" i="9"/>
  <c r="P177" i="9"/>
  <c r="D177" i="9"/>
  <c r="Z177" i="9"/>
  <c r="N177" i="9"/>
  <c r="W177" i="9"/>
  <c r="E177" i="9"/>
  <c r="AA177" i="9"/>
  <c r="Y177" i="9"/>
  <c r="D168" i="8" s="1"/>
  <c r="I168" i="8" s="1"/>
  <c r="K177" i="9"/>
  <c r="I177" i="9"/>
  <c r="E168" i="7" s="1"/>
  <c r="Q177" i="9"/>
  <c r="G177" i="9"/>
  <c r="O177" i="9"/>
  <c r="E168" i="8" s="1"/>
  <c r="S177" i="9"/>
  <c r="D168" i="7" s="1"/>
  <c r="I168" i="7" s="1"/>
  <c r="U177" i="9"/>
  <c r="J177" i="9"/>
  <c r="V177" i="9"/>
  <c r="H177" i="9"/>
  <c r="T177" i="9"/>
  <c r="M177" i="9"/>
  <c r="C171" i="7"/>
  <c r="AP171" i="7"/>
  <c r="AF164" i="8"/>
  <c r="BG164" i="8" s="1"/>
  <c r="BA163" i="7"/>
  <c r="AG163" i="7"/>
  <c r="BH163" i="7" s="1"/>
  <c r="AQ170" i="7"/>
  <c r="AR170" i="7"/>
  <c r="BN170" i="7" s="1"/>
  <c r="AR168" i="8"/>
  <c r="BN168" i="8" s="1"/>
  <c r="AQ168" i="8"/>
  <c r="BI165" i="8"/>
  <c r="AK165" i="8"/>
  <c r="BL163" i="7"/>
  <c r="AN163" i="7"/>
  <c r="BO163" i="7" s="1"/>
  <c r="C179" i="9"/>
  <c r="B178" i="9"/>
  <c r="AI165" i="8"/>
  <c r="AC165" i="8"/>
  <c r="BD165" i="8" s="1"/>
  <c r="AD165" i="8"/>
  <c r="BE165" i="8" s="1"/>
  <c r="AB165" i="8"/>
  <c r="L167" i="7"/>
  <c r="AE167" i="7" s="1"/>
  <c r="BF167" i="7" s="1"/>
  <c r="O167" i="7"/>
  <c r="BC165" i="7"/>
  <c r="AF165" i="7"/>
  <c r="BG165" i="7" s="1"/>
  <c r="C169" i="8"/>
  <c r="AP169" i="8"/>
  <c r="BI165" i="7"/>
  <c r="AK165" i="7"/>
  <c r="BI164" i="8"/>
  <c r="AK164" i="8"/>
  <c r="AJ164" i="8"/>
  <c r="BK164" i="8" s="1"/>
  <c r="A171" i="8"/>
  <c r="B170" i="8"/>
  <c r="L167" i="8"/>
  <c r="AE167" i="8" s="1"/>
  <c r="BF167" i="8" s="1"/>
  <c r="O167" i="8"/>
  <c r="BJ164" i="8"/>
  <c r="AL164" i="8"/>
  <c r="BM164" i="8" s="1"/>
  <c r="BL164" i="7"/>
  <c r="B172" i="7"/>
  <c r="A173" i="7"/>
  <c r="BJ164" i="7" l="1"/>
  <c r="AN164" i="7"/>
  <c r="BO164" i="7" s="1"/>
  <c r="AJ164" i="7"/>
  <c r="BK164" i="7" s="1"/>
  <c r="AJ165" i="7"/>
  <c r="BK165" i="7" s="1"/>
  <c r="BJ165" i="7"/>
  <c r="N167" i="8"/>
  <c r="AI167" i="8" s="1"/>
  <c r="AF164" i="7"/>
  <c r="BG164" i="7" s="1"/>
  <c r="J166" i="8"/>
  <c r="Z165" i="7"/>
  <c r="AG165" i="7" s="1"/>
  <c r="BH165" i="7" s="1"/>
  <c r="U166" i="7"/>
  <c r="AV166" i="7" s="1"/>
  <c r="X166" i="7"/>
  <c r="AY166" i="7" s="1"/>
  <c r="W166" i="7"/>
  <c r="AX166" i="7" s="1"/>
  <c r="AB166" i="7"/>
  <c r="BC166" i="7" s="1"/>
  <c r="J166" i="7"/>
  <c r="AB166" i="8"/>
  <c r="BC166" i="8" s="1"/>
  <c r="AD166" i="8"/>
  <c r="BE166" i="8" s="1"/>
  <c r="AC166" i="8"/>
  <c r="BD166" i="8" s="1"/>
  <c r="AD166" i="7"/>
  <c r="BE166" i="7" s="1"/>
  <c r="AC166" i="7"/>
  <c r="BD166" i="7" s="1"/>
  <c r="X166" i="8"/>
  <c r="AY166" i="8" s="1"/>
  <c r="W166" i="8"/>
  <c r="AX166" i="8" s="1"/>
  <c r="T167" i="7"/>
  <c r="AU167" i="7" s="1"/>
  <c r="S167" i="7"/>
  <c r="AT167" i="7" s="1"/>
  <c r="M167" i="7"/>
  <c r="U167" i="7" s="1"/>
  <c r="AV167" i="7" s="1"/>
  <c r="S167" i="8"/>
  <c r="AT167" i="8" s="1"/>
  <c r="U167" i="8"/>
  <c r="AV167" i="8" s="1"/>
  <c r="T167" i="8"/>
  <c r="AU167" i="8" s="1"/>
  <c r="K167" i="8"/>
  <c r="AA167" i="8" s="1"/>
  <c r="BB167" i="8" s="1"/>
  <c r="G168" i="8"/>
  <c r="K168" i="8" s="1"/>
  <c r="AA168" i="8" s="1"/>
  <c r="BB168" i="8" s="1"/>
  <c r="H167" i="7"/>
  <c r="N167" i="7" s="1"/>
  <c r="AI167" i="7" s="1"/>
  <c r="M167" i="8"/>
  <c r="AH167" i="8" s="1"/>
  <c r="Z165" i="8"/>
  <c r="BA165" i="8" s="1"/>
  <c r="O168" i="7"/>
  <c r="L168" i="7"/>
  <c r="AE168" i="7" s="1"/>
  <c r="BF168" i="7" s="1"/>
  <c r="BC165" i="8"/>
  <c r="AF165" i="8"/>
  <c r="BG165" i="8" s="1"/>
  <c r="J167" i="8"/>
  <c r="C180" i="9"/>
  <c r="B179" i="9"/>
  <c r="C172" i="7"/>
  <c r="AP172" i="7"/>
  <c r="A172" i="8"/>
  <c r="B171" i="8"/>
  <c r="R178" i="9"/>
  <c r="F178" i="9"/>
  <c r="X178" i="9"/>
  <c r="L178" i="9"/>
  <c r="O178" i="9"/>
  <c r="E169" i="8" s="1"/>
  <c r="K178" i="9"/>
  <c r="J178" i="9"/>
  <c r="D178" i="9"/>
  <c r="P178" i="9"/>
  <c r="Z178" i="9"/>
  <c r="U178" i="9"/>
  <c r="G178" i="9"/>
  <c r="S178" i="9"/>
  <c r="D169" i="7" s="1"/>
  <c r="I169" i="7" s="1"/>
  <c r="T178" i="9"/>
  <c r="V178" i="9"/>
  <c r="E178" i="9"/>
  <c r="N178" i="9"/>
  <c r="W178" i="9"/>
  <c r="Q178" i="9"/>
  <c r="AA178" i="9"/>
  <c r="H178" i="9"/>
  <c r="M178" i="9"/>
  <c r="Y178" i="9"/>
  <c r="D169" i="8" s="1"/>
  <c r="I169" i="8" s="1"/>
  <c r="I178" i="9"/>
  <c r="E169" i="7" s="1"/>
  <c r="AC167" i="8"/>
  <c r="BD167" i="8" s="1"/>
  <c r="C170" i="8"/>
  <c r="AP170" i="8"/>
  <c r="BJ165" i="8"/>
  <c r="AL165" i="8"/>
  <c r="BM165" i="8" s="1"/>
  <c r="BL165" i="8"/>
  <c r="G168" i="7"/>
  <c r="AK166" i="8"/>
  <c r="BI166" i="8"/>
  <c r="AJ166" i="8"/>
  <c r="BK166" i="8" s="1"/>
  <c r="AN165" i="7"/>
  <c r="BO165" i="7" s="1"/>
  <c r="BL165" i="7"/>
  <c r="BJ166" i="7"/>
  <c r="AL166" i="7"/>
  <c r="BM166" i="7" s="1"/>
  <c r="AK166" i="7"/>
  <c r="AJ166" i="7"/>
  <c r="BK166" i="7" s="1"/>
  <c r="BI166" i="7"/>
  <c r="BL164" i="8"/>
  <c r="AN164" i="8"/>
  <c r="BO164" i="8" s="1"/>
  <c r="AR171" i="7"/>
  <c r="BN171" i="7" s="1"/>
  <c r="AQ171" i="7"/>
  <c r="AG164" i="8"/>
  <c r="BH164" i="8" s="1"/>
  <c r="L168" i="8"/>
  <c r="AE168" i="8" s="1"/>
  <c r="BF168" i="8" s="1"/>
  <c r="O168" i="8"/>
  <c r="AR169" i="8"/>
  <c r="BN169" i="8" s="1"/>
  <c r="AQ169" i="8"/>
  <c r="AL166" i="8"/>
  <c r="BM166" i="8" s="1"/>
  <c r="BJ166" i="8"/>
  <c r="AJ165" i="8"/>
  <c r="BK165" i="8" s="1"/>
  <c r="A174" i="7"/>
  <c r="B173" i="7"/>
  <c r="AB167" i="8" l="1"/>
  <c r="BC167" i="8" s="1"/>
  <c r="AD167" i="8"/>
  <c r="BE167" i="8" s="1"/>
  <c r="BA165" i="7"/>
  <c r="AG164" i="7"/>
  <c r="BH164" i="7" s="1"/>
  <c r="Z166" i="7"/>
  <c r="BA166" i="7" s="1"/>
  <c r="AF166" i="8"/>
  <c r="BG166" i="8" s="1"/>
  <c r="H168" i="8"/>
  <c r="N168" i="8" s="1"/>
  <c r="AD168" i="8" s="1"/>
  <c r="BE168" i="8" s="1"/>
  <c r="AF166" i="7"/>
  <c r="BG166" i="7" s="1"/>
  <c r="Z166" i="8"/>
  <c r="W167" i="7"/>
  <c r="AX167" i="7" s="1"/>
  <c r="AH167" i="7"/>
  <c r="AJ167" i="7" s="1"/>
  <c r="BK167" i="7" s="1"/>
  <c r="X167" i="7"/>
  <c r="AY167" i="7" s="1"/>
  <c r="S168" i="8"/>
  <c r="AT168" i="8" s="1"/>
  <c r="M168" i="8"/>
  <c r="AH168" i="8" s="1"/>
  <c r="T168" i="8"/>
  <c r="AU168" i="8" s="1"/>
  <c r="U168" i="8"/>
  <c r="AV168" i="8" s="1"/>
  <c r="J167" i="7"/>
  <c r="W167" i="8"/>
  <c r="AX167" i="8" s="1"/>
  <c r="X167" i="8"/>
  <c r="AY167" i="8" s="1"/>
  <c r="AB167" i="7"/>
  <c r="BC167" i="7" s="1"/>
  <c r="AD167" i="7"/>
  <c r="BE167" i="7" s="1"/>
  <c r="AC167" i="7"/>
  <c r="BD167" i="7" s="1"/>
  <c r="AG165" i="8"/>
  <c r="BH165" i="8" s="1"/>
  <c r="AN165" i="8"/>
  <c r="BO165" i="8" s="1"/>
  <c r="G169" i="7"/>
  <c r="S169" i="7" s="1"/>
  <c r="AI168" i="8"/>
  <c r="C171" i="8"/>
  <c r="AP171" i="8"/>
  <c r="B180" i="9"/>
  <c r="C181" i="9"/>
  <c r="A173" i="8"/>
  <c r="B172" i="8"/>
  <c r="AR172" i="7"/>
  <c r="BN172" i="7" s="1"/>
  <c r="AQ172" i="7"/>
  <c r="AL167" i="7"/>
  <c r="BM167" i="7" s="1"/>
  <c r="BJ167" i="7"/>
  <c r="G169" i="8"/>
  <c r="AN166" i="8"/>
  <c r="BO166" i="8" s="1"/>
  <c r="BL166" i="8"/>
  <c r="AP173" i="7"/>
  <c r="C173" i="7"/>
  <c r="BL166" i="7"/>
  <c r="AN166" i="7"/>
  <c r="BO166" i="7" s="1"/>
  <c r="O169" i="8"/>
  <c r="L169" i="8"/>
  <c r="AE169" i="8" s="1"/>
  <c r="BF169" i="8" s="1"/>
  <c r="R179" i="9"/>
  <c r="F179" i="9"/>
  <c r="L179" i="9"/>
  <c r="X179" i="9"/>
  <c r="E179" i="9"/>
  <c r="J179" i="9"/>
  <c r="Z179" i="9"/>
  <c r="G179" i="9"/>
  <c r="Q179" i="9"/>
  <c r="Y179" i="9"/>
  <c r="D170" i="8" s="1"/>
  <c r="I170" i="8" s="1"/>
  <c r="S179" i="9"/>
  <c r="D170" i="7" s="1"/>
  <c r="I170" i="7" s="1"/>
  <c r="P179" i="9"/>
  <c r="D179" i="9"/>
  <c r="AA179" i="9"/>
  <c r="O179" i="9"/>
  <c r="E170" i="8" s="1"/>
  <c r="T179" i="9"/>
  <c r="M179" i="9"/>
  <c r="N179" i="9"/>
  <c r="H179" i="9"/>
  <c r="V179" i="9"/>
  <c r="W179" i="9"/>
  <c r="I179" i="9"/>
  <c r="E170" i="7" s="1"/>
  <c r="K179" i="9"/>
  <c r="U179" i="9"/>
  <c r="AF167" i="8"/>
  <c r="BG167" i="8" s="1"/>
  <c r="B174" i="7"/>
  <c r="A175" i="7"/>
  <c r="AR170" i="8"/>
  <c r="BN170" i="8" s="1"/>
  <c r="AQ170" i="8"/>
  <c r="M168" i="7"/>
  <c r="H168" i="7"/>
  <c r="N168" i="7" s="1"/>
  <c r="T168" i="7"/>
  <c r="AU168" i="7" s="1"/>
  <c r="S168" i="7"/>
  <c r="K168" i="7"/>
  <c r="AA168" i="7" s="1"/>
  <c r="AK167" i="8"/>
  <c r="AJ167" i="8"/>
  <c r="BK167" i="8" s="1"/>
  <c r="BI167" i="8"/>
  <c r="AL167" i="8"/>
  <c r="BM167" i="8" s="1"/>
  <c r="BJ167" i="8"/>
  <c r="O169" i="7"/>
  <c r="L169" i="7"/>
  <c r="AE169" i="7" s="1"/>
  <c r="BF169" i="7" s="1"/>
  <c r="AG166" i="7" l="1"/>
  <c r="BH166" i="7" s="1"/>
  <c r="J168" i="8"/>
  <c r="AC168" i="8"/>
  <c r="BD168" i="8" s="1"/>
  <c r="AG166" i="8"/>
  <c r="BH166" i="8" s="1"/>
  <c r="BA166" i="8"/>
  <c r="Z167" i="7"/>
  <c r="BA167" i="7" s="1"/>
  <c r="AB168" i="8"/>
  <c r="AF168" i="8" s="1"/>
  <c r="BG168" i="8" s="1"/>
  <c r="X168" i="8"/>
  <c r="AY168" i="8" s="1"/>
  <c r="W168" i="8"/>
  <c r="AX168" i="8" s="1"/>
  <c r="BI167" i="7"/>
  <c r="AK167" i="7"/>
  <c r="AN167" i="7" s="1"/>
  <c r="BO167" i="7" s="1"/>
  <c r="Z167" i="8"/>
  <c r="BA167" i="8" s="1"/>
  <c r="K169" i="7"/>
  <c r="AA169" i="7" s="1"/>
  <c r="BB169" i="7" s="1"/>
  <c r="AF167" i="7"/>
  <c r="BG167" i="7" s="1"/>
  <c r="H169" i="7"/>
  <c r="N169" i="7" s="1"/>
  <c r="M169" i="7"/>
  <c r="AH169" i="7" s="1"/>
  <c r="G170" i="7"/>
  <c r="K170" i="7" s="1"/>
  <c r="AA170" i="7" s="1"/>
  <c r="BB170" i="7" s="1"/>
  <c r="T169" i="7"/>
  <c r="AU169" i="7" s="1"/>
  <c r="J168" i="7"/>
  <c r="AP172" i="8"/>
  <c r="C172" i="8"/>
  <c r="AR171" i="8"/>
  <c r="BN171" i="8" s="1"/>
  <c r="AQ171" i="8"/>
  <c r="A174" i="8"/>
  <c r="B173" i="8"/>
  <c r="AH168" i="7"/>
  <c r="W168" i="7"/>
  <c r="AX168" i="7" s="1"/>
  <c r="X168" i="7"/>
  <c r="AY168" i="7" s="1"/>
  <c r="U168" i="7"/>
  <c r="AV168" i="7" s="1"/>
  <c r="AR173" i="7"/>
  <c r="BN173" i="7" s="1"/>
  <c r="AQ173" i="7"/>
  <c r="AP174" i="7"/>
  <c r="C174" i="7"/>
  <c r="BL167" i="8"/>
  <c r="AN167" i="8"/>
  <c r="BO167" i="8" s="1"/>
  <c r="BB168" i="7"/>
  <c r="B181" i="9"/>
  <c r="C182" i="9"/>
  <c r="A176" i="7"/>
  <c r="B175" i="7"/>
  <c r="M169" i="8"/>
  <c r="H169" i="8"/>
  <c r="N169" i="8" s="1"/>
  <c r="S169" i="8"/>
  <c r="U169" i="8"/>
  <c r="AV169" i="8" s="1"/>
  <c r="T169" i="8"/>
  <c r="AU169" i="8" s="1"/>
  <c r="K169" i="8"/>
  <c r="AA169" i="8" s="1"/>
  <c r="X180" i="9"/>
  <c r="L180" i="9"/>
  <c r="E180" i="9"/>
  <c r="D180" i="9"/>
  <c r="R180" i="9"/>
  <c r="F180" i="9"/>
  <c r="N180" i="9"/>
  <c r="P180" i="9"/>
  <c r="U180" i="9"/>
  <c r="S180" i="9"/>
  <c r="D171" i="7" s="1"/>
  <c r="I171" i="7" s="1"/>
  <c r="H180" i="9"/>
  <c r="Y180" i="9"/>
  <c r="D171" i="8" s="1"/>
  <c r="I171" i="8" s="1"/>
  <c r="K180" i="9"/>
  <c r="I180" i="9"/>
  <c r="E171" i="7" s="1"/>
  <c r="G180" i="9"/>
  <c r="J180" i="9"/>
  <c r="Q180" i="9"/>
  <c r="O180" i="9"/>
  <c r="E171" i="8" s="1"/>
  <c r="AA180" i="9"/>
  <c r="Z180" i="9"/>
  <c r="M180" i="9"/>
  <c r="T180" i="9"/>
  <c r="W180" i="9"/>
  <c r="V180" i="9"/>
  <c r="AL168" i="8"/>
  <c r="BM168" i="8" s="1"/>
  <c r="BJ168" i="8"/>
  <c r="O170" i="8"/>
  <c r="L170" i="8"/>
  <c r="AE170" i="8" s="1"/>
  <c r="BF170" i="8" s="1"/>
  <c r="G170" i="8"/>
  <c r="K170" i="8" s="1"/>
  <c r="AA170" i="8" s="1"/>
  <c r="AT169" i="7"/>
  <c r="AK168" i="8"/>
  <c r="AJ168" i="8"/>
  <c r="BK168" i="8" s="1"/>
  <c r="BI168" i="8"/>
  <c r="AT168" i="7"/>
  <c r="AI168" i="7"/>
  <c r="AC168" i="7"/>
  <c r="BD168" i="7" s="1"/>
  <c r="AD168" i="7"/>
  <c r="BE168" i="7" s="1"/>
  <c r="AB168" i="7"/>
  <c r="BC168" i="7" s="1"/>
  <c r="L170" i="7"/>
  <c r="AE170" i="7" s="1"/>
  <c r="BF170" i="7" s="1"/>
  <c r="O170" i="7"/>
  <c r="BL167" i="7" l="1"/>
  <c r="Z168" i="8"/>
  <c r="BA168" i="8" s="1"/>
  <c r="BC168" i="8"/>
  <c r="AG167" i="8"/>
  <c r="BH167" i="8" s="1"/>
  <c r="U169" i="7"/>
  <c r="AV169" i="7" s="1"/>
  <c r="X169" i="7"/>
  <c r="AY169" i="7" s="1"/>
  <c r="W169" i="7"/>
  <c r="AX169" i="7" s="1"/>
  <c r="H170" i="7"/>
  <c r="J170" i="7" s="1"/>
  <c r="AG167" i="7"/>
  <c r="BH167" i="7" s="1"/>
  <c r="AI169" i="7"/>
  <c r="AJ169" i="7" s="1"/>
  <c r="BK169" i="7" s="1"/>
  <c r="AD169" i="7"/>
  <c r="BE169" i="7" s="1"/>
  <c r="J169" i="7"/>
  <c r="G171" i="7"/>
  <c r="M171" i="7" s="1"/>
  <c r="AC169" i="7"/>
  <c r="BD169" i="7" s="1"/>
  <c r="T170" i="7"/>
  <c r="AU170" i="7" s="1"/>
  <c r="M170" i="7"/>
  <c r="X170" i="7" s="1"/>
  <c r="AY170" i="7" s="1"/>
  <c r="AB169" i="7"/>
  <c r="BC169" i="7" s="1"/>
  <c r="S170" i="7"/>
  <c r="AT170" i="7" s="1"/>
  <c r="BB170" i="8"/>
  <c r="C183" i="9"/>
  <c r="B182" i="9"/>
  <c r="X181" i="9"/>
  <c r="L181" i="9"/>
  <c r="F181" i="9"/>
  <c r="R181" i="9"/>
  <c r="O181" i="9"/>
  <c r="E172" i="8" s="1"/>
  <c r="M181" i="9"/>
  <c r="G181" i="9"/>
  <c r="K181" i="9"/>
  <c r="N181" i="9"/>
  <c r="D181" i="9"/>
  <c r="T181" i="9"/>
  <c r="J181" i="9"/>
  <c r="E181" i="9"/>
  <c r="S181" i="9"/>
  <c r="D172" i="7" s="1"/>
  <c r="I172" i="7" s="1"/>
  <c r="H181" i="9"/>
  <c r="Q181" i="9"/>
  <c r="V181" i="9"/>
  <c r="Z181" i="9"/>
  <c r="I181" i="9"/>
  <c r="E172" i="7" s="1"/>
  <c r="W181" i="9"/>
  <c r="Y181" i="9"/>
  <c r="D172" i="8" s="1"/>
  <c r="I172" i="8" s="1"/>
  <c r="P181" i="9"/>
  <c r="U181" i="9"/>
  <c r="AA181" i="9"/>
  <c r="BI168" i="7"/>
  <c r="AJ168" i="7"/>
  <c r="BK168" i="7" s="1"/>
  <c r="AK168" i="7"/>
  <c r="BJ168" i="7"/>
  <c r="AL168" i="7"/>
  <c r="BM168" i="7" s="1"/>
  <c r="C175" i="7"/>
  <c r="AP175" i="7"/>
  <c r="A177" i="7"/>
  <c r="B176" i="7"/>
  <c r="AR172" i="8"/>
  <c r="BN172" i="8" s="1"/>
  <c r="AQ172" i="8"/>
  <c r="O171" i="7"/>
  <c r="L171" i="7"/>
  <c r="AE171" i="7" s="1"/>
  <c r="BF171" i="7" s="1"/>
  <c r="AG168" i="8"/>
  <c r="BH168" i="8" s="1"/>
  <c r="O171" i="8"/>
  <c r="L171" i="8"/>
  <c r="AE171" i="8" s="1"/>
  <c r="BF171" i="8" s="1"/>
  <c r="AT169" i="8"/>
  <c r="AK169" i="7"/>
  <c r="BI169" i="7"/>
  <c r="Z168" i="7"/>
  <c r="AI169" i="8"/>
  <c r="AC169" i="8"/>
  <c r="BD169" i="8" s="1"/>
  <c r="AD169" i="8"/>
  <c r="BE169" i="8" s="1"/>
  <c r="AB169" i="8"/>
  <c r="BC169" i="8" s="1"/>
  <c r="AF168" i="7"/>
  <c r="BG168" i="7" s="1"/>
  <c r="C173" i="8"/>
  <c r="AP173" i="8"/>
  <c r="BB169" i="8"/>
  <c r="AR174" i="7"/>
  <c r="BN174" i="7" s="1"/>
  <c r="AQ174" i="7"/>
  <c r="A175" i="8"/>
  <c r="B174" i="8"/>
  <c r="G171" i="8"/>
  <c r="K171" i="8" s="1"/>
  <c r="AA171" i="8" s="1"/>
  <c r="J169" i="8"/>
  <c r="AN168" i="8"/>
  <c r="BO168" i="8" s="1"/>
  <c r="BL168" i="8"/>
  <c r="M170" i="8"/>
  <c r="H170" i="8"/>
  <c r="N170" i="8" s="1"/>
  <c r="S170" i="8"/>
  <c r="T170" i="8"/>
  <c r="AU170" i="8" s="1"/>
  <c r="U170" i="8"/>
  <c r="AV170" i="8" s="1"/>
  <c r="AH169" i="8"/>
  <c r="W169" i="8"/>
  <c r="AX169" i="8" s="1"/>
  <c r="X169" i="8"/>
  <c r="AY169" i="8" s="1"/>
  <c r="N170" i="7" l="1"/>
  <c r="AI170" i="7" s="1"/>
  <c r="BJ170" i="7" s="1"/>
  <c r="Z169" i="7"/>
  <c r="BA169" i="7" s="1"/>
  <c r="AL169" i="7"/>
  <c r="BM169" i="7" s="1"/>
  <c r="BJ169" i="7"/>
  <c r="W170" i="7"/>
  <c r="AX170" i="7" s="1"/>
  <c r="K171" i="7"/>
  <c r="AA171" i="7" s="1"/>
  <c r="BB171" i="7" s="1"/>
  <c r="AH170" i="7"/>
  <c r="AK170" i="7" s="1"/>
  <c r="T171" i="7"/>
  <c r="AU171" i="7" s="1"/>
  <c r="S171" i="7"/>
  <c r="AT171" i="7" s="1"/>
  <c r="U170" i="7"/>
  <c r="AV170" i="7" s="1"/>
  <c r="H171" i="7"/>
  <c r="N171" i="7" s="1"/>
  <c r="AI171" i="7" s="1"/>
  <c r="AF169" i="7"/>
  <c r="BG169" i="7" s="1"/>
  <c r="G172" i="7"/>
  <c r="M172" i="7" s="1"/>
  <c r="Z169" i="8"/>
  <c r="BA169" i="8" s="1"/>
  <c r="BB171" i="8"/>
  <c r="BL169" i="7"/>
  <c r="C184" i="9"/>
  <c r="B183" i="9"/>
  <c r="R182" i="9"/>
  <c r="F182" i="9"/>
  <c r="L182" i="9"/>
  <c r="X182" i="9"/>
  <c r="AA182" i="9"/>
  <c r="V182" i="9"/>
  <c r="Z182" i="9"/>
  <c r="J182" i="9"/>
  <c r="O182" i="9"/>
  <c r="E173" i="8" s="1"/>
  <c r="N182" i="9"/>
  <c r="Y182" i="9"/>
  <c r="D173" i="8" s="1"/>
  <c r="I173" i="8" s="1"/>
  <c r="D182" i="9"/>
  <c r="Q182" i="9"/>
  <c r="P182" i="9"/>
  <c r="H182" i="9"/>
  <c r="G182" i="9"/>
  <c r="T182" i="9"/>
  <c r="I182" i="9"/>
  <c r="E173" i="7" s="1"/>
  <c r="M182" i="9"/>
  <c r="K182" i="9"/>
  <c r="E182" i="9"/>
  <c r="U182" i="9"/>
  <c r="W182" i="9"/>
  <c r="S182" i="9"/>
  <c r="D173" i="7" s="1"/>
  <c r="I173" i="7" s="1"/>
  <c r="AG168" i="7"/>
  <c r="BH168" i="7" s="1"/>
  <c r="BA168" i="7"/>
  <c r="C174" i="8"/>
  <c r="AP174" i="8"/>
  <c r="AL169" i="8"/>
  <c r="BM169" i="8" s="1"/>
  <c r="BJ169" i="8"/>
  <c r="AI170" i="8"/>
  <c r="AC170" i="8"/>
  <c r="BD170" i="8" s="1"/>
  <c r="AD170" i="8"/>
  <c r="BE170" i="8" s="1"/>
  <c r="AB170" i="8"/>
  <c r="AF169" i="8"/>
  <c r="BG169" i="8" s="1"/>
  <c r="AT170" i="8"/>
  <c r="G172" i="8"/>
  <c r="AH170" i="8"/>
  <c r="W170" i="8"/>
  <c r="AX170" i="8" s="1"/>
  <c r="X170" i="8"/>
  <c r="AY170" i="8" s="1"/>
  <c r="AR173" i="8"/>
  <c r="BN173" i="8" s="1"/>
  <c r="AQ173" i="8"/>
  <c r="AH171" i="7"/>
  <c r="W171" i="7"/>
  <c r="AX171" i="7" s="1"/>
  <c r="X171" i="7"/>
  <c r="AY171" i="7" s="1"/>
  <c r="U171" i="7"/>
  <c r="AV171" i="7" s="1"/>
  <c r="H171" i="8"/>
  <c r="N171" i="8" s="1"/>
  <c r="M171" i="8"/>
  <c r="S171" i="8"/>
  <c r="T171" i="8"/>
  <c r="AU171" i="8" s="1"/>
  <c r="U171" i="8"/>
  <c r="AV171" i="8" s="1"/>
  <c r="AR175" i="7"/>
  <c r="BN175" i="7" s="1"/>
  <c r="AQ175" i="7"/>
  <c r="L172" i="8"/>
  <c r="AE172" i="8" s="1"/>
  <c r="BF172" i="8" s="1"/>
  <c r="O172" i="8"/>
  <c r="O172" i="7"/>
  <c r="L172" i="7"/>
  <c r="AE172" i="7" s="1"/>
  <c r="BF172" i="7" s="1"/>
  <c r="B177" i="7"/>
  <c r="A178" i="7"/>
  <c r="A176" i="8"/>
  <c r="B175" i="8"/>
  <c r="J170" i="8"/>
  <c r="AN168" i="7"/>
  <c r="BO168" i="7" s="1"/>
  <c r="BL168" i="7"/>
  <c r="BI169" i="8"/>
  <c r="AJ169" i="8"/>
  <c r="BK169" i="8" s="1"/>
  <c r="AK169" i="8"/>
  <c r="AP176" i="7"/>
  <c r="C176" i="7"/>
  <c r="AL170" i="7" l="1"/>
  <c r="BM170" i="7" s="1"/>
  <c r="AD170" i="7"/>
  <c r="BE170" i="7" s="1"/>
  <c r="AC170" i="7"/>
  <c r="BD170" i="7" s="1"/>
  <c r="AN169" i="7"/>
  <c r="BO169" i="7" s="1"/>
  <c r="AB170" i="7"/>
  <c r="BC170" i="7" s="1"/>
  <c r="BI170" i="7"/>
  <c r="AJ170" i="7"/>
  <c r="BK170" i="7" s="1"/>
  <c r="AG169" i="7"/>
  <c r="BH169" i="7" s="1"/>
  <c r="J171" i="7"/>
  <c r="AB171" i="7"/>
  <c r="BC171" i="7" s="1"/>
  <c r="K172" i="7"/>
  <c r="AA172" i="7" s="1"/>
  <c r="BB172" i="7" s="1"/>
  <c r="AD171" i="7"/>
  <c r="BE171" i="7" s="1"/>
  <c r="AC171" i="7"/>
  <c r="BD171" i="7" s="1"/>
  <c r="Z170" i="7"/>
  <c r="H172" i="7"/>
  <c r="N172" i="7" s="1"/>
  <c r="AI172" i="7" s="1"/>
  <c r="S172" i="7"/>
  <c r="AT172" i="7" s="1"/>
  <c r="T172" i="7"/>
  <c r="AU172" i="7" s="1"/>
  <c r="Z170" i="8"/>
  <c r="BA170" i="8" s="1"/>
  <c r="AG169" i="8"/>
  <c r="BH169" i="8" s="1"/>
  <c r="Z171" i="7"/>
  <c r="BA171" i="7" s="1"/>
  <c r="BI171" i="7"/>
  <c r="AJ171" i="7"/>
  <c r="BK171" i="7" s="1"/>
  <c r="AK171" i="7"/>
  <c r="R183" i="9"/>
  <c r="F183" i="9"/>
  <c r="L183" i="9"/>
  <c r="X183" i="9"/>
  <c r="T183" i="9"/>
  <c r="H183" i="9"/>
  <c r="G183" i="9"/>
  <c r="M183" i="9"/>
  <c r="Q183" i="9"/>
  <c r="E183" i="9"/>
  <c r="S183" i="9"/>
  <c r="D174" i="7" s="1"/>
  <c r="I174" i="7" s="1"/>
  <c r="Y183" i="9"/>
  <c r="D174" i="8" s="1"/>
  <c r="I174" i="8" s="1"/>
  <c r="Z183" i="9"/>
  <c r="P183" i="9"/>
  <c r="N183" i="9"/>
  <c r="K183" i="9"/>
  <c r="I183" i="9"/>
  <c r="E174" i="7" s="1"/>
  <c r="J183" i="9"/>
  <c r="O183" i="9"/>
  <c r="E174" i="8" s="1"/>
  <c r="V183" i="9"/>
  <c r="U183" i="9"/>
  <c r="D183" i="9"/>
  <c r="W183" i="9"/>
  <c r="AA183" i="9"/>
  <c r="L173" i="8"/>
  <c r="AE173" i="8" s="1"/>
  <c r="BF173" i="8" s="1"/>
  <c r="O173" i="8"/>
  <c r="B184" i="9"/>
  <c r="C185" i="9"/>
  <c r="AP175" i="8"/>
  <c r="C175" i="8"/>
  <c r="A177" i="8"/>
  <c r="B176" i="8"/>
  <c r="L173" i="7"/>
  <c r="AE173" i="7" s="1"/>
  <c r="BF173" i="7" s="1"/>
  <c r="O173" i="7"/>
  <c r="G173" i="8"/>
  <c r="K173" i="8" s="1"/>
  <c r="AA173" i="8" s="1"/>
  <c r="AR176" i="7"/>
  <c r="BN176" i="7" s="1"/>
  <c r="AQ176" i="7"/>
  <c r="AN169" i="8"/>
  <c r="BO169" i="8" s="1"/>
  <c r="BL169" i="8"/>
  <c r="J171" i="8"/>
  <c r="BJ171" i="7"/>
  <c r="AL171" i="7"/>
  <c r="BM171" i="7" s="1"/>
  <c r="BJ170" i="8"/>
  <c r="AL170" i="8"/>
  <c r="BM170" i="8" s="1"/>
  <c r="M172" i="8"/>
  <c r="H172" i="8"/>
  <c r="N172" i="8" s="1"/>
  <c r="S172" i="8"/>
  <c r="U172" i="8"/>
  <c r="AV172" i="8" s="1"/>
  <c r="T172" i="8"/>
  <c r="AU172" i="8" s="1"/>
  <c r="AT171" i="8"/>
  <c r="BL170" i="7"/>
  <c r="AP177" i="7"/>
  <c r="C177" i="7"/>
  <c r="K172" i="8"/>
  <c r="AA172" i="8" s="1"/>
  <c r="BC170" i="8"/>
  <c r="AF170" i="8"/>
  <c r="BG170" i="8" s="1"/>
  <c r="G173" i="7"/>
  <c r="B178" i="7"/>
  <c r="A179" i="7"/>
  <c r="AR174" i="8"/>
  <c r="BN174" i="8" s="1"/>
  <c r="AQ174" i="8"/>
  <c r="AH171" i="8"/>
  <c r="W171" i="8"/>
  <c r="AX171" i="8" s="1"/>
  <c r="X171" i="8"/>
  <c r="AY171" i="8" s="1"/>
  <c r="AI171" i="8"/>
  <c r="AC171" i="8"/>
  <c r="BD171" i="8" s="1"/>
  <c r="AD171" i="8"/>
  <c r="BE171" i="8" s="1"/>
  <c r="AB171" i="8"/>
  <c r="AK170" i="8"/>
  <c r="AJ170" i="8"/>
  <c r="BK170" i="8" s="1"/>
  <c r="BI170" i="8"/>
  <c r="AH172" i="7"/>
  <c r="W172" i="7"/>
  <c r="AX172" i="7" s="1"/>
  <c r="X172" i="7"/>
  <c r="AY172" i="7" s="1"/>
  <c r="U172" i="7"/>
  <c r="AV172" i="7" s="1"/>
  <c r="AN170" i="7" l="1"/>
  <c r="BO170" i="7" s="1"/>
  <c r="AF170" i="7"/>
  <c r="BG170" i="7" s="1"/>
  <c r="BA170" i="7"/>
  <c r="AB172" i="7"/>
  <c r="BC172" i="7" s="1"/>
  <c r="J172" i="7"/>
  <c r="AC172" i="7"/>
  <c r="BD172" i="7" s="1"/>
  <c r="AD172" i="7"/>
  <c r="BE172" i="7" s="1"/>
  <c r="AF171" i="7"/>
  <c r="BG171" i="7" s="1"/>
  <c r="G174" i="7"/>
  <c r="M174" i="7" s="1"/>
  <c r="G174" i="8"/>
  <c r="M174" i="8" s="1"/>
  <c r="Z171" i="8"/>
  <c r="BA171" i="8" s="1"/>
  <c r="AR177" i="7"/>
  <c r="BN177" i="7" s="1"/>
  <c r="AQ177" i="7"/>
  <c r="A178" i="8"/>
  <c r="B177" i="8"/>
  <c r="AP178" i="7"/>
  <c r="C178" i="7"/>
  <c r="B179" i="7"/>
  <c r="A180" i="7"/>
  <c r="BC171" i="8"/>
  <c r="AF171" i="8"/>
  <c r="BG171" i="8" s="1"/>
  <c r="M173" i="7"/>
  <c r="H173" i="7"/>
  <c r="N173" i="7" s="1"/>
  <c r="S173" i="7"/>
  <c r="T173" i="7"/>
  <c r="AU173" i="7" s="1"/>
  <c r="K173" i="7"/>
  <c r="AA173" i="7" s="1"/>
  <c r="X184" i="9"/>
  <c r="L184" i="9"/>
  <c r="R184" i="9"/>
  <c r="F184" i="9"/>
  <c r="P184" i="9"/>
  <c r="W184" i="9"/>
  <c r="Z184" i="9"/>
  <c r="D184" i="9"/>
  <c r="J184" i="9"/>
  <c r="Q184" i="9"/>
  <c r="V184" i="9"/>
  <c r="O184" i="9"/>
  <c r="E175" i="8" s="1"/>
  <c r="M184" i="9"/>
  <c r="N184" i="9"/>
  <c r="I184" i="9"/>
  <c r="E175" i="7" s="1"/>
  <c r="Y184" i="9"/>
  <c r="D175" i="8" s="1"/>
  <c r="I175" i="8" s="1"/>
  <c r="AA184" i="9"/>
  <c r="T184" i="9"/>
  <c r="G184" i="9"/>
  <c r="S184" i="9"/>
  <c r="D175" i="7" s="1"/>
  <c r="I175" i="7" s="1"/>
  <c r="E184" i="9"/>
  <c r="H184" i="9"/>
  <c r="U184" i="9"/>
  <c r="K184" i="9"/>
  <c r="BB173" i="8"/>
  <c r="BJ172" i="7"/>
  <c r="AL172" i="7"/>
  <c r="BM172" i="7" s="1"/>
  <c r="AT172" i="8"/>
  <c r="C186" i="9"/>
  <c r="B185" i="9"/>
  <c r="BB172" i="8"/>
  <c r="M173" i="8"/>
  <c r="H173" i="8"/>
  <c r="N173" i="8" s="1"/>
  <c r="S173" i="8"/>
  <c r="U173" i="8"/>
  <c r="AV173" i="8" s="1"/>
  <c r="T173" i="8"/>
  <c r="AU173" i="8" s="1"/>
  <c r="O174" i="8"/>
  <c r="L174" i="8"/>
  <c r="AE174" i="8" s="1"/>
  <c r="BF174" i="8" s="1"/>
  <c r="AN171" i="7"/>
  <c r="BO171" i="7" s="1"/>
  <c r="BL171" i="7"/>
  <c r="AI172" i="8"/>
  <c r="AC172" i="8"/>
  <c r="BD172" i="8" s="1"/>
  <c r="AD172" i="8"/>
  <c r="BE172" i="8" s="1"/>
  <c r="AB172" i="8"/>
  <c r="BC172" i="8" s="1"/>
  <c r="AL171" i="8"/>
  <c r="BM171" i="8" s="1"/>
  <c r="BJ171" i="8"/>
  <c r="AG170" i="8"/>
  <c r="BH170" i="8" s="1"/>
  <c r="O174" i="7"/>
  <c r="L174" i="7"/>
  <c r="AE174" i="7" s="1"/>
  <c r="BF174" i="7" s="1"/>
  <c r="AK172" i="7"/>
  <c r="AJ172" i="7"/>
  <c r="BK172" i="7" s="1"/>
  <c r="BI172" i="7"/>
  <c r="AR175" i="8"/>
  <c r="BN175" i="8" s="1"/>
  <c r="AQ175" i="8"/>
  <c r="J172" i="8"/>
  <c r="BL170" i="8"/>
  <c r="AN170" i="8"/>
  <c r="BO170" i="8" s="1"/>
  <c r="AH172" i="8"/>
  <c r="W172" i="8"/>
  <c r="AX172" i="8" s="1"/>
  <c r="X172" i="8"/>
  <c r="AY172" i="8" s="1"/>
  <c r="Z172" i="7"/>
  <c r="AK171" i="8"/>
  <c r="BI171" i="8"/>
  <c r="AJ171" i="8"/>
  <c r="BK171" i="8" s="1"/>
  <c r="C176" i="8"/>
  <c r="AP176" i="8"/>
  <c r="AG170" i="7" l="1"/>
  <c r="BH170" i="7" s="1"/>
  <c r="K174" i="7"/>
  <c r="AA174" i="7" s="1"/>
  <c r="BB174" i="7" s="1"/>
  <c r="AF172" i="7"/>
  <c r="BG172" i="7" s="1"/>
  <c r="T174" i="8"/>
  <c r="AU174" i="8" s="1"/>
  <c r="AG171" i="7"/>
  <c r="BH171" i="7" s="1"/>
  <c r="T174" i="7"/>
  <c r="AU174" i="7" s="1"/>
  <c r="U174" i="8"/>
  <c r="AV174" i="8" s="1"/>
  <c r="S174" i="7"/>
  <c r="AT174" i="7" s="1"/>
  <c r="H174" i="7"/>
  <c r="J174" i="7" s="1"/>
  <c r="H174" i="8"/>
  <c r="J174" i="8" s="1"/>
  <c r="K174" i="8"/>
  <c r="AA174" i="8" s="1"/>
  <c r="BB174" i="8" s="1"/>
  <c r="G175" i="8"/>
  <c r="U175" i="8" s="1"/>
  <c r="AV175" i="8" s="1"/>
  <c r="S174" i="8"/>
  <c r="AF172" i="8"/>
  <c r="BG172" i="8" s="1"/>
  <c r="Z172" i="8"/>
  <c r="BA172" i="8" s="1"/>
  <c r="AG171" i="8"/>
  <c r="BH171" i="8" s="1"/>
  <c r="BB173" i="7"/>
  <c r="AI173" i="7"/>
  <c r="AC173" i="7"/>
  <c r="BD173" i="7" s="1"/>
  <c r="AD173" i="7"/>
  <c r="BE173" i="7" s="1"/>
  <c r="AB173" i="7"/>
  <c r="BC173" i="7" s="1"/>
  <c r="B180" i="7"/>
  <c r="A181" i="7"/>
  <c r="AT173" i="7"/>
  <c r="J173" i="7"/>
  <c r="AP179" i="7"/>
  <c r="C179" i="7"/>
  <c r="AH173" i="7"/>
  <c r="W173" i="7"/>
  <c r="AX173" i="7" s="1"/>
  <c r="X173" i="7"/>
  <c r="AY173" i="7" s="1"/>
  <c r="U173" i="7"/>
  <c r="AV173" i="7" s="1"/>
  <c r="AL172" i="8"/>
  <c r="BM172" i="8" s="1"/>
  <c r="BJ172" i="8"/>
  <c r="AR178" i="7"/>
  <c r="BN178" i="7" s="1"/>
  <c r="AQ178" i="7"/>
  <c r="X185" i="9"/>
  <c r="L185" i="9"/>
  <c r="F185" i="9"/>
  <c r="R185" i="9"/>
  <c r="Y185" i="9"/>
  <c r="D176" i="8" s="1"/>
  <c r="I176" i="8" s="1"/>
  <c r="W185" i="9"/>
  <c r="P185" i="9"/>
  <c r="M185" i="9"/>
  <c r="Z185" i="9"/>
  <c r="S185" i="9"/>
  <c r="D176" i="7" s="1"/>
  <c r="I176" i="7" s="1"/>
  <c r="O185" i="9"/>
  <c r="E176" i="8" s="1"/>
  <c r="U185" i="9"/>
  <c r="AA185" i="9"/>
  <c r="I185" i="9"/>
  <c r="E176" i="7" s="1"/>
  <c r="D185" i="9"/>
  <c r="E185" i="9"/>
  <c r="J185" i="9"/>
  <c r="V185" i="9"/>
  <c r="K185" i="9"/>
  <c r="Q185" i="9"/>
  <c r="N185" i="9"/>
  <c r="G185" i="9"/>
  <c r="H185" i="9"/>
  <c r="T185" i="9"/>
  <c r="C187" i="9"/>
  <c r="B186" i="9"/>
  <c r="L175" i="8"/>
  <c r="AE175" i="8" s="1"/>
  <c r="BF175" i="8" s="1"/>
  <c r="O175" i="8"/>
  <c r="AP177" i="8"/>
  <c r="C177" i="8"/>
  <c r="AH173" i="8"/>
  <c r="W173" i="8"/>
  <c r="AX173" i="8" s="1"/>
  <c r="X173" i="8"/>
  <c r="AY173" i="8" s="1"/>
  <c r="AR176" i="8"/>
  <c r="BN176" i="8" s="1"/>
  <c r="AQ176" i="8"/>
  <c r="AH174" i="7"/>
  <c r="W174" i="7"/>
  <c r="AX174" i="7" s="1"/>
  <c r="X174" i="7"/>
  <c r="AY174" i="7" s="1"/>
  <c r="U174" i="7"/>
  <c r="AV174" i="7" s="1"/>
  <c r="AN171" i="8"/>
  <c r="BO171" i="8" s="1"/>
  <c r="BL171" i="8"/>
  <c r="BA172" i="7"/>
  <c r="G175" i="7"/>
  <c r="A179" i="8"/>
  <c r="B178" i="8"/>
  <c r="AT173" i="8"/>
  <c r="AH174" i="8"/>
  <c r="W174" i="8"/>
  <c r="AX174" i="8" s="1"/>
  <c r="X174" i="8"/>
  <c r="AY174" i="8" s="1"/>
  <c r="O175" i="7"/>
  <c r="L175" i="7"/>
  <c r="AE175" i="7" s="1"/>
  <c r="BF175" i="7" s="1"/>
  <c r="BL172" i="7"/>
  <c r="AN172" i="7"/>
  <c r="BO172" i="7" s="1"/>
  <c r="AI173" i="8"/>
  <c r="AC173" i="8"/>
  <c r="BD173" i="8" s="1"/>
  <c r="AD173" i="8"/>
  <c r="BE173" i="8" s="1"/>
  <c r="AB173" i="8"/>
  <c r="AK172" i="8"/>
  <c r="AJ172" i="8"/>
  <c r="BK172" i="8" s="1"/>
  <c r="BI172" i="8"/>
  <c r="J173" i="8"/>
  <c r="AG172" i="7" l="1"/>
  <c r="BH172" i="7" s="1"/>
  <c r="H175" i="8"/>
  <c r="N175" i="8" s="1"/>
  <c r="AC175" i="8" s="1"/>
  <c r="BD175" i="8" s="1"/>
  <c r="M175" i="8"/>
  <c r="AH175" i="8" s="1"/>
  <c r="Z174" i="8"/>
  <c r="BA174" i="8" s="1"/>
  <c r="AT174" i="8"/>
  <c r="N174" i="7"/>
  <c r="AI174" i="7" s="1"/>
  <c r="AJ174" i="7" s="1"/>
  <c r="BK174" i="7" s="1"/>
  <c r="K175" i="8"/>
  <c r="AA175" i="8" s="1"/>
  <c r="BB175" i="8" s="1"/>
  <c r="N174" i="8"/>
  <c r="AI174" i="8" s="1"/>
  <c r="AL174" i="8" s="1"/>
  <c r="BM174" i="8" s="1"/>
  <c r="S175" i="8"/>
  <c r="AT175" i="8" s="1"/>
  <c r="T175" i="8"/>
  <c r="AU175" i="8" s="1"/>
  <c r="G176" i="8"/>
  <c r="K176" i="8" s="1"/>
  <c r="AA176" i="8" s="1"/>
  <c r="BB176" i="8" s="1"/>
  <c r="AG172" i="8"/>
  <c r="BH172" i="8" s="1"/>
  <c r="Z174" i="7"/>
  <c r="BA174" i="7" s="1"/>
  <c r="Z173" i="7"/>
  <c r="BA173" i="7" s="1"/>
  <c r="L176" i="8"/>
  <c r="AE176" i="8" s="1"/>
  <c r="BF176" i="8" s="1"/>
  <c r="O176" i="8"/>
  <c r="BI173" i="7"/>
  <c r="AK173" i="7"/>
  <c r="AJ173" i="7"/>
  <c r="BK173" i="7" s="1"/>
  <c r="O176" i="7"/>
  <c r="L176" i="7"/>
  <c r="AE176" i="7" s="1"/>
  <c r="BF176" i="7" s="1"/>
  <c r="BC173" i="8"/>
  <c r="AF173" i="8"/>
  <c r="BG173" i="8" s="1"/>
  <c r="AI175" i="8"/>
  <c r="BJ173" i="7"/>
  <c r="AL173" i="7"/>
  <c r="BM173" i="7" s="1"/>
  <c r="AQ179" i="7"/>
  <c r="AR179" i="7"/>
  <c r="BN179" i="7" s="1"/>
  <c r="J175" i="8"/>
  <c r="AQ177" i="8"/>
  <c r="AR177" i="8"/>
  <c r="BN177" i="8" s="1"/>
  <c r="G176" i="7"/>
  <c r="K176" i="7" s="1"/>
  <c r="AA176" i="7" s="1"/>
  <c r="A180" i="8"/>
  <c r="B179" i="8"/>
  <c r="M175" i="7"/>
  <c r="H175" i="7"/>
  <c r="N175" i="7" s="1"/>
  <c r="S175" i="7"/>
  <c r="T175" i="7"/>
  <c r="AU175" i="7" s="1"/>
  <c r="K175" i="7"/>
  <c r="AA175" i="7" s="1"/>
  <c r="AK174" i="8"/>
  <c r="BI174" i="8"/>
  <c r="BJ173" i="8"/>
  <c r="AL173" i="8"/>
  <c r="BM173" i="8" s="1"/>
  <c r="Z173" i="8"/>
  <c r="R186" i="9"/>
  <c r="F186" i="9"/>
  <c r="X186" i="9"/>
  <c r="L186" i="9"/>
  <c r="N186" i="9"/>
  <c r="P186" i="9"/>
  <c r="O186" i="9"/>
  <c r="E177" i="8" s="1"/>
  <c r="D186" i="9"/>
  <c r="U186" i="9"/>
  <c r="G186" i="9"/>
  <c r="S186" i="9"/>
  <c r="D177" i="7" s="1"/>
  <c r="I177" i="7" s="1"/>
  <c r="AA186" i="9"/>
  <c r="T186" i="9"/>
  <c r="J186" i="9"/>
  <c r="E186" i="9"/>
  <c r="K186" i="9"/>
  <c r="Z186" i="9"/>
  <c r="I186" i="9"/>
  <c r="E177" i="7" s="1"/>
  <c r="V186" i="9"/>
  <c r="W186" i="9"/>
  <c r="M186" i="9"/>
  <c r="Y186" i="9"/>
  <c r="D177" i="8" s="1"/>
  <c r="I177" i="8" s="1"/>
  <c r="H186" i="9"/>
  <c r="Q186" i="9"/>
  <c r="C188" i="9"/>
  <c r="B187" i="9"/>
  <c r="B181" i="7"/>
  <c r="A182" i="7"/>
  <c r="AF173" i="7"/>
  <c r="BG173" i="7" s="1"/>
  <c r="AK173" i="8"/>
  <c r="AJ173" i="8"/>
  <c r="BK173" i="8" s="1"/>
  <c r="BI173" i="8"/>
  <c r="AN172" i="8"/>
  <c r="BO172" i="8" s="1"/>
  <c r="BL172" i="8"/>
  <c r="C178" i="8"/>
  <c r="AP178" i="8"/>
  <c r="BI174" i="7"/>
  <c r="AK174" i="7"/>
  <c r="C180" i="7"/>
  <c r="AP180" i="7"/>
  <c r="AC174" i="8" l="1"/>
  <c r="BD174" i="8" s="1"/>
  <c r="AD174" i="8"/>
  <c r="BE174" i="8" s="1"/>
  <c r="AB175" i="8"/>
  <c r="BC175" i="8" s="1"/>
  <c r="AD175" i="8"/>
  <c r="BE175" i="8" s="1"/>
  <c r="X175" i="8"/>
  <c r="AY175" i="8" s="1"/>
  <c r="W175" i="8"/>
  <c r="AX175" i="8" s="1"/>
  <c r="AB174" i="7"/>
  <c r="BC174" i="7" s="1"/>
  <c r="AD174" i="7"/>
  <c r="BE174" i="7" s="1"/>
  <c r="AC174" i="7"/>
  <c r="BD174" i="7" s="1"/>
  <c r="AJ174" i="8"/>
  <c r="BK174" i="8" s="1"/>
  <c r="AB174" i="8"/>
  <c r="BC174" i="8" s="1"/>
  <c r="T176" i="8"/>
  <c r="AU176" i="8" s="1"/>
  <c r="U176" i="8"/>
  <c r="AV176" i="8" s="1"/>
  <c r="S176" i="8"/>
  <c r="AT176" i="8" s="1"/>
  <c r="H176" i="8"/>
  <c r="N176" i="8" s="1"/>
  <c r="AI176" i="8" s="1"/>
  <c r="BJ174" i="8"/>
  <c r="M176" i="8"/>
  <c r="X176" i="8" s="1"/>
  <c r="AY176" i="8" s="1"/>
  <c r="G177" i="7"/>
  <c r="K177" i="7" s="1"/>
  <c r="AA177" i="7" s="1"/>
  <c r="G177" i="8"/>
  <c r="S177" i="8" s="1"/>
  <c r="BB176" i="7"/>
  <c r="BL173" i="8"/>
  <c r="AN173" i="8"/>
  <c r="BO173" i="8" s="1"/>
  <c r="AL175" i="8"/>
  <c r="BM175" i="8" s="1"/>
  <c r="BJ175" i="8"/>
  <c r="AG173" i="7"/>
  <c r="BH173" i="7" s="1"/>
  <c r="AN174" i="8"/>
  <c r="BO174" i="8" s="1"/>
  <c r="BL174" i="8"/>
  <c r="BL174" i="7"/>
  <c r="AI175" i="7"/>
  <c r="AC175" i="7"/>
  <c r="BD175" i="7" s="1"/>
  <c r="AD175" i="7"/>
  <c r="BE175" i="7" s="1"/>
  <c r="AB175" i="7"/>
  <c r="BC175" i="7" s="1"/>
  <c r="B182" i="7"/>
  <c r="A183" i="7"/>
  <c r="AP181" i="7"/>
  <c r="C181" i="7"/>
  <c r="B188" i="9"/>
  <c r="C189" i="9"/>
  <c r="AT175" i="7"/>
  <c r="AH175" i="7"/>
  <c r="W175" i="7"/>
  <c r="AX175" i="7" s="1"/>
  <c r="X175" i="7"/>
  <c r="AY175" i="7" s="1"/>
  <c r="U175" i="7"/>
  <c r="AV175" i="7" s="1"/>
  <c r="AR178" i="8"/>
  <c r="BN178" i="8" s="1"/>
  <c r="AQ178" i="8"/>
  <c r="AQ180" i="7"/>
  <c r="AR180" i="7"/>
  <c r="BN180" i="7" s="1"/>
  <c r="O177" i="7"/>
  <c r="L177" i="7"/>
  <c r="AE177" i="7" s="1"/>
  <c r="BF177" i="7" s="1"/>
  <c r="AP179" i="8"/>
  <c r="C179" i="8"/>
  <c r="AL174" i="7"/>
  <c r="BM174" i="7" s="1"/>
  <c r="BJ174" i="7"/>
  <c r="BB175" i="7"/>
  <c r="AK175" i="8"/>
  <c r="AJ175" i="8"/>
  <c r="BK175" i="8" s="1"/>
  <c r="BI175" i="8"/>
  <c r="M176" i="7"/>
  <c r="H176" i="7"/>
  <c r="N176" i="7" s="1"/>
  <c r="S176" i="7"/>
  <c r="T176" i="7"/>
  <c r="AU176" i="7" s="1"/>
  <c r="R187" i="9"/>
  <c r="F187" i="9"/>
  <c r="X187" i="9"/>
  <c r="L187" i="9"/>
  <c r="M187" i="9"/>
  <c r="V187" i="9"/>
  <c r="I187" i="9"/>
  <c r="E178" i="7" s="1"/>
  <c r="W187" i="9"/>
  <c r="N187" i="9"/>
  <c r="Y187" i="9"/>
  <c r="D178" i="8" s="1"/>
  <c r="I178" i="8" s="1"/>
  <c r="D187" i="9"/>
  <c r="K187" i="9"/>
  <c r="AA187" i="9"/>
  <c r="T187" i="9"/>
  <c r="J187" i="9"/>
  <c r="H187" i="9"/>
  <c r="G187" i="9"/>
  <c r="E187" i="9"/>
  <c r="P187" i="9"/>
  <c r="Q187" i="9"/>
  <c r="S187" i="9"/>
  <c r="D178" i="7" s="1"/>
  <c r="I178" i="7" s="1"/>
  <c r="U187" i="9"/>
  <c r="Z187" i="9"/>
  <c r="O187" i="9"/>
  <c r="E178" i="8" s="1"/>
  <c r="J175" i="7"/>
  <c r="O177" i="8"/>
  <c r="L177" i="8"/>
  <c r="AE177" i="8" s="1"/>
  <c r="BF177" i="8" s="1"/>
  <c r="A181" i="8"/>
  <c r="B180" i="8"/>
  <c r="AN173" i="7"/>
  <c r="BO173" i="7" s="1"/>
  <c r="BL173" i="7"/>
  <c r="AG173" i="8"/>
  <c r="BH173" i="8" s="1"/>
  <c r="BA173" i="8"/>
  <c r="AF175" i="8" l="1"/>
  <c r="BG175" i="8" s="1"/>
  <c r="AF174" i="7"/>
  <c r="Z175" i="8"/>
  <c r="AF174" i="8"/>
  <c r="BG174" i="8" s="1"/>
  <c r="AB176" i="8"/>
  <c r="BC176" i="8" s="1"/>
  <c r="AD176" i="8"/>
  <c r="BE176" i="8" s="1"/>
  <c r="AC176" i="8"/>
  <c r="BD176" i="8" s="1"/>
  <c r="T177" i="7"/>
  <c r="AU177" i="7" s="1"/>
  <c r="H177" i="8"/>
  <c r="N177" i="8" s="1"/>
  <c r="AI177" i="8" s="1"/>
  <c r="AH176" i="8"/>
  <c r="AK176" i="8" s="1"/>
  <c r="J176" i="8"/>
  <c r="M177" i="7"/>
  <c r="U177" i="7" s="1"/>
  <c r="AV177" i="7" s="1"/>
  <c r="H177" i="7"/>
  <c r="N177" i="7" s="1"/>
  <c r="W176" i="8"/>
  <c r="AX176" i="8" s="1"/>
  <c r="K177" i="8"/>
  <c r="AA177" i="8" s="1"/>
  <c r="BB177" i="8" s="1"/>
  <c r="M177" i="8"/>
  <c r="AH177" i="8" s="1"/>
  <c r="S177" i="7"/>
  <c r="AT177" i="7" s="1"/>
  <c r="T177" i="8"/>
  <c r="AU177" i="8" s="1"/>
  <c r="U177" i="8"/>
  <c r="AV177" i="8" s="1"/>
  <c r="G178" i="8"/>
  <c r="K178" i="8" s="1"/>
  <c r="AA178" i="8" s="1"/>
  <c r="BB178" i="8" s="1"/>
  <c r="Z175" i="7"/>
  <c r="BA175" i="7" s="1"/>
  <c r="X188" i="9"/>
  <c r="L188" i="9"/>
  <c r="R188" i="9"/>
  <c r="F188" i="9"/>
  <c r="P188" i="9"/>
  <c r="M188" i="9"/>
  <c r="Z188" i="9"/>
  <c r="Q188" i="9"/>
  <c r="Y188" i="9"/>
  <c r="D179" i="8" s="1"/>
  <c r="I179" i="8" s="1"/>
  <c r="U188" i="9"/>
  <c r="O188" i="9"/>
  <c r="E179" i="8" s="1"/>
  <c r="T188" i="9"/>
  <c r="H188" i="9"/>
  <c r="K188" i="9"/>
  <c r="D188" i="9"/>
  <c r="E188" i="9"/>
  <c r="AA188" i="9"/>
  <c r="J188" i="9"/>
  <c r="G188" i="9"/>
  <c r="I188" i="9"/>
  <c r="E179" i="7" s="1"/>
  <c r="W188" i="9"/>
  <c r="S188" i="9"/>
  <c r="D179" i="7" s="1"/>
  <c r="I179" i="7" s="1"/>
  <c r="V188" i="9"/>
  <c r="N188" i="9"/>
  <c r="AT176" i="7"/>
  <c r="AI176" i="7"/>
  <c r="AC176" i="7"/>
  <c r="BD176" i="7" s="1"/>
  <c r="AD176" i="7"/>
  <c r="BE176" i="7" s="1"/>
  <c r="AB176" i="7"/>
  <c r="AP182" i="7"/>
  <c r="C182" i="7"/>
  <c r="L178" i="7"/>
  <c r="AE178" i="7" s="1"/>
  <c r="BF178" i="7" s="1"/>
  <c r="O178" i="7"/>
  <c r="AR179" i="8"/>
  <c r="BN179" i="8" s="1"/>
  <c r="AQ179" i="8"/>
  <c r="G178" i="7"/>
  <c r="AP180" i="8"/>
  <c r="C180" i="8"/>
  <c r="BA175" i="8"/>
  <c r="AN175" i="8"/>
  <c r="BO175" i="8" s="1"/>
  <c r="BL175" i="8"/>
  <c r="O178" i="8"/>
  <c r="L178" i="8"/>
  <c r="AE178" i="8" s="1"/>
  <c r="BF178" i="8" s="1"/>
  <c r="B183" i="7"/>
  <c r="A184" i="7"/>
  <c r="BB177" i="7"/>
  <c r="BG174" i="7"/>
  <c r="AG174" i="7"/>
  <c r="BH174" i="7" s="1"/>
  <c r="BJ175" i="7"/>
  <c r="AL175" i="7"/>
  <c r="BM175" i="7" s="1"/>
  <c r="AQ181" i="7"/>
  <c r="AR181" i="7"/>
  <c r="BN181" i="7" s="1"/>
  <c r="B181" i="8"/>
  <c r="A182" i="8"/>
  <c r="AT177" i="8"/>
  <c r="J176" i="7"/>
  <c r="AH176" i="7"/>
  <c r="W176" i="7"/>
  <c r="AX176" i="7" s="1"/>
  <c r="X176" i="7"/>
  <c r="AY176" i="7" s="1"/>
  <c r="U176" i="7"/>
  <c r="AV176" i="7" s="1"/>
  <c r="BJ176" i="8"/>
  <c r="AL176" i="8"/>
  <c r="BM176" i="8" s="1"/>
  <c r="AF175" i="7"/>
  <c r="BG175" i="7" s="1"/>
  <c r="AJ175" i="7"/>
  <c r="BK175" i="7" s="1"/>
  <c r="AK175" i="7"/>
  <c r="BI175" i="7"/>
  <c r="B189" i="9"/>
  <c r="C190" i="9"/>
  <c r="AN174" i="7"/>
  <c r="BO174" i="7" s="1"/>
  <c r="AG175" i="8" l="1"/>
  <c r="BH175" i="8" s="1"/>
  <c r="AF176" i="8"/>
  <c r="BG176" i="8" s="1"/>
  <c r="AB177" i="8"/>
  <c r="BC177" i="8" s="1"/>
  <c r="AD177" i="8"/>
  <c r="BE177" i="8" s="1"/>
  <c r="AC177" i="8"/>
  <c r="BD177" i="8" s="1"/>
  <c r="AG174" i="8"/>
  <c r="BH174" i="8" s="1"/>
  <c r="H178" i="8"/>
  <c r="N178" i="8" s="1"/>
  <c r="AI178" i="8" s="1"/>
  <c r="M178" i="8"/>
  <c r="W178" i="8" s="1"/>
  <c r="AX178" i="8" s="1"/>
  <c r="BI176" i="8"/>
  <c r="AJ176" i="8"/>
  <c r="BK176" i="8" s="1"/>
  <c r="W177" i="7"/>
  <c r="AX177" i="7" s="1"/>
  <c r="X177" i="7"/>
  <c r="AY177" i="7" s="1"/>
  <c r="J177" i="8"/>
  <c r="AH177" i="7"/>
  <c r="BI177" i="7" s="1"/>
  <c r="S178" i="8"/>
  <c r="AT178" i="8" s="1"/>
  <c r="J177" i="7"/>
  <c r="X177" i="8"/>
  <c r="AY177" i="8" s="1"/>
  <c r="W177" i="8"/>
  <c r="AX177" i="8" s="1"/>
  <c r="Z176" i="8"/>
  <c r="BA176" i="8" s="1"/>
  <c r="T178" i="8"/>
  <c r="AU178" i="8" s="1"/>
  <c r="U178" i="8"/>
  <c r="AV178" i="8" s="1"/>
  <c r="G179" i="7"/>
  <c r="S179" i="7" s="1"/>
  <c r="G179" i="8"/>
  <c r="K179" i="8" s="1"/>
  <c r="AA179" i="8" s="1"/>
  <c r="BB179" i="8" s="1"/>
  <c r="C191" i="9"/>
  <c r="B190" i="9"/>
  <c r="Z176" i="7"/>
  <c r="BI176" i="7"/>
  <c r="AJ176" i="7"/>
  <c r="BK176" i="7" s="1"/>
  <c r="AK176" i="7"/>
  <c r="X189" i="9"/>
  <c r="L189" i="9"/>
  <c r="R189" i="9"/>
  <c r="F189" i="9"/>
  <c r="P189" i="9"/>
  <c r="J189" i="9"/>
  <c r="W189" i="9"/>
  <c r="Z189" i="9"/>
  <c r="H189" i="9"/>
  <c r="E189" i="9"/>
  <c r="Q189" i="9"/>
  <c r="O189" i="9"/>
  <c r="E180" i="8" s="1"/>
  <c r="U189" i="9"/>
  <c r="AA189" i="9"/>
  <c r="K189" i="9"/>
  <c r="V189" i="9"/>
  <c r="M189" i="9"/>
  <c r="Y189" i="9"/>
  <c r="D180" i="8" s="1"/>
  <c r="I180" i="8" s="1"/>
  <c r="D189" i="9"/>
  <c r="I189" i="9"/>
  <c r="E180" i="7" s="1"/>
  <c r="N189" i="9"/>
  <c r="G189" i="9"/>
  <c r="S189" i="9"/>
  <c r="D180" i="7" s="1"/>
  <c r="I180" i="7" s="1"/>
  <c r="T189" i="9"/>
  <c r="AQ182" i="7"/>
  <c r="AR182" i="7"/>
  <c r="BN182" i="7" s="1"/>
  <c r="AL177" i="8"/>
  <c r="BM177" i="8" s="1"/>
  <c r="BJ177" i="8"/>
  <c r="AR180" i="8"/>
  <c r="BN180" i="8" s="1"/>
  <c r="AQ180" i="8"/>
  <c r="B182" i="8"/>
  <c r="A183" i="8"/>
  <c r="AI177" i="7"/>
  <c r="AC177" i="7"/>
  <c r="BD177" i="7" s="1"/>
  <c r="AD177" i="7"/>
  <c r="BE177" i="7" s="1"/>
  <c r="AB177" i="7"/>
  <c r="BC176" i="7"/>
  <c r="AF176" i="7"/>
  <c r="BG176" i="7" s="1"/>
  <c r="AG175" i="7"/>
  <c r="BH175" i="7" s="1"/>
  <c r="BL175" i="7"/>
  <c r="AN175" i="7"/>
  <c r="BO175" i="7" s="1"/>
  <c r="H178" i="7"/>
  <c r="N178" i="7" s="1"/>
  <c r="M178" i="7"/>
  <c r="S178" i="7"/>
  <c r="T178" i="7"/>
  <c r="AU178" i="7" s="1"/>
  <c r="K178" i="7"/>
  <c r="AA178" i="7" s="1"/>
  <c r="AJ177" i="8"/>
  <c r="BK177" i="8" s="1"/>
  <c r="BI177" i="8"/>
  <c r="AK177" i="8"/>
  <c r="O179" i="7"/>
  <c r="L179" i="7"/>
  <c r="AE179" i="7" s="1"/>
  <c r="BF179" i="7" s="1"/>
  <c r="A185" i="7"/>
  <c r="B184" i="7"/>
  <c r="C183" i="7"/>
  <c r="AP183" i="7"/>
  <c r="AP181" i="8"/>
  <c r="C181" i="8"/>
  <c r="BL176" i="8"/>
  <c r="AN176" i="8"/>
  <c r="BO176" i="8" s="1"/>
  <c r="BJ176" i="7"/>
  <c r="AL176" i="7"/>
  <c r="BM176" i="7" s="1"/>
  <c r="O179" i="8"/>
  <c r="L179" i="8"/>
  <c r="AE179" i="8" s="1"/>
  <c r="BF179" i="8" s="1"/>
  <c r="AF177" i="8" l="1"/>
  <c r="BG177" i="8" s="1"/>
  <c r="J178" i="8"/>
  <c r="AB178" i="8"/>
  <c r="BC178" i="8" s="1"/>
  <c r="AD178" i="8"/>
  <c r="BE178" i="8" s="1"/>
  <c r="AC178" i="8"/>
  <c r="BD178" i="8" s="1"/>
  <c r="AH178" i="8"/>
  <c r="AK178" i="8" s="1"/>
  <c r="X178" i="8"/>
  <c r="AY178" i="8" s="1"/>
  <c r="AK177" i="7"/>
  <c r="BL177" i="7" s="1"/>
  <c r="Z177" i="8"/>
  <c r="BA177" i="8" s="1"/>
  <c r="AJ177" i="7"/>
  <c r="BK177" i="7" s="1"/>
  <c r="Z177" i="7"/>
  <c r="BA177" i="7" s="1"/>
  <c r="M179" i="7"/>
  <c r="U179" i="7" s="1"/>
  <c r="AV179" i="7" s="1"/>
  <c r="AG176" i="8"/>
  <c r="BH176" i="8" s="1"/>
  <c r="K179" i="7"/>
  <c r="AA179" i="7" s="1"/>
  <c r="BB179" i="7" s="1"/>
  <c r="T179" i="8"/>
  <c r="AU179" i="8" s="1"/>
  <c r="H179" i="7"/>
  <c r="N179" i="7" s="1"/>
  <c r="AD179" i="7" s="1"/>
  <c r="BE179" i="7" s="1"/>
  <c r="U179" i="8"/>
  <c r="AV179" i="8" s="1"/>
  <c r="H179" i="8"/>
  <c r="N179" i="8" s="1"/>
  <c r="AI179" i="8" s="1"/>
  <c r="M179" i="8"/>
  <c r="W179" i="8" s="1"/>
  <c r="AX179" i="8" s="1"/>
  <c r="T179" i="7"/>
  <c r="AU179" i="7" s="1"/>
  <c r="S179" i="8"/>
  <c r="AT179" i="8" s="1"/>
  <c r="J178" i="7"/>
  <c r="BC177" i="7"/>
  <c r="AF177" i="7"/>
  <c r="BG177" i="7" s="1"/>
  <c r="AR181" i="8"/>
  <c r="BN181" i="8" s="1"/>
  <c r="AQ181" i="8"/>
  <c r="BJ177" i="7"/>
  <c r="AL177" i="7"/>
  <c r="BM177" i="7" s="1"/>
  <c r="AT178" i="7"/>
  <c r="G180" i="8"/>
  <c r="BL176" i="7"/>
  <c r="AN176" i="7"/>
  <c r="BO176" i="7" s="1"/>
  <c r="AH178" i="7"/>
  <c r="W178" i="7"/>
  <c r="AX178" i="7" s="1"/>
  <c r="X178" i="7"/>
  <c r="AY178" i="7" s="1"/>
  <c r="U178" i="7"/>
  <c r="AV178" i="7" s="1"/>
  <c r="O180" i="7"/>
  <c r="L180" i="7"/>
  <c r="AE180" i="7" s="1"/>
  <c r="BF180" i="7" s="1"/>
  <c r="AQ183" i="7"/>
  <c r="AR183" i="7"/>
  <c r="BN183" i="7" s="1"/>
  <c r="AT179" i="7"/>
  <c r="B185" i="7"/>
  <c r="A186" i="7"/>
  <c r="AG176" i="7"/>
  <c r="BH176" i="7" s="1"/>
  <c r="BA176" i="7"/>
  <c r="BB178" i="7"/>
  <c r="BJ178" i="8"/>
  <c r="AL178" i="8"/>
  <c r="BM178" i="8" s="1"/>
  <c r="A184" i="8"/>
  <c r="B183" i="8"/>
  <c r="AN177" i="8"/>
  <c r="BO177" i="8" s="1"/>
  <c r="BL177" i="8"/>
  <c r="G180" i="7"/>
  <c r="R190" i="9"/>
  <c r="F190" i="9"/>
  <c r="X190" i="9"/>
  <c r="L190" i="9"/>
  <c r="K190" i="9"/>
  <c r="D190" i="9"/>
  <c r="E190" i="9"/>
  <c r="M190" i="9"/>
  <c r="Q190" i="9"/>
  <c r="O190" i="9"/>
  <c r="E181" i="8" s="1"/>
  <c r="J190" i="9"/>
  <c r="V190" i="9"/>
  <c r="G190" i="9"/>
  <c r="N190" i="9"/>
  <c r="T190" i="9"/>
  <c r="U190" i="9"/>
  <c r="S190" i="9"/>
  <c r="D181" i="7" s="1"/>
  <c r="I181" i="7" s="1"/>
  <c r="Z190" i="9"/>
  <c r="H190" i="9"/>
  <c r="I190" i="9"/>
  <c r="E181" i="7" s="1"/>
  <c r="AA190" i="9"/>
  <c r="W190" i="9"/>
  <c r="Y190" i="9"/>
  <c r="D181" i="8" s="1"/>
  <c r="I181" i="8" s="1"/>
  <c r="P190" i="9"/>
  <c r="O180" i="8"/>
  <c r="L180" i="8"/>
  <c r="AE180" i="8" s="1"/>
  <c r="BF180" i="8" s="1"/>
  <c r="AP184" i="7"/>
  <c r="C184" i="7"/>
  <c r="AJ178" i="8"/>
  <c r="BK178" i="8" s="1"/>
  <c r="AI178" i="7"/>
  <c r="AC178" i="7"/>
  <c r="BD178" i="7" s="1"/>
  <c r="AD178" i="7"/>
  <c r="BE178" i="7" s="1"/>
  <c r="AB178" i="7"/>
  <c r="BC178" i="7" s="1"/>
  <c r="C182" i="8"/>
  <c r="AP182" i="8"/>
  <c r="C192" i="9"/>
  <c r="B191" i="9"/>
  <c r="Z178" i="8" l="1"/>
  <c r="AG177" i="8"/>
  <c r="BH177" i="8" s="1"/>
  <c r="BI178" i="8"/>
  <c r="AF178" i="8"/>
  <c r="BG178" i="8" s="1"/>
  <c r="AH179" i="7"/>
  <c r="BI179" i="7" s="1"/>
  <c r="W179" i="7"/>
  <c r="AX179" i="7" s="1"/>
  <c r="X179" i="7"/>
  <c r="AY179" i="7" s="1"/>
  <c r="AC179" i="7"/>
  <c r="BD179" i="7" s="1"/>
  <c r="AI179" i="7"/>
  <c r="AL179" i="7" s="1"/>
  <c r="BM179" i="7" s="1"/>
  <c r="J179" i="8"/>
  <c r="AB179" i="7"/>
  <c r="BC179" i="7" s="1"/>
  <c r="J179" i="7"/>
  <c r="AH179" i="8"/>
  <c r="AJ179" i="8" s="1"/>
  <c r="BK179" i="8" s="1"/>
  <c r="AB179" i="8"/>
  <c r="BC179" i="8" s="1"/>
  <c r="AD179" i="8"/>
  <c r="BE179" i="8" s="1"/>
  <c r="AC179" i="8"/>
  <c r="BD179" i="8" s="1"/>
  <c r="X179" i="8"/>
  <c r="AY179" i="8" s="1"/>
  <c r="AN177" i="7"/>
  <c r="BO177" i="7" s="1"/>
  <c r="G181" i="7"/>
  <c r="H181" i="7" s="1"/>
  <c r="J181" i="7" s="1"/>
  <c r="AG177" i="7"/>
  <c r="BH177" i="7" s="1"/>
  <c r="Z178" i="7"/>
  <c r="BA178" i="7" s="1"/>
  <c r="AP185" i="7"/>
  <c r="C185" i="7"/>
  <c r="BL178" i="8"/>
  <c r="AN178" i="8"/>
  <c r="BO178" i="8" s="1"/>
  <c r="BA178" i="8"/>
  <c r="AQ182" i="8"/>
  <c r="AR182" i="8"/>
  <c r="BN182" i="8" s="1"/>
  <c r="AR184" i="7"/>
  <c r="BN184" i="7" s="1"/>
  <c r="AQ184" i="7"/>
  <c r="O181" i="7"/>
  <c r="L181" i="7"/>
  <c r="AE181" i="7" s="1"/>
  <c r="BF181" i="7" s="1"/>
  <c r="R191" i="9"/>
  <c r="F191" i="9"/>
  <c r="L191" i="9"/>
  <c r="X191" i="9"/>
  <c r="W191" i="9"/>
  <c r="J191" i="9"/>
  <c r="K191" i="9"/>
  <c r="Q191" i="9"/>
  <c r="H191" i="9"/>
  <c r="T191" i="9"/>
  <c r="Z191" i="9"/>
  <c r="P191" i="9"/>
  <c r="M191" i="9"/>
  <c r="U191" i="9"/>
  <c r="O191" i="9"/>
  <c r="E182" i="8" s="1"/>
  <c r="V191" i="9"/>
  <c r="N191" i="9"/>
  <c r="I191" i="9"/>
  <c r="E182" i="7" s="1"/>
  <c r="E191" i="9"/>
  <c r="AA191" i="9"/>
  <c r="D191" i="9"/>
  <c r="Y191" i="9"/>
  <c r="D182" i="8" s="1"/>
  <c r="I182" i="8" s="1"/>
  <c r="G191" i="9"/>
  <c r="S191" i="9"/>
  <c r="D182" i="7" s="1"/>
  <c r="I182" i="7" s="1"/>
  <c r="B184" i="8"/>
  <c r="A185" i="8"/>
  <c r="BJ178" i="7"/>
  <c r="AL178" i="7"/>
  <c r="BM178" i="7" s="1"/>
  <c r="H180" i="7"/>
  <c r="N180" i="7" s="1"/>
  <c r="M180" i="7"/>
  <c r="T180" i="7"/>
  <c r="AU180" i="7" s="1"/>
  <c r="S180" i="7"/>
  <c r="K180" i="7"/>
  <c r="AA180" i="7" s="1"/>
  <c r="B192" i="9"/>
  <c r="C193" i="9"/>
  <c r="AF178" i="7"/>
  <c r="BG178" i="7" s="1"/>
  <c r="B186" i="7"/>
  <c r="A187" i="7"/>
  <c r="G181" i="8"/>
  <c r="K181" i="8" s="1"/>
  <c r="AA181" i="8" s="1"/>
  <c r="AK178" i="7"/>
  <c r="AJ178" i="7"/>
  <c r="BK178" i="7" s="1"/>
  <c r="BI178" i="7"/>
  <c r="M180" i="8"/>
  <c r="H180" i="8"/>
  <c r="N180" i="8" s="1"/>
  <c r="S180" i="8"/>
  <c r="U180" i="8"/>
  <c r="AV180" i="8" s="1"/>
  <c r="T180" i="8"/>
  <c r="AU180" i="8" s="1"/>
  <c r="K180" i="8"/>
  <c r="AA180" i="8" s="1"/>
  <c r="O181" i="8"/>
  <c r="L181" i="8"/>
  <c r="AE181" i="8" s="1"/>
  <c r="BF181" i="8" s="1"/>
  <c r="BJ179" i="8"/>
  <c r="AL179" i="8"/>
  <c r="BM179" i="8" s="1"/>
  <c r="AP183" i="8"/>
  <c r="C183" i="8"/>
  <c r="BJ179" i="7" l="1"/>
  <c r="Z179" i="7"/>
  <c r="BA179" i="7" s="1"/>
  <c r="AK179" i="7"/>
  <c r="BL179" i="7" s="1"/>
  <c r="AG178" i="8"/>
  <c r="BH178" i="8" s="1"/>
  <c r="AJ179" i="7"/>
  <c r="BK179" i="7" s="1"/>
  <c r="AF179" i="7"/>
  <c r="BG179" i="7" s="1"/>
  <c r="BI179" i="8"/>
  <c r="AK179" i="8"/>
  <c r="AN179" i="8" s="1"/>
  <c r="BO179" i="8" s="1"/>
  <c r="K181" i="7"/>
  <c r="AA181" i="7" s="1"/>
  <c r="BB181" i="7" s="1"/>
  <c r="AF179" i="8"/>
  <c r="BG179" i="8" s="1"/>
  <c r="Z179" i="8"/>
  <c r="BA179" i="8" s="1"/>
  <c r="T181" i="7"/>
  <c r="AU181" i="7" s="1"/>
  <c r="S181" i="7"/>
  <c r="AT181" i="7" s="1"/>
  <c r="M181" i="7"/>
  <c r="U181" i="7" s="1"/>
  <c r="AV181" i="7" s="1"/>
  <c r="G182" i="8"/>
  <c r="H182" i="8" s="1"/>
  <c r="J182" i="8" s="1"/>
  <c r="N181" i="7"/>
  <c r="AI181" i="7" s="1"/>
  <c r="BB180" i="8"/>
  <c r="A186" i="8"/>
  <c r="B185" i="8"/>
  <c r="C186" i="7"/>
  <c r="AP186" i="7"/>
  <c r="AG178" i="7"/>
  <c r="BH178" i="7" s="1"/>
  <c r="J180" i="8"/>
  <c r="C184" i="8"/>
  <c r="AP184" i="8"/>
  <c r="O182" i="8"/>
  <c r="L182" i="8"/>
  <c r="AE182" i="8" s="1"/>
  <c r="BF182" i="8" s="1"/>
  <c r="O182" i="7"/>
  <c r="L182" i="7"/>
  <c r="AE182" i="7" s="1"/>
  <c r="BF182" i="7" s="1"/>
  <c r="AI180" i="7"/>
  <c r="AC180" i="7"/>
  <c r="BD180" i="7" s="1"/>
  <c r="AD180" i="7"/>
  <c r="BE180" i="7" s="1"/>
  <c r="AB180" i="7"/>
  <c r="BC180" i="7" s="1"/>
  <c r="A188" i="7"/>
  <c r="B187" i="7"/>
  <c r="BB180" i="7"/>
  <c r="AT180" i="7"/>
  <c r="AQ183" i="8"/>
  <c r="AR183" i="8"/>
  <c r="BN183" i="8" s="1"/>
  <c r="AH180" i="7"/>
  <c r="W180" i="7"/>
  <c r="AX180" i="7" s="1"/>
  <c r="X180" i="7"/>
  <c r="AY180" i="7" s="1"/>
  <c r="U180" i="7"/>
  <c r="AV180" i="7" s="1"/>
  <c r="C194" i="9"/>
  <c r="B193" i="9"/>
  <c r="X192" i="9"/>
  <c r="L192" i="9"/>
  <c r="R192" i="9"/>
  <c r="F192" i="9"/>
  <c r="Q192" i="9"/>
  <c r="D192" i="9"/>
  <c r="O192" i="9"/>
  <c r="E183" i="8" s="1"/>
  <c r="J192" i="9"/>
  <c r="E192" i="9"/>
  <c r="V192" i="9"/>
  <c r="T192" i="9"/>
  <c r="W192" i="9"/>
  <c r="N192" i="9"/>
  <c r="I192" i="9"/>
  <c r="E183" i="7" s="1"/>
  <c r="H192" i="9"/>
  <c r="U192" i="9"/>
  <c r="Y192" i="9"/>
  <c r="D183" i="8" s="1"/>
  <c r="I183" i="8" s="1"/>
  <c r="AA192" i="9"/>
  <c r="G192" i="9"/>
  <c r="M192" i="9"/>
  <c r="K192" i="9"/>
  <c r="Z192" i="9"/>
  <c r="P192" i="9"/>
  <c r="S192" i="9"/>
  <c r="D183" i="7" s="1"/>
  <c r="I183" i="7" s="1"/>
  <c r="J180" i="7"/>
  <c r="BL178" i="7"/>
  <c r="AN178" i="7"/>
  <c r="BO178" i="7" s="1"/>
  <c r="AT180" i="8"/>
  <c r="AI180" i="8"/>
  <c r="AC180" i="8"/>
  <c r="BD180" i="8" s="1"/>
  <c r="AD180" i="8"/>
  <c r="BE180" i="8" s="1"/>
  <c r="AB180" i="8"/>
  <c r="BC180" i="8" s="1"/>
  <c r="BB181" i="8"/>
  <c r="AH180" i="8"/>
  <c r="W180" i="8"/>
  <c r="AX180" i="8" s="1"/>
  <c r="X180" i="8"/>
  <c r="AY180" i="8" s="1"/>
  <c r="M181" i="8"/>
  <c r="H181" i="8"/>
  <c r="N181" i="8" s="1"/>
  <c r="S181" i="8"/>
  <c r="U181" i="8"/>
  <c r="AV181" i="8" s="1"/>
  <c r="T181" i="8"/>
  <c r="AU181" i="8" s="1"/>
  <c r="G182" i="7"/>
  <c r="AR185" i="7"/>
  <c r="BN185" i="7" s="1"/>
  <c r="AQ185" i="7"/>
  <c r="AN179" i="7" l="1"/>
  <c r="BO179" i="7" s="1"/>
  <c r="AG179" i="7"/>
  <c r="BH179" i="7" s="1"/>
  <c r="AG179" i="8"/>
  <c r="BH179" i="8" s="1"/>
  <c r="AH181" i="7"/>
  <c r="BI181" i="7" s="1"/>
  <c r="BL179" i="8"/>
  <c r="W181" i="7"/>
  <c r="AX181" i="7" s="1"/>
  <c r="X181" i="7"/>
  <c r="AY181" i="7" s="1"/>
  <c r="K182" i="8"/>
  <c r="AA182" i="8" s="1"/>
  <c r="BB182" i="8" s="1"/>
  <c r="AB181" i="7"/>
  <c r="BC181" i="7" s="1"/>
  <c r="AD181" i="7"/>
  <c r="BE181" i="7" s="1"/>
  <c r="AC181" i="7"/>
  <c r="U182" i="8"/>
  <c r="AV182" i="8" s="1"/>
  <c r="T182" i="8"/>
  <c r="AU182" i="8" s="1"/>
  <c r="S182" i="8"/>
  <c r="AT182" i="8" s="1"/>
  <c r="M182" i="8"/>
  <c r="AH182" i="8" s="1"/>
  <c r="G183" i="8"/>
  <c r="M183" i="8" s="1"/>
  <c r="Z180" i="8"/>
  <c r="BA180" i="8" s="1"/>
  <c r="G183" i="7"/>
  <c r="K183" i="7" s="1"/>
  <c r="AA183" i="7" s="1"/>
  <c r="Z180" i="7"/>
  <c r="BA180" i="7" s="1"/>
  <c r="AJ180" i="7"/>
  <c r="BK180" i="7" s="1"/>
  <c r="BI180" i="7"/>
  <c r="AK180" i="7"/>
  <c r="N182" i="8"/>
  <c r="C185" i="8"/>
  <c r="AP185" i="8"/>
  <c r="A187" i="8"/>
  <c r="B186" i="8"/>
  <c r="BI180" i="8"/>
  <c r="AK180" i="8"/>
  <c r="AJ180" i="8"/>
  <c r="BK180" i="8" s="1"/>
  <c r="AI181" i="8"/>
  <c r="AC181" i="8"/>
  <c r="BD181" i="8" s="1"/>
  <c r="AD181" i="8"/>
  <c r="BE181" i="8" s="1"/>
  <c r="AB181" i="8"/>
  <c r="AQ186" i="7"/>
  <c r="AR186" i="7"/>
  <c r="BN186" i="7" s="1"/>
  <c r="J181" i="8"/>
  <c r="BJ180" i="7"/>
  <c r="AL180" i="7"/>
  <c r="BM180" i="7" s="1"/>
  <c r="X193" i="9"/>
  <c r="L193" i="9"/>
  <c r="F193" i="9"/>
  <c r="R193" i="9"/>
  <c r="K193" i="9"/>
  <c r="G193" i="9"/>
  <c r="I193" i="9"/>
  <c r="E184" i="7" s="1"/>
  <c r="M193" i="9"/>
  <c r="E193" i="9"/>
  <c r="T193" i="9"/>
  <c r="D193" i="9"/>
  <c r="Y193" i="9"/>
  <c r="D184" i="8" s="1"/>
  <c r="I184" i="8" s="1"/>
  <c r="J193" i="9"/>
  <c r="Z193" i="9"/>
  <c r="P193" i="9"/>
  <c r="U193" i="9"/>
  <c r="AA193" i="9"/>
  <c r="W193" i="9"/>
  <c r="V193" i="9"/>
  <c r="Q193" i="9"/>
  <c r="O193" i="9"/>
  <c r="E184" i="8" s="1"/>
  <c r="S193" i="9"/>
  <c r="D184" i="7" s="1"/>
  <c r="I184" i="7" s="1"/>
  <c r="H193" i="9"/>
  <c r="N193" i="9"/>
  <c r="AH181" i="8"/>
  <c r="W181" i="8"/>
  <c r="AX181" i="8" s="1"/>
  <c r="X181" i="8"/>
  <c r="AY181" i="8" s="1"/>
  <c r="H182" i="7"/>
  <c r="N182" i="7" s="1"/>
  <c r="M182" i="7"/>
  <c r="S182" i="7"/>
  <c r="T182" i="7"/>
  <c r="AU182" i="7" s="1"/>
  <c r="K182" i="7"/>
  <c r="AA182" i="7" s="1"/>
  <c r="C195" i="9"/>
  <c r="B194" i="9"/>
  <c r="AP187" i="7"/>
  <c r="C187" i="7"/>
  <c r="BJ181" i="7"/>
  <c r="AL181" i="7"/>
  <c r="BM181" i="7" s="1"/>
  <c r="O183" i="7"/>
  <c r="L183" i="7"/>
  <c r="AE183" i="7" s="1"/>
  <c r="BF183" i="7" s="1"/>
  <c r="B188" i="7"/>
  <c r="A189" i="7"/>
  <c r="AR184" i="8"/>
  <c r="BN184" i="8" s="1"/>
  <c r="AQ184" i="8"/>
  <c r="AF180" i="7"/>
  <c r="BG180" i="7" s="1"/>
  <c r="AT181" i="8"/>
  <c r="AF180" i="8"/>
  <c r="BG180" i="8" s="1"/>
  <c r="L183" i="8"/>
  <c r="AE183" i="8" s="1"/>
  <c r="BF183" i="8" s="1"/>
  <c r="O183" i="8"/>
  <c r="BJ180" i="8"/>
  <c r="AL180" i="8"/>
  <c r="BM180" i="8" s="1"/>
  <c r="AJ181" i="7" l="1"/>
  <c r="BK181" i="7" s="1"/>
  <c r="AK181" i="7"/>
  <c r="BL181" i="7" s="1"/>
  <c r="Z181" i="7"/>
  <c r="BA181" i="7" s="1"/>
  <c r="K183" i="8"/>
  <c r="AA183" i="8" s="1"/>
  <c r="BB183" i="8" s="1"/>
  <c r="X182" i="8"/>
  <c r="AY182" i="8" s="1"/>
  <c r="W182" i="8"/>
  <c r="AX182" i="8" s="1"/>
  <c r="H183" i="8"/>
  <c r="N183" i="8" s="1"/>
  <c r="AC183" i="8" s="1"/>
  <c r="BD183" i="8" s="1"/>
  <c r="T183" i="8"/>
  <c r="AU183" i="8" s="1"/>
  <c r="U183" i="8"/>
  <c r="AV183" i="8" s="1"/>
  <c r="S183" i="8"/>
  <c r="AT183" i="8" s="1"/>
  <c r="BD181" i="7"/>
  <c r="AF181" i="7"/>
  <c r="H183" i="7"/>
  <c r="J183" i="7" s="1"/>
  <c r="T183" i="7"/>
  <c r="AU183" i="7" s="1"/>
  <c r="S183" i="7"/>
  <c r="AT183" i="7" s="1"/>
  <c r="M183" i="7"/>
  <c r="W183" i="7" s="1"/>
  <c r="AX183" i="7" s="1"/>
  <c r="BJ181" i="8"/>
  <c r="AL181" i="8"/>
  <c r="BM181" i="8" s="1"/>
  <c r="BL180" i="7"/>
  <c r="AN180" i="7"/>
  <c r="BO180" i="7" s="1"/>
  <c r="AH182" i="7"/>
  <c r="W182" i="7"/>
  <c r="AX182" i="7" s="1"/>
  <c r="X182" i="7"/>
  <c r="AY182" i="7" s="1"/>
  <c r="U182" i="7"/>
  <c r="AV182" i="7" s="1"/>
  <c r="B189" i="7"/>
  <c r="A190" i="7"/>
  <c r="BL180" i="8"/>
  <c r="AN180" i="8"/>
  <c r="BO180" i="8" s="1"/>
  <c r="C196" i="9"/>
  <c r="B195" i="9"/>
  <c r="Z181" i="8"/>
  <c r="J182" i="7"/>
  <c r="O184" i="8"/>
  <c r="L184" i="8"/>
  <c r="AE184" i="8" s="1"/>
  <c r="BF184" i="8" s="1"/>
  <c r="AP186" i="8"/>
  <c r="C186" i="8"/>
  <c r="AI182" i="7"/>
  <c r="AC182" i="7"/>
  <c r="BD182" i="7" s="1"/>
  <c r="AD182" i="7"/>
  <c r="BE182" i="7" s="1"/>
  <c r="AB182" i="7"/>
  <c r="BC182" i="7" s="1"/>
  <c r="R194" i="9"/>
  <c r="F194" i="9"/>
  <c r="X194" i="9"/>
  <c r="L194" i="9"/>
  <c r="P194" i="9"/>
  <c r="M194" i="9"/>
  <c r="N194" i="9"/>
  <c r="W194" i="9"/>
  <c r="U194" i="9"/>
  <c r="G194" i="9"/>
  <c r="S194" i="9"/>
  <c r="D185" i="7" s="1"/>
  <c r="I185" i="7" s="1"/>
  <c r="T194" i="9"/>
  <c r="J194" i="9"/>
  <c r="K194" i="9"/>
  <c r="Q194" i="9"/>
  <c r="I194" i="9"/>
  <c r="E185" i="7" s="1"/>
  <c r="Y194" i="9"/>
  <c r="D185" i="8" s="1"/>
  <c r="I185" i="8" s="1"/>
  <c r="AA194" i="9"/>
  <c r="H194" i="9"/>
  <c r="O194" i="9"/>
  <c r="E185" i="8" s="1"/>
  <c r="V194" i="9"/>
  <c r="E194" i="9"/>
  <c r="D194" i="9"/>
  <c r="Z194" i="9"/>
  <c r="B187" i="8"/>
  <c r="A188" i="8"/>
  <c r="O184" i="7"/>
  <c r="L184" i="7"/>
  <c r="AE184" i="7" s="1"/>
  <c r="BF184" i="7" s="1"/>
  <c r="AQ185" i="8"/>
  <c r="AR185" i="8"/>
  <c r="BN185" i="8" s="1"/>
  <c r="BI181" i="8"/>
  <c r="AJ181" i="8"/>
  <c r="BK181" i="8" s="1"/>
  <c r="AK181" i="8"/>
  <c r="AG180" i="7"/>
  <c r="BH180" i="7" s="1"/>
  <c r="G184" i="8"/>
  <c r="AG180" i="8"/>
  <c r="BH180" i="8" s="1"/>
  <c r="AR187" i="7"/>
  <c r="BN187" i="7" s="1"/>
  <c r="AQ187" i="7"/>
  <c r="BB182" i="7"/>
  <c r="AT182" i="7"/>
  <c r="AH183" i="8"/>
  <c r="W183" i="8"/>
  <c r="AX183" i="8" s="1"/>
  <c r="X183" i="8"/>
  <c r="AY183" i="8" s="1"/>
  <c r="AP188" i="7"/>
  <c r="C188" i="7"/>
  <c r="AK182" i="8"/>
  <c r="BI182" i="8"/>
  <c r="BB183" i="7"/>
  <c r="G184" i="7"/>
  <c r="BC181" i="8"/>
  <c r="AF181" i="8"/>
  <c r="BG181" i="8" s="1"/>
  <c r="AI182" i="8"/>
  <c r="AC182" i="8"/>
  <c r="BD182" i="8" s="1"/>
  <c r="AD182" i="8"/>
  <c r="BE182" i="8" s="1"/>
  <c r="AB182" i="8"/>
  <c r="AN181" i="7" l="1"/>
  <c r="BO181" i="7" s="1"/>
  <c r="AI183" i="8"/>
  <c r="AJ183" i="8" s="1"/>
  <c r="BK183" i="8" s="1"/>
  <c r="AB183" i="8"/>
  <c r="BC183" i="8" s="1"/>
  <c r="AD183" i="8"/>
  <c r="BE183" i="8" s="1"/>
  <c r="Z182" i="8"/>
  <c r="BA182" i="8" s="1"/>
  <c r="J183" i="8"/>
  <c r="BG181" i="7"/>
  <c r="AG181" i="7"/>
  <c r="BH181" i="7" s="1"/>
  <c r="G185" i="7"/>
  <c r="K185" i="7" s="1"/>
  <c r="AA185" i="7" s="1"/>
  <c r="N183" i="7"/>
  <c r="AB183" i="7" s="1"/>
  <c r="U183" i="7"/>
  <c r="AV183" i="7" s="1"/>
  <c r="X183" i="7"/>
  <c r="AY183" i="7" s="1"/>
  <c r="AH183" i="7"/>
  <c r="AK183" i="7" s="1"/>
  <c r="G185" i="8"/>
  <c r="S185" i="8" s="1"/>
  <c r="Z182" i="7"/>
  <c r="BA182" i="7" s="1"/>
  <c r="A191" i="7"/>
  <c r="B190" i="7"/>
  <c r="AR188" i="7"/>
  <c r="BN188" i="7" s="1"/>
  <c r="AQ188" i="7"/>
  <c r="BJ182" i="8"/>
  <c r="AL182" i="8"/>
  <c r="BM182" i="8" s="1"/>
  <c r="AQ186" i="8"/>
  <c r="AR186" i="8"/>
  <c r="BN186" i="8" s="1"/>
  <c r="C189" i="7"/>
  <c r="AP189" i="7"/>
  <c r="L185" i="8"/>
  <c r="AE185" i="8" s="1"/>
  <c r="BF185" i="8" s="1"/>
  <c r="O185" i="8"/>
  <c r="AL182" i="7"/>
  <c r="BM182" i="7" s="1"/>
  <c r="BJ182" i="7"/>
  <c r="M184" i="8"/>
  <c r="H184" i="8"/>
  <c r="N184" i="8" s="1"/>
  <c r="S184" i="8"/>
  <c r="T184" i="8"/>
  <c r="AU184" i="8" s="1"/>
  <c r="U184" i="8"/>
  <c r="AV184" i="8" s="1"/>
  <c r="K184" i="8"/>
  <c r="AA184" i="8" s="1"/>
  <c r="B188" i="8"/>
  <c r="A189" i="8"/>
  <c r="C187" i="8"/>
  <c r="AP187" i="8"/>
  <c r="BA181" i="8"/>
  <c r="AG181" i="8"/>
  <c r="BH181" i="8" s="1"/>
  <c r="BI182" i="7"/>
  <c r="AK182" i="7"/>
  <c r="AJ182" i="7"/>
  <c r="BK182" i="7" s="1"/>
  <c r="H184" i="7"/>
  <c r="N184" i="7" s="1"/>
  <c r="M184" i="7"/>
  <c r="S184" i="7"/>
  <c r="T184" i="7"/>
  <c r="AU184" i="7" s="1"/>
  <c r="K184" i="7"/>
  <c r="AA184" i="7" s="1"/>
  <c r="Z183" i="8"/>
  <c r="AJ182" i="8"/>
  <c r="BK182" i="8" s="1"/>
  <c r="BI183" i="8"/>
  <c r="AK183" i="8"/>
  <c r="BL182" i="8"/>
  <c r="AF182" i="7"/>
  <c r="BG182" i="7" s="1"/>
  <c r="AL183" i="8"/>
  <c r="BM183" i="8" s="1"/>
  <c r="BC182" i="8"/>
  <c r="AF182" i="8"/>
  <c r="R195" i="9"/>
  <c r="F195" i="9"/>
  <c r="X195" i="9"/>
  <c r="H195" i="9"/>
  <c r="G195" i="9"/>
  <c r="L195" i="9"/>
  <c r="S195" i="9"/>
  <c r="D186" i="7" s="1"/>
  <c r="I186" i="7" s="1"/>
  <c r="M195" i="9"/>
  <c r="D195" i="9"/>
  <c r="N195" i="9"/>
  <c r="U195" i="9"/>
  <c r="J195" i="9"/>
  <c r="E195" i="9"/>
  <c r="W195" i="9"/>
  <c r="Z195" i="9"/>
  <c r="T195" i="9"/>
  <c r="K195" i="9"/>
  <c r="I195" i="9"/>
  <c r="E186" i="7" s="1"/>
  <c r="V195" i="9"/>
  <c r="Y195" i="9"/>
  <c r="D186" i="8" s="1"/>
  <c r="I186" i="8" s="1"/>
  <c r="O195" i="9"/>
  <c r="E186" i="8" s="1"/>
  <c r="P195" i="9"/>
  <c r="Q195" i="9"/>
  <c r="AA195" i="9"/>
  <c r="BL181" i="8"/>
  <c r="AN181" i="8"/>
  <c r="BO181" i="8" s="1"/>
  <c r="O185" i="7"/>
  <c r="L185" i="7"/>
  <c r="AE185" i="7" s="1"/>
  <c r="BF185" i="7" s="1"/>
  <c r="B196" i="9"/>
  <c r="C197" i="9"/>
  <c r="BJ183" i="8" l="1"/>
  <c r="AF183" i="8"/>
  <c r="BG183" i="8" s="1"/>
  <c r="H185" i="8"/>
  <c r="N185" i="8" s="1"/>
  <c r="AD185" i="8" s="1"/>
  <c r="BE185" i="8" s="1"/>
  <c r="T185" i="7"/>
  <c r="AU185" i="7" s="1"/>
  <c r="AD183" i="7"/>
  <c r="BE183" i="7" s="1"/>
  <c r="S185" i="7"/>
  <c r="AT185" i="7" s="1"/>
  <c r="AC183" i="7"/>
  <c r="BD183" i="7" s="1"/>
  <c r="AI183" i="7"/>
  <c r="AJ183" i="7" s="1"/>
  <c r="BK183" i="7" s="1"/>
  <c r="Z183" i="7"/>
  <c r="BA183" i="7" s="1"/>
  <c r="M185" i="7"/>
  <c r="AH185" i="7" s="1"/>
  <c r="K185" i="8"/>
  <c r="AA185" i="8" s="1"/>
  <c r="BB185" i="8" s="1"/>
  <c r="H185" i="7"/>
  <c r="N185" i="7" s="1"/>
  <c r="BI183" i="7"/>
  <c r="M185" i="8"/>
  <c r="AH185" i="8" s="1"/>
  <c r="T185" i="8"/>
  <c r="AU185" i="8" s="1"/>
  <c r="U185" i="8"/>
  <c r="AV185" i="8" s="1"/>
  <c r="J184" i="8"/>
  <c r="G186" i="7"/>
  <c r="K186" i="7" s="1"/>
  <c r="AA186" i="7" s="1"/>
  <c r="BB186" i="7" s="1"/>
  <c r="G186" i="8"/>
  <c r="K186" i="8" s="1"/>
  <c r="AA186" i="8" s="1"/>
  <c r="BB186" i="8" s="1"/>
  <c r="AG182" i="7"/>
  <c r="BH182" i="7" s="1"/>
  <c r="BC183" i="7"/>
  <c r="AR189" i="7"/>
  <c r="BN189" i="7" s="1"/>
  <c r="AQ189" i="7"/>
  <c r="AT185" i="8"/>
  <c r="B189" i="8"/>
  <c r="A190" i="8"/>
  <c r="BL183" i="8"/>
  <c r="AN183" i="8"/>
  <c r="BO183" i="8" s="1"/>
  <c r="C188" i="8"/>
  <c r="AP188" i="8"/>
  <c r="BG182" i="8"/>
  <c r="AG182" i="8"/>
  <c r="BH182" i="8" s="1"/>
  <c r="BA183" i="8"/>
  <c r="AG183" i="8"/>
  <c r="BH183" i="8" s="1"/>
  <c r="BB184" i="8"/>
  <c r="BB184" i="7"/>
  <c r="C198" i="9"/>
  <c r="B197" i="9"/>
  <c r="AR187" i="8"/>
  <c r="BN187" i="8" s="1"/>
  <c r="AQ187" i="8"/>
  <c r="AT184" i="7"/>
  <c r="AT184" i="8"/>
  <c r="AI184" i="7"/>
  <c r="AC184" i="7"/>
  <c r="BD184" i="7" s="1"/>
  <c r="AD184" i="7"/>
  <c r="BE184" i="7" s="1"/>
  <c r="AB184" i="7"/>
  <c r="BC184" i="7" s="1"/>
  <c r="X196" i="9"/>
  <c r="L196" i="9"/>
  <c r="R196" i="9"/>
  <c r="F196" i="9"/>
  <c r="E196" i="9"/>
  <c r="V196" i="9"/>
  <c r="W196" i="9"/>
  <c r="Z196" i="9"/>
  <c r="Y196" i="9"/>
  <c r="D187" i="8" s="1"/>
  <c r="I187" i="8" s="1"/>
  <c r="T196" i="9"/>
  <c r="K196" i="9"/>
  <c r="M196" i="9"/>
  <c r="I196" i="9"/>
  <c r="E187" i="7" s="1"/>
  <c r="D196" i="9"/>
  <c r="AA196" i="9"/>
  <c r="H196" i="9"/>
  <c r="O196" i="9"/>
  <c r="E187" i="8" s="1"/>
  <c r="G196" i="9"/>
  <c r="N196" i="9"/>
  <c r="Q196" i="9"/>
  <c r="S196" i="9"/>
  <c r="D187" i="7" s="1"/>
  <c r="I187" i="7" s="1"/>
  <c r="P196" i="9"/>
  <c r="U196" i="9"/>
  <c r="J196" i="9"/>
  <c r="J184" i="7"/>
  <c r="AN182" i="7"/>
  <c r="BO182" i="7" s="1"/>
  <c r="BL182" i="7"/>
  <c r="BL183" i="7"/>
  <c r="O186" i="7"/>
  <c r="L186" i="7"/>
  <c r="AE186" i="7" s="1"/>
  <c r="BF186" i="7" s="1"/>
  <c r="AH184" i="7"/>
  <c r="W184" i="7"/>
  <c r="AX184" i="7" s="1"/>
  <c r="X184" i="7"/>
  <c r="AY184" i="7" s="1"/>
  <c r="U184" i="7"/>
  <c r="AV184" i="7" s="1"/>
  <c r="AI184" i="8"/>
  <c r="AC184" i="8"/>
  <c r="BD184" i="8" s="1"/>
  <c r="AD184" i="8"/>
  <c r="BE184" i="8" s="1"/>
  <c r="AB184" i="8"/>
  <c r="BC184" i="8" s="1"/>
  <c r="AP190" i="7"/>
  <c r="C190" i="7"/>
  <c r="L186" i="8"/>
  <c r="AE186" i="8" s="1"/>
  <c r="BF186" i="8" s="1"/>
  <c r="O186" i="8"/>
  <c r="AN182" i="8"/>
  <c r="BO182" i="8" s="1"/>
  <c r="BB185" i="7"/>
  <c r="AH184" i="8"/>
  <c r="W184" i="8"/>
  <c r="AX184" i="8" s="1"/>
  <c r="X184" i="8"/>
  <c r="AY184" i="8" s="1"/>
  <c r="B191" i="7"/>
  <c r="A192" i="7"/>
  <c r="AF183" i="7" l="1"/>
  <c r="BG183" i="7" s="1"/>
  <c r="AB185" i="8"/>
  <c r="BC185" i="8" s="1"/>
  <c r="AC185" i="8"/>
  <c r="BD185" i="8" s="1"/>
  <c r="AI185" i="8"/>
  <c r="AL185" i="8" s="1"/>
  <c r="BM185" i="8" s="1"/>
  <c r="AL183" i="7"/>
  <c r="BM183" i="7" s="1"/>
  <c r="J185" i="8"/>
  <c r="BJ183" i="7"/>
  <c r="X185" i="7"/>
  <c r="AY185" i="7" s="1"/>
  <c r="W185" i="7"/>
  <c r="AX185" i="7" s="1"/>
  <c r="U185" i="7"/>
  <c r="AV185" i="7" s="1"/>
  <c r="X185" i="8"/>
  <c r="AY185" i="8" s="1"/>
  <c r="W185" i="8"/>
  <c r="AX185" i="8" s="1"/>
  <c r="M186" i="7"/>
  <c r="AH186" i="7" s="1"/>
  <c r="J185" i="7"/>
  <c r="T186" i="8"/>
  <c r="AU186" i="8" s="1"/>
  <c r="S186" i="7"/>
  <c r="AT186" i="7" s="1"/>
  <c r="H186" i="7"/>
  <c r="N186" i="7" s="1"/>
  <c r="AD186" i="7" s="1"/>
  <c r="BE186" i="7" s="1"/>
  <c r="H186" i="8"/>
  <c r="N186" i="8" s="1"/>
  <c r="AI186" i="8" s="1"/>
  <c r="T186" i="7"/>
  <c r="AU186" i="7" s="1"/>
  <c r="U186" i="8"/>
  <c r="AV186" i="8" s="1"/>
  <c r="S186" i="8"/>
  <c r="AT186" i="8" s="1"/>
  <c r="M186" i="8"/>
  <c r="AH186" i="8" s="1"/>
  <c r="AF184" i="7"/>
  <c r="BG184" i="7" s="1"/>
  <c r="G187" i="7"/>
  <c r="K187" i="7" s="1"/>
  <c r="AA187" i="7" s="1"/>
  <c r="C199" i="9"/>
  <c r="B198" i="9"/>
  <c r="AI185" i="7"/>
  <c r="AC185" i="7"/>
  <c r="BD185" i="7" s="1"/>
  <c r="AD185" i="7"/>
  <c r="BE185" i="7" s="1"/>
  <c r="AB185" i="7"/>
  <c r="AK185" i="8"/>
  <c r="BI185" i="8"/>
  <c r="BI184" i="8"/>
  <c r="AK184" i="8"/>
  <c r="AJ184" i="8"/>
  <c r="BK184" i="8" s="1"/>
  <c r="AR188" i="8"/>
  <c r="BN188" i="8" s="1"/>
  <c r="AQ188" i="8"/>
  <c r="AK184" i="7"/>
  <c r="AJ184" i="7"/>
  <c r="BK184" i="7" s="1"/>
  <c r="BI184" i="7"/>
  <c r="BJ184" i="8"/>
  <c r="AL184" i="8"/>
  <c r="BM184" i="8" s="1"/>
  <c r="AF184" i="8"/>
  <c r="BG184" i="8" s="1"/>
  <c r="AL184" i="7"/>
  <c r="BM184" i="7" s="1"/>
  <c r="BJ184" i="7"/>
  <c r="Z184" i="8"/>
  <c r="O187" i="7"/>
  <c r="L187" i="7"/>
  <c r="AE187" i="7" s="1"/>
  <c r="BF187" i="7" s="1"/>
  <c r="B190" i="8"/>
  <c r="A191" i="8"/>
  <c r="AP189" i="8"/>
  <c r="C189" i="8"/>
  <c r="G187" i="8"/>
  <c r="Z184" i="7"/>
  <c r="O187" i="8"/>
  <c r="L187" i="8"/>
  <c r="AE187" i="8" s="1"/>
  <c r="BF187" i="8" s="1"/>
  <c r="B192" i="7"/>
  <c r="A193" i="7"/>
  <c r="AR190" i="7"/>
  <c r="BN190" i="7" s="1"/>
  <c r="AQ190" i="7"/>
  <c r="AP191" i="7"/>
  <c r="C191" i="7"/>
  <c r="X197" i="9"/>
  <c r="L197" i="9"/>
  <c r="R197" i="9"/>
  <c r="F197" i="9"/>
  <c r="Z197" i="9"/>
  <c r="M197" i="9"/>
  <c r="J197" i="9"/>
  <c r="S197" i="9"/>
  <c r="D188" i="7" s="1"/>
  <c r="I188" i="7" s="1"/>
  <c r="N197" i="9"/>
  <c r="O197" i="9"/>
  <c r="E188" i="8" s="1"/>
  <c r="U197" i="9"/>
  <c r="AA197" i="9"/>
  <c r="K197" i="9"/>
  <c r="I197" i="9"/>
  <c r="E188" i="7" s="1"/>
  <c r="V197" i="9"/>
  <c r="D197" i="9"/>
  <c r="Y197" i="9"/>
  <c r="D188" i="8" s="1"/>
  <c r="I188" i="8" s="1"/>
  <c r="W197" i="9"/>
  <c r="G197" i="9"/>
  <c r="E197" i="9"/>
  <c r="H197" i="9"/>
  <c r="T197" i="9"/>
  <c r="Q197" i="9"/>
  <c r="P197" i="9"/>
  <c r="BI185" i="7"/>
  <c r="AK185" i="7"/>
  <c r="AG183" i="7" l="1"/>
  <c r="BH183" i="7" s="1"/>
  <c r="BJ185" i="8"/>
  <c r="AJ185" i="8"/>
  <c r="BK185" i="8" s="1"/>
  <c r="AN183" i="7"/>
  <c r="BO183" i="7" s="1"/>
  <c r="Z185" i="7"/>
  <c r="BA185" i="7" s="1"/>
  <c r="AF185" i="8"/>
  <c r="BG185" i="8" s="1"/>
  <c r="U186" i="7"/>
  <c r="AV186" i="7" s="1"/>
  <c r="X186" i="7"/>
  <c r="AY186" i="7" s="1"/>
  <c r="W186" i="7"/>
  <c r="AX186" i="7" s="1"/>
  <c r="AC186" i="7"/>
  <c r="BD186" i="7" s="1"/>
  <c r="AI186" i="7"/>
  <c r="AJ186" i="7" s="1"/>
  <c r="BK186" i="7" s="1"/>
  <c r="Z185" i="8"/>
  <c r="AG185" i="8" s="1"/>
  <c r="BH185" i="8" s="1"/>
  <c r="AB186" i="7"/>
  <c r="BC186" i="7" s="1"/>
  <c r="J186" i="7"/>
  <c r="AB186" i="8"/>
  <c r="BC186" i="8" s="1"/>
  <c r="J186" i="8"/>
  <c r="AD186" i="8"/>
  <c r="BE186" i="8" s="1"/>
  <c r="X186" i="8"/>
  <c r="AY186" i="8" s="1"/>
  <c r="AC186" i="8"/>
  <c r="BD186" i="8" s="1"/>
  <c r="W186" i="8"/>
  <c r="AX186" i="8" s="1"/>
  <c r="G188" i="8"/>
  <c r="H188" i="8" s="1"/>
  <c r="J188" i="8" s="1"/>
  <c r="M187" i="7"/>
  <c r="X187" i="7" s="1"/>
  <c r="AY187" i="7" s="1"/>
  <c r="H187" i="7"/>
  <c r="N187" i="7" s="1"/>
  <c r="AB187" i="7" s="1"/>
  <c r="BC187" i="7" s="1"/>
  <c r="T187" i="7"/>
  <c r="AU187" i="7" s="1"/>
  <c r="S187" i="7"/>
  <c r="AT187" i="7" s="1"/>
  <c r="BJ185" i="7"/>
  <c r="AL185" i="7"/>
  <c r="BM185" i="7" s="1"/>
  <c r="B191" i="8"/>
  <c r="A192" i="8"/>
  <c r="C190" i="8"/>
  <c r="AP190" i="8"/>
  <c r="BI186" i="7"/>
  <c r="AK186" i="7"/>
  <c r="O188" i="7"/>
  <c r="L188" i="7"/>
  <c r="AE188" i="7" s="1"/>
  <c r="BF188" i="7" s="1"/>
  <c r="BL184" i="8"/>
  <c r="AN184" i="8"/>
  <c r="BO184" i="8" s="1"/>
  <c r="A194" i="7"/>
  <c r="B193" i="7"/>
  <c r="L188" i="8"/>
  <c r="AE188" i="8" s="1"/>
  <c r="BF188" i="8" s="1"/>
  <c r="O188" i="8"/>
  <c r="BJ186" i="8"/>
  <c r="AL186" i="8"/>
  <c r="BM186" i="8" s="1"/>
  <c r="AG184" i="8"/>
  <c r="BH184" i="8" s="1"/>
  <c r="BA184" i="8"/>
  <c r="BL185" i="8"/>
  <c r="AN185" i="8"/>
  <c r="BO185" i="8" s="1"/>
  <c r="AQ189" i="8"/>
  <c r="AR189" i="8"/>
  <c r="BN189" i="8" s="1"/>
  <c r="C192" i="7"/>
  <c r="AP192" i="7"/>
  <c r="G188" i="7"/>
  <c r="BB187" i="7"/>
  <c r="AK186" i="8"/>
  <c r="AJ186" i="8"/>
  <c r="BK186" i="8" s="1"/>
  <c r="BI186" i="8"/>
  <c r="BC185" i="7"/>
  <c r="AF185" i="7"/>
  <c r="BL184" i="7"/>
  <c r="AN184" i="7"/>
  <c r="BO184" i="7" s="1"/>
  <c r="AJ185" i="7"/>
  <c r="BK185" i="7" s="1"/>
  <c r="BL185" i="7"/>
  <c r="BA184" i="7"/>
  <c r="AG184" i="7"/>
  <c r="BH184" i="7" s="1"/>
  <c r="R198" i="9"/>
  <c r="F198" i="9"/>
  <c r="X198" i="9"/>
  <c r="L198" i="9"/>
  <c r="AA198" i="9"/>
  <c r="N198" i="9"/>
  <c r="V198" i="9"/>
  <c r="E198" i="9"/>
  <c r="M198" i="9"/>
  <c r="Z198" i="9"/>
  <c r="D198" i="9"/>
  <c r="O198" i="9"/>
  <c r="E189" i="8" s="1"/>
  <c r="H198" i="9"/>
  <c r="Y198" i="9"/>
  <c r="D189" i="8" s="1"/>
  <c r="I189" i="8" s="1"/>
  <c r="J198" i="9"/>
  <c r="K198" i="9"/>
  <c r="T198" i="9"/>
  <c r="W198" i="9"/>
  <c r="Q198" i="9"/>
  <c r="I198" i="9"/>
  <c r="E189" i="7" s="1"/>
  <c r="U198" i="9"/>
  <c r="P198" i="9"/>
  <c r="S198" i="9"/>
  <c r="D189" i="7" s="1"/>
  <c r="I189" i="7" s="1"/>
  <c r="G198" i="9"/>
  <c r="AR191" i="7"/>
  <c r="BN191" i="7" s="1"/>
  <c r="AQ191" i="7"/>
  <c r="H187" i="8"/>
  <c r="N187" i="8" s="1"/>
  <c r="M187" i="8"/>
  <c r="S187" i="8"/>
  <c r="T187" i="8"/>
  <c r="AU187" i="8" s="1"/>
  <c r="U187" i="8"/>
  <c r="AV187" i="8" s="1"/>
  <c r="K187" i="8"/>
  <c r="AA187" i="8" s="1"/>
  <c r="C200" i="9"/>
  <c r="B199" i="9"/>
  <c r="AL186" i="7" l="1"/>
  <c r="BM186" i="7" s="1"/>
  <c r="BJ186" i="7"/>
  <c r="AF186" i="7"/>
  <c r="BG186" i="7" s="1"/>
  <c r="BA185" i="8"/>
  <c r="Z186" i="7"/>
  <c r="BA186" i="7" s="1"/>
  <c r="Z186" i="8"/>
  <c r="BA186" i="8" s="1"/>
  <c r="AD187" i="7"/>
  <c r="BE187" i="7" s="1"/>
  <c r="W187" i="7"/>
  <c r="AX187" i="7" s="1"/>
  <c r="U188" i="8"/>
  <c r="AV188" i="8" s="1"/>
  <c r="AH187" i="7"/>
  <c r="BI187" i="7" s="1"/>
  <c r="AC187" i="7"/>
  <c r="BD187" i="7" s="1"/>
  <c r="AI187" i="7"/>
  <c r="T188" i="8"/>
  <c r="AU188" i="8" s="1"/>
  <c r="S188" i="8"/>
  <c r="AT188" i="8" s="1"/>
  <c r="AF186" i="8"/>
  <c r="BG186" i="8" s="1"/>
  <c r="K188" i="8"/>
  <c r="AA188" i="8" s="1"/>
  <c r="BB188" i="8" s="1"/>
  <c r="G189" i="7"/>
  <c r="T189" i="7" s="1"/>
  <c r="AU189" i="7" s="1"/>
  <c r="M188" i="8"/>
  <c r="AH188" i="8" s="1"/>
  <c r="U187" i="7"/>
  <c r="AV187" i="7" s="1"/>
  <c r="J187" i="7"/>
  <c r="AN185" i="7"/>
  <c r="BO185" i="7" s="1"/>
  <c r="B194" i="7"/>
  <c r="A195" i="7"/>
  <c r="B200" i="9"/>
  <c r="C201" i="9"/>
  <c r="M188" i="7"/>
  <c r="H188" i="7"/>
  <c r="N188" i="7" s="1"/>
  <c r="T188" i="7"/>
  <c r="AU188" i="7" s="1"/>
  <c r="S188" i="7"/>
  <c r="K188" i="7"/>
  <c r="AA188" i="7" s="1"/>
  <c r="R199" i="9"/>
  <c r="F199" i="9"/>
  <c r="L199" i="9"/>
  <c r="X199" i="9"/>
  <c r="V199" i="9"/>
  <c r="W199" i="9"/>
  <c r="Z199" i="9"/>
  <c r="P199" i="9"/>
  <c r="D199" i="9"/>
  <c r="G199" i="9"/>
  <c r="O199" i="9"/>
  <c r="E190" i="8" s="1"/>
  <c r="I199" i="9"/>
  <c r="E190" i="7" s="1"/>
  <c r="J199" i="9"/>
  <c r="K199" i="9"/>
  <c r="N199" i="9"/>
  <c r="Y199" i="9"/>
  <c r="D190" i="8" s="1"/>
  <c r="I190" i="8" s="1"/>
  <c r="E199" i="9"/>
  <c r="Q199" i="9"/>
  <c r="H199" i="9"/>
  <c r="U199" i="9"/>
  <c r="T199" i="9"/>
  <c r="S199" i="9"/>
  <c r="D190" i="7" s="1"/>
  <c r="I190" i="7" s="1"/>
  <c r="AA199" i="9"/>
  <c r="M199" i="9"/>
  <c r="AR192" i="7"/>
  <c r="BN192" i="7" s="1"/>
  <c r="AQ192" i="7"/>
  <c r="AR190" i="8"/>
  <c r="BN190" i="8" s="1"/>
  <c r="AQ190" i="8"/>
  <c r="AH187" i="8"/>
  <c r="W187" i="8"/>
  <c r="AX187" i="8" s="1"/>
  <c r="X187" i="8"/>
  <c r="AY187" i="8" s="1"/>
  <c r="AN186" i="7"/>
  <c r="BO186" i="7" s="1"/>
  <c r="BL186" i="7"/>
  <c r="AI187" i="8"/>
  <c r="AC187" i="8"/>
  <c r="BD187" i="8" s="1"/>
  <c r="AD187" i="8"/>
  <c r="BE187" i="8" s="1"/>
  <c r="AB187" i="8"/>
  <c r="BC187" i="8" s="1"/>
  <c r="N188" i="8"/>
  <c r="L189" i="8"/>
  <c r="AE189" i="8" s="1"/>
  <c r="BF189" i="8" s="1"/>
  <c r="O189" i="8"/>
  <c r="B192" i="8"/>
  <c r="A193" i="8"/>
  <c r="BB187" i="8"/>
  <c r="AT187" i="8"/>
  <c r="BG185" i="7"/>
  <c r="AG185" i="7"/>
  <c r="BH185" i="7" s="1"/>
  <c r="AP191" i="8"/>
  <c r="C191" i="8"/>
  <c r="G189" i="8"/>
  <c r="BL186" i="8"/>
  <c r="AN186" i="8"/>
  <c r="BO186" i="8" s="1"/>
  <c r="J187" i="8"/>
  <c r="O189" i="7"/>
  <c r="L189" i="7"/>
  <c r="AE189" i="7" s="1"/>
  <c r="BF189" i="7" s="1"/>
  <c r="AP193" i="7"/>
  <c r="C193" i="7"/>
  <c r="AG186" i="7" l="1"/>
  <c r="BH186" i="7" s="1"/>
  <c r="AJ187" i="7"/>
  <c r="BK187" i="7" s="1"/>
  <c r="AK187" i="7"/>
  <c r="BL187" i="7" s="1"/>
  <c r="BJ187" i="7"/>
  <c r="AL187" i="7"/>
  <c r="BM187" i="7" s="1"/>
  <c r="H189" i="7"/>
  <c r="J189" i="7" s="1"/>
  <c r="M189" i="7"/>
  <c r="AH189" i="7" s="1"/>
  <c r="K189" i="7"/>
  <c r="AA189" i="7" s="1"/>
  <c r="BB189" i="7" s="1"/>
  <c r="Z187" i="7"/>
  <c r="BA187" i="7" s="1"/>
  <c r="AF187" i="7"/>
  <c r="BG187" i="7" s="1"/>
  <c r="S189" i="7"/>
  <c r="AT189" i="7" s="1"/>
  <c r="AG186" i="8"/>
  <c r="BH186" i="8" s="1"/>
  <c r="X188" i="8"/>
  <c r="AY188" i="8" s="1"/>
  <c r="W188" i="8"/>
  <c r="AX188" i="8" s="1"/>
  <c r="G190" i="8"/>
  <c r="S190" i="8" s="1"/>
  <c r="AF187" i="8"/>
  <c r="BG187" i="8" s="1"/>
  <c r="G190" i="7"/>
  <c r="K190" i="7" s="1"/>
  <c r="AA190" i="7" s="1"/>
  <c r="BB190" i="7" s="1"/>
  <c r="AT188" i="7"/>
  <c r="AP192" i="8"/>
  <c r="C192" i="8"/>
  <c r="L190" i="7"/>
  <c r="AE190" i="7" s="1"/>
  <c r="BF190" i="7" s="1"/>
  <c r="O190" i="7"/>
  <c r="AI188" i="7"/>
  <c r="AC188" i="7"/>
  <c r="BD188" i="7" s="1"/>
  <c r="AD188" i="7"/>
  <c r="BE188" i="7" s="1"/>
  <c r="AB188" i="7"/>
  <c r="BC188" i="7" s="1"/>
  <c r="BB188" i="7"/>
  <c r="J188" i="7"/>
  <c r="AQ193" i="7"/>
  <c r="AR193" i="7"/>
  <c r="BN193" i="7" s="1"/>
  <c r="AH188" i="7"/>
  <c r="W188" i="7"/>
  <c r="AX188" i="7" s="1"/>
  <c r="X188" i="7"/>
  <c r="AY188" i="7" s="1"/>
  <c r="U188" i="7"/>
  <c r="AV188" i="7" s="1"/>
  <c r="M189" i="8"/>
  <c r="H189" i="8"/>
  <c r="N189" i="8" s="1"/>
  <c r="S189" i="8"/>
  <c r="U189" i="8"/>
  <c r="AV189" i="8" s="1"/>
  <c r="T189" i="8"/>
  <c r="AU189" i="8" s="1"/>
  <c r="K189" i="8"/>
  <c r="AA189" i="8" s="1"/>
  <c r="AQ191" i="8"/>
  <c r="AR191" i="8"/>
  <c r="BN191" i="8" s="1"/>
  <c r="AI188" i="8"/>
  <c r="AJ188" i="8" s="1"/>
  <c r="BK188" i="8" s="1"/>
  <c r="AC188" i="8"/>
  <c r="BD188" i="8" s="1"/>
  <c r="AD188" i="8"/>
  <c r="BE188" i="8" s="1"/>
  <c r="AB188" i="8"/>
  <c r="C202" i="9"/>
  <c r="B201" i="9"/>
  <c r="BI187" i="8"/>
  <c r="AK187" i="8"/>
  <c r="AJ187" i="8"/>
  <c r="BK187" i="8" s="1"/>
  <c r="AK188" i="8"/>
  <c r="BI188" i="8"/>
  <c r="O190" i="8"/>
  <c r="L190" i="8"/>
  <c r="AE190" i="8" s="1"/>
  <c r="BF190" i="8" s="1"/>
  <c r="X200" i="9"/>
  <c r="L200" i="9"/>
  <c r="R200" i="9"/>
  <c r="F200" i="9"/>
  <c r="U200" i="9"/>
  <c r="V200" i="9"/>
  <c r="P200" i="9"/>
  <c r="O200" i="9"/>
  <c r="E191" i="8" s="1"/>
  <c r="T200" i="9"/>
  <c r="K200" i="9"/>
  <c r="N200" i="9"/>
  <c r="S200" i="9"/>
  <c r="D191" i="7" s="1"/>
  <c r="I191" i="7" s="1"/>
  <c r="Y200" i="9"/>
  <c r="D191" i="8" s="1"/>
  <c r="I191" i="8" s="1"/>
  <c r="G200" i="9"/>
  <c r="M200" i="9"/>
  <c r="W200" i="9"/>
  <c r="D200" i="9"/>
  <c r="E200" i="9"/>
  <c r="H200" i="9"/>
  <c r="Z200" i="9"/>
  <c r="Q200" i="9"/>
  <c r="I200" i="9"/>
  <c r="E191" i="7" s="1"/>
  <c r="J200" i="9"/>
  <c r="AA200" i="9"/>
  <c r="B193" i="8"/>
  <c r="A194" i="8"/>
  <c r="Z187" i="8"/>
  <c r="B195" i="7"/>
  <c r="A196" i="7"/>
  <c r="BJ187" i="8"/>
  <c r="AL187" i="8"/>
  <c r="BM187" i="8" s="1"/>
  <c r="AP194" i="7"/>
  <c r="C194" i="7"/>
  <c r="N189" i="7" l="1"/>
  <c r="AC189" i="7" s="1"/>
  <c r="BD189" i="7" s="1"/>
  <c r="U189" i="7"/>
  <c r="AV189" i="7" s="1"/>
  <c r="X189" i="7"/>
  <c r="AY189" i="7" s="1"/>
  <c r="AN187" i="7"/>
  <c r="BO187" i="7" s="1"/>
  <c r="W189" i="7"/>
  <c r="AX189" i="7" s="1"/>
  <c r="K190" i="8"/>
  <c r="AA190" i="8" s="1"/>
  <c r="BB190" i="8" s="1"/>
  <c r="Z188" i="8"/>
  <c r="BA188" i="8" s="1"/>
  <c r="T190" i="8"/>
  <c r="AU190" i="8" s="1"/>
  <c r="M190" i="8"/>
  <c r="AH190" i="8" s="1"/>
  <c r="H190" i="8"/>
  <c r="N190" i="8" s="1"/>
  <c r="AG187" i="7"/>
  <c r="BH187" i="7" s="1"/>
  <c r="AB189" i="7"/>
  <c r="BC189" i="7" s="1"/>
  <c r="U190" i="8"/>
  <c r="AV190" i="8" s="1"/>
  <c r="H190" i="7"/>
  <c r="N190" i="7" s="1"/>
  <c r="AI190" i="7" s="1"/>
  <c r="M190" i="7"/>
  <c r="AH190" i="7" s="1"/>
  <c r="S190" i="7"/>
  <c r="AT190" i="7" s="1"/>
  <c r="T190" i="7"/>
  <c r="AU190" i="7" s="1"/>
  <c r="G191" i="7"/>
  <c r="H191" i="7" s="1"/>
  <c r="Z188" i="7"/>
  <c r="BA188" i="7" s="1"/>
  <c r="AF188" i="7"/>
  <c r="BG188" i="7" s="1"/>
  <c r="C203" i="9"/>
  <c r="B202" i="9"/>
  <c r="BI189" i="7"/>
  <c r="AK189" i="7"/>
  <c r="AL188" i="7"/>
  <c r="BM188" i="7" s="1"/>
  <c r="BJ188" i="7"/>
  <c r="AQ192" i="8"/>
  <c r="AR192" i="8"/>
  <c r="BN192" i="8" s="1"/>
  <c r="BB189" i="8"/>
  <c r="AI189" i="8"/>
  <c r="AC189" i="8"/>
  <c r="BD189" i="8" s="1"/>
  <c r="AD189" i="8"/>
  <c r="BE189" i="8" s="1"/>
  <c r="AB189" i="8"/>
  <c r="BC189" i="8" s="1"/>
  <c r="BC188" i="8"/>
  <c r="AF188" i="8"/>
  <c r="AH189" i="8"/>
  <c r="W189" i="8"/>
  <c r="AX189" i="8" s="1"/>
  <c r="X189" i="8"/>
  <c r="AY189" i="8" s="1"/>
  <c r="AT190" i="8"/>
  <c r="O191" i="8"/>
  <c r="L191" i="8"/>
  <c r="AE191" i="8" s="1"/>
  <c r="BF191" i="8" s="1"/>
  <c r="AT189" i="8"/>
  <c r="X201" i="9"/>
  <c r="L201" i="9"/>
  <c r="F201" i="9"/>
  <c r="R201" i="9"/>
  <c r="V201" i="9"/>
  <c r="Y201" i="9"/>
  <c r="D192" i="8" s="1"/>
  <c r="I192" i="8" s="1"/>
  <c r="Z201" i="9"/>
  <c r="Q201" i="9"/>
  <c r="W201" i="9"/>
  <c r="D201" i="9"/>
  <c r="H201" i="9"/>
  <c r="J201" i="9"/>
  <c r="N201" i="9"/>
  <c r="P201" i="9"/>
  <c r="E201" i="9"/>
  <c r="U201" i="9"/>
  <c r="AA201" i="9"/>
  <c r="G201" i="9"/>
  <c r="O201" i="9"/>
  <c r="E192" i="8" s="1"/>
  <c r="K201" i="9"/>
  <c r="M201" i="9"/>
  <c r="S201" i="9"/>
  <c r="D192" i="7" s="1"/>
  <c r="I192" i="7" s="1"/>
  <c r="T201" i="9"/>
  <c r="I201" i="9"/>
  <c r="E192" i="7" s="1"/>
  <c r="J189" i="8"/>
  <c r="A197" i="7"/>
  <c r="B196" i="7"/>
  <c r="C195" i="7"/>
  <c r="AP195" i="7"/>
  <c r="C193" i="8"/>
  <c r="AP193" i="8"/>
  <c r="G191" i="8"/>
  <c r="BL188" i="8"/>
  <c r="AG187" i="8"/>
  <c r="BH187" i="8" s="1"/>
  <c r="BA187" i="8"/>
  <c r="BJ188" i="8"/>
  <c r="AL188" i="8"/>
  <c r="BM188" i="8" s="1"/>
  <c r="B194" i="8"/>
  <c r="A195" i="8"/>
  <c r="O191" i="7"/>
  <c r="L191" i="7"/>
  <c r="AE191" i="7" s="1"/>
  <c r="BF191" i="7" s="1"/>
  <c r="BL187" i="8"/>
  <c r="AN187" i="8"/>
  <c r="BO187" i="8" s="1"/>
  <c r="AR194" i="7"/>
  <c r="BN194" i="7" s="1"/>
  <c r="AQ194" i="7"/>
  <c r="BI188" i="7"/>
  <c r="AK188" i="7"/>
  <c r="AJ188" i="7"/>
  <c r="BK188" i="7" s="1"/>
  <c r="AD189" i="7" l="1"/>
  <c r="BE189" i="7" s="1"/>
  <c r="AI189" i="7"/>
  <c r="BJ189" i="7" s="1"/>
  <c r="J190" i="8"/>
  <c r="X190" i="8"/>
  <c r="AY190" i="8" s="1"/>
  <c r="Z189" i="7"/>
  <c r="BA189" i="7" s="1"/>
  <c r="W190" i="8"/>
  <c r="AX190" i="8" s="1"/>
  <c r="G192" i="7"/>
  <c r="K192" i="7" s="1"/>
  <c r="AA192" i="7" s="1"/>
  <c r="BB192" i="7" s="1"/>
  <c r="AJ189" i="7"/>
  <c r="BK189" i="7" s="1"/>
  <c r="AL189" i="7"/>
  <c r="BM189" i="7" s="1"/>
  <c r="AB190" i="7"/>
  <c r="BC190" i="7" s="1"/>
  <c r="AD190" i="7"/>
  <c r="BE190" i="7" s="1"/>
  <c r="J190" i="7"/>
  <c r="X190" i="7"/>
  <c r="AY190" i="7" s="1"/>
  <c r="W190" i="7"/>
  <c r="AX190" i="7" s="1"/>
  <c r="U190" i="7"/>
  <c r="AV190" i="7" s="1"/>
  <c r="N191" i="7"/>
  <c r="AB191" i="7" s="1"/>
  <c r="BC191" i="7" s="1"/>
  <c r="AC190" i="7"/>
  <c r="BD190" i="7" s="1"/>
  <c r="K191" i="7"/>
  <c r="AA191" i="7" s="1"/>
  <c r="BB191" i="7" s="1"/>
  <c r="M191" i="7"/>
  <c r="X191" i="7" s="1"/>
  <c r="AY191" i="7" s="1"/>
  <c r="S191" i="7"/>
  <c r="AT191" i="7" s="1"/>
  <c r="T191" i="7"/>
  <c r="AU191" i="7" s="1"/>
  <c r="AG188" i="7"/>
  <c r="BH188" i="7" s="1"/>
  <c r="G192" i="8"/>
  <c r="H192" i="8" s="1"/>
  <c r="J192" i="8" s="1"/>
  <c r="R202" i="9"/>
  <c r="F202" i="9"/>
  <c r="X202" i="9"/>
  <c r="L202" i="9"/>
  <c r="Y202" i="9"/>
  <c r="D193" i="8" s="1"/>
  <c r="I193" i="8" s="1"/>
  <c r="O202" i="9"/>
  <c r="E193" i="8" s="1"/>
  <c r="K202" i="9"/>
  <c r="AA202" i="9"/>
  <c r="V202" i="9"/>
  <c r="M202" i="9"/>
  <c r="Q202" i="9"/>
  <c r="H202" i="9"/>
  <c r="I202" i="9"/>
  <c r="E193" i="7" s="1"/>
  <c r="Z202" i="9"/>
  <c r="P202" i="9"/>
  <c r="T202" i="9"/>
  <c r="G202" i="9"/>
  <c r="D202" i="9"/>
  <c r="N202" i="9"/>
  <c r="U202" i="9"/>
  <c r="S202" i="9"/>
  <c r="D193" i="7" s="1"/>
  <c r="I193" i="7" s="1"/>
  <c r="E202" i="9"/>
  <c r="J202" i="9"/>
  <c r="W202" i="9"/>
  <c r="L192" i="8"/>
  <c r="AE192" i="8" s="1"/>
  <c r="BF192" i="8" s="1"/>
  <c r="O192" i="8"/>
  <c r="C204" i="9"/>
  <c r="B203" i="9"/>
  <c r="AF189" i="8"/>
  <c r="BG189" i="8" s="1"/>
  <c r="B195" i="8"/>
  <c r="A196" i="8"/>
  <c r="AP196" i="7"/>
  <c r="C196" i="7"/>
  <c r="AN188" i="8"/>
  <c r="BO188" i="8" s="1"/>
  <c r="AK190" i="7"/>
  <c r="AJ190" i="7"/>
  <c r="BK190" i="7" s="1"/>
  <c r="BI190" i="7"/>
  <c r="C194" i="8"/>
  <c r="AP194" i="8"/>
  <c r="BJ189" i="8"/>
  <c r="AL189" i="8"/>
  <c r="BM189" i="8" s="1"/>
  <c r="AK189" i="8"/>
  <c r="BI189" i="8"/>
  <c r="AJ189" i="8"/>
  <c r="BK189" i="8" s="1"/>
  <c r="AL190" i="7"/>
  <c r="BM190" i="7" s="1"/>
  <c r="BJ190" i="7"/>
  <c r="AI190" i="8"/>
  <c r="AC190" i="8"/>
  <c r="BD190" i="8" s="1"/>
  <c r="AD190" i="8"/>
  <c r="BE190" i="8" s="1"/>
  <c r="AB190" i="8"/>
  <c r="AN188" i="7"/>
  <c r="BO188" i="7" s="1"/>
  <c r="BL188" i="7"/>
  <c r="O192" i="7"/>
  <c r="L192" i="7"/>
  <c r="AE192" i="7" s="1"/>
  <c r="BF192" i="7" s="1"/>
  <c r="BI190" i="8"/>
  <c r="AK190" i="8"/>
  <c r="BG188" i="8"/>
  <c r="AG188" i="8"/>
  <c r="BH188" i="8" s="1"/>
  <c r="BL189" i="7"/>
  <c r="AR195" i="7"/>
  <c r="BN195" i="7" s="1"/>
  <c r="AQ195" i="7"/>
  <c r="B197" i="7"/>
  <c r="A198" i="7"/>
  <c r="H191" i="8"/>
  <c r="N191" i="8" s="1"/>
  <c r="M191" i="8"/>
  <c r="S191" i="8"/>
  <c r="U191" i="8"/>
  <c r="AV191" i="8" s="1"/>
  <c r="T191" i="8"/>
  <c r="AU191" i="8" s="1"/>
  <c r="K191" i="8"/>
  <c r="AA191" i="8" s="1"/>
  <c r="J191" i="7"/>
  <c r="AR193" i="8"/>
  <c r="BN193" i="8" s="1"/>
  <c r="AQ193" i="8"/>
  <c r="Z189" i="8"/>
  <c r="AF189" i="7" l="1"/>
  <c r="BG189" i="7" s="1"/>
  <c r="T192" i="7"/>
  <c r="AU192" i="7" s="1"/>
  <c r="H192" i="7"/>
  <c r="N192" i="7" s="1"/>
  <c r="AB192" i="7" s="1"/>
  <c r="M192" i="7"/>
  <c r="AH192" i="7" s="1"/>
  <c r="Z190" i="8"/>
  <c r="BA190" i="8" s="1"/>
  <c r="S192" i="7"/>
  <c r="AT192" i="7" s="1"/>
  <c r="W191" i="7"/>
  <c r="AX191" i="7" s="1"/>
  <c r="AN189" i="7"/>
  <c r="BO189" i="7" s="1"/>
  <c r="AD191" i="7"/>
  <c r="BE191" i="7" s="1"/>
  <c r="AC191" i="7"/>
  <c r="BD191" i="7" s="1"/>
  <c r="AI191" i="7"/>
  <c r="AL191" i="7" s="1"/>
  <c r="BM191" i="7" s="1"/>
  <c r="AH191" i="7"/>
  <c r="BI191" i="7" s="1"/>
  <c r="Z190" i="7"/>
  <c r="BA190" i="7" s="1"/>
  <c r="AF190" i="7"/>
  <c r="BG190" i="7" s="1"/>
  <c r="U191" i="7"/>
  <c r="AV191" i="7" s="1"/>
  <c r="T192" i="8"/>
  <c r="AU192" i="8" s="1"/>
  <c r="S192" i="8"/>
  <c r="AT192" i="8" s="1"/>
  <c r="U192" i="8"/>
  <c r="AV192" i="8" s="1"/>
  <c r="M192" i="8"/>
  <c r="AH192" i="8" s="1"/>
  <c r="K192" i="8"/>
  <c r="AA192" i="8" s="1"/>
  <c r="BB192" i="8" s="1"/>
  <c r="G193" i="8"/>
  <c r="M193" i="8" s="1"/>
  <c r="O193" i="7"/>
  <c r="L193" i="7"/>
  <c r="AE193" i="7" s="1"/>
  <c r="BF193" i="7" s="1"/>
  <c r="B196" i="8"/>
  <c r="A197" i="8"/>
  <c r="AR196" i="7"/>
  <c r="BN196" i="7" s="1"/>
  <c r="AQ196" i="7"/>
  <c r="O193" i="8"/>
  <c r="L193" i="8"/>
  <c r="AE193" i="8" s="1"/>
  <c r="BF193" i="8" s="1"/>
  <c r="R203" i="9"/>
  <c r="F203" i="9"/>
  <c r="X203" i="9"/>
  <c r="L203" i="9"/>
  <c r="I203" i="9"/>
  <c r="E194" i="7" s="1"/>
  <c r="W203" i="9"/>
  <c r="M203" i="9"/>
  <c r="N203" i="9"/>
  <c r="U203" i="9"/>
  <c r="D203" i="9"/>
  <c r="O203" i="9"/>
  <c r="E194" i="8" s="1"/>
  <c r="AA203" i="9"/>
  <c r="Y203" i="9"/>
  <c r="D194" i="8" s="1"/>
  <c r="I194" i="8" s="1"/>
  <c r="E203" i="9"/>
  <c r="Q203" i="9"/>
  <c r="T203" i="9"/>
  <c r="J203" i="9"/>
  <c r="V203" i="9"/>
  <c r="P203" i="9"/>
  <c r="S203" i="9"/>
  <c r="D194" i="7" s="1"/>
  <c r="I194" i="7" s="1"/>
  <c r="Z203" i="9"/>
  <c r="G203" i="9"/>
  <c r="H203" i="9"/>
  <c r="K203" i="9"/>
  <c r="BJ190" i="8"/>
  <c r="AL190" i="8"/>
  <c r="BM190" i="8" s="1"/>
  <c r="B198" i="7"/>
  <c r="A199" i="7"/>
  <c r="AN189" i="8"/>
  <c r="BO189" i="8" s="1"/>
  <c r="BL189" i="8"/>
  <c r="B204" i="9"/>
  <c r="C205" i="9"/>
  <c r="BA189" i="8"/>
  <c r="AG189" i="8"/>
  <c r="BH189" i="8" s="1"/>
  <c r="AN190" i="7"/>
  <c r="BO190" i="7" s="1"/>
  <c r="BL190" i="7"/>
  <c r="AP195" i="8"/>
  <c r="C195" i="8"/>
  <c r="BB191" i="8"/>
  <c r="G193" i="7"/>
  <c r="AI191" i="8"/>
  <c r="AC191" i="8"/>
  <c r="BD191" i="8" s="1"/>
  <c r="AD191" i="8"/>
  <c r="BE191" i="8" s="1"/>
  <c r="AB191" i="8"/>
  <c r="BC191" i="8" s="1"/>
  <c r="AP197" i="7"/>
  <c r="C197" i="7"/>
  <c r="AR194" i="8"/>
  <c r="BN194" i="8" s="1"/>
  <c r="AQ194" i="8"/>
  <c r="BC190" i="8"/>
  <c r="AF190" i="8"/>
  <c r="AJ190" i="8"/>
  <c r="BK190" i="8" s="1"/>
  <c r="AI192" i="7"/>
  <c r="AC192" i="7"/>
  <c r="BD192" i="7" s="1"/>
  <c r="AD192" i="7"/>
  <c r="BE192" i="7" s="1"/>
  <c r="N192" i="8"/>
  <c r="AT191" i="8"/>
  <c r="J191" i="8"/>
  <c r="AH191" i="8"/>
  <c r="W191" i="8"/>
  <c r="AX191" i="8" s="1"/>
  <c r="X191" i="8"/>
  <c r="AY191" i="8" s="1"/>
  <c r="BL190" i="8"/>
  <c r="J192" i="7" l="1"/>
  <c r="AG189" i="7"/>
  <c r="BH189" i="7" s="1"/>
  <c r="U192" i="7"/>
  <c r="AV192" i="7" s="1"/>
  <c r="X192" i="7"/>
  <c r="AY192" i="7" s="1"/>
  <c r="W192" i="7"/>
  <c r="AX192" i="7" s="1"/>
  <c r="BJ191" i="7"/>
  <c r="AJ191" i="7"/>
  <c r="BK191" i="7" s="1"/>
  <c r="AK191" i="7"/>
  <c r="AN191" i="7" s="1"/>
  <c r="BO191" i="7" s="1"/>
  <c r="AF191" i="7"/>
  <c r="BG191" i="7" s="1"/>
  <c r="AG190" i="7"/>
  <c r="BH190" i="7" s="1"/>
  <c r="X192" i="8"/>
  <c r="AY192" i="8" s="1"/>
  <c r="Z191" i="7"/>
  <c r="BA191" i="7" s="1"/>
  <c r="W192" i="8"/>
  <c r="AX192" i="8" s="1"/>
  <c r="K193" i="8"/>
  <c r="AA193" i="8" s="1"/>
  <c r="BB193" i="8" s="1"/>
  <c r="T193" i="8"/>
  <c r="AU193" i="8" s="1"/>
  <c r="U193" i="8"/>
  <c r="AV193" i="8" s="1"/>
  <c r="S193" i="8"/>
  <c r="AT193" i="8" s="1"/>
  <c r="H193" i="8"/>
  <c r="N193" i="8" s="1"/>
  <c r="AB193" i="8" s="1"/>
  <c r="BC193" i="8" s="1"/>
  <c r="AN190" i="8"/>
  <c r="BO190" i="8" s="1"/>
  <c r="Z191" i="8"/>
  <c r="BA191" i="8" s="1"/>
  <c r="AF191" i="8"/>
  <c r="BG191" i="8" s="1"/>
  <c r="BG190" i="8"/>
  <c r="AG190" i="8"/>
  <c r="BH190" i="8" s="1"/>
  <c r="C206" i="9"/>
  <c r="B205" i="9"/>
  <c r="AH193" i="8"/>
  <c r="W193" i="8"/>
  <c r="AX193" i="8" s="1"/>
  <c r="X193" i="8"/>
  <c r="AY193" i="8" s="1"/>
  <c r="O194" i="7"/>
  <c r="L194" i="7"/>
  <c r="AE194" i="7" s="1"/>
  <c r="BF194" i="7" s="1"/>
  <c r="G194" i="7"/>
  <c r="K194" i="7" s="1"/>
  <c r="AA194" i="7" s="1"/>
  <c r="B197" i="8"/>
  <c r="A198" i="8"/>
  <c r="AI192" i="8"/>
  <c r="AJ192" i="8" s="1"/>
  <c r="BK192" i="8" s="1"/>
  <c r="AC192" i="8"/>
  <c r="BD192" i="8" s="1"/>
  <c r="AD192" i="8"/>
  <c r="BE192" i="8" s="1"/>
  <c r="AB192" i="8"/>
  <c r="C196" i="8"/>
  <c r="AP196" i="8"/>
  <c r="X204" i="9"/>
  <c r="L204" i="9"/>
  <c r="R204" i="9"/>
  <c r="F204" i="9"/>
  <c r="P204" i="9"/>
  <c r="I204" i="9"/>
  <c r="E195" i="7" s="1"/>
  <c r="H204" i="9"/>
  <c r="E204" i="9"/>
  <c r="U204" i="9"/>
  <c r="J204" i="9"/>
  <c r="AA204" i="9"/>
  <c r="M204" i="9"/>
  <c r="S204" i="9"/>
  <c r="D195" i="7" s="1"/>
  <c r="I195" i="7" s="1"/>
  <c r="W204" i="9"/>
  <c r="Z204" i="9"/>
  <c r="G204" i="9"/>
  <c r="O204" i="9"/>
  <c r="E195" i="8" s="1"/>
  <c r="K204" i="9"/>
  <c r="Q204" i="9"/>
  <c r="D204" i="9"/>
  <c r="V204" i="9"/>
  <c r="N204" i="9"/>
  <c r="T204" i="9"/>
  <c r="Y204" i="9"/>
  <c r="D195" i="8" s="1"/>
  <c r="I195" i="8" s="1"/>
  <c r="BI192" i="8"/>
  <c r="AK192" i="8"/>
  <c r="AQ195" i="8"/>
  <c r="AR195" i="8"/>
  <c r="BN195" i="8" s="1"/>
  <c r="BJ191" i="8"/>
  <c r="AL191" i="8"/>
  <c r="BM191" i="8" s="1"/>
  <c r="L194" i="8"/>
  <c r="AE194" i="8" s="1"/>
  <c r="BF194" i="8" s="1"/>
  <c r="O194" i="8"/>
  <c r="AJ192" i="7"/>
  <c r="BK192" i="7" s="1"/>
  <c r="BI192" i="7"/>
  <c r="AK192" i="7"/>
  <c r="AR197" i="7"/>
  <c r="BN197" i="7" s="1"/>
  <c r="AQ197" i="7"/>
  <c r="A200" i="7"/>
  <c r="B199" i="7"/>
  <c r="BJ192" i="7"/>
  <c r="AL192" i="7"/>
  <c r="BM192" i="7" s="1"/>
  <c r="H193" i="7"/>
  <c r="N193" i="7" s="1"/>
  <c r="M193" i="7"/>
  <c r="T193" i="7"/>
  <c r="AU193" i="7" s="1"/>
  <c r="S193" i="7"/>
  <c r="K193" i="7"/>
  <c r="AA193" i="7" s="1"/>
  <c r="BC192" i="7"/>
  <c r="AF192" i="7"/>
  <c r="BG192" i="7" s="1"/>
  <c r="C198" i="7"/>
  <c r="AP198" i="7"/>
  <c r="AK191" i="8"/>
  <c r="AJ191" i="8"/>
  <c r="BK191" i="8" s="1"/>
  <c r="BI191" i="8"/>
  <c r="G194" i="8"/>
  <c r="Z192" i="7" l="1"/>
  <c r="BL191" i="7"/>
  <c r="AG191" i="7"/>
  <c r="BH191" i="7" s="1"/>
  <c r="Z192" i="8"/>
  <c r="BA192" i="8" s="1"/>
  <c r="AC193" i="8"/>
  <c r="BD193" i="8" s="1"/>
  <c r="AI193" i="8"/>
  <c r="BJ193" i="8" s="1"/>
  <c r="AD193" i="8"/>
  <c r="BE193" i="8" s="1"/>
  <c r="AG191" i="8"/>
  <c r="BH191" i="8" s="1"/>
  <c r="J193" i="8"/>
  <c r="BB194" i="7"/>
  <c r="L195" i="8"/>
  <c r="AE195" i="8" s="1"/>
  <c r="BF195" i="8" s="1"/>
  <c r="O195" i="8"/>
  <c r="BC192" i="8"/>
  <c r="AF192" i="8"/>
  <c r="BG192" i="8" s="1"/>
  <c r="O195" i="7"/>
  <c r="L195" i="7"/>
  <c r="AE195" i="7" s="1"/>
  <c r="BF195" i="7" s="1"/>
  <c r="B200" i="7"/>
  <c r="A201" i="7"/>
  <c r="BI193" i="8"/>
  <c r="AK193" i="8"/>
  <c r="AT193" i="7"/>
  <c r="AI193" i="7"/>
  <c r="AC193" i="7"/>
  <c r="BD193" i="7" s="1"/>
  <c r="AD193" i="7"/>
  <c r="BE193" i="7" s="1"/>
  <c r="AB193" i="7"/>
  <c r="BC193" i="7" s="1"/>
  <c r="J193" i="7"/>
  <c r="BJ192" i="8"/>
  <c r="AL192" i="8"/>
  <c r="BM192" i="8" s="1"/>
  <c r="X205" i="9"/>
  <c r="L205" i="9"/>
  <c r="R205" i="9"/>
  <c r="F205" i="9"/>
  <c r="Y205" i="9"/>
  <c r="D196" i="8" s="1"/>
  <c r="I196" i="8" s="1"/>
  <c r="Q205" i="9"/>
  <c r="O205" i="9"/>
  <c r="E196" i="8" s="1"/>
  <c r="U205" i="9"/>
  <c r="AA205" i="9"/>
  <c r="K205" i="9"/>
  <c r="P205" i="9"/>
  <c r="I205" i="9"/>
  <c r="E196" i="7" s="1"/>
  <c r="V205" i="9"/>
  <c r="D205" i="9"/>
  <c r="Z205" i="9"/>
  <c r="J205" i="9"/>
  <c r="G205" i="9"/>
  <c r="W205" i="9"/>
  <c r="M205" i="9"/>
  <c r="S205" i="9"/>
  <c r="D196" i="7" s="1"/>
  <c r="I196" i="7" s="1"/>
  <c r="T205" i="9"/>
  <c r="E205" i="9"/>
  <c r="N205" i="9"/>
  <c r="H205" i="9"/>
  <c r="BB193" i="7"/>
  <c r="AR196" i="8"/>
  <c r="BN196" i="8" s="1"/>
  <c r="AQ196" i="8"/>
  <c r="AH193" i="7"/>
  <c r="W193" i="7"/>
  <c r="AX193" i="7" s="1"/>
  <c r="X193" i="7"/>
  <c r="AY193" i="7" s="1"/>
  <c r="U193" i="7"/>
  <c r="AV193" i="7" s="1"/>
  <c r="H194" i="8"/>
  <c r="N194" i="8" s="1"/>
  <c r="M194" i="8"/>
  <c r="S194" i="8"/>
  <c r="U194" i="8"/>
  <c r="AV194" i="8" s="1"/>
  <c r="T194" i="8"/>
  <c r="AU194" i="8" s="1"/>
  <c r="K194" i="8"/>
  <c r="AA194" i="8" s="1"/>
  <c r="Z193" i="8"/>
  <c r="G195" i="7"/>
  <c r="K195" i="7" s="1"/>
  <c r="AA195" i="7" s="1"/>
  <c r="C207" i="9"/>
  <c r="B206" i="9"/>
  <c r="AP197" i="8"/>
  <c r="C197" i="8"/>
  <c r="AP199" i="7"/>
  <c r="C199" i="7"/>
  <c r="AR198" i="7"/>
  <c r="BN198" i="7" s="1"/>
  <c r="AQ198" i="7"/>
  <c r="BA192" i="7"/>
  <c r="AG192" i="7"/>
  <c r="BH192" i="7" s="1"/>
  <c r="G195" i="8"/>
  <c r="K195" i="8" s="1"/>
  <c r="AA195" i="8" s="1"/>
  <c r="M194" i="7"/>
  <c r="H194" i="7"/>
  <c r="N194" i="7" s="1"/>
  <c r="S194" i="7"/>
  <c r="T194" i="7"/>
  <c r="AU194" i="7" s="1"/>
  <c r="BL191" i="8"/>
  <c r="AN191" i="8"/>
  <c r="BO191" i="8" s="1"/>
  <c r="BL192" i="7"/>
  <c r="AN192" i="7"/>
  <c r="BO192" i="7" s="1"/>
  <c r="BL192" i="8"/>
  <c r="B198" i="8"/>
  <c r="A199" i="8"/>
  <c r="AJ193" i="8" l="1"/>
  <c r="BK193" i="8" s="1"/>
  <c r="AF193" i="8"/>
  <c r="BG193" i="8" s="1"/>
  <c r="AL193" i="8"/>
  <c r="BM193" i="8" s="1"/>
  <c r="G196" i="8"/>
  <c r="H196" i="8" s="1"/>
  <c r="G196" i="7"/>
  <c r="T196" i="7" s="1"/>
  <c r="AU196" i="7" s="1"/>
  <c r="J194" i="8"/>
  <c r="AI194" i="7"/>
  <c r="AC194" i="7"/>
  <c r="BD194" i="7" s="1"/>
  <c r="AD194" i="7"/>
  <c r="BE194" i="7" s="1"/>
  <c r="AB194" i="7"/>
  <c r="B201" i="7"/>
  <c r="A202" i="7"/>
  <c r="BB195" i="8"/>
  <c r="J194" i="7"/>
  <c r="AP200" i="7"/>
  <c r="C200" i="7"/>
  <c r="AT194" i="7"/>
  <c r="BB195" i="7"/>
  <c r="S196" i="8"/>
  <c r="U196" i="8"/>
  <c r="AV196" i="8" s="1"/>
  <c r="T196" i="8"/>
  <c r="AU196" i="8" s="1"/>
  <c r="H196" i="7"/>
  <c r="M196" i="7"/>
  <c r="B199" i="8"/>
  <c r="A200" i="8"/>
  <c r="R206" i="9"/>
  <c r="F206" i="9"/>
  <c r="X206" i="9"/>
  <c r="L206" i="9"/>
  <c r="W206" i="9"/>
  <c r="K206" i="9"/>
  <c r="J206" i="9"/>
  <c r="E206" i="9"/>
  <c r="N206" i="9"/>
  <c r="Y206" i="9"/>
  <c r="D197" i="8" s="1"/>
  <c r="I197" i="8" s="1"/>
  <c r="I206" i="9"/>
  <c r="E197" i="7" s="1"/>
  <c r="Z206" i="9"/>
  <c r="P206" i="9"/>
  <c r="U206" i="9"/>
  <c r="G206" i="9"/>
  <c r="S206" i="9"/>
  <c r="D197" i="7" s="1"/>
  <c r="I197" i="7" s="1"/>
  <c r="AA206" i="9"/>
  <c r="D206" i="9"/>
  <c r="T206" i="9"/>
  <c r="M206" i="9"/>
  <c r="O206" i="9"/>
  <c r="E197" i="8" s="1"/>
  <c r="H206" i="9"/>
  <c r="Q206" i="9"/>
  <c r="V206" i="9"/>
  <c r="M195" i="8"/>
  <c r="H195" i="8"/>
  <c r="N195" i="8" s="1"/>
  <c r="S195" i="8"/>
  <c r="U195" i="8"/>
  <c r="AV195" i="8" s="1"/>
  <c r="T195" i="8"/>
  <c r="AU195" i="8" s="1"/>
  <c r="AQ197" i="8"/>
  <c r="AR197" i="8"/>
  <c r="BN197" i="8" s="1"/>
  <c r="O196" i="8"/>
  <c r="L196" i="8"/>
  <c r="AE196" i="8" s="1"/>
  <c r="BF196" i="8" s="1"/>
  <c r="BL193" i="8"/>
  <c r="L196" i="7"/>
  <c r="AE196" i="7" s="1"/>
  <c r="BF196" i="7" s="1"/>
  <c r="O196" i="7"/>
  <c r="AL193" i="7"/>
  <c r="BM193" i="7" s="1"/>
  <c r="BJ193" i="7"/>
  <c r="AH194" i="8"/>
  <c r="W194" i="8"/>
  <c r="AX194" i="8" s="1"/>
  <c r="X194" i="8"/>
  <c r="AY194" i="8" s="1"/>
  <c r="AI194" i="8"/>
  <c r="AC194" i="8"/>
  <c r="BD194" i="8" s="1"/>
  <c r="AD194" i="8"/>
  <c r="BE194" i="8" s="1"/>
  <c r="AB194" i="8"/>
  <c r="BC194" i="8" s="1"/>
  <c r="AK193" i="7"/>
  <c r="AJ193" i="7"/>
  <c r="BK193" i="7" s="1"/>
  <c r="BI193" i="7"/>
  <c r="AQ199" i="7"/>
  <c r="AR199" i="7"/>
  <c r="BN199" i="7" s="1"/>
  <c r="C208" i="9"/>
  <c r="B207" i="9"/>
  <c r="AN192" i="8"/>
  <c r="BO192" i="8" s="1"/>
  <c r="AG193" i="8"/>
  <c r="BH193" i="8" s="1"/>
  <c r="BA193" i="8"/>
  <c r="BB194" i="8"/>
  <c r="AF193" i="7"/>
  <c r="BG193" i="7" s="1"/>
  <c r="Z193" i="7"/>
  <c r="AP198" i="8"/>
  <c r="C198" i="8"/>
  <c r="AH194" i="7"/>
  <c r="W194" i="7"/>
  <c r="AX194" i="7" s="1"/>
  <c r="X194" i="7"/>
  <c r="AY194" i="7" s="1"/>
  <c r="U194" i="7"/>
  <c r="AV194" i="7" s="1"/>
  <c r="M195" i="7"/>
  <c r="H195" i="7"/>
  <c r="N195" i="7" s="1"/>
  <c r="T195" i="7"/>
  <c r="AU195" i="7" s="1"/>
  <c r="S195" i="7"/>
  <c r="AG192" i="8"/>
  <c r="BH192" i="8" s="1"/>
  <c r="AT194" i="8"/>
  <c r="K196" i="7" l="1"/>
  <c r="AA196" i="7" s="1"/>
  <c r="BB196" i="7" s="1"/>
  <c r="M196" i="8"/>
  <c r="W196" i="8" s="1"/>
  <c r="AX196" i="8" s="1"/>
  <c r="K196" i="8"/>
  <c r="AA196" i="8" s="1"/>
  <c r="BB196" i="8" s="1"/>
  <c r="AN193" i="8"/>
  <c r="BO193" i="8" s="1"/>
  <c r="S196" i="7"/>
  <c r="AT196" i="7" s="1"/>
  <c r="J195" i="8"/>
  <c r="G197" i="8"/>
  <c r="K197" i="8" s="1"/>
  <c r="AA197" i="8" s="1"/>
  <c r="BB197" i="8" s="1"/>
  <c r="Z194" i="8"/>
  <c r="BA194" i="8" s="1"/>
  <c r="N196" i="7"/>
  <c r="AI196" i="7" s="1"/>
  <c r="AK194" i="8"/>
  <c r="AJ194" i="8"/>
  <c r="BK194" i="8" s="1"/>
  <c r="BI194" i="8"/>
  <c r="AT195" i="8"/>
  <c r="J196" i="7"/>
  <c r="BI194" i="7"/>
  <c r="AK194" i="7"/>
  <c r="AJ194" i="7"/>
  <c r="BK194" i="7" s="1"/>
  <c r="AT196" i="8"/>
  <c r="AT195" i="7"/>
  <c r="BA193" i="7"/>
  <c r="AG193" i="7"/>
  <c r="BH193" i="7" s="1"/>
  <c r="N196" i="8"/>
  <c r="AN193" i="7"/>
  <c r="BO193" i="7" s="1"/>
  <c r="BL193" i="7"/>
  <c r="B200" i="8"/>
  <c r="A201" i="8"/>
  <c r="A203" i="7"/>
  <c r="B202" i="7"/>
  <c r="O197" i="7"/>
  <c r="L197" i="7"/>
  <c r="AE197" i="7" s="1"/>
  <c r="BF197" i="7" s="1"/>
  <c r="G197" i="7"/>
  <c r="C199" i="8"/>
  <c r="AP199" i="8"/>
  <c r="J196" i="8"/>
  <c r="C201" i="7"/>
  <c r="AP201" i="7"/>
  <c r="C209" i="9"/>
  <c r="B208" i="9"/>
  <c r="AI195" i="7"/>
  <c r="AC195" i="7"/>
  <c r="BD195" i="7" s="1"/>
  <c r="AD195" i="7"/>
  <c r="BE195" i="7" s="1"/>
  <c r="AB195" i="7"/>
  <c r="AH195" i="7"/>
  <c r="W195" i="7"/>
  <c r="AX195" i="7" s="1"/>
  <c r="X195" i="7"/>
  <c r="AY195" i="7" s="1"/>
  <c r="U195" i="7"/>
  <c r="AV195" i="7" s="1"/>
  <c r="O197" i="8"/>
  <c r="L197" i="8"/>
  <c r="AE197" i="8" s="1"/>
  <c r="BF197" i="8" s="1"/>
  <c r="BC194" i="7"/>
  <c r="AF194" i="7"/>
  <c r="BG194" i="7" s="1"/>
  <c r="AH195" i="8"/>
  <c r="W195" i="8"/>
  <c r="AX195" i="8" s="1"/>
  <c r="X195" i="8"/>
  <c r="AY195" i="8" s="1"/>
  <c r="AF194" i="8"/>
  <c r="BG194" i="8" s="1"/>
  <c r="AR200" i="7"/>
  <c r="BN200" i="7" s="1"/>
  <c r="AQ200" i="7"/>
  <c r="AQ198" i="8"/>
  <c r="AR198" i="8"/>
  <c r="BN198" i="8" s="1"/>
  <c r="BJ194" i="8"/>
  <c r="AL194" i="8"/>
  <c r="BM194" i="8" s="1"/>
  <c r="AH196" i="7"/>
  <c r="W196" i="7"/>
  <c r="AX196" i="7" s="1"/>
  <c r="X196" i="7"/>
  <c r="AY196" i="7" s="1"/>
  <c r="U196" i="7"/>
  <c r="AV196" i="7" s="1"/>
  <c r="AI195" i="8"/>
  <c r="AC195" i="8"/>
  <c r="BD195" i="8" s="1"/>
  <c r="AD195" i="8"/>
  <c r="BE195" i="8" s="1"/>
  <c r="AB195" i="8"/>
  <c r="J195" i="7"/>
  <c r="R207" i="9"/>
  <c r="F207" i="9"/>
  <c r="L207" i="9"/>
  <c r="S207" i="9"/>
  <c r="D198" i="7" s="1"/>
  <c r="I198" i="7" s="1"/>
  <c r="Y207" i="9"/>
  <c r="D198" i="8" s="1"/>
  <c r="I198" i="8" s="1"/>
  <c r="X207" i="9"/>
  <c r="W207" i="9"/>
  <c r="T207" i="9"/>
  <c r="M207" i="9"/>
  <c r="D207" i="9"/>
  <c r="AA207" i="9"/>
  <c r="K207" i="9"/>
  <c r="G207" i="9"/>
  <c r="J207" i="9"/>
  <c r="N207" i="9"/>
  <c r="V207" i="9"/>
  <c r="I207" i="9"/>
  <c r="E198" i="7" s="1"/>
  <c r="E207" i="9"/>
  <c r="P207" i="9"/>
  <c r="Q207" i="9"/>
  <c r="H207" i="9"/>
  <c r="Z207" i="9"/>
  <c r="U207" i="9"/>
  <c r="O207" i="9"/>
  <c r="E198" i="8" s="1"/>
  <c r="Z194" i="7"/>
  <c r="AL194" i="7"/>
  <c r="BM194" i="7" s="1"/>
  <c r="BJ194" i="7"/>
  <c r="AH196" i="8" l="1"/>
  <c r="M197" i="8"/>
  <c r="W197" i="8" s="1"/>
  <c r="AX197" i="8" s="1"/>
  <c r="H197" i="8"/>
  <c r="N197" i="8" s="1"/>
  <c r="AI197" i="8" s="1"/>
  <c r="X196" i="8"/>
  <c r="AY196" i="8" s="1"/>
  <c r="S197" i="8"/>
  <c r="AT197" i="8" s="1"/>
  <c r="T197" i="8"/>
  <c r="AU197" i="8" s="1"/>
  <c r="U197" i="8"/>
  <c r="AV197" i="8" s="1"/>
  <c r="AB196" i="7"/>
  <c r="BC196" i="7" s="1"/>
  <c r="AD196" i="7"/>
  <c r="BE196" i="7" s="1"/>
  <c r="AC196" i="7"/>
  <c r="BD196" i="7" s="1"/>
  <c r="G198" i="7"/>
  <c r="T198" i="7" s="1"/>
  <c r="AU198" i="7" s="1"/>
  <c r="BI196" i="8"/>
  <c r="AK196" i="8"/>
  <c r="B203" i="7"/>
  <c r="A204" i="7"/>
  <c r="AN194" i="7"/>
  <c r="BO194" i="7" s="1"/>
  <c r="BL194" i="7"/>
  <c r="AP200" i="8"/>
  <c r="C200" i="8"/>
  <c r="BJ195" i="8"/>
  <c r="AL195" i="8"/>
  <c r="BM195" i="8" s="1"/>
  <c r="A202" i="8"/>
  <c r="B201" i="8"/>
  <c r="L198" i="8"/>
  <c r="AE198" i="8" s="1"/>
  <c r="BF198" i="8" s="1"/>
  <c r="O198" i="8"/>
  <c r="AR201" i="7"/>
  <c r="BN201" i="7" s="1"/>
  <c r="AQ201" i="7"/>
  <c r="Z196" i="7"/>
  <c r="AD197" i="8"/>
  <c r="BE197" i="8" s="1"/>
  <c r="AB197" i="8"/>
  <c r="X208" i="9"/>
  <c r="L208" i="9"/>
  <c r="F208" i="9"/>
  <c r="R208" i="9"/>
  <c r="D208" i="9"/>
  <c r="V208" i="9"/>
  <c r="K208" i="9"/>
  <c r="N208" i="9"/>
  <c r="P208" i="9"/>
  <c r="I208" i="9"/>
  <c r="E199" i="7" s="1"/>
  <c r="O208" i="9"/>
  <c r="E199" i="8" s="1"/>
  <c r="U208" i="9"/>
  <c r="Y208" i="9"/>
  <c r="D199" i="8" s="1"/>
  <c r="I199" i="8" s="1"/>
  <c r="T208" i="9"/>
  <c r="M208" i="9"/>
  <c r="Q208" i="9"/>
  <c r="G208" i="9"/>
  <c r="Z208" i="9"/>
  <c r="E208" i="9"/>
  <c r="S208" i="9"/>
  <c r="D199" i="7" s="1"/>
  <c r="I199" i="7" s="1"/>
  <c r="H208" i="9"/>
  <c r="AA208" i="9"/>
  <c r="J208" i="9"/>
  <c r="W208" i="9"/>
  <c r="O198" i="7"/>
  <c r="L198" i="7"/>
  <c r="AE198" i="7" s="1"/>
  <c r="BF198" i="7" s="1"/>
  <c r="AJ195" i="8"/>
  <c r="BK195" i="8" s="1"/>
  <c r="BI195" i="8"/>
  <c r="AK195" i="8"/>
  <c r="AI196" i="8"/>
  <c r="AC196" i="8"/>
  <c r="BD196" i="8" s="1"/>
  <c r="AD196" i="8"/>
  <c r="BE196" i="8" s="1"/>
  <c r="AB196" i="8"/>
  <c r="Z195" i="8"/>
  <c r="AP202" i="7"/>
  <c r="C202" i="7"/>
  <c r="AK196" i="7"/>
  <c r="AJ196" i="7"/>
  <c r="BK196" i="7" s="1"/>
  <c r="BI196" i="7"/>
  <c r="AG194" i="8"/>
  <c r="BH194" i="8" s="1"/>
  <c r="AJ195" i="7"/>
  <c r="BK195" i="7" s="1"/>
  <c r="BI195" i="7"/>
  <c r="AK195" i="7"/>
  <c r="AR199" i="8"/>
  <c r="BN199" i="8" s="1"/>
  <c r="AQ199" i="8"/>
  <c r="BC195" i="7"/>
  <c r="AF195" i="7"/>
  <c r="BG195" i="7" s="1"/>
  <c r="C210" i="9"/>
  <c r="B209" i="9"/>
  <c r="G198" i="8"/>
  <c r="J197" i="8"/>
  <c r="M197" i="7"/>
  <c r="H197" i="7"/>
  <c r="N197" i="7" s="1"/>
  <c r="T197" i="7"/>
  <c r="AU197" i="7" s="1"/>
  <c r="S197" i="7"/>
  <c r="K197" i="7"/>
  <c r="AA197" i="7" s="1"/>
  <c r="Z195" i="7"/>
  <c r="BL194" i="8"/>
  <c r="AN194" i="8"/>
  <c r="BO194" i="8" s="1"/>
  <c r="AL196" i="7"/>
  <c r="BM196" i="7" s="1"/>
  <c r="BJ196" i="7"/>
  <c r="AG194" i="7"/>
  <c r="BH194" i="7" s="1"/>
  <c r="BA194" i="7"/>
  <c r="X197" i="8"/>
  <c r="AY197" i="8" s="1"/>
  <c r="BC195" i="8"/>
  <c r="AF195" i="8"/>
  <c r="BG195" i="8" s="1"/>
  <c r="BJ195" i="7"/>
  <c r="AL195" i="7"/>
  <c r="BM195" i="7" s="1"/>
  <c r="Z196" i="8"/>
  <c r="AH197" i="8" l="1"/>
  <c r="AC197" i="8"/>
  <c r="BD197" i="8" s="1"/>
  <c r="AF196" i="7"/>
  <c r="BG196" i="7" s="1"/>
  <c r="H198" i="7"/>
  <c r="N198" i="7" s="1"/>
  <c r="AB198" i="7" s="1"/>
  <c r="BC198" i="7" s="1"/>
  <c r="M198" i="7"/>
  <c r="AH198" i="7" s="1"/>
  <c r="S198" i="7"/>
  <c r="AT198" i="7" s="1"/>
  <c r="K198" i="7"/>
  <c r="AA198" i="7" s="1"/>
  <c r="BB198" i="7" s="1"/>
  <c r="G199" i="7"/>
  <c r="H199" i="7" s="1"/>
  <c r="J197" i="7"/>
  <c r="G199" i="8"/>
  <c r="T199" i="8" s="1"/>
  <c r="AU199" i="8" s="1"/>
  <c r="B202" i="8"/>
  <c r="A203" i="8"/>
  <c r="AN196" i="7"/>
  <c r="BO196" i="7" s="1"/>
  <c r="BL196" i="7"/>
  <c r="O199" i="8"/>
  <c r="L199" i="8"/>
  <c r="AE199" i="8" s="1"/>
  <c r="BF199" i="8" s="1"/>
  <c r="BC197" i="8"/>
  <c r="AF197" i="8"/>
  <c r="BG197" i="8" s="1"/>
  <c r="AQ200" i="8"/>
  <c r="AR200" i="8"/>
  <c r="BN200" i="8" s="1"/>
  <c r="AH197" i="7"/>
  <c r="W197" i="7"/>
  <c r="AX197" i="7" s="1"/>
  <c r="X197" i="7"/>
  <c r="AY197" i="7" s="1"/>
  <c r="U197" i="7"/>
  <c r="AV197" i="7" s="1"/>
  <c r="M198" i="8"/>
  <c r="H198" i="8"/>
  <c r="N198" i="8" s="1"/>
  <c r="S198" i="8"/>
  <c r="T198" i="8"/>
  <c r="AU198" i="8" s="1"/>
  <c r="U198" i="8"/>
  <c r="AV198" i="8" s="1"/>
  <c r="K198" i="8"/>
  <c r="AA198" i="8" s="1"/>
  <c r="F209" i="9"/>
  <c r="L209" i="9"/>
  <c r="X209" i="9"/>
  <c r="R209" i="9"/>
  <c r="W209" i="9"/>
  <c r="G209" i="9"/>
  <c r="AA209" i="9"/>
  <c r="K209" i="9"/>
  <c r="Q209" i="9"/>
  <c r="V209" i="9"/>
  <c r="N209" i="9"/>
  <c r="J209" i="9"/>
  <c r="M209" i="9"/>
  <c r="E209" i="9"/>
  <c r="U209" i="9"/>
  <c r="Y209" i="9"/>
  <c r="D200" i="8" s="1"/>
  <c r="I200" i="8" s="1"/>
  <c r="D209" i="9"/>
  <c r="O209" i="9"/>
  <c r="E200" i="8" s="1"/>
  <c r="T209" i="9"/>
  <c r="I209" i="9"/>
  <c r="E200" i="7" s="1"/>
  <c r="Z209" i="9"/>
  <c r="H209" i="9"/>
  <c r="S209" i="9"/>
  <c r="D200" i="7" s="1"/>
  <c r="I200" i="7" s="1"/>
  <c r="P209" i="9"/>
  <c r="C211" i="9"/>
  <c r="B210" i="9"/>
  <c r="BC196" i="8"/>
  <c r="AF196" i="8"/>
  <c r="BG196" i="8" s="1"/>
  <c r="BJ197" i="8"/>
  <c r="AL197" i="8"/>
  <c r="BM197" i="8" s="1"/>
  <c r="BA196" i="7"/>
  <c r="BA195" i="7"/>
  <c r="AG195" i="7"/>
  <c r="BH195" i="7" s="1"/>
  <c r="B204" i="7"/>
  <c r="A205" i="7"/>
  <c r="BJ196" i="8"/>
  <c r="AL196" i="8"/>
  <c r="BM196" i="8" s="1"/>
  <c r="AP203" i="7"/>
  <c r="C203" i="7"/>
  <c r="O199" i="7"/>
  <c r="L199" i="7"/>
  <c r="AE199" i="7" s="1"/>
  <c r="BF199" i="7" s="1"/>
  <c r="BL195" i="8"/>
  <c r="AN195" i="8"/>
  <c r="BO195" i="8" s="1"/>
  <c r="AJ196" i="8"/>
  <c r="BK196" i="8" s="1"/>
  <c r="AR202" i="7"/>
  <c r="BN202" i="7" s="1"/>
  <c r="AQ202" i="7"/>
  <c r="BB197" i="7"/>
  <c r="Z197" i="8"/>
  <c r="BL196" i="8"/>
  <c r="BA196" i="8"/>
  <c r="AG195" i="8"/>
  <c r="BH195" i="8" s="1"/>
  <c r="BA195" i="8"/>
  <c r="BL195" i="7"/>
  <c r="AN195" i="7"/>
  <c r="BO195" i="7" s="1"/>
  <c r="AT197" i="7"/>
  <c r="AK197" i="8"/>
  <c r="AJ197" i="8"/>
  <c r="BK197" i="8" s="1"/>
  <c r="BI197" i="8"/>
  <c r="AI197" i="7"/>
  <c r="AC197" i="7"/>
  <c r="BD197" i="7" s="1"/>
  <c r="AD197" i="7"/>
  <c r="BE197" i="7" s="1"/>
  <c r="AB197" i="7"/>
  <c r="BC197" i="7" s="1"/>
  <c r="AP201" i="8"/>
  <c r="C201" i="8"/>
  <c r="AG196" i="7" l="1"/>
  <c r="BH196" i="7" s="1"/>
  <c r="J198" i="7"/>
  <c r="N199" i="7"/>
  <c r="AD199" i="7" s="1"/>
  <c r="BE199" i="7" s="1"/>
  <c r="S199" i="7"/>
  <c r="AT199" i="7" s="1"/>
  <c r="U198" i="7"/>
  <c r="AV198" i="7" s="1"/>
  <c r="X198" i="7"/>
  <c r="AY198" i="7" s="1"/>
  <c r="W198" i="7"/>
  <c r="AX198" i="7" s="1"/>
  <c r="AN196" i="8"/>
  <c r="BO196" i="8" s="1"/>
  <c r="T199" i="7"/>
  <c r="AU199" i="7" s="1"/>
  <c r="K199" i="7"/>
  <c r="AA199" i="7" s="1"/>
  <c r="BB199" i="7" s="1"/>
  <c r="M199" i="7"/>
  <c r="AH199" i="7" s="1"/>
  <c r="AI198" i="7"/>
  <c r="AJ198" i="7" s="1"/>
  <c r="BK198" i="7" s="1"/>
  <c r="S199" i="8"/>
  <c r="AT199" i="8" s="1"/>
  <c r="M199" i="8"/>
  <c r="X199" i="8" s="1"/>
  <c r="AY199" i="8" s="1"/>
  <c r="H199" i="8"/>
  <c r="J199" i="8" s="1"/>
  <c r="AD198" i="7"/>
  <c r="BE198" i="7" s="1"/>
  <c r="U199" i="8"/>
  <c r="AV199" i="8" s="1"/>
  <c r="K199" i="8"/>
  <c r="AA199" i="8" s="1"/>
  <c r="BB199" i="8" s="1"/>
  <c r="AC198" i="7"/>
  <c r="BD198" i="7" s="1"/>
  <c r="G200" i="8"/>
  <c r="S200" i="8" s="1"/>
  <c r="BL197" i="8"/>
  <c r="AN197" i="8"/>
  <c r="BO197" i="8" s="1"/>
  <c r="BI197" i="7"/>
  <c r="AK197" i="7"/>
  <c r="AJ197" i="7"/>
  <c r="BK197" i="7" s="1"/>
  <c r="AT198" i="8"/>
  <c r="AI198" i="8"/>
  <c r="AC198" i="8"/>
  <c r="BD198" i="8" s="1"/>
  <c r="AD198" i="8"/>
  <c r="BE198" i="8" s="1"/>
  <c r="AB198" i="8"/>
  <c r="BC198" i="8" s="1"/>
  <c r="J198" i="8"/>
  <c r="BB198" i="8"/>
  <c r="C204" i="7"/>
  <c r="AP204" i="7"/>
  <c r="G200" i="7"/>
  <c r="AH198" i="8"/>
  <c r="W198" i="8"/>
  <c r="AX198" i="8" s="1"/>
  <c r="X198" i="8"/>
  <c r="AY198" i="8" s="1"/>
  <c r="AQ201" i="8"/>
  <c r="AR201" i="8"/>
  <c r="BN201" i="8" s="1"/>
  <c r="O200" i="8"/>
  <c r="L200" i="8"/>
  <c r="AE200" i="8" s="1"/>
  <c r="BF200" i="8" s="1"/>
  <c r="O200" i="7"/>
  <c r="L200" i="7"/>
  <c r="AE200" i="7" s="1"/>
  <c r="BF200" i="7" s="1"/>
  <c r="Z197" i="7"/>
  <c r="AR203" i="7"/>
  <c r="BN203" i="7" s="1"/>
  <c r="AQ203" i="7"/>
  <c r="AL197" i="7"/>
  <c r="BM197" i="7" s="1"/>
  <c r="BJ197" i="7"/>
  <c r="R210" i="9"/>
  <c r="F210" i="9"/>
  <c r="L210" i="9"/>
  <c r="X210" i="9"/>
  <c r="G210" i="9"/>
  <c r="N210" i="9"/>
  <c r="P210" i="9"/>
  <c r="J210" i="9"/>
  <c r="K210" i="9"/>
  <c r="Y210" i="9"/>
  <c r="D201" i="8" s="1"/>
  <c r="I201" i="8" s="1"/>
  <c r="U210" i="9"/>
  <c r="M210" i="9"/>
  <c r="Z210" i="9"/>
  <c r="E210" i="9"/>
  <c r="Q210" i="9"/>
  <c r="O210" i="9"/>
  <c r="E201" i="8" s="1"/>
  <c r="S210" i="9"/>
  <c r="D201" i="7" s="1"/>
  <c r="I201" i="7" s="1"/>
  <c r="T210" i="9"/>
  <c r="AA210" i="9"/>
  <c r="W210" i="9"/>
  <c r="I210" i="9"/>
  <c r="E201" i="7" s="1"/>
  <c r="H210" i="9"/>
  <c r="D210" i="9"/>
  <c r="V210" i="9"/>
  <c r="A204" i="8"/>
  <c r="B203" i="8"/>
  <c r="A206" i="7"/>
  <c r="B205" i="7"/>
  <c r="BA197" i="8"/>
  <c r="AG197" i="8"/>
  <c r="BH197" i="8" s="1"/>
  <c r="AG196" i="8"/>
  <c r="BH196" i="8" s="1"/>
  <c r="AF197" i="7"/>
  <c r="BG197" i="7" s="1"/>
  <c r="B211" i="9"/>
  <c r="C212" i="9"/>
  <c r="BI198" i="7"/>
  <c r="AK198" i="7"/>
  <c r="J199" i="7"/>
  <c r="C202" i="8"/>
  <c r="AP202" i="8"/>
  <c r="AC199" i="7" l="1"/>
  <c r="BD199" i="7" s="1"/>
  <c r="AI199" i="7"/>
  <c r="AB199" i="7"/>
  <c r="BC199" i="7" s="1"/>
  <c r="Z198" i="7"/>
  <c r="BA198" i="7" s="1"/>
  <c r="AL198" i="7"/>
  <c r="BM198" i="7" s="1"/>
  <c r="BJ198" i="7"/>
  <c r="U199" i="7"/>
  <c r="AV199" i="7" s="1"/>
  <c r="X199" i="7"/>
  <c r="AY199" i="7" s="1"/>
  <c r="W199" i="7"/>
  <c r="AX199" i="7" s="1"/>
  <c r="N199" i="8"/>
  <c r="AB199" i="8" s="1"/>
  <c r="BC199" i="8" s="1"/>
  <c r="AF198" i="7"/>
  <c r="BG198" i="7" s="1"/>
  <c r="W199" i="8"/>
  <c r="AX199" i="8" s="1"/>
  <c r="AH199" i="8"/>
  <c r="AK199" i="8" s="1"/>
  <c r="G201" i="7"/>
  <c r="T201" i="7" s="1"/>
  <c r="AU201" i="7" s="1"/>
  <c r="H200" i="8"/>
  <c r="N200" i="8" s="1"/>
  <c r="AD200" i="8" s="1"/>
  <c r="BE200" i="8" s="1"/>
  <c r="K200" i="8"/>
  <c r="AA200" i="8" s="1"/>
  <c r="BB200" i="8" s="1"/>
  <c r="M200" i="8"/>
  <c r="X200" i="8" s="1"/>
  <c r="AY200" i="8" s="1"/>
  <c r="T200" i="8"/>
  <c r="AU200" i="8" s="1"/>
  <c r="U200" i="8"/>
  <c r="AV200" i="8" s="1"/>
  <c r="AF199" i="7"/>
  <c r="BG199" i="7" s="1"/>
  <c r="AF198" i="8"/>
  <c r="BG198" i="8" s="1"/>
  <c r="L201" i="8"/>
  <c r="AE201" i="8" s="1"/>
  <c r="BF201" i="8" s="1"/>
  <c r="O201" i="8"/>
  <c r="BA197" i="7"/>
  <c r="AG197" i="7"/>
  <c r="BH197" i="7" s="1"/>
  <c r="M200" i="7"/>
  <c r="H200" i="7"/>
  <c r="N200" i="7" s="1"/>
  <c r="S200" i="7"/>
  <c r="T200" i="7"/>
  <c r="AU200" i="7" s="1"/>
  <c r="K200" i="7"/>
  <c r="AA200" i="7" s="1"/>
  <c r="AT200" i="8"/>
  <c r="AP203" i="8"/>
  <c r="C203" i="8"/>
  <c r="AR204" i="7"/>
  <c r="BN204" i="7" s="1"/>
  <c r="AQ204" i="7"/>
  <c r="Z198" i="8"/>
  <c r="O201" i="7"/>
  <c r="L201" i="7"/>
  <c r="AE201" i="7" s="1"/>
  <c r="BF201" i="7" s="1"/>
  <c r="AP205" i="7"/>
  <c r="C205" i="7"/>
  <c r="B206" i="7"/>
  <c r="A207" i="7"/>
  <c r="AK199" i="7"/>
  <c r="AJ199" i="7"/>
  <c r="BK199" i="7" s="1"/>
  <c r="BI199" i="7"/>
  <c r="AN197" i="7"/>
  <c r="BO197" i="7" s="1"/>
  <c r="BL197" i="7"/>
  <c r="BL198" i="7"/>
  <c r="G201" i="8"/>
  <c r="F211" i="9"/>
  <c r="R211" i="9"/>
  <c r="X211" i="9"/>
  <c r="L211" i="9"/>
  <c r="W211" i="9"/>
  <c r="Z211" i="9"/>
  <c r="K211" i="9"/>
  <c r="D211" i="9"/>
  <c r="Q211" i="9"/>
  <c r="J211" i="9"/>
  <c r="V211" i="9"/>
  <c r="I211" i="9"/>
  <c r="E202" i="7" s="1"/>
  <c r="Y211" i="9"/>
  <c r="D202" i="8" s="1"/>
  <c r="I202" i="8" s="1"/>
  <c r="N211" i="9"/>
  <c r="U211" i="9"/>
  <c r="G211" i="9"/>
  <c r="AA211" i="9"/>
  <c r="M211" i="9"/>
  <c r="S211" i="9"/>
  <c r="D202" i="7" s="1"/>
  <c r="I202" i="7" s="1"/>
  <c r="P211" i="9"/>
  <c r="O211" i="9"/>
  <c r="E202" i="8" s="1"/>
  <c r="H211" i="9"/>
  <c r="E211" i="9"/>
  <c r="T211" i="9"/>
  <c r="AR202" i="8"/>
  <c r="BN202" i="8" s="1"/>
  <c r="AQ202" i="8"/>
  <c r="AK198" i="8"/>
  <c r="AJ198" i="8"/>
  <c r="BK198" i="8" s="1"/>
  <c r="BI198" i="8"/>
  <c r="C213" i="9"/>
  <c r="B212" i="9"/>
  <c r="AL199" i="7"/>
  <c r="BM199" i="7" s="1"/>
  <c r="BJ199" i="7"/>
  <c r="A205" i="8"/>
  <c r="B204" i="8"/>
  <c r="AL198" i="8"/>
  <c r="BM198" i="8" s="1"/>
  <c r="BJ198" i="8"/>
  <c r="AN198" i="7" l="1"/>
  <c r="BO198" i="7" s="1"/>
  <c r="Z199" i="7"/>
  <c r="AG198" i="7"/>
  <c r="BH198" i="7" s="1"/>
  <c r="BI199" i="8"/>
  <c r="AD199" i="8"/>
  <c r="BE199" i="8" s="1"/>
  <c r="AC199" i="8"/>
  <c r="BD199" i="8" s="1"/>
  <c r="AI200" i="8"/>
  <c r="AL200" i="8" s="1"/>
  <c r="BM200" i="8" s="1"/>
  <c r="K201" i="7"/>
  <c r="AA201" i="7" s="1"/>
  <c r="BB201" i="7" s="1"/>
  <c r="AI199" i="8"/>
  <c r="AL199" i="8" s="1"/>
  <c r="BM199" i="8" s="1"/>
  <c r="M201" i="7"/>
  <c r="AH201" i="7" s="1"/>
  <c r="AC200" i="8"/>
  <c r="BD200" i="8" s="1"/>
  <c r="S201" i="7"/>
  <c r="AT201" i="7" s="1"/>
  <c r="Z199" i="8"/>
  <c r="BA199" i="8" s="1"/>
  <c r="H201" i="7"/>
  <c r="J201" i="7" s="1"/>
  <c r="AB200" i="8"/>
  <c r="BC200" i="8" s="1"/>
  <c r="J200" i="8"/>
  <c r="W200" i="8"/>
  <c r="AX200" i="8" s="1"/>
  <c r="AH200" i="8"/>
  <c r="BI200" i="8" s="1"/>
  <c r="G202" i="7"/>
  <c r="K202" i="7" s="1"/>
  <c r="AA202" i="7" s="1"/>
  <c r="BB202" i="7" s="1"/>
  <c r="BB200" i="7"/>
  <c r="AN198" i="8"/>
  <c r="BO198" i="8" s="1"/>
  <c r="BL198" i="8"/>
  <c r="BA198" i="8"/>
  <c r="AG198" i="8"/>
  <c r="BH198" i="8" s="1"/>
  <c r="AT200" i="7"/>
  <c r="AN199" i="7"/>
  <c r="BO199" i="7" s="1"/>
  <c r="BL199" i="7"/>
  <c r="B207" i="7"/>
  <c r="A208" i="7"/>
  <c r="AI200" i="7"/>
  <c r="AC200" i="7"/>
  <c r="BD200" i="7" s="1"/>
  <c r="AD200" i="7"/>
  <c r="BE200" i="7" s="1"/>
  <c r="AB200" i="7"/>
  <c r="BC200" i="7" s="1"/>
  <c r="O202" i="8"/>
  <c r="L202" i="8"/>
  <c r="AE202" i="8" s="1"/>
  <c r="BF202" i="8" s="1"/>
  <c r="AR203" i="8"/>
  <c r="BN203" i="8" s="1"/>
  <c r="AQ203" i="8"/>
  <c r="AH200" i="7"/>
  <c r="W200" i="7"/>
  <c r="AX200" i="7" s="1"/>
  <c r="X200" i="7"/>
  <c r="AY200" i="7" s="1"/>
  <c r="U200" i="7"/>
  <c r="AV200" i="7" s="1"/>
  <c r="BA199" i="7"/>
  <c r="AG199" i="7"/>
  <c r="BH199" i="7" s="1"/>
  <c r="AQ205" i="7"/>
  <c r="AR205" i="7"/>
  <c r="BN205" i="7" s="1"/>
  <c r="G202" i="8"/>
  <c r="BL199" i="8"/>
  <c r="M201" i="8"/>
  <c r="H201" i="8"/>
  <c r="N201" i="8" s="1"/>
  <c r="S201" i="8"/>
  <c r="U201" i="8"/>
  <c r="AV201" i="8" s="1"/>
  <c r="T201" i="8"/>
  <c r="AU201" i="8" s="1"/>
  <c r="K201" i="8"/>
  <c r="AA201" i="8" s="1"/>
  <c r="AP204" i="8"/>
  <c r="C204" i="8"/>
  <c r="B205" i="8"/>
  <c r="A206" i="8"/>
  <c r="AP206" i="7"/>
  <c r="C206" i="7"/>
  <c r="X212" i="9"/>
  <c r="L212" i="9"/>
  <c r="F212" i="9"/>
  <c r="R212" i="9"/>
  <c r="W212" i="9"/>
  <c r="I212" i="9"/>
  <c r="E203" i="7" s="1"/>
  <c r="Y212" i="9"/>
  <c r="D203" i="8" s="1"/>
  <c r="I203" i="8" s="1"/>
  <c r="S212" i="9"/>
  <c r="D203" i="7" s="1"/>
  <c r="I203" i="7" s="1"/>
  <c r="E212" i="9"/>
  <c r="V212" i="9"/>
  <c r="Q212" i="9"/>
  <c r="H212" i="9"/>
  <c r="T212" i="9"/>
  <c r="Z212" i="9"/>
  <c r="AA212" i="9"/>
  <c r="K212" i="9"/>
  <c r="O212" i="9"/>
  <c r="E203" i="8" s="1"/>
  <c r="U212" i="9"/>
  <c r="J212" i="9"/>
  <c r="D212" i="9"/>
  <c r="M212" i="9"/>
  <c r="G212" i="9"/>
  <c r="N212" i="9"/>
  <c r="P212" i="9"/>
  <c r="J200" i="7"/>
  <c r="L202" i="7"/>
  <c r="AE202" i="7" s="1"/>
  <c r="BF202" i="7" s="1"/>
  <c r="O202" i="7"/>
  <c r="B213" i="9"/>
  <c r="C214" i="9"/>
  <c r="AF199" i="8" l="1"/>
  <c r="BG199" i="8" s="1"/>
  <c r="BJ200" i="8"/>
  <c r="AN199" i="8"/>
  <c r="BO199" i="8" s="1"/>
  <c r="BJ199" i="8"/>
  <c r="U201" i="7"/>
  <c r="AV201" i="7" s="1"/>
  <c r="X201" i="7"/>
  <c r="AY201" i="7" s="1"/>
  <c r="W201" i="7"/>
  <c r="AX201" i="7" s="1"/>
  <c r="AJ199" i="8"/>
  <c r="BK199" i="8" s="1"/>
  <c r="Z200" i="8"/>
  <c r="BA200" i="8" s="1"/>
  <c r="N201" i="7"/>
  <c r="AI201" i="7" s="1"/>
  <c r="BJ201" i="7" s="1"/>
  <c r="AJ200" i="8"/>
  <c r="BK200" i="8" s="1"/>
  <c r="AK200" i="8"/>
  <c r="BL200" i="8" s="1"/>
  <c r="AF200" i="8"/>
  <c r="BG200" i="8" s="1"/>
  <c r="S202" i="7"/>
  <c r="AT202" i="7" s="1"/>
  <c r="M202" i="7"/>
  <c r="X202" i="7" s="1"/>
  <c r="AY202" i="7" s="1"/>
  <c r="H202" i="7"/>
  <c r="N202" i="7" s="1"/>
  <c r="AD202" i="7" s="1"/>
  <c r="BE202" i="7" s="1"/>
  <c r="T202" i="7"/>
  <c r="AU202" i="7" s="1"/>
  <c r="G203" i="7"/>
  <c r="T203" i="7" s="1"/>
  <c r="AU203" i="7" s="1"/>
  <c r="G203" i="8"/>
  <c r="K203" i="8" s="1"/>
  <c r="AA203" i="8" s="1"/>
  <c r="Z200" i="7"/>
  <c r="AL200" i="7"/>
  <c r="BM200" i="7" s="1"/>
  <c r="BJ200" i="7"/>
  <c r="A209" i="7"/>
  <c r="B208" i="7"/>
  <c r="H202" i="8"/>
  <c r="N202" i="8" s="1"/>
  <c r="M202" i="8"/>
  <c r="S202" i="8"/>
  <c r="U202" i="8"/>
  <c r="AV202" i="8" s="1"/>
  <c r="T202" i="8"/>
  <c r="AU202" i="8" s="1"/>
  <c r="C207" i="7"/>
  <c r="AP207" i="7"/>
  <c r="X213" i="9"/>
  <c r="F213" i="9"/>
  <c r="R213" i="9"/>
  <c r="L213" i="9"/>
  <c r="W213" i="9"/>
  <c r="M213" i="9"/>
  <c r="I213" i="9"/>
  <c r="E204" i="7" s="1"/>
  <c r="AA213" i="9"/>
  <c r="Z213" i="9"/>
  <c r="Q213" i="9"/>
  <c r="T213" i="9"/>
  <c r="O213" i="9"/>
  <c r="E204" i="8" s="1"/>
  <c r="S213" i="9"/>
  <c r="D204" i="7" s="1"/>
  <c r="I204" i="7" s="1"/>
  <c r="U213" i="9"/>
  <c r="K213" i="9"/>
  <c r="V213" i="9"/>
  <c r="H213" i="9"/>
  <c r="Y213" i="9"/>
  <c r="D204" i="8" s="1"/>
  <c r="I204" i="8" s="1"/>
  <c r="E213" i="9"/>
  <c r="N213" i="9"/>
  <c r="D213" i="9"/>
  <c r="P213" i="9"/>
  <c r="G213" i="9"/>
  <c r="J213" i="9"/>
  <c r="J201" i="8"/>
  <c r="B206" i="8"/>
  <c r="A207" i="8"/>
  <c r="AF200" i="7"/>
  <c r="BG200" i="7" s="1"/>
  <c r="BB201" i="8"/>
  <c r="AH201" i="8"/>
  <c r="W201" i="8"/>
  <c r="AX201" i="8" s="1"/>
  <c r="X201" i="8"/>
  <c r="AY201" i="8" s="1"/>
  <c r="AT201" i="8"/>
  <c r="AI201" i="8"/>
  <c r="AC201" i="8"/>
  <c r="BD201" i="8" s="1"/>
  <c r="AD201" i="8"/>
  <c r="BE201" i="8" s="1"/>
  <c r="AB201" i="8"/>
  <c r="BC201" i="8" s="1"/>
  <c r="K202" i="8"/>
  <c r="AA202" i="8" s="1"/>
  <c r="AR206" i="7"/>
  <c r="BN206" i="7" s="1"/>
  <c r="AQ206" i="7"/>
  <c r="O203" i="7"/>
  <c r="L203" i="7"/>
  <c r="AE203" i="7" s="1"/>
  <c r="BF203" i="7" s="1"/>
  <c r="BI201" i="7"/>
  <c r="AK201" i="7"/>
  <c r="BI200" i="7"/>
  <c r="AK200" i="7"/>
  <c r="AJ200" i="7"/>
  <c r="BK200" i="7" s="1"/>
  <c r="C205" i="8"/>
  <c r="AP205" i="8"/>
  <c r="C215" i="9"/>
  <c r="B214" i="9"/>
  <c r="L203" i="8"/>
  <c r="AE203" i="8" s="1"/>
  <c r="BF203" i="8" s="1"/>
  <c r="O203" i="8"/>
  <c r="AQ204" i="8"/>
  <c r="AR204" i="8"/>
  <c r="BN204" i="8" s="1"/>
  <c r="AG199" i="8" l="1"/>
  <c r="BH199" i="8" s="1"/>
  <c r="Z201" i="7"/>
  <c r="BA201" i="7" s="1"/>
  <c r="AN200" i="8"/>
  <c r="BO200" i="8" s="1"/>
  <c r="AJ201" i="7"/>
  <c r="BK201" i="7" s="1"/>
  <c r="AL201" i="7"/>
  <c r="BM201" i="7" s="1"/>
  <c r="AG200" i="8"/>
  <c r="BH200" i="8" s="1"/>
  <c r="W202" i="7"/>
  <c r="AX202" i="7" s="1"/>
  <c r="AH202" i="7"/>
  <c r="AK202" i="7" s="1"/>
  <c r="AC201" i="7"/>
  <c r="BD201" i="7" s="1"/>
  <c r="AB201" i="7"/>
  <c r="BC201" i="7" s="1"/>
  <c r="G204" i="7"/>
  <c r="S204" i="7" s="1"/>
  <c r="AD201" i="7"/>
  <c r="BE201" i="7" s="1"/>
  <c r="U202" i="7"/>
  <c r="AV202" i="7" s="1"/>
  <c r="J202" i="7"/>
  <c r="AI202" i="7"/>
  <c r="AL202" i="7" s="1"/>
  <c r="BM202" i="7" s="1"/>
  <c r="AC202" i="7"/>
  <c r="BD202" i="7" s="1"/>
  <c r="AB202" i="7"/>
  <c r="BC202" i="7" s="1"/>
  <c r="J202" i="8"/>
  <c r="S203" i="7"/>
  <c r="AT203" i="7" s="1"/>
  <c r="H203" i="7"/>
  <c r="N203" i="7" s="1"/>
  <c r="AI203" i="7" s="1"/>
  <c r="K203" i="7"/>
  <c r="AA203" i="7" s="1"/>
  <c r="BB203" i="7" s="1"/>
  <c r="M203" i="7"/>
  <c r="AH203" i="7" s="1"/>
  <c r="T203" i="8"/>
  <c r="AU203" i="8" s="1"/>
  <c r="U203" i="8"/>
  <c r="AV203" i="8" s="1"/>
  <c r="S203" i="8"/>
  <c r="AT203" i="8" s="1"/>
  <c r="M203" i="8"/>
  <c r="AH203" i="8" s="1"/>
  <c r="H203" i="8"/>
  <c r="N203" i="8" s="1"/>
  <c r="AI203" i="8" s="1"/>
  <c r="Z201" i="8"/>
  <c r="BA201" i="8" s="1"/>
  <c r="AF201" i="8"/>
  <c r="BG201" i="8" s="1"/>
  <c r="G204" i="8"/>
  <c r="U204" i="8" s="1"/>
  <c r="AV204" i="8" s="1"/>
  <c r="AJ201" i="8"/>
  <c r="BK201" i="8" s="1"/>
  <c r="AK201" i="8"/>
  <c r="BI201" i="8"/>
  <c r="B209" i="7"/>
  <c r="A210" i="7"/>
  <c r="L204" i="8"/>
  <c r="AE204" i="8" s="1"/>
  <c r="BF204" i="8" s="1"/>
  <c r="O204" i="8"/>
  <c r="AT202" i="8"/>
  <c r="AP206" i="8"/>
  <c r="C206" i="8"/>
  <c r="BB202" i="8"/>
  <c r="AH202" i="8"/>
  <c r="W202" i="8"/>
  <c r="AX202" i="8" s="1"/>
  <c r="X202" i="8"/>
  <c r="AY202" i="8" s="1"/>
  <c r="AN200" i="7"/>
  <c r="BO200" i="7" s="1"/>
  <c r="BL200" i="7"/>
  <c r="R214" i="9"/>
  <c r="F214" i="9"/>
  <c r="L214" i="9"/>
  <c r="X214" i="9"/>
  <c r="G214" i="9"/>
  <c r="D214" i="9"/>
  <c r="J214" i="9"/>
  <c r="N214" i="9"/>
  <c r="T214" i="9"/>
  <c r="V214" i="9"/>
  <c r="W214" i="9"/>
  <c r="Z214" i="9"/>
  <c r="Y214" i="9"/>
  <c r="D205" i="8" s="1"/>
  <c r="I205" i="8" s="1"/>
  <c r="I214" i="9"/>
  <c r="E205" i="7" s="1"/>
  <c r="U214" i="9"/>
  <c r="S214" i="9"/>
  <c r="D205" i="7" s="1"/>
  <c r="I205" i="7" s="1"/>
  <c r="P214" i="9"/>
  <c r="M214" i="9"/>
  <c r="H214" i="9"/>
  <c r="K214" i="9"/>
  <c r="O214" i="9"/>
  <c r="E205" i="8" s="1"/>
  <c r="AA214" i="9"/>
  <c r="E214" i="9"/>
  <c r="Q214" i="9"/>
  <c r="AI202" i="8"/>
  <c r="AC202" i="8"/>
  <c r="BD202" i="8" s="1"/>
  <c r="AD202" i="8"/>
  <c r="BE202" i="8" s="1"/>
  <c r="AB202" i="8"/>
  <c r="BC202" i="8" s="1"/>
  <c r="AR207" i="7"/>
  <c r="BN207" i="7" s="1"/>
  <c r="AQ207" i="7"/>
  <c r="BL201" i="7"/>
  <c r="B215" i="9"/>
  <c r="C216" i="9"/>
  <c r="BB203" i="8"/>
  <c r="BJ201" i="8"/>
  <c r="AL201" i="8"/>
  <c r="BM201" i="8" s="1"/>
  <c r="A208" i="8"/>
  <c r="B207" i="8"/>
  <c r="AR205" i="8"/>
  <c r="BN205" i="8" s="1"/>
  <c r="AQ205" i="8"/>
  <c r="O204" i="7"/>
  <c r="L204" i="7"/>
  <c r="AE204" i="7" s="1"/>
  <c r="BF204" i="7" s="1"/>
  <c r="AP208" i="7"/>
  <c r="C208" i="7"/>
  <c r="AG200" i="7"/>
  <c r="BH200" i="7" s="1"/>
  <c r="BA200" i="7"/>
  <c r="AN201" i="7" l="1"/>
  <c r="BO201" i="7" s="1"/>
  <c r="BI202" i="7"/>
  <c r="H204" i="7"/>
  <c r="N204" i="7" s="1"/>
  <c r="AB204" i="7" s="1"/>
  <c r="BC204" i="7" s="1"/>
  <c r="M204" i="7"/>
  <c r="W204" i="7" s="1"/>
  <c r="AX204" i="7" s="1"/>
  <c r="K204" i="7"/>
  <c r="AA204" i="7" s="1"/>
  <c r="BB204" i="7" s="1"/>
  <c r="AJ202" i="7"/>
  <c r="BK202" i="7" s="1"/>
  <c r="T204" i="7"/>
  <c r="AU204" i="7" s="1"/>
  <c r="AF201" i="7"/>
  <c r="BG201" i="7" s="1"/>
  <c r="Z202" i="7"/>
  <c r="BA202" i="7" s="1"/>
  <c r="BJ202" i="7"/>
  <c r="AF202" i="7"/>
  <c r="BG202" i="7" s="1"/>
  <c r="AB203" i="7"/>
  <c r="BC203" i="7" s="1"/>
  <c r="AD203" i="7"/>
  <c r="BE203" i="7" s="1"/>
  <c r="AC203" i="7"/>
  <c r="BD203" i="7" s="1"/>
  <c r="W203" i="7"/>
  <c r="AX203" i="7" s="1"/>
  <c r="U203" i="7"/>
  <c r="AV203" i="7" s="1"/>
  <c r="X203" i="7"/>
  <c r="AY203" i="7" s="1"/>
  <c r="J203" i="7"/>
  <c r="J203" i="8"/>
  <c r="X203" i="8"/>
  <c r="AY203" i="8" s="1"/>
  <c r="W203" i="8"/>
  <c r="AX203" i="8" s="1"/>
  <c r="AB203" i="8"/>
  <c r="BC203" i="8" s="1"/>
  <c r="AD203" i="8"/>
  <c r="BE203" i="8" s="1"/>
  <c r="AC203" i="8"/>
  <c r="BD203" i="8" s="1"/>
  <c r="M204" i="8"/>
  <c r="X204" i="8" s="1"/>
  <c r="AY204" i="8" s="1"/>
  <c r="H204" i="8"/>
  <c r="N204" i="8" s="1"/>
  <c r="AB204" i="8" s="1"/>
  <c r="BC204" i="8" s="1"/>
  <c r="S204" i="8"/>
  <c r="AT204" i="8" s="1"/>
  <c r="K204" i="8"/>
  <c r="AA204" i="8" s="1"/>
  <c r="BB204" i="8" s="1"/>
  <c r="T204" i="8"/>
  <c r="AU204" i="8" s="1"/>
  <c r="AG201" i="8"/>
  <c r="BH201" i="8" s="1"/>
  <c r="AF202" i="8"/>
  <c r="BG202" i="8" s="1"/>
  <c r="G205" i="7"/>
  <c r="K205" i="7" s="1"/>
  <c r="AA205" i="7" s="1"/>
  <c r="Z202" i="8"/>
  <c r="O205" i="8"/>
  <c r="L205" i="8"/>
  <c r="AE205" i="8" s="1"/>
  <c r="BF205" i="8" s="1"/>
  <c r="AP207" i="8"/>
  <c r="C207" i="8"/>
  <c r="C217" i="9"/>
  <c r="B216" i="9"/>
  <c r="B208" i="8"/>
  <c r="A209" i="8"/>
  <c r="AQ206" i="8"/>
  <c r="AR206" i="8"/>
  <c r="BN206" i="8" s="1"/>
  <c r="AT204" i="7"/>
  <c r="B210" i="7"/>
  <c r="A211" i="7"/>
  <c r="G205" i="8"/>
  <c r="AL203" i="7"/>
  <c r="BM203" i="7" s="1"/>
  <c r="BJ203" i="7"/>
  <c r="AP209" i="7"/>
  <c r="C209" i="7"/>
  <c r="AL203" i="8"/>
  <c r="BM203" i="8" s="1"/>
  <c r="BJ203" i="8"/>
  <c r="AR208" i="7"/>
  <c r="BN208" i="7" s="1"/>
  <c r="AQ208" i="7"/>
  <c r="J204" i="7"/>
  <c r="AN202" i="7"/>
  <c r="BO202" i="7" s="1"/>
  <c r="BL202" i="7"/>
  <c r="L215" i="9"/>
  <c r="X215" i="9"/>
  <c r="R215" i="9"/>
  <c r="F215" i="9"/>
  <c r="J215" i="9"/>
  <c r="N215" i="9"/>
  <c r="E215" i="9"/>
  <c r="T215" i="9"/>
  <c r="Z215" i="9"/>
  <c r="S215" i="9"/>
  <c r="D206" i="7" s="1"/>
  <c r="I206" i="7" s="1"/>
  <c r="P215" i="9"/>
  <c r="O215" i="9"/>
  <c r="E206" i="8" s="1"/>
  <c r="V215" i="9"/>
  <c r="M215" i="9"/>
  <c r="Y215" i="9"/>
  <c r="D206" i="8" s="1"/>
  <c r="I206" i="8" s="1"/>
  <c r="D215" i="9"/>
  <c r="Q215" i="9"/>
  <c r="U215" i="9"/>
  <c r="K215" i="9"/>
  <c r="W215" i="9"/>
  <c r="G215" i="9"/>
  <c r="AA215" i="9"/>
  <c r="I215" i="9"/>
  <c r="E206" i="7" s="1"/>
  <c r="H215" i="9"/>
  <c r="AK203" i="8"/>
  <c r="AJ203" i="8"/>
  <c r="BK203" i="8" s="1"/>
  <c r="BI203" i="8"/>
  <c r="BJ202" i="8"/>
  <c r="AL202" i="8"/>
  <c r="BM202" i="8" s="1"/>
  <c r="AN201" i="8"/>
  <c r="BO201" i="8" s="1"/>
  <c r="BL201" i="8"/>
  <c r="BI203" i="7"/>
  <c r="AK203" i="7"/>
  <c r="AJ203" i="7"/>
  <c r="BK203" i="7" s="1"/>
  <c r="O205" i="7"/>
  <c r="L205" i="7"/>
  <c r="AE205" i="7" s="1"/>
  <c r="BF205" i="7" s="1"/>
  <c r="BI202" i="8"/>
  <c r="AK202" i="8"/>
  <c r="AJ202" i="8"/>
  <c r="BK202" i="8" s="1"/>
  <c r="U204" i="7" l="1"/>
  <c r="AV204" i="7" s="1"/>
  <c r="X204" i="7"/>
  <c r="AY204" i="7" s="1"/>
  <c r="AH204" i="7"/>
  <c r="AG201" i="7"/>
  <c r="BH201" i="7" s="1"/>
  <c r="AG202" i="7"/>
  <c r="BH202" i="7" s="1"/>
  <c r="AF203" i="7"/>
  <c r="BG203" i="7" s="1"/>
  <c r="AI204" i="7"/>
  <c r="AJ204" i="7" s="1"/>
  <c r="BK204" i="7" s="1"/>
  <c r="AD204" i="7"/>
  <c r="BE204" i="7" s="1"/>
  <c r="AC204" i="7"/>
  <c r="BD204" i="7" s="1"/>
  <c r="Z203" i="7"/>
  <c r="BA203" i="7" s="1"/>
  <c r="Z203" i="8"/>
  <c r="BA203" i="8" s="1"/>
  <c r="W204" i="8"/>
  <c r="AX204" i="8" s="1"/>
  <c r="AH204" i="8"/>
  <c r="BI204" i="8" s="1"/>
  <c r="AF203" i="8"/>
  <c r="BG203" i="8" s="1"/>
  <c r="AI204" i="8"/>
  <c r="J204" i="8"/>
  <c r="AC204" i="8"/>
  <c r="BD204" i="8" s="1"/>
  <c r="AD204" i="8"/>
  <c r="BE204" i="8" s="1"/>
  <c r="M205" i="7"/>
  <c r="U205" i="7" s="1"/>
  <c r="AV205" i="7" s="1"/>
  <c r="H205" i="7"/>
  <c r="N205" i="7" s="1"/>
  <c r="AI205" i="7" s="1"/>
  <c r="T205" i="7"/>
  <c r="AU205" i="7" s="1"/>
  <c r="AG202" i="8"/>
  <c r="BH202" i="8" s="1"/>
  <c r="S205" i="7"/>
  <c r="AT205" i="7" s="1"/>
  <c r="G206" i="7"/>
  <c r="K206" i="7" s="1"/>
  <c r="AA206" i="7" s="1"/>
  <c r="BB206" i="7" s="1"/>
  <c r="BA202" i="8"/>
  <c r="AN202" i="8"/>
  <c r="BO202" i="8" s="1"/>
  <c r="BL202" i="8"/>
  <c r="A212" i="7"/>
  <c r="B211" i="7"/>
  <c r="X216" i="9"/>
  <c r="L216" i="9"/>
  <c r="R216" i="9"/>
  <c r="F216" i="9"/>
  <c r="D216" i="9"/>
  <c r="Z216" i="9"/>
  <c r="N216" i="9"/>
  <c r="I216" i="9"/>
  <c r="E207" i="7" s="1"/>
  <c r="AA216" i="9"/>
  <c r="Y216" i="9"/>
  <c r="D207" i="8" s="1"/>
  <c r="I207" i="8" s="1"/>
  <c r="K216" i="9"/>
  <c r="S216" i="9"/>
  <c r="D207" i="7" s="1"/>
  <c r="I207" i="7" s="1"/>
  <c r="V216" i="9"/>
  <c r="E216" i="9"/>
  <c r="O216" i="9"/>
  <c r="E207" i="8" s="1"/>
  <c r="M216" i="9"/>
  <c r="T216" i="9"/>
  <c r="J216" i="9"/>
  <c r="P216" i="9"/>
  <c r="W216" i="9"/>
  <c r="H216" i="9"/>
  <c r="Q216" i="9"/>
  <c r="G216" i="9"/>
  <c r="U216" i="9"/>
  <c r="BI204" i="7"/>
  <c r="AK204" i="7"/>
  <c r="H205" i="8"/>
  <c r="N205" i="8" s="1"/>
  <c r="M205" i="8"/>
  <c r="S205" i="8"/>
  <c r="T205" i="8"/>
  <c r="AU205" i="8" s="1"/>
  <c r="U205" i="8"/>
  <c r="AV205" i="8" s="1"/>
  <c r="K205" i="8"/>
  <c r="AA205" i="8" s="1"/>
  <c r="AN203" i="7"/>
  <c r="BO203" i="7" s="1"/>
  <c r="BL203" i="7"/>
  <c r="A210" i="8"/>
  <c r="B209" i="8"/>
  <c r="AR207" i="8"/>
  <c r="BN207" i="8" s="1"/>
  <c r="AQ207" i="8"/>
  <c r="C210" i="7"/>
  <c r="AP210" i="7"/>
  <c r="BL203" i="8"/>
  <c r="AN203" i="8"/>
  <c r="BO203" i="8" s="1"/>
  <c r="C208" i="8"/>
  <c r="AP208" i="8"/>
  <c r="AR209" i="7"/>
  <c r="BN209" i="7" s="1"/>
  <c r="AQ209" i="7"/>
  <c r="G206" i="8"/>
  <c r="K206" i="8" s="1"/>
  <c r="AA206" i="8" s="1"/>
  <c r="C218" i="9"/>
  <c r="B217" i="9"/>
  <c r="O206" i="8"/>
  <c r="L206" i="8"/>
  <c r="AE206" i="8" s="1"/>
  <c r="BF206" i="8" s="1"/>
  <c r="BB205" i="7"/>
  <c r="O206" i="7"/>
  <c r="L206" i="7"/>
  <c r="AE206" i="7" s="1"/>
  <c r="BF206" i="7" s="1"/>
  <c r="Z204" i="7" l="1"/>
  <c r="AL204" i="7"/>
  <c r="BM204" i="7" s="1"/>
  <c r="BJ204" i="7"/>
  <c r="AF204" i="7"/>
  <c r="BG204" i="7" s="1"/>
  <c r="AG203" i="7"/>
  <c r="BH203" i="7" s="1"/>
  <c r="Z204" i="8"/>
  <c r="BA204" i="8" s="1"/>
  <c r="AH205" i="7"/>
  <c r="BI205" i="7" s="1"/>
  <c r="AJ204" i="8"/>
  <c r="BK204" i="8" s="1"/>
  <c r="AL204" i="8"/>
  <c r="BM204" i="8" s="1"/>
  <c r="BJ204" i="8"/>
  <c r="AK204" i="8"/>
  <c r="AG203" i="8"/>
  <c r="BH203" i="8" s="1"/>
  <c r="X205" i="7"/>
  <c r="AY205" i="7" s="1"/>
  <c r="AF204" i="8"/>
  <c r="BG204" i="8" s="1"/>
  <c r="W205" i="7"/>
  <c r="AX205" i="7" s="1"/>
  <c r="AB205" i="7"/>
  <c r="BC205" i="7" s="1"/>
  <c r="J205" i="7"/>
  <c r="AD205" i="7"/>
  <c r="BE205" i="7" s="1"/>
  <c r="AC205" i="7"/>
  <c r="BD205" i="7" s="1"/>
  <c r="T206" i="7"/>
  <c r="AU206" i="7" s="1"/>
  <c r="S206" i="7"/>
  <c r="AT206" i="7" s="1"/>
  <c r="M206" i="7"/>
  <c r="AH206" i="7" s="1"/>
  <c r="H206" i="7"/>
  <c r="N206" i="7" s="1"/>
  <c r="AB206" i="7" s="1"/>
  <c r="G207" i="8"/>
  <c r="S207" i="8" s="1"/>
  <c r="BL204" i="7"/>
  <c r="AN204" i="7"/>
  <c r="BO204" i="7" s="1"/>
  <c r="BB206" i="8"/>
  <c r="AT205" i="8"/>
  <c r="AR208" i="8"/>
  <c r="BN208" i="8" s="1"/>
  <c r="AQ208" i="8"/>
  <c r="O207" i="7"/>
  <c r="L207" i="7"/>
  <c r="AE207" i="7" s="1"/>
  <c r="BF207" i="7" s="1"/>
  <c r="AP211" i="7"/>
  <c r="C211" i="7"/>
  <c r="F217" i="9"/>
  <c r="X217" i="9"/>
  <c r="R217" i="9"/>
  <c r="L217" i="9"/>
  <c r="Y217" i="9"/>
  <c r="D208" i="8" s="1"/>
  <c r="I208" i="8" s="1"/>
  <c r="P217" i="9"/>
  <c r="Q217" i="9"/>
  <c r="H217" i="9"/>
  <c r="E217" i="9"/>
  <c r="K217" i="9"/>
  <c r="W217" i="9"/>
  <c r="O217" i="9"/>
  <c r="E208" i="8" s="1"/>
  <c r="G217" i="9"/>
  <c r="T217" i="9"/>
  <c r="Z217" i="9"/>
  <c r="J217" i="9"/>
  <c r="M217" i="9"/>
  <c r="I217" i="9"/>
  <c r="E208" i="7" s="1"/>
  <c r="U217" i="9"/>
  <c r="V217" i="9"/>
  <c r="D217" i="9"/>
  <c r="N217" i="9"/>
  <c r="S217" i="9"/>
  <c r="D208" i="7" s="1"/>
  <c r="I208" i="7" s="1"/>
  <c r="AA217" i="9"/>
  <c r="B210" i="8"/>
  <c r="A211" i="8"/>
  <c r="J205" i="8"/>
  <c r="B212" i="7"/>
  <c r="A213" i="7"/>
  <c r="BA204" i="7"/>
  <c r="L207" i="8"/>
  <c r="AE207" i="8" s="1"/>
  <c r="BF207" i="8" s="1"/>
  <c r="O207" i="8"/>
  <c r="AI205" i="8"/>
  <c r="AC205" i="8"/>
  <c r="BD205" i="8" s="1"/>
  <c r="AD205" i="8"/>
  <c r="BE205" i="8" s="1"/>
  <c r="AB205" i="8"/>
  <c r="BC205" i="8" s="1"/>
  <c r="AL205" i="7"/>
  <c r="BM205" i="7" s="1"/>
  <c r="BJ205" i="7"/>
  <c r="AP209" i="8"/>
  <c r="C209" i="8"/>
  <c r="AR210" i="7"/>
  <c r="BN210" i="7" s="1"/>
  <c r="AQ210" i="7"/>
  <c r="G207" i="7"/>
  <c r="BB205" i="8"/>
  <c r="AH205" i="8"/>
  <c r="W205" i="8"/>
  <c r="AX205" i="8" s="1"/>
  <c r="X205" i="8"/>
  <c r="AY205" i="8" s="1"/>
  <c r="C219" i="9"/>
  <c r="B218" i="9"/>
  <c r="H206" i="8"/>
  <c r="N206" i="8" s="1"/>
  <c r="M206" i="8"/>
  <c r="S206" i="8"/>
  <c r="U206" i="8"/>
  <c r="AV206" i="8" s="1"/>
  <c r="T206" i="8"/>
  <c r="AU206" i="8" s="1"/>
  <c r="AG204" i="7" l="1"/>
  <c r="BH204" i="7" s="1"/>
  <c r="AK205" i="7"/>
  <c r="AN205" i="7" s="1"/>
  <c r="BO205" i="7" s="1"/>
  <c r="AJ205" i="7"/>
  <c r="BK205" i="7" s="1"/>
  <c r="AN204" i="8"/>
  <c r="BO204" i="8" s="1"/>
  <c r="AG204" i="8"/>
  <c r="BH204" i="8" s="1"/>
  <c r="BL204" i="8"/>
  <c r="Z205" i="7"/>
  <c r="BA205" i="7" s="1"/>
  <c r="AF205" i="7"/>
  <c r="BG205" i="7" s="1"/>
  <c r="W206" i="7"/>
  <c r="AX206" i="7" s="1"/>
  <c r="J206" i="8"/>
  <c r="AI206" i="7"/>
  <c r="AJ206" i="7" s="1"/>
  <c r="BK206" i="7" s="1"/>
  <c r="U206" i="7"/>
  <c r="AV206" i="7" s="1"/>
  <c r="X206" i="7"/>
  <c r="AY206" i="7" s="1"/>
  <c r="AD206" i="7"/>
  <c r="BE206" i="7" s="1"/>
  <c r="J206" i="7"/>
  <c r="AC206" i="7"/>
  <c r="BD206" i="7" s="1"/>
  <c r="M207" i="8"/>
  <c r="X207" i="8" s="1"/>
  <c r="AY207" i="8" s="1"/>
  <c r="K207" i="8"/>
  <c r="AA207" i="8" s="1"/>
  <c r="BB207" i="8" s="1"/>
  <c r="T207" i="8"/>
  <c r="AU207" i="8" s="1"/>
  <c r="U207" i="8"/>
  <c r="AV207" i="8" s="1"/>
  <c r="H207" i="8"/>
  <c r="N207" i="8" s="1"/>
  <c r="AC207" i="8" s="1"/>
  <c r="BD207" i="8" s="1"/>
  <c r="O208" i="8"/>
  <c r="L208" i="8"/>
  <c r="AE208" i="8" s="1"/>
  <c r="BF208" i="8" s="1"/>
  <c r="BI205" i="8"/>
  <c r="AK205" i="8"/>
  <c r="AJ205" i="8"/>
  <c r="BK205" i="8" s="1"/>
  <c r="AQ209" i="8"/>
  <c r="AR209" i="8"/>
  <c r="BN209" i="8" s="1"/>
  <c r="B213" i="7"/>
  <c r="A214" i="7"/>
  <c r="BC206" i="7"/>
  <c r="G208" i="8"/>
  <c r="AT206" i="8"/>
  <c r="AH206" i="8"/>
  <c r="W206" i="8"/>
  <c r="AX206" i="8" s="1"/>
  <c r="X206" i="8"/>
  <c r="AY206" i="8" s="1"/>
  <c r="L208" i="7"/>
  <c r="AE208" i="7" s="1"/>
  <c r="BF208" i="7" s="1"/>
  <c r="O208" i="7"/>
  <c r="AQ211" i="7"/>
  <c r="AR211" i="7"/>
  <c r="BN211" i="7" s="1"/>
  <c r="C210" i="8"/>
  <c r="AP210" i="8"/>
  <c r="BI206" i="7"/>
  <c r="AK206" i="7"/>
  <c r="AI206" i="8"/>
  <c r="AC206" i="8"/>
  <c r="BD206" i="8" s="1"/>
  <c r="AD206" i="8"/>
  <c r="BE206" i="8" s="1"/>
  <c r="AB206" i="8"/>
  <c r="BJ205" i="8"/>
  <c r="AL205" i="8"/>
  <c r="BM205" i="8" s="1"/>
  <c r="AF205" i="8"/>
  <c r="BG205" i="8" s="1"/>
  <c r="AP212" i="7"/>
  <c r="C212" i="7"/>
  <c r="A212" i="8"/>
  <c r="B211" i="8"/>
  <c r="R218" i="9"/>
  <c r="F218" i="9"/>
  <c r="X218" i="9"/>
  <c r="H218" i="9"/>
  <c r="G218" i="9"/>
  <c r="U218" i="9"/>
  <c r="L218" i="9"/>
  <c r="K218" i="9"/>
  <c r="Z218" i="9"/>
  <c r="D218" i="9"/>
  <c r="W218" i="9"/>
  <c r="M218" i="9"/>
  <c r="E218" i="9"/>
  <c r="Q218" i="9"/>
  <c r="V218" i="9"/>
  <c r="J218" i="9"/>
  <c r="P218" i="9"/>
  <c r="I218" i="9"/>
  <c r="E209" i="7" s="1"/>
  <c r="S218" i="9"/>
  <c r="D209" i="7" s="1"/>
  <c r="I209" i="7" s="1"/>
  <c r="Y218" i="9"/>
  <c r="D209" i="8" s="1"/>
  <c r="I209" i="8" s="1"/>
  <c r="O218" i="9"/>
  <c r="E209" i="8" s="1"/>
  <c r="AA218" i="9"/>
  <c r="T218" i="9"/>
  <c r="N218" i="9"/>
  <c r="B219" i="9"/>
  <c r="C220" i="9"/>
  <c r="M207" i="7"/>
  <c r="H207" i="7"/>
  <c r="N207" i="7" s="1"/>
  <c r="S207" i="7"/>
  <c r="T207" i="7"/>
  <c r="AU207" i="7" s="1"/>
  <c r="K207" i="7"/>
  <c r="AA207" i="7" s="1"/>
  <c r="AT207" i="8"/>
  <c r="G208" i="7"/>
  <c r="K208" i="7" s="1"/>
  <c r="AA208" i="7" s="1"/>
  <c r="Z205" i="8"/>
  <c r="BL205" i="7" l="1"/>
  <c r="AG205" i="7"/>
  <c r="BH205" i="7" s="1"/>
  <c r="BJ206" i="7"/>
  <c r="AL206" i="7"/>
  <c r="BM206" i="7" s="1"/>
  <c r="Z206" i="7"/>
  <c r="BA206" i="7" s="1"/>
  <c r="W207" i="8"/>
  <c r="AX207" i="8" s="1"/>
  <c r="AH207" i="8"/>
  <c r="BI207" i="8" s="1"/>
  <c r="AI207" i="8"/>
  <c r="AL207" i="8" s="1"/>
  <c r="BM207" i="8" s="1"/>
  <c r="AF206" i="7"/>
  <c r="BG206" i="7" s="1"/>
  <c r="AB207" i="8"/>
  <c r="BC207" i="8" s="1"/>
  <c r="AD207" i="8"/>
  <c r="BE207" i="8" s="1"/>
  <c r="J207" i="8"/>
  <c r="Z206" i="8"/>
  <c r="BA206" i="8" s="1"/>
  <c r="G209" i="7"/>
  <c r="T209" i="7" s="1"/>
  <c r="AU209" i="7" s="1"/>
  <c r="J207" i="7"/>
  <c r="B220" i="9"/>
  <c r="C221" i="9"/>
  <c r="AN205" i="8"/>
  <c r="BO205" i="8" s="1"/>
  <c r="BL205" i="8"/>
  <c r="AP211" i="8"/>
  <c r="C211" i="8"/>
  <c r="A215" i="7"/>
  <c r="B214" i="7"/>
  <c r="AH207" i="7"/>
  <c r="W207" i="7"/>
  <c r="AX207" i="7" s="1"/>
  <c r="X207" i="7"/>
  <c r="AY207" i="7" s="1"/>
  <c r="U207" i="7"/>
  <c r="AV207" i="7" s="1"/>
  <c r="H208" i="7"/>
  <c r="N208" i="7" s="1"/>
  <c r="M208" i="7"/>
  <c r="T208" i="7"/>
  <c r="AU208" i="7" s="1"/>
  <c r="S208" i="7"/>
  <c r="AL206" i="8"/>
  <c r="BM206" i="8" s="1"/>
  <c r="BJ206" i="8"/>
  <c r="C213" i="7"/>
  <c r="AP213" i="7"/>
  <c r="H208" i="8"/>
  <c r="N208" i="8" s="1"/>
  <c r="M208" i="8"/>
  <c r="S208" i="8"/>
  <c r="U208" i="8"/>
  <c r="AV208" i="8" s="1"/>
  <c r="T208" i="8"/>
  <c r="AU208" i="8" s="1"/>
  <c r="K208" i="8"/>
  <c r="AA208" i="8" s="1"/>
  <c r="BB208" i="7"/>
  <c r="BC206" i="8"/>
  <c r="AF206" i="8"/>
  <c r="BG206" i="8" s="1"/>
  <c r="F219" i="9"/>
  <c r="R219" i="9"/>
  <c r="X219" i="9"/>
  <c r="L219" i="9"/>
  <c r="I219" i="9"/>
  <c r="E210" i="7" s="1"/>
  <c r="J219" i="9"/>
  <c r="W219" i="9"/>
  <c r="Q219" i="9"/>
  <c r="O219" i="9"/>
  <c r="E210" i="8" s="1"/>
  <c r="D219" i="9"/>
  <c r="V219" i="9"/>
  <c r="E219" i="9"/>
  <c r="G219" i="9"/>
  <c r="H219" i="9"/>
  <c r="M219" i="9"/>
  <c r="U219" i="9"/>
  <c r="AA219" i="9"/>
  <c r="Z219" i="9"/>
  <c r="K219" i="9"/>
  <c r="Y219" i="9"/>
  <c r="D210" i="8" s="1"/>
  <c r="I210" i="8" s="1"/>
  <c r="S219" i="9"/>
  <c r="D210" i="7" s="1"/>
  <c r="I210" i="7" s="1"/>
  <c r="N219" i="9"/>
  <c r="P219" i="9"/>
  <c r="T219" i="9"/>
  <c r="BB207" i="7"/>
  <c r="G209" i="8"/>
  <c r="AR212" i="7"/>
  <c r="BN212" i="7" s="1"/>
  <c r="AQ212" i="7"/>
  <c r="A213" i="8"/>
  <c r="B212" i="8"/>
  <c r="L209" i="8"/>
  <c r="AE209" i="8" s="1"/>
  <c r="BF209" i="8" s="1"/>
  <c r="O209" i="8"/>
  <c r="AK206" i="8"/>
  <c r="AJ206" i="8"/>
  <c r="BK206" i="8" s="1"/>
  <c r="BI206" i="8"/>
  <c r="AI207" i="7"/>
  <c r="AC207" i="7"/>
  <c r="BD207" i="7" s="1"/>
  <c r="AD207" i="7"/>
  <c r="BE207" i="7" s="1"/>
  <c r="AB207" i="7"/>
  <c r="BC207" i="7" s="1"/>
  <c r="AQ210" i="8"/>
  <c r="AR210" i="8"/>
  <c r="BN210" i="8" s="1"/>
  <c r="AG205" i="8"/>
  <c r="BH205" i="8" s="1"/>
  <c r="BA205" i="8"/>
  <c r="AT207" i="7"/>
  <c r="O209" i="7"/>
  <c r="L209" i="7"/>
  <c r="AE209" i="7" s="1"/>
  <c r="BF209" i="7" s="1"/>
  <c r="BL206" i="7"/>
  <c r="AN206" i="7" l="1"/>
  <c r="BO206" i="7" s="1"/>
  <c r="AK207" i="8"/>
  <c r="Z207" i="8"/>
  <c r="BA207" i="8" s="1"/>
  <c r="BJ207" i="8"/>
  <c r="AJ207" i="8"/>
  <c r="BK207" i="8" s="1"/>
  <c r="AF207" i="8"/>
  <c r="BG207" i="8" s="1"/>
  <c r="AG206" i="7"/>
  <c r="BH206" i="7" s="1"/>
  <c r="M209" i="7"/>
  <c r="U209" i="7" s="1"/>
  <c r="AV209" i="7" s="1"/>
  <c r="S209" i="7"/>
  <c r="AT209" i="7" s="1"/>
  <c r="H209" i="7"/>
  <c r="J209" i="7" s="1"/>
  <c r="K209" i="7"/>
  <c r="AA209" i="7" s="1"/>
  <c r="BB209" i="7" s="1"/>
  <c r="Z207" i="7"/>
  <c r="BA207" i="7" s="1"/>
  <c r="J208" i="8"/>
  <c r="AJ207" i="7"/>
  <c r="BK207" i="7" s="1"/>
  <c r="BI207" i="7"/>
  <c r="AK207" i="7"/>
  <c r="B215" i="7"/>
  <c r="A216" i="7"/>
  <c r="AT208" i="7"/>
  <c r="AR211" i="8"/>
  <c r="BN211" i="8" s="1"/>
  <c r="AQ211" i="8"/>
  <c r="AH208" i="7"/>
  <c r="W208" i="7"/>
  <c r="AX208" i="7" s="1"/>
  <c r="X208" i="7"/>
  <c r="AY208" i="7" s="1"/>
  <c r="U208" i="7"/>
  <c r="AV208" i="7" s="1"/>
  <c r="BB208" i="8"/>
  <c r="AI208" i="8"/>
  <c r="AC208" i="8"/>
  <c r="BD208" i="8" s="1"/>
  <c r="AD208" i="8"/>
  <c r="BE208" i="8" s="1"/>
  <c r="AB208" i="8"/>
  <c r="BC208" i="8" s="1"/>
  <c r="C212" i="8"/>
  <c r="AP212" i="8"/>
  <c r="AI208" i="7"/>
  <c r="AC208" i="7"/>
  <c r="BD208" i="7" s="1"/>
  <c r="AD208" i="7"/>
  <c r="BE208" i="7" s="1"/>
  <c r="AB208" i="7"/>
  <c r="C222" i="9"/>
  <c r="B221" i="9"/>
  <c r="O210" i="7"/>
  <c r="L210" i="7"/>
  <c r="AE210" i="7" s="1"/>
  <c r="BF210" i="7" s="1"/>
  <c r="J208" i="7"/>
  <c r="X220" i="9"/>
  <c r="L220" i="9"/>
  <c r="F220" i="9"/>
  <c r="R220" i="9"/>
  <c r="AA220" i="9"/>
  <c r="M220" i="9"/>
  <c r="Y220" i="9"/>
  <c r="D211" i="8" s="1"/>
  <c r="I211" i="8" s="1"/>
  <c r="J220" i="9"/>
  <c r="Z220" i="9"/>
  <c r="D220" i="9"/>
  <c r="G220" i="9"/>
  <c r="S220" i="9"/>
  <c r="D211" i="7" s="1"/>
  <c r="I211" i="7" s="1"/>
  <c r="W220" i="9"/>
  <c r="N220" i="9"/>
  <c r="E220" i="9"/>
  <c r="K220" i="9"/>
  <c r="U220" i="9"/>
  <c r="T220" i="9"/>
  <c r="H220" i="9"/>
  <c r="P220" i="9"/>
  <c r="V220" i="9"/>
  <c r="I220" i="9"/>
  <c r="E211" i="7" s="1"/>
  <c r="O220" i="9"/>
  <c r="E211" i="8" s="1"/>
  <c r="Q220" i="9"/>
  <c r="G210" i="8"/>
  <c r="G210" i="7"/>
  <c r="AT208" i="8"/>
  <c r="AG206" i="8"/>
  <c r="BH206" i="8" s="1"/>
  <c r="BL206" i="8"/>
  <c r="AN206" i="8"/>
  <c r="BO206" i="8" s="1"/>
  <c r="AP214" i="7"/>
  <c r="C214" i="7"/>
  <c r="A214" i="8"/>
  <c r="B213" i="8"/>
  <c r="BJ207" i="7"/>
  <c r="AL207" i="7"/>
  <c r="BM207" i="7" s="1"/>
  <c r="H209" i="8"/>
  <c r="N209" i="8" s="1"/>
  <c r="M209" i="8"/>
  <c r="S209" i="8"/>
  <c r="U209" i="8"/>
  <c r="AV209" i="8" s="1"/>
  <c r="T209" i="8"/>
  <c r="AU209" i="8" s="1"/>
  <c r="AH208" i="8"/>
  <c r="W208" i="8"/>
  <c r="AX208" i="8" s="1"/>
  <c r="X208" i="8"/>
  <c r="AY208" i="8" s="1"/>
  <c r="AN207" i="8"/>
  <c r="BO207" i="8" s="1"/>
  <c r="BL207" i="8"/>
  <c r="L210" i="8"/>
  <c r="AE210" i="8" s="1"/>
  <c r="BF210" i="8" s="1"/>
  <c r="O210" i="8"/>
  <c r="AF207" i="7"/>
  <c r="BG207" i="7" s="1"/>
  <c r="K209" i="8"/>
  <c r="AA209" i="8" s="1"/>
  <c r="AR213" i="7"/>
  <c r="BN213" i="7" s="1"/>
  <c r="AQ213" i="7"/>
  <c r="X209" i="7" l="1"/>
  <c r="AY209" i="7" s="1"/>
  <c r="W209" i="7"/>
  <c r="AX209" i="7" s="1"/>
  <c r="AH209" i="7"/>
  <c r="BI209" i="7" s="1"/>
  <c r="AG207" i="8"/>
  <c r="BH207" i="8" s="1"/>
  <c r="N209" i="7"/>
  <c r="AC209" i="7" s="1"/>
  <c r="BD209" i="7" s="1"/>
  <c r="G211" i="8"/>
  <c r="M211" i="8" s="1"/>
  <c r="Z208" i="7"/>
  <c r="BA208" i="7" s="1"/>
  <c r="AF208" i="8"/>
  <c r="BG208" i="8" s="1"/>
  <c r="AG207" i="7"/>
  <c r="BH207" i="7" s="1"/>
  <c r="M210" i="7"/>
  <c r="H210" i="7"/>
  <c r="N210" i="7" s="1"/>
  <c r="T210" i="7"/>
  <c r="AU210" i="7" s="1"/>
  <c r="S210" i="7"/>
  <c r="K210" i="7"/>
  <c r="AA210" i="7" s="1"/>
  <c r="H210" i="8"/>
  <c r="N210" i="8" s="1"/>
  <c r="M210" i="8"/>
  <c r="S210" i="8"/>
  <c r="T210" i="8"/>
  <c r="AU210" i="8" s="1"/>
  <c r="U210" i="8"/>
  <c r="AV210" i="8" s="1"/>
  <c r="B216" i="7"/>
  <c r="A217" i="7"/>
  <c r="O211" i="7"/>
  <c r="L211" i="7"/>
  <c r="AE211" i="7" s="1"/>
  <c r="BF211" i="7" s="1"/>
  <c r="A215" i="8"/>
  <c r="B214" i="8"/>
  <c r="AK208" i="7"/>
  <c r="AJ208" i="7"/>
  <c r="BK208" i="7" s="1"/>
  <c r="BI208" i="7"/>
  <c r="AP215" i="7"/>
  <c r="C215" i="7"/>
  <c r="G211" i="7"/>
  <c r="AR214" i="7"/>
  <c r="BN214" i="7" s="1"/>
  <c r="AQ214" i="7"/>
  <c r="C223" i="9"/>
  <c r="B222" i="9"/>
  <c r="BC208" i="7"/>
  <c r="AF208" i="7"/>
  <c r="BG208" i="7" s="1"/>
  <c r="AI209" i="8"/>
  <c r="AC209" i="8"/>
  <c r="BD209" i="8" s="1"/>
  <c r="AD209" i="8"/>
  <c r="BE209" i="8" s="1"/>
  <c r="AB209" i="8"/>
  <c r="BC209" i="8" s="1"/>
  <c r="Z209" i="7"/>
  <c r="AT209" i="8"/>
  <c r="BJ208" i="8"/>
  <c r="AL208" i="8"/>
  <c r="BM208" i="8" s="1"/>
  <c r="BL207" i="7"/>
  <c r="AN207" i="7"/>
  <c r="BO207" i="7" s="1"/>
  <c r="AQ212" i="8"/>
  <c r="AR212" i="8"/>
  <c r="BN212" i="8" s="1"/>
  <c r="BI208" i="8"/>
  <c r="AK208" i="8"/>
  <c r="AJ208" i="8"/>
  <c r="BK208" i="8" s="1"/>
  <c r="L221" i="9"/>
  <c r="R221" i="9"/>
  <c r="F221" i="9"/>
  <c r="X221" i="9"/>
  <c r="P221" i="9"/>
  <c r="M221" i="9"/>
  <c r="O221" i="9"/>
  <c r="E212" i="8" s="1"/>
  <c r="I221" i="9"/>
  <c r="E212" i="7" s="1"/>
  <c r="N221" i="9"/>
  <c r="V221" i="9"/>
  <c r="H221" i="9"/>
  <c r="W221" i="9"/>
  <c r="E221" i="9"/>
  <c r="Y221" i="9"/>
  <c r="D212" i="8" s="1"/>
  <c r="I212" i="8" s="1"/>
  <c r="T221" i="9"/>
  <c r="J221" i="9"/>
  <c r="AA221" i="9"/>
  <c r="K221" i="9"/>
  <c r="Q221" i="9"/>
  <c r="Z221" i="9"/>
  <c r="U221" i="9"/>
  <c r="S221" i="9"/>
  <c r="D212" i="7" s="1"/>
  <c r="I212" i="7" s="1"/>
  <c r="G221" i="9"/>
  <c r="D221" i="9"/>
  <c r="C213" i="8"/>
  <c r="AP213" i="8"/>
  <c r="BB209" i="8"/>
  <c r="AH209" i="8"/>
  <c r="W209" i="8"/>
  <c r="AX209" i="8" s="1"/>
  <c r="X209" i="8"/>
  <c r="AY209" i="8" s="1"/>
  <c r="AL208" i="7"/>
  <c r="BM208" i="7" s="1"/>
  <c r="BJ208" i="7"/>
  <c r="O211" i="8"/>
  <c r="L211" i="8"/>
  <c r="AE211" i="8" s="1"/>
  <c r="BF211" i="8" s="1"/>
  <c r="J209" i="8"/>
  <c r="Z208" i="8"/>
  <c r="K210" i="8"/>
  <c r="AA210" i="8" s="1"/>
  <c r="H211" i="8" l="1"/>
  <c r="J211" i="8" s="1"/>
  <c r="AK209" i="7"/>
  <c r="AI209" i="7"/>
  <c r="K211" i="8"/>
  <c r="AA211" i="8" s="1"/>
  <c r="BB211" i="8" s="1"/>
  <c r="AD209" i="7"/>
  <c r="BE209" i="7" s="1"/>
  <c r="AB209" i="7"/>
  <c r="Z209" i="8"/>
  <c r="BA209" i="8" s="1"/>
  <c r="U211" i="8"/>
  <c r="AV211" i="8" s="1"/>
  <c r="T211" i="8"/>
  <c r="AU211" i="8" s="1"/>
  <c r="S211" i="8"/>
  <c r="AT211" i="8" s="1"/>
  <c r="G212" i="8"/>
  <c r="K212" i="8" s="1"/>
  <c r="AA212" i="8" s="1"/>
  <c r="BB212" i="8" s="1"/>
  <c r="AH210" i="8"/>
  <c r="W210" i="8"/>
  <c r="AX210" i="8" s="1"/>
  <c r="X210" i="8"/>
  <c r="AY210" i="8" s="1"/>
  <c r="AI210" i="8"/>
  <c r="AC210" i="8"/>
  <c r="BD210" i="8" s="1"/>
  <c r="AD210" i="8"/>
  <c r="BE210" i="8" s="1"/>
  <c r="AB210" i="8"/>
  <c r="BC210" i="8" s="1"/>
  <c r="AN208" i="8"/>
  <c r="BO208" i="8" s="1"/>
  <c r="BL208" i="8"/>
  <c r="N211" i="8"/>
  <c r="BB210" i="7"/>
  <c r="AN208" i="7"/>
  <c r="BO208" i="7" s="1"/>
  <c r="BL208" i="7"/>
  <c r="AT210" i="7"/>
  <c r="AH211" i="8"/>
  <c r="W211" i="8"/>
  <c r="AX211" i="8" s="1"/>
  <c r="X211" i="8"/>
  <c r="AY211" i="8" s="1"/>
  <c r="G212" i="7"/>
  <c r="AK209" i="8"/>
  <c r="AJ209" i="8"/>
  <c r="BK209" i="8" s="1"/>
  <c r="BI209" i="8"/>
  <c r="B223" i="9"/>
  <c r="C224" i="9"/>
  <c r="A218" i="7"/>
  <c r="B217" i="7"/>
  <c r="AI210" i="7"/>
  <c r="AC210" i="7"/>
  <c r="BD210" i="7" s="1"/>
  <c r="AD210" i="7"/>
  <c r="BE210" i="7" s="1"/>
  <c r="AB210" i="7"/>
  <c r="BC210" i="7" s="1"/>
  <c r="BA209" i="7"/>
  <c r="C216" i="7"/>
  <c r="AP216" i="7"/>
  <c r="J210" i="7"/>
  <c r="BL209" i="7"/>
  <c r="AR213" i="8"/>
  <c r="BN213" i="8" s="1"/>
  <c r="AQ213" i="8"/>
  <c r="H211" i="7"/>
  <c r="N211" i="7" s="1"/>
  <c r="M211" i="7"/>
  <c r="T211" i="7"/>
  <c r="AU211" i="7" s="1"/>
  <c r="S211" i="7"/>
  <c r="AH210" i="7"/>
  <c r="W210" i="7"/>
  <c r="AX210" i="7" s="1"/>
  <c r="X210" i="7"/>
  <c r="AY210" i="7" s="1"/>
  <c r="U210" i="7"/>
  <c r="AV210" i="7" s="1"/>
  <c r="O212" i="7"/>
  <c r="L212" i="7"/>
  <c r="AE212" i="7" s="1"/>
  <c r="BF212" i="7" s="1"/>
  <c r="C214" i="8"/>
  <c r="AP214" i="8"/>
  <c r="R222" i="9"/>
  <c r="F222" i="9"/>
  <c r="L222" i="9"/>
  <c r="X222" i="9"/>
  <c r="AA222" i="9"/>
  <c r="U222" i="9"/>
  <c r="O222" i="9"/>
  <c r="E213" i="8" s="1"/>
  <c r="J222" i="9"/>
  <c r="D222" i="9"/>
  <c r="S222" i="9"/>
  <c r="D213" i="7" s="1"/>
  <c r="I213" i="7" s="1"/>
  <c r="T222" i="9"/>
  <c r="K222" i="9"/>
  <c r="N222" i="9"/>
  <c r="M222" i="9"/>
  <c r="Q222" i="9"/>
  <c r="Z222" i="9"/>
  <c r="P222" i="9"/>
  <c r="H222" i="9"/>
  <c r="Y222" i="9"/>
  <c r="D213" i="8" s="1"/>
  <c r="I213" i="8" s="1"/>
  <c r="I222" i="9"/>
  <c r="E213" i="7" s="1"/>
  <c r="E222" i="9"/>
  <c r="V222" i="9"/>
  <c r="W222" i="9"/>
  <c r="G222" i="9"/>
  <c r="AG208" i="8"/>
  <c r="BH208" i="8" s="1"/>
  <c r="BA208" i="8"/>
  <c r="K211" i="7"/>
  <c r="AA211" i="7" s="1"/>
  <c r="BB210" i="8"/>
  <c r="L212" i="8"/>
  <c r="AE212" i="8" s="1"/>
  <c r="BF212" i="8" s="1"/>
  <c r="O212" i="8"/>
  <c r="AR215" i="7"/>
  <c r="BN215" i="7" s="1"/>
  <c r="AQ215" i="7"/>
  <c r="AT210" i="8"/>
  <c r="AG208" i="7"/>
  <c r="BH208" i="7" s="1"/>
  <c r="A216" i="8"/>
  <c r="B215" i="8"/>
  <c r="AF209" i="8"/>
  <c r="BG209" i="8" s="1"/>
  <c r="AL209" i="8"/>
  <c r="BM209" i="8" s="1"/>
  <c r="BJ209" i="8"/>
  <c r="J210" i="8"/>
  <c r="AJ209" i="7" l="1"/>
  <c r="BK209" i="7" s="1"/>
  <c r="AL209" i="7"/>
  <c r="BJ209" i="7"/>
  <c r="BC209" i="7"/>
  <c r="AF209" i="7"/>
  <c r="H212" i="8"/>
  <c r="N212" i="8" s="1"/>
  <c r="AC212" i="8" s="1"/>
  <c r="BD212" i="8" s="1"/>
  <c r="T212" i="8"/>
  <c r="AU212" i="8" s="1"/>
  <c r="M212" i="8"/>
  <c r="W212" i="8" s="1"/>
  <c r="AX212" i="8" s="1"/>
  <c r="U212" i="8"/>
  <c r="AV212" i="8" s="1"/>
  <c r="S212" i="8"/>
  <c r="AT212" i="8" s="1"/>
  <c r="AF210" i="7"/>
  <c r="BG210" i="7" s="1"/>
  <c r="G213" i="8"/>
  <c r="U213" i="8" s="1"/>
  <c r="AV213" i="8" s="1"/>
  <c r="AF210" i="8"/>
  <c r="BG210" i="8" s="1"/>
  <c r="Z210" i="8"/>
  <c r="BA210" i="8" s="1"/>
  <c r="J211" i="7"/>
  <c r="X223" i="9"/>
  <c r="F223" i="9"/>
  <c r="L223" i="9"/>
  <c r="R223" i="9"/>
  <c r="Q223" i="9"/>
  <c r="J223" i="9"/>
  <c r="H223" i="9"/>
  <c r="K223" i="9"/>
  <c r="M223" i="9"/>
  <c r="Z223" i="9"/>
  <c r="D223" i="9"/>
  <c r="G223" i="9"/>
  <c r="S223" i="9"/>
  <c r="D214" i="7" s="1"/>
  <c r="I214" i="7" s="1"/>
  <c r="AA223" i="9"/>
  <c r="W223" i="9"/>
  <c r="E223" i="9"/>
  <c r="P223" i="9"/>
  <c r="I223" i="9"/>
  <c r="E214" i="7" s="1"/>
  <c r="N223" i="9"/>
  <c r="Y223" i="9"/>
  <c r="D214" i="8" s="1"/>
  <c r="I214" i="8" s="1"/>
  <c r="V223" i="9"/>
  <c r="O223" i="9"/>
  <c r="E214" i="8" s="1"/>
  <c r="U223" i="9"/>
  <c r="T223" i="9"/>
  <c r="AN209" i="8"/>
  <c r="BO209" i="8" s="1"/>
  <c r="BL209" i="8"/>
  <c r="AR216" i="7"/>
  <c r="BN216" i="7" s="1"/>
  <c r="AQ216" i="7"/>
  <c r="M212" i="7"/>
  <c r="H212" i="7"/>
  <c r="N212" i="7" s="1"/>
  <c r="T212" i="7"/>
  <c r="AU212" i="7" s="1"/>
  <c r="S212" i="7"/>
  <c r="AH211" i="7"/>
  <c r="W211" i="7"/>
  <c r="AX211" i="7" s="1"/>
  <c r="X211" i="7"/>
  <c r="AY211" i="7" s="1"/>
  <c r="U211" i="7"/>
  <c r="AV211" i="7" s="1"/>
  <c r="AT211" i="7"/>
  <c r="K212" i="7"/>
  <c r="AA212" i="7" s="1"/>
  <c r="AP215" i="8"/>
  <c r="C215" i="8"/>
  <c r="AR214" i="8"/>
  <c r="BN214" i="8" s="1"/>
  <c r="AQ214" i="8"/>
  <c r="AI211" i="7"/>
  <c r="AC211" i="7"/>
  <c r="BD211" i="7" s="1"/>
  <c r="AD211" i="7"/>
  <c r="BE211" i="7" s="1"/>
  <c r="AB211" i="7"/>
  <c r="BC211" i="7" s="1"/>
  <c r="AK211" i="8"/>
  <c r="BI211" i="8"/>
  <c r="AG209" i="8"/>
  <c r="BH209" i="8" s="1"/>
  <c r="BJ210" i="7"/>
  <c r="AL210" i="7"/>
  <c r="BM210" i="7" s="1"/>
  <c r="Z210" i="7"/>
  <c r="BJ210" i="8"/>
  <c r="AL210" i="8"/>
  <c r="BM210" i="8" s="1"/>
  <c r="B216" i="8"/>
  <c r="A217" i="8"/>
  <c r="O213" i="7"/>
  <c r="L213" i="7"/>
  <c r="AE213" i="7" s="1"/>
  <c r="BF213" i="7" s="1"/>
  <c r="AP217" i="7"/>
  <c r="C217" i="7"/>
  <c r="L213" i="8"/>
  <c r="AE213" i="8" s="1"/>
  <c r="BF213" i="8" s="1"/>
  <c r="O213" i="8"/>
  <c r="AJ210" i="7"/>
  <c r="BK210" i="7" s="1"/>
  <c r="BI210" i="7"/>
  <c r="AK210" i="7"/>
  <c r="Z211" i="8"/>
  <c r="B218" i="7"/>
  <c r="A219" i="7"/>
  <c r="AI211" i="8"/>
  <c r="AC211" i="8"/>
  <c r="BD211" i="8" s="1"/>
  <c r="AD211" i="8"/>
  <c r="BE211" i="8" s="1"/>
  <c r="AB211" i="8"/>
  <c r="BB211" i="7"/>
  <c r="G213" i="7"/>
  <c r="K213" i="7" s="1"/>
  <c r="AA213" i="7" s="1"/>
  <c r="B224" i="9"/>
  <c r="C225" i="9"/>
  <c r="BI210" i="8"/>
  <c r="AK210" i="8"/>
  <c r="AJ210" i="8"/>
  <c r="BK210" i="8" s="1"/>
  <c r="J212" i="8" l="1"/>
  <c r="AI212" i="8"/>
  <c r="AL212" i="8" s="1"/>
  <c r="BM212" i="8" s="1"/>
  <c r="AB212" i="8"/>
  <c r="BC212" i="8" s="1"/>
  <c r="AH212" i="8"/>
  <c r="AK212" i="8" s="1"/>
  <c r="BM209" i="7"/>
  <c r="AN209" i="7"/>
  <c r="BO209" i="7" s="1"/>
  <c r="AD212" i="8"/>
  <c r="BE212" i="8" s="1"/>
  <c r="BG209" i="7"/>
  <c r="AG209" i="7"/>
  <c r="BH209" i="7" s="1"/>
  <c r="G214" i="8"/>
  <c r="M214" i="8" s="1"/>
  <c r="X212" i="8"/>
  <c r="AY212" i="8" s="1"/>
  <c r="AG210" i="8"/>
  <c r="BH210" i="8" s="1"/>
  <c r="AF211" i="7"/>
  <c r="BG211" i="7" s="1"/>
  <c r="K213" i="8"/>
  <c r="AA213" i="8" s="1"/>
  <c r="BB213" i="8" s="1"/>
  <c r="H213" i="8"/>
  <c r="N213" i="8" s="1"/>
  <c r="AI213" i="8" s="1"/>
  <c r="M213" i="8"/>
  <c r="AH213" i="8" s="1"/>
  <c r="T213" i="8"/>
  <c r="AU213" i="8" s="1"/>
  <c r="S213" i="8"/>
  <c r="AT213" i="8" s="1"/>
  <c r="G214" i="7"/>
  <c r="S214" i="7" s="1"/>
  <c r="BC211" i="8"/>
  <c r="AF211" i="8"/>
  <c r="BG211" i="8" s="1"/>
  <c r="AT212" i="7"/>
  <c r="B217" i="8"/>
  <c r="A218" i="8"/>
  <c r="AI212" i="7"/>
  <c r="AC212" i="7"/>
  <c r="BD212" i="7" s="1"/>
  <c r="AD212" i="7"/>
  <c r="BE212" i="7" s="1"/>
  <c r="AB212" i="7"/>
  <c r="BC212" i="7" s="1"/>
  <c r="AK211" i="7"/>
  <c r="AJ211" i="7"/>
  <c r="BK211" i="7" s="1"/>
  <c r="BI211" i="7"/>
  <c r="BA211" i="8"/>
  <c r="AL211" i="7"/>
  <c r="BM211" i="7" s="1"/>
  <c r="BJ211" i="7"/>
  <c r="BL210" i="7"/>
  <c r="AN210" i="7"/>
  <c r="BO210" i="7" s="1"/>
  <c r="AQ215" i="8"/>
  <c r="AR215" i="8"/>
  <c r="BN215" i="8" s="1"/>
  <c r="BJ211" i="8"/>
  <c r="AL211" i="8"/>
  <c r="BM211" i="8" s="1"/>
  <c r="AJ211" i="8"/>
  <c r="BK211" i="8" s="1"/>
  <c r="AH212" i="7"/>
  <c r="W212" i="7"/>
  <c r="AX212" i="7" s="1"/>
  <c r="X212" i="7"/>
  <c r="AY212" i="7" s="1"/>
  <c r="U212" i="7"/>
  <c r="AV212" i="7" s="1"/>
  <c r="BL211" i="8"/>
  <c r="L214" i="8"/>
  <c r="AE214" i="8" s="1"/>
  <c r="BF214" i="8" s="1"/>
  <c r="O214" i="8"/>
  <c r="BA210" i="7"/>
  <c r="AG210" i="7"/>
  <c r="BH210" i="7" s="1"/>
  <c r="AN210" i="8"/>
  <c r="BO210" i="8" s="1"/>
  <c r="BL210" i="8"/>
  <c r="AP218" i="7"/>
  <c r="C218" i="7"/>
  <c r="Z211" i="7"/>
  <c r="C216" i="8"/>
  <c r="AP216" i="8"/>
  <c r="B219" i="7"/>
  <c r="A220" i="7"/>
  <c r="J212" i="7"/>
  <c r="AQ217" i="7"/>
  <c r="AR217" i="7"/>
  <c r="BN217" i="7" s="1"/>
  <c r="B225" i="9"/>
  <c r="C226" i="9"/>
  <c r="X224" i="9"/>
  <c r="L224" i="9"/>
  <c r="R224" i="9"/>
  <c r="F224" i="9"/>
  <c r="V224" i="9"/>
  <c r="W224" i="9"/>
  <c r="M224" i="9"/>
  <c r="I224" i="9"/>
  <c r="E215" i="7" s="1"/>
  <c r="Q224" i="9"/>
  <c r="S224" i="9"/>
  <c r="D215" i="7" s="1"/>
  <c r="I215" i="7" s="1"/>
  <c r="G224" i="9"/>
  <c r="Z224" i="9"/>
  <c r="D224" i="9"/>
  <c r="K224" i="9"/>
  <c r="H224" i="9"/>
  <c r="J224" i="9"/>
  <c r="AA224" i="9"/>
  <c r="T224" i="9"/>
  <c r="E224" i="9"/>
  <c r="P224" i="9"/>
  <c r="U224" i="9"/>
  <c r="N224" i="9"/>
  <c r="O224" i="9"/>
  <c r="E215" i="8" s="1"/>
  <c r="Y224" i="9"/>
  <c r="D215" i="8" s="1"/>
  <c r="I215" i="8" s="1"/>
  <c r="BI212" i="8"/>
  <c r="BB213" i="7"/>
  <c r="BB212" i="7"/>
  <c r="M213" i="7"/>
  <c r="H213" i="7"/>
  <c r="N213" i="7" s="1"/>
  <c r="T213" i="7"/>
  <c r="AU213" i="7" s="1"/>
  <c r="S213" i="7"/>
  <c r="BJ212" i="8"/>
  <c r="L214" i="7"/>
  <c r="AE214" i="7" s="1"/>
  <c r="BF214" i="7" s="1"/>
  <c r="O214" i="7"/>
  <c r="AJ212" i="8" l="1"/>
  <c r="BK212" i="8" s="1"/>
  <c r="AF212" i="8"/>
  <c r="BG212" i="8" s="1"/>
  <c r="T214" i="8"/>
  <c r="AU214" i="8" s="1"/>
  <c r="K214" i="8"/>
  <c r="AA214" i="8" s="1"/>
  <c r="BB214" i="8" s="1"/>
  <c r="Z212" i="8"/>
  <c r="H214" i="8"/>
  <c r="N214" i="8" s="1"/>
  <c r="AI214" i="8" s="1"/>
  <c r="U214" i="8"/>
  <c r="AV214" i="8" s="1"/>
  <c r="S214" i="8"/>
  <c r="AT214" i="8" s="1"/>
  <c r="T214" i="7"/>
  <c r="AU214" i="7" s="1"/>
  <c r="AB213" i="8"/>
  <c r="BC213" i="8" s="1"/>
  <c r="AD213" i="8"/>
  <c r="BE213" i="8" s="1"/>
  <c r="AC213" i="8"/>
  <c r="BD213" i="8" s="1"/>
  <c r="M214" i="7"/>
  <c r="U214" i="7" s="1"/>
  <c r="AV214" i="7" s="1"/>
  <c r="H214" i="7"/>
  <c r="J214" i="7" s="1"/>
  <c r="X213" i="8"/>
  <c r="AY213" i="8" s="1"/>
  <c r="K214" i="7"/>
  <c r="AA214" i="7" s="1"/>
  <c r="BB214" i="7" s="1"/>
  <c r="W213" i="8"/>
  <c r="AX213" i="8" s="1"/>
  <c r="J213" i="8"/>
  <c r="AG211" i="8"/>
  <c r="BH211" i="8" s="1"/>
  <c r="AF212" i="7"/>
  <c r="BG212" i="7" s="1"/>
  <c r="L215" i="8"/>
  <c r="AE215" i="8" s="1"/>
  <c r="BF215" i="8" s="1"/>
  <c r="O215" i="8"/>
  <c r="AR218" i="7"/>
  <c r="BN218" i="7" s="1"/>
  <c r="AQ218" i="7"/>
  <c r="R225" i="9"/>
  <c r="F225" i="9"/>
  <c r="X225" i="9"/>
  <c r="S225" i="9"/>
  <c r="D216" i="7" s="1"/>
  <c r="I216" i="7" s="1"/>
  <c r="L225" i="9"/>
  <c r="K225" i="9"/>
  <c r="M225" i="9"/>
  <c r="D225" i="9"/>
  <c r="Y225" i="9"/>
  <c r="D216" i="8" s="1"/>
  <c r="I216" i="8" s="1"/>
  <c r="Z225" i="9"/>
  <c r="W225" i="9"/>
  <c r="N225" i="9"/>
  <c r="U225" i="9"/>
  <c r="Q225" i="9"/>
  <c r="T225" i="9"/>
  <c r="O225" i="9"/>
  <c r="E216" i="8" s="1"/>
  <c r="I225" i="9"/>
  <c r="E216" i="7" s="1"/>
  <c r="P225" i="9"/>
  <c r="V225" i="9"/>
  <c r="AA225" i="9"/>
  <c r="H225" i="9"/>
  <c r="J225" i="9"/>
  <c r="E225" i="9"/>
  <c r="G225" i="9"/>
  <c r="AH214" i="8"/>
  <c r="W214" i="8"/>
  <c r="AX214" i="8" s="1"/>
  <c r="X214" i="8"/>
  <c r="AY214" i="8" s="1"/>
  <c r="AL212" i="7"/>
  <c r="BM212" i="7" s="1"/>
  <c r="BJ212" i="7"/>
  <c r="G215" i="8"/>
  <c r="A219" i="8"/>
  <c r="B218" i="8"/>
  <c r="G215" i="7"/>
  <c r="AT213" i="7"/>
  <c r="A221" i="7"/>
  <c r="B220" i="7"/>
  <c r="C217" i="8"/>
  <c r="AP217" i="8"/>
  <c r="C227" i="9"/>
  <c r="B226" i="9"/>
  <c r="AI213" i="7"/>
  <c r="AC213" i="7"/>
  <c r="BD213" i="7" s="1"/>
  <c r="AD213" i="7"/>
  <c r="BE213" i="7" s="1"/>
  <c r="AB213" i="7"/>
  <c r="C219" i="7"/>
  <c r="AP219" i="7"/>
  <c r="AN211" i="8"/>
  <c r="BO211" i="8" s="1"/>
  <c r="BJ213" i="8"/>
  <c r="AL213" i="8"/>
  <c r="BM213" i="8" s="1"/>
  <c r="Z212" i="7"/>
  <c r="BI213" i="8"/>
  <c r="AK213" i="8"/>
  <c r="AJ213" i="8"/>
  <c r="BK213" i="8" s="1"/>
  <c r="AN212" i="8"/>
  <c r="BO212" i="8" s="1"/>
  <c r="BL212" i="8"/>
  <c r="J213" i="7"/>
  <c r="AR216" i="8"/>
  <c r="BN216" i="8" s="1"/>
  <c r="AQ216" i="8"/>
  <c r="O215" i="7"/>
  <c r="L215" i="7"/>
  <c r="AE215" i="7" s="1"/>
  <c r="BF215" i="7" s="1"/>
  <c r="BI212" i="7"/>
  <c r="AK212" i="7"/>
  <c r="AJ212" i="7"/>
  <c r="BK212" i="7" s="1"/>
  <c r="AT214" i="7"/>
  <c r="AH213" i="7"/>
  <c r="W213" i="7"/>
  <c r="AX213" i="7" s="1"/>
  <c r="X213" i="7"/>
  <c r="AY213" i="7" s="1"/>
  <c r="U213" i="7"/>
  <c r="AV213" i="7" s="1"/>
  <c r="BA211" i="7"/>
  <c r="AG211" i="7"/>
  <c r="BH211" i="7" s="1"/>
  <c r="AN211" i="7"/>
  <c r="BO211" i="7" s="1"/>
  <c r="BL211" i="7"/>
  <c r="AG212" i="8" l="1"/>
  <c r="BH212" i="8" s="1"/>
  <c r="J214" i="8"/>
  <c r="BA212" i="8"/>
  <c r="AF213" i="8"/>
  <c r="BG213" i="8" s="1"/>
  <c r="AH214" i="7"/>
  <c r="AK214" i="7" s="1"/>
  <c r="N214" i="7"/>
  <c r="AI214" i="7" s="1"/>
  <c r="AB214" i="8"/>
  <c r="BC214" i="8" s="1"/>
  <c r="AD214" i="8"/>
  <c r="BE214" i="8" s="1"/>
  <c r="AC214" i="8"/>
  <c r="BD214" i="8" s="1"/>
  <c r="W214" i="7"/>
  <c r="AX214" i="7" s="1"/>
  <c r="Z213" i="8"/>
  <c r="BA213" i="8" s="1"/>
  <c r="X214" i="7"/>
  <c r="AY214" i="7" s="1"/>
  <c r="Z213" i="7"/>
  <c r="BA213" i="7" s="1"/>
  <c r="G216" i="8"/>
  <c r="U216" i="8" s="1"/>
  <c r="AV216" i="8" s="1"/>
  <c r="O216" i="7"/>
  <c r="L216" i="7"/>
  <c r="AE216" i="7" s="1"/>
  <c r="BF216" i="7" s="1"/>
  <c r="B221" i="7"/>
  <c r="A222" i="7"/>
  <c r="BJ213" i="7"/>
  <c r="AL213" i="7"/>
  <c r="BM213" i="7" s="1"/>
  <c r="BL213" i="8"/>
  <c r="AN213" i="8"/>
  <c r="BO213" i="8" s="1"/>
  <c r="AG212" i="7"/>
  <c r="BH212" i="7" s="1"/>
  <c r="BA212" i="7"/>
  <c r="R226" i="9"/>
  <c r="F226" i="9"/>
  <c r="L226" i="9"/>
  <c r="X226" i="9"/>
  <c r="M226" i="9"/>
  <c r="O226" i="9"/>
  <c r="E217" i="8" s="1"/>
  <c r="K226" i="9"/>
  <c r="T226" i="9"/>
  <c r="U226" i="9"/>
  <c r="J226" i="9"/>
  <c r="Y226" i="9"/>
  <c r="D217" i="8" s="1"/>
  <c r="I217" i="8" s="1"/>
  <c r="Z226" i="9"/>
  <c r="H226" i="9"/>
  <c r="G226" i="9"/>
  <c r="W226" i="9"/>
  <c r="AA226" i="9"/>
  <c r="V226" i="9"/>
  <c r="N226" i="9"/>
  <c r="I226" i="9"/>
  <c r="E217" i="7" s="1"/>
  <c r="P226" i="9"/>
  <c r="D226" i="9"/>
  <c r="E226" i="9"/>
  <c r="Q226" i="9"/>
  <c r="S226" i="9"/>
  <c r="D217" i="7" s="1"/>
  <c r="I217" i="7" s="1"/>
  <c r="AL214" i="8"/>
  <c r="BM214" i="8" s="1"/>
  <c r="BJ214" i="8"/>
  <c r="O216" i="8"/>
  <c r="L216" i="8"/>
  <c r="AE216" i="8" s="1"/>
  <c r="BF216" i="8" s="1"/>
  <c r="AN212" i="7"/>
  <c r="BO212" i="7" s="1"/>
  <c r="BL212" i="7"/>
  <c r="B219" i="8"/>
  <c r="A220" i="8"/>
  <c r="AR219" i="7"/>
  <c r="BN219" i="7" s="1"/>
  <c r="AQ219" i="7"/>
  <c r="AP218" i="8"/>
  <c r="C218" i="8"/>
  <c r="Z214" i="8"/>
  <c r="M215" i="7"/>
  <c r="H215" i="7"/>
  <c r="N215" i="7" s="1"/>
  <c r="T215" i="7"/>
  <c r="AU215" i="7" s="1"/>
  <c r="S215" i="7"/>
  <c r="K215" i="7"/>
  <c r="AA215" i="7" s="1"/>
  <c r="M215" i="8"/>
  <c r="H215" i="8"/>
  <c r="N215" i="8" s="1"/>
  <c r="S215" i="8"/>
  <c r="U215" i="8"/>
  <c r="AV215" i="8" s="1"/>
  <c r="T215" i="8"/>
  <c r="AU215" i="8" s="1"/>
  <c r="K215" i="8"/>
  <c r="AA215" i="8" s="1"/>
  <c r="B227" i="9"/>
  <c r="C228" i="9"/>
  <c r="AR217" i="8"/>
  <c r="BN217" i="8" s="1"/>
  <c r="AQ217" i="8"/>
  <c r="AJ213" i="7"/>
  <c r="BK213" i="7" s="1"/>
  <c r="BI213" i="7"/>
  <c r="AK213" i="7"/>
  <c r="BC213" i="7"/>
  <c r="AF213" i="7"/>
  <c r="BG213" i="7" s="1"/>
  <c r="AK214" i="8"/>
  <c r="BI214" i="8"/>
  <c r="AJ214" i="8"/>
  <c r="BK214" i="8" s="1"/>
  <c r="AP220" i="7"/>
  <c r="C220" i="7"/>
  <c r="G216" i="7"/>
  <c r="K216" i="7" s="1"/>
  <c r="AA216" i="7" s="1"/>
  <c r="BI214" i="7" l="1"/>
  <c r="Z214" i="7"/>
  <c r="BA214" i="7" s="1"/>
  <c r="AJ214" i="7"/>
  <c r="BK214" i="7" s="1"/>
  <c r="AC214" i="7"/>
  <c r="BD214" i="7" s="1"/>
  <c r="AB214" i="7"/>
  <c r="BC214" i="7" s="1"/>
  <c r="AD214" i="7"/>
  <c r="BE214" i="7" s="1"/>
  <c r="AF214" i="8"/>
  <c r="BG214" i="8" s="1"/>
  <c r="M216" i="8"/>
  <c r="W216" i="8" s="1"/>
  <c r="AX216" i="8" s="1"/>
  <c r="AG213" i="8"/>
  <c r="BH213" i="8" s="1"/>
  <c r="H216" i="8"/>
  <c r="J216" i="8" s="1"/>
  <c r="K216" i="8"/>
  <c r="AA216" i="8" s="1"/>
  <c r="BB216" i="8" s="1"/>
  <c r="S216" i="8"/>
  <c r="AT216" i="8" s="1"/>
  <c r="T216" i="8"/>
  <c r="AU216" i="8" s="1"/>
  <c r="AG213" i="7"/>
  <c r="BH213" i="7" s="1"/>
  <c r="G217" i="7"/>
  <c r="S217" i="7" s="1"/>
  <c r="BB215" i="7"/>
  <c r="AT215" i="7"/>
  <c r="BB215" i="8"/>
  <c r="G217" i="8"/>
  <c r="BL214" i="7"/>
  <c r="O217" i="8"/>
  <c r="L217" i="8"/>
  <c r="AE217" i="8" s="1"/>
  <c r="BF217" i="8" s="1"/>
  <c r="B228" i="9"/>
  <c r="C229" i="9"/>
  <c r="AH215" i="7"/>
  <c r="W215" i="7"/>
  <c r="AX215" i="7" s="1"/>
  <c r="X215" i="7"/>
  <c r="AY215" i="7" s="1"/>
  <c r="U215" i="7"/>
  <c r="AV215" i="7" s="1"/>
  <c r="A221" i="8"/>
  <c r="B220" i="8"/>
  <c r="AR220" i="7"/>
  <c r="BN220" i="7" s="1"/>
  <c r="AQ220" i="7"/>
  <c r="L227" i="9"/>
  <c r="F227" i="9"/>
  <c r="X227" i="9"/>
  <c r="U227" i="9"/>
  <c r="R227" i="9"/>
  <c r="Q227" i="9"/>
  <c r="I227" i="9"/>
  <c r="E218" i="7" s="1"/>
  <c r="W227" i="9"/>
  <c r="N227" i="9"/>
  <c r="AA227" i="9"/>
  <c r="O227" i="9"/>
  <c r="E218" i="8" s="1"/>
  <c r="J227" i="9"/>
  <c r="Y227" i="9"/>
  <c r="D218" i="8" s="1"/>
  <c r="I218" i="8" s="1"/>
  <c r="E227" i="9"/>
  <c r="P227" i="9"/>
  <c r="G227" i="9"/>
  <c r="D227" i="9"/>
  <c r="Z227" i="9"/>
  <c r="S227" i="9"/>
  <c r="D218" i="7" s="1"/>
  <c r="I218" i="7" s="1"/>
  <c r="T227" i="9"/>
  <c r="M227" i="9"/>
  <c r="H227" i="9"/>
  <c r="V227" i="9"/>
  <c r="K227" i="9"/>
  <c r="AI215" i="7"/>
  <c r="AC215" i="7"/>
  <c r="BD215" i="7" s="1"/>
  <c r="AD215" i="7"/>
  <c r="BE215" i="7" s="1"/>
  <c r="AB215" i="7"/>
  <c r="BC215" i="7" s="1"/>
  <c r="AT215" i="8"/>
  <c r="AL214" i="7"/>
  <c r="BM214" i="7" s="1"/>
  <c r="BJ214" i="7"/>
  <c r="B222" i="7"/>
  <c r="A223" i="7"/>
  <c r="BL213" i="7"/>
  <c r="AN213" i="7"/>
  <c r="BO213" i="7" s="1"/>
  <c r="AI215" i="8"/>
  <c r="AC215" i="8"/>
  <c r="BD215" i="8" s="1"/>
  <c r="AD215" i="8"/>
  <c r="BE215" i="8" s="1"/>
  <c r="AB215" i="8"/>
  <c r="BC215" i="8" s="1"/>
  <c r="AQ218" i="8"/>
  <c r="AR218" i="8"/>
  <c r="BN218" i="8" s="1"/>
  <c r="AP221" i="7"/>
  <c r="C221" i="7"/>
  <c r="J215" i="7"/>
  <c r="BL214" i="8"/>
  <c r="AN214" i="8"/>
  <c r="BO214" i="8" s="1"/>
  <c r="BA214" i="8"/>
  <c r="AH215" i="8"/>
  <c r="W215" i="8"/>
  <c r="AX215" i="8" s="1"/>
  <c r="X215" i="8"/>
  <c r="AY215" i="8" s="1"/>
  <c r="C219" i="8"/>
  <c r="AP219" i="8"/>
  <c r="BB216" i="7"/>
  <c r="M216" i="7"/>
  <c r="H216" i="7"/>
  <c r="N216" i="7" s="1"/>
  <c r="T216" i="7"/>
  <c r="AU216" i="7" s="1"/>
  <c r="S216" i="7"/>
  <c r="J215" i="8"/>
  <c r="O217" i="7"/>
  <c r="L217" i="7"/>
  <c r="AE217" i="7" s="1"/>
  <c r="BF217" i="7" s="1"/>
  <c r="AG214" i="8" l="1"/>
  <c r="BH214" i="8" s="1"/>
  <c r="AH216" i="8"/>
  <c r="BI216" i="8" s="1"/>
  <c r="AF214" i="7"/>
  <c r="BG214" i="7" s="1"/>
  <c r="N216" i="8"/>
  <c r="AB216" i="8" s="1"/>
  <c r="X216" i="8"/>
  <c r="AY216" i="8" s="1"/>
  <c r="H217" i="7"/>
  <c r="J217" i="7" s="1"/>
  <c r="K217" i="7"/>
  <c r="AA217" i="7" s="1"/>
  <c r="BB217" i="7" s="1"/>
  <c r="T217" i="7"/>
  <c r="AU217" i="7" s="1"/>
  <c r="M217" i="7"/>
  <c r="U217" i="7" s="1"/>
  <c r="AV217" i="7" s="1"/>
  <c r="AF215" i="8"/>
  <c r="BG215" i="8" s="1"/>
  <c r="G218" i="7"/>
  <c r="M218" i="7" s="1"/>
  <c r="Z215" i="8"/>
  <c r="BA215" i="8" s="1"/>
  <c r="AP220" i="8"/>
  <c r="C220" i="8"/>
  <c r="H217" i="8"/>
  <c r="N217" i="8" s="1"/>
  <c r="M217" i="8"/>
  <c r="S217" i="8"/>
  <c r="T217" i="8"/>
  <c r="AU217" i="8" s="1"/>
  <c r="U217" i="8"/>
  <c r="AV217" i="8" s="1"/>
  <c r="K217" i="8"/>
  <c r="AA217" i="8" s="1"/>
  <c r="AI216" i="7"/>
  <c r="AC216" i="7"/>
  <c r="BD216" i="7" s="1"/>
  <c r="AD216" i="7"/>
  <c r="BE216" i="7" s="1"/>
  <c r="AB216" i="7"/>
  <c r="A222" i="8"/>
  <c r="B221" i="8"/>
  <c r="AH216" i="7"/>
  <c r="W216" i="7"/>
  <c r="AX216" i="7" s="1"/>
  <c r="X216" i="7"/>
  <c r="AY216" i="7" s="1"/>
  <c r="U216" i="7"/>
  <c r="AV216" i="7" s="1"/>
  <c r="AR221" i="7"/>
  <c r="BN221" i="7" s="1"/>
  <c r="AQ221" i="7"/>
  <c r="BI215" i="7"/>
  <c r="AK215" i="7"/>
  <c r="AJ215" i="7"/>
  <c r="BK215" i="7" s="1"/>
  <c r="C230" i="9"/>
  <c r="B229" i="9"/>
  <c r="AT217" i="7"/>
  <c r="X228" i="9"/>
  <c r="L228" i="9"/>
  <c r="R228" i="9"/>
  <c r="F228" i="9"/>
  <c r="E228" i="9"/>
  <c r="Z228" i="9"/>
  <c r="U228" i="9"/>
  <c r="J228" i="9"/>
  <c r="Y228" i="9"/>
  <c r="D219" i="8" s="1"/>
  <c r="I219" i="8" s="1"/>
  <c r="O228" i="9"/>
  <c r="E219" i="8" s="1"/>
  <c r="I228" i="9"/>
  <c r="E219" i="7" s="1"/>
  <c r="T228" i="9"/>
  <c r="V228" i="9"/>
  <c r="P228" i="9"/>
  <c r="G228" i="9"/>
  <c r="M228" i="9"/>
  <c r="K228" i="9"/>
  <c r="D228" i="9"/>
  <c r="S228" i="9"/>
  <c r="D219" i="7" s="1"/>
  <c r="I219" i="7" s="1"/>
  <c r="H228" i="9"/>
  <c r="Q228" i="9"/>
  <c r="N228" i="9"/>
  <c r="W228" i="9"/>
  <c r="AA228" i="9"/>
  <c r="AK216" i="8"/>
  <c r="AL215" i="8"/>
  <c r="BM215" i="8" s="1"/>
  <c r="BJ215" i="8"/>
  <c r="Z215" i="7"/>
  <c r="J216" i="7"/>
  <c r="L218" i="8"/>
  <c r="AE218" i="8" s="1"/>
  <c r="BF218" i="8" s="1"/>
  <c r="O218" i="8"/>
  <c r="O218" i="7"/>
  <c r="L218" i="7"/>
  <c r="AE218" i="7" s="1"/>
  <c r="BF218" i="7" s="1"/>
  <c r="AQ219" i="8"/>
  <c r="AR219" i="8"/>
  <c r="BN219" i="8" s="1"/>
  <c r="AL215" i="7"/>
  <c r="BM215" i="7" s="1"/>
  <c r="BJ215" i="7"/>
  <c r="AT216" i="7"/>
  <c r="AK215" i="8"/>
  <c r="BI215" i="8"/>
  <c r="AJ215" i="8"/>
  <c r="BK215" i="8" s="1"/>
  <c r="A224" i="7"/>
  <c r="B223" i="7"/>
  <c r="C222" i="7"/>
  <c r="AP222" i="7"/>
  <c r="G218" i="8"/>
  <c r="K218" i="8" s="1"/>
  <c r="AA218" i="8" s="1"/>
  <c r="AN214" i="7"/>
  <c r="BO214" i="7" s="1"/>
  <c r="AF215" i="7"/>
  <c r="BG215" i="7" s="1"/>
  <c r="AD216" i="8" l="1"/>
  <c r="BE216" i="8" s="1"/>
  <c r="AI216" i="8"/>
  <c r="AC216" i="8"/>
  <c r="BD216" i="8" s="1"/>
  <c r="H218" i="7"/>
  <c r="N218" i="7" s="1"/>
  <c r="AI218" i="7" s="1"/>
  <c r="Z216" i="8"/>
  <c r="BA216" i="8" s="1"/>
  <c r="N217" i="7"/>
  <c r="AI217" i="7" s="1"/>
  <c r="K218" i="7"/>
  <c r="AA218" i="7" s="1"/>
  <c r="BB218" i="7" s="1"/>
  <c r="AG214" i="7"/>
  <c r="BH214" i="7" s="1"/>
  <c r="AH217" i="7"/>
  <c r="AK217" i="7" s="1"/>
  <c r="S218" i="7"/>
  <c r="AT218" i="7" s="1"/>
  <c r="W217" i="7"/>
  <c r="AX217" i="7" s="1"/>
  <c r="T218" i="7"/>
  <c r="AU218" i="7" s="1"/>
  <c r="X217" i="7"/>
  <c r="AY217" i="7" s="1"/>
  <c r="AG215" i="8"/>
  <c r="BH215" i="8" s="1"/>
  <c r="Z216" i="7"/>
  <c r="BA216" i="7" s="1"/>
  <c r="J217" i="8"/>
  <c r="BB218" i="8"/>
  <c r="C221" i="8"/>
  <c r="AP221" i="8"/>
  <c r="BB217" i="8"/>
  <c r="BC216" i="8"/>
  <c r="AF216" i="8"/>
  <c r="BG216" i="8" s="1"/>
  <c r="AN215" i="7"/>
  <c r="BO215" i="7" s="1"/>
  <c r="BL215" i="7"/>
  <c r="L219" i="8"/>
  <c r="AE219" i="8" s="1"/>
  <c r="BF219" i="8" s="1"/>
  <c r="O219" i="8"/>
  <c r="AT217" i="8"/>
  <c r="O219" i="7"/>
  <c r="L219" i="7"/>
  <c r="AE219" i="7" s="1"/>
  <c r="BF219" i="7" s="1"/>
  <c r="AH217" i="8"/>
  <c r="W217" i="8"/>
  <c r="AX217" i="8" s="1"/>
  <c r="X217" i="8"/>
  <c r="AY217" i="8" s="1"/>
  <c r="A223" i="8"/>
  <c r="B222" i="8"/>
  <c r="C231" i="9"/>
  <c r="B230" i="9"/>
  <c r="BA215" i="7"/>
  <c r="AG215" i="7"/>
  <c r="BH215" i="7" s="1"/>
  <c r="BJ216" i="8"/>
  <c r="AL216" i="8"/>
  <c r="BM216" i="8" s="1"/>
  <c r="AJ216" i="8"/>
  <c r="BK216" i="8" s="1"/>
  <c r="AC218" i="7"/>
  <c r="BD218" i="7" s="1"/>
  <c r="AD218" i="7"/>
  <c r="BE218" i="7" s="1"/>
  <c r="AB218" i="7"/>
  <c r="BC218" i="7" s="1"/>
  <c r="B224" i="7"/>
  <c r="A225" i="7"/>
  <c r="L229" i="9"/>
  <c r="R229" i="9"/>
  <c r="X229" i="9"/>
  <c r="F229" i="9"/>
  <c r="D229" i="9"/>
  <c r="W229" i="9"/>
  <c r="N229" i="9"/>
  <c r="H229" i="9"/>
  <c r="U229" i="9"/>
  <c r="T229" i="9"/>
  <c r="P229" i="9"/>
  <c r="E229" i="9"/>
  <c r="S229" i="9"/>
  <c r="D220" i="7" s="1"/>
  <c r="I220" i="7" s="1"/>
  <c r="O229" i="9"/>
  <c r="E220" i="8" s="1"/>
  <c r="J229" i="9"/>
  <c r="V229" i="9"/>
  <c r="K229" i="9"/>
  <c r="Y229" i="9"/>
  <c r="D220" i="8" s="1"/>
  <c r="I220" i="8" s="1"/>
  <c r="I229" i="9"/>
  <c r="E220" i="7" s="1"/>
  <c r="AA229" i="9"/>
  <c r="Z229" i="9"/>
  <c r="Q229" i="9"/>
  <c r="G229" i="9"/>
  <c r="M229" i="9"/>
  <c r="AR222" i="7"/>
  <c r="BN222" i="7" s="1"/>
  <c r="AQ222" i="7"/>
  <c r="BL216" i="8"/>
  <c r="J218" i="7"/>
  <c r="AN215" i="8"/>
  <c r="BO215" i="8" s="1"/>
  <c r="BL215" i="8"/>
  <c r="M218" i="8"/>
  <c r="H218" i="8"/>
  <c r="N218" i="8" s="1"/>
  <c r="S218" i="8"/>
  <c r="U218" i="8"/>
  <c r="AV218" i="8" s="1"/>
  <c r="T218" i="8"/>
  <c r="AU218" i="8" s="1"/>
  <c r="AH218" i="7"/>
  <c r="W218" i="7"/>
  <c r="AX218" i="7" s="1"/>
  <c r="X218" i="7"/>
  <c r="AY218" i="7" s="1"/>
  <c r="U218" i="7"/>
  <c r="AV218" i="7" s="1"/>
  <c r="AI217" i="8"/>
  <c r="AC217" i="8"/>
  <c r="BD217" i="8" s="1"/>
  <c r="AD217" i="8"/>
  <c r="BE217" i="8" s="1"/>
  <c r="AB217" i="8"/>
  <c r="BC217" i="8" s="1"/>
  <c r="G219" i="7"/>
  <c r="BC216" i="7"/>
  <c r="AF216" i="7"/>
  <c r="BG216" i="7" s="1"/>
  <c r="BJ216" i="7"/>
  <c r="AL216" i="7"/>
  <c r="BM216" i="7" s="1"/>
  <c r="AP223" i="7"/>
  <c r="C223" i="7"/>
  <c r="G219" i="8"/>
  <c r="AJ216" i="7"/>
  <c r="BK216" i="7" s="1"/>
  <c r="BI216" i="7"/>
  <c r="AK216" i="7"/>
  <c r="AR220" i="8"/>
  <c r="BN220" i="8" s="1"/>
  <c r="AQ220" i="8"/>
  <c r="AB217" i="7" l="1"/>
  <c r="BC217" i="7" s="1"/>
  <c r="AD217" i="7"/>
  <c r="BE217" i="7" s="1"/>
  <c r="AC217" i="7"/>
  <c r="BD217" i="7" s="1"/>
  <c r="BI217" i="7"/>
  <c r="AJ217" i="7"/>
  <c r="BK217" i="7" s="1"/>
  <c r="Z217" i="7"/>
  <c r="BA217" i="7" s="1"/>
  <c r="G220" i="7"/>
  <c r="K220" i="7" s="1"/>
  <c r="AA220" i="7" s="1"/>
  <c r="AN216" i="8"/>
  <c r="BO216" i="8" s="1"/>
  <c r="AF217" i="8"/>
  <c r="BG217" i="8" s="1"/>
  <c r="AK217" i="8"/>
  <c r="AJ217" i="8"/>
  <c r="BK217" i="8" s="1"/>
  <c r="BI217" i="8"/>
  <c r="O220" i="8"/>
  <c r="L220" i="8"/>
  <c r="AE220" i="8" s="1"/>
  <c r="BF220" i="8" s="1"/>
  <c r="AL218" i="7"/>
  <c r="BM218" i="7" s="1"/>
  <c r="BJ218" i="7"/>
  <c r="AF218" i="7"/>
  <c r="BG218" i="7" s="1"/>
  <c r="BI218" i="7"/>
  <c r="AK218" i="7"/>
  <c r="AJ218" i="7"/>
  <c r="BK218" i="7" s="1"/>
  <c r="H219" i="8"/>
  <c r="N219" i="8" s="1"/>
  <c r="M219" i="8"/>
  <c r="S219" i="8"/>
  <c r="T219" i="8"/>
  <c r="AU219" i="8" s="1"/>
  <c r="U219" i="8"/>
  <c r="AV219" i="8" s="1"/>
  <c r="Z217" i="8"/>
  <c r="M219" i="7"/>
  <c r="H219" i="7"/>
  <c r="N219" i="7" s="1"/>
  <c r="S219" i="7"/>
  <c r="T219" i="7"/>
  <c r="AU219" i="7" s="1"/>
  <c r="K219" i="7"/>
  <c r="AA219" i="7" s="1"/>
  <c r="AG216" i="7"/>
  <c r="BH216" i="7" s="1"/>
  <c r="R230" i="9"/>
  <c r="F230" i="9"/>
  <c r="X230" i="9"/>
  <c r="O230" i="9"/>
  <c r="E221" i="8" s="1"/>
  <c r="L230" i="9"/>
  <c r="I230" i="9"/>
  <c r="E221" i="7" s="1"/>
  <c r="P230" i="9"/>
  <c r="K230" i="9"/>
  <c r="W230" i="9"/>
  <c r="N230" i="9"/>
  <c r="S230" i="9"/>
  <c r="D221" i="7" s="1"/>
  <c r="I221" i="7" s="1"/>
  <c r="J230" i="9"/>
  <c r="U230" i="9"/>
  <c r="D230" i="9"/>
  <c r="V230" i="9"/>
  <c r="Z230" i="9"/>
  <c r="E230" i="9"/>
  <c r="Q230" i="9"/>
  <c r="AA230" i="9"/>
  <c r="M230" i="9"/>
  <c r="G230" i="9"/>
  <c r="T230" i="9"/>
  <c r="H230" i="9"/>
  <c r="Y230" i="9"/>
  <c r="D221" i="8" s="1"/>
  <c r="I221" i="8" s="1"/>
  <c r="AL217" i="7"/>
  <c r="BM217" i="7" s="1"/>
  <c r="BJ217" i="7"/>
  <c r="G220" i="8"/>
  <c r="K220" i="8" s="1"/>
  <c r="AA220" i="8" s="1"/>
  <c r="K219" i="8"/>
  <c r="AA219" i="8" s="1"/>
  <c r="B225" i="7"/>
  <c r="A226" i="7"/>
  <c r="B231" i="9"/>
  <c r="C232" i="9"/>
  <c r="Z218" i="7"/>
  <c r="AR221" i="8"/>
  <c r="BN221" i="8" s="1"/>
  <c r="AQ221" i="8"/>
  <c r="AT218" i="8"/>
  <c r="BL217" i="7"/>
  <c r="AI218" i="8"/>
  <c r="AC218" i="8"/>
  <c r="BD218" i="8" s="1"/>
  <c r="AD218" i="8"/>
  <c r="BE218" i="8" s="1"/>
  <c r="AB218" i="8"/>
  <c r="AQ223" i="7"/>
  <c r="AR223" i="7"/>
  <c r="BN223" i="7" s="1"/>
  <c r="AL217" i="8"/>
  <c r="BM217" i="8" s="1"/>
  <c r="BJ217" i="8"/>
  <c r="AH218" i="8"/>
  <c r="W218" i="8"/>
  <c r="AX218" i="8" s="1"/>
  <c r="X218" i="8"/>
  <c r="AY218" i="8" s="1"/>
  <c r="AP224" i="7"/>
  <c r="C224" i="7"/>
  <c r="C222" i="8"/>
  <c r="AP222" i="8"/>
  <c r="BL216" i="7"/>
  <c r="AN216" i="7"/>
  <c r="BO216" i="7" s="1"/>
  <c r="J218" i="8"/>
  <c r="A224" i="8"/>
  <c r="B223" i="8"/>
  <c r="L220" i="7"/>
  <c r="AE220" i="7" s="1"/>
  <c r="BF220" i="7" s="1"/>
  <c r="O220" i="7"/>
  <c r="AG216" i="8"/>
  <c r="BH216" i="8" s="1"/>
  <c r="S220" i="7" l="1"/>
  <c r="T220" i="7"/>
  <c r="AU220" i="7" s="1"/>
  <c r="M220" i="7"/>
  <c r="AH220" i="7" s="1"/>
  <c r="H220" i="7"/>
  <c r="N220" i="7" s="1"/>
  <c r="AF217" i="7"/>
  <c r="BG217" i="7" s="1"/>
  <c r="J219" i="8"/>
  <c r="G221" i="8"/>
  <c r="T221" i="8" s="1"/>
  <c r="AU221" i="8" s="1"/>
  <c r="AR222" i="8"/>
  <c r="BN222" i="8" s="1"/>
  <c r="AQ222" i="8"/>
  <c r="AI219" i="8"/>
  <c r="AC219" i="8"/>
  <c r="BD219" i="8" s="1"/>
  <c r="AD219" i="8"/>
  <c r="BE219" i="8" s="1"/>
  <c r="AB219" i="8"/>
  <c r="BC219" i="8" s="1"/>
  <c r="BL217" i="8"/>
  <c r="AN217" i="8"/>
  <c r="BO217" i="8" s="1"/>
  <c r="AT219" i="8"/>
  <c r="AI219" i="7"/>
  <c r="AC219" i="7"/>
  <c r="BD219" i="7" s="1"/>
  <c r="AD219" i="7"/>
  <c r="BE219" i="7" s="1"/>
  <c r="AB219" i="7"/>
  <c r="BC219" i="7" s="1"/>
  <c r="BB220" i="8"/>
  <c r="AT220" i="7"/>
  <c r="C223" i="8"/>
  <c r="AP223" i="8"/>
  <c r="AG218" i="7"/>
  <c r="BH218" i="7" s="1"/>
  <c r="BA218" i="7"/>
  <c r="G221" i="7"/>
  <c r="BB220" i="7"/>
  <c r="AR224" i="7"/>
  <c r="BN224" i="7" s="1"/>
  <c r="AQ224" i="7"/>
  <c r="AN218" i="7"/>
  <c r="BO218" i="7" s="1"/>
  <c r="BL218" i="7"/>
  <c r="W220" i="7"/>
  <c r="AX220" i="7" s="1"/>
  <c r="X220" i="7"/>
  <c r="AY220" i="7" s="1"/>
  <c r="U220" i="7"/>
  <c r="AV220" i="7" s="1"/>
  <c r="BB219" i="7"/>
  <c r="AL218" i="8"/>
  <c r="BM218" i="8" s="1"/>
  <c r="BJ218" i="8"/>
  <c r="H220" i="8"/>
  <c r="N220" i="8" s="1"/>
  <c r="M220" i="8"/>
  <c r="S220" i="8"/>
  <c r="U220" i="8"/>
  <c r="AV220" i="8" s="1"/>
  <c r="T220" i="8"/>
  <c r="AU220" i="8" s="1"/>
  <c r="AN217" i="7"/>
  <c r="BO217" i="7" s="1"/>
  <c r="AG217" i="8"/>
  <c r="BH217" i="8" s="1"/>
  <c r="BA217" i="8"/>
  <c r="A225" i="8"/>
  <c r="B224" i="8"/>
  <c r="BC218" i="8"/>
  <c r="AF218" i="8"/>
  <c r="BG218" i="8" s="1"/>
  <c r="A227" i="7"/>
  <c r="B226" i="7"/>
  <c r="C225" i="7"/>
  <c r="AP225" i="7"/>
  <c r="BB219" i="8"/>
  <c r="O221" i="7"/>
  <c r="L221" i="7"/>
  <c r="AE221" i="7" s="1"/>
  <c r="BF221" i="7" s="1"/>
  <c r="AT219" i="7"/>
  <c r="C233" i="9"/>
  <c r="B232" i="9"/>
  <c r="AH219" i="8"/>
  <c r="W219" i="8"/>
  <c r="AX219" i="8" s="1"/>
  <c r="X219" i="8"/>
  <c r="AY219" i="8" s="1"/>
  <c r="R231" i="9"/>
  <c r="F231" i="9"/>
  <c r="L231" i="9"/>
  <c r="X231" i="9"/>
  <c r="T231" i="9"/>
  <c r="I231" i="9"/>
  <c r="E222" i="7" s="1"/>
  <c r="E231" i="9"/>
  <c r="K231" i="9"/>
  <c r="Z231" i="9"/>
  <c r="P231" i="9"/>
  <c r="U231" i="9"/>
  <c r="S231" i="9"/>
  <c r="D222" i="7" s="1"/>
  <c r="I222" i="7" s="1"/>
  <c r="W231" i="9"/>
  <c r="O231" i="9"/>
  <c r="E222" i="8" s="1"/>
  <c r="G231" i="9"/>
  <c r="V231" i="9"/>
  <c r="D231" i="9"/>
  <c r="J231" i="9"/>
  <c r="Q231" i="9"/>
  <c r="AA231" i="9"/>
  <c r="H231" i="9"/>
  <c r="Y231" i="9"/>
  <c r="D222" i="8" s="1"/>
  <c r="I222" i="8" s="1"/>
  <c r="M231" i="9"/>
  <c r="N231" i="9"/>
  <c r="J219" i="7"/>
  <c r="AH219" i="7"/>
  <c r="W219" i="7"/>
  <c r="AX219" i="7" s="1"/>
  <c r="X219" i="7"/>
  <c r="AY219" i="7" s="1"/>
  <c r="U219" i="7"/>
  <c r="AV219" i="7" s="1"/>
  <c r="Z218" i="8"/>
  <c r="AK218" i="8"/>
  <c r="AJ218" i="8"/>
  <c r="BK218" i="8" s="1"/>
  <c r="BI218" i="8"/>
  <c r="L221" i="8"/>
  <c r="AE221" i="8" s="1"/>
  <c r="BF221" i="8" s="1"/>
  <c r="O221" i="8"/>
  <c r="J220" i="7" l="1"/>
  <c r="H221" i="8"/>
  <c r="N221" i="8" s="1"/>
  <c r="AD221" i="8" s="1"/>
  <c r="BE221" i="8" s="1"/>
  <c r="M221" i="8"/>
  <c r="AH221" i="8" s="1"/>
  <c r="S221" i="8"/>
  <c r="AT221" i="8" s="1"/>
  <c r="AG217" i="7"/>
  <c r="BH217" i="7" s="1"/>
  <c r="K221" i="8"/>
  <c r="AA221" i="8" s="1"/>
  <c r="BB221" i="8" s="1"/>
  <c r="U221" i="8"/>
  <c r="AV221" i="8" s="1"/>
  <c r="Z219" i="8"/>
  <c r="BA219" i="8" s="1"/>
  <c r="J220" i="8"/>
  <c r="Z220" i="7"/>
  <c r="BA220" i="7" s="1"/>
  <c r="G222" i="7"/>
  <c r="M222" i="7" s="1"/>
  <c r="Z219" i="7"/>
  <c r="BA219" i="7" s="1"/>
  <c r="AP226" i="7"/>
  <c r="C226" i="7"/>
  <c r="AN218" i="8"/>
  <c r="BO218" i="8" s="1"/>
  <c r="BL218" i="8"/>
  <c r="X221" i="8"/>
  <c r="AY221" i="8" s="1"/>
  <c r="B233" i="9"/>
  <c r="C234" i="9"/>
  <c r="AP224" i="8"/>
  <c r="C224" i="8"/>
  <c r="AQ223" i="8"/>
  <c r="AR223" i="8"/>
  <c r="BN223" i="8" s="1"/>
  <c r="AH220" i="8"/>
  <c r="W220" i="8"/>
  <c r="AX220" i="8" s="1"/>
  <c r="X220" i="8"/>
  <c r="AY220" i="8" s="1"/>
  <c r="J221" i="8"/>
  <c r="M221" i="7"/>
  <c r="H221" i="7"/>
  <c r="N221" i="7" s="1"/>
  <c r="S221" i="7"/>
  <c r="T221" i="7"/>
  <c r="AU221" i="7" s="1"/>
  <c r="K221" i="7"/>
  <c r="AA221" i="7" s="1"/>
  <c r="BI219" i="8"/>
  <c r="AJ219" i="8"/>
  <c r="BK219" i="8" s="1"/>
  <c r="AK219" i="8"/>
  <c r="AI220" i="8"/>
  <c r="AC220" i="8"/>
  <c r="BD220" i="8" s="1"/>
  <c r="AD220" i="8"/>
  <c r="BE220" i="8" s="1"/>
  <c r="AB220" i="8"/>
  <c r="AI220" i="7"/>
  <c r="AJ220" i="7" s="1"/>
  <c r="BK220" i="7" s="1"/>
  <c r="AC220" i="7"/>
  <c r="BD220" i="7" s="1"/>
  <c r="AD220" i="7"/>
  <c r="BE220" i="7" s="1"/>
  <c r="AB220" i="7"/>
  <c r="AF219" i="7"/>
  <c r="BG219" i="7" s="1"/>
  <c r="O222" i="8"/>
  <c r="L222" i="8"/>
  <c r="AE222" i="8" s="1"/>
  <c r="BF222" i="8" s="1"/>
  <c r="BJ219" i="7"/>
  <c r="AL219" i="7"/>
  <c r="BM219" i="7" s="1"/>
  <c r="BA218" i="8"/>
  <c r="AG218" i="8"/>
  <c r="BH218" i="8" s="1"/>
  <c r="G222" i="8"/>
  <c r="B227" i="7"/>
  <c r="A228" i="7"/>
  <c r="AF219" i="8"/>
  <c r="BG219" i="8" s="1"/>
  <c r="BJ219" i="8"/>
  <c r="AL219" i="8"/>
  <c r="BM219" i="8" s="1"/>
  <c r="B225" i="8"/>
  <c r="A226" i="8"/>
  <c r="AJ219" i="7"/>
  <c r="BK219" i="7" s="1"/>
  <c r="BI219" i="7"/>
  <c r="AK219" i="7"/>
  <c r="O222" i="7"/>
  <c r="L222" i="7"/>
  <c r="AE222" i="7" s="1"/>
  <c r="BF222" i="7" s="1"/>
  <c r="AR225" i="7"/>
  <c r="BN225" i="7" s="1"/>
  <c r="AQ225" i="7"/>
  <c r="X232" i="9"/>
  <c r="L232" i="9"/>
  <c r="F232" i="9"/>
  <c r="R232" i="9"/>
  <c r="I232" i="9"/>
  <c r="E223" i="7" s="1"/>
  <c r="V232" i="9"/>
  <c r="AA232" i="9"/>
  <c r="G232" i="9"/>
  <c r="Z232" i="9"/>
  <c r="E232" i="9"/>
  <c r="T232" i="9"/>
  <c r="K232" i="9"/>
  <c r="Q232" i="9"/>
  <c r="W232" i="9"/>
  <c r="M232" i="9"/>
  <c r="Y232" i="9"/>
  <c r="D223" i="8" s="1"/>
  <c r="I223" i="8" s="1"/>
  <c r="U232" i="9"/>
  <c r="N232" i="9"/>
  <c r="H232" i="9"/>
  <c r="J232" i="9"/>
  <c r="P232" i="9"/>
  <c r="D232" i="9"/>
  <c r="O232" i="9"/>
  <c r="E223" i="8" s="1"/>
  <c r="S232" i="9"/>
  <c r="D223" i="7" s="1"/>
  <c r="I223" i="7" s="1"/>
  <c r="AT220" i="8"/>
  <c r="AK220" i="7"/>
  <c r="BI220" i="7"/>
  <c r="W221" i="8" l="1"/>
  <c r="AX221" i="8" s="1"/>
  <c r="AC221" i="8"/>
  <c r="BD221" i="8" s="1"/>
  <c r="AI221" i="8"/>
  <c r="AL221" i="8" s="1"/>
  <c r="BM221" i="8" s="1"/>
  <c r="AB221" i="8"/>
  <c r="BC221" i="8" s="1"/>
  <c r="K222" i="7"/>
  <c r="AA222" i="7" s="1"/>
  <c r="BB222" i="7" s="1"/>
  <c r="T222" i="7"/>
  <c r="AU222" i="7" s="1"/>
  <c r="S222" i="7"/>
  <c r="AT222" i="7" s="1"/>
  <c r="H222" i="7"/>
  <c r="J222" i="7" s="1"/>
  <c r="Z221" i="8"/>
  <c r="BA221" i="8" s="1"/>
  <c r="AG219" i="8"/>
  <c r="BH219" i="8" s="1"/>
  <c r="G223" i="7"/>
  <c r="K223" i="7" s="1"/>
  <c r="AA223" i="7" s="1"/>
  <c r="BB223" i="7" s="1"/>
  <c r="AP227" i="7"/>
  <c r="C227" i="7"/>
  <c r="BB221" i="7"/>
  <c r="BC220" i="7"/>
  <c r="AF220" i="7"/>
  <c r="BL219" i="7"/>
  <c r="AN219" i="7"/>
  <c r="BO219" i="7" s="1"/>
  <c r="AK220" i="8"/>
  <c r="AJ220" i="8"/>
  <c r="BK220" i="8" s="1"/>
  <c r="BI220" i="8"/>
  <c r="BC220" i="8"/>
  <c r="AF220" i="8"/>
  <c r="BG220" i="8" s="1"/>
  <c r="J221" i="7"/>
  <c r="AR226" i="7"/>
  <c r="BN226" i="7" s="1"/>
  <c r="AQ226" i="7"/>
  <c r="BI221" i="8"/>
  <c r="AK221" i="8"/>
  <c r="AH221" i="7"/>
  <c r="W221" i="7"/>
  <c r="AX221" i="7" s="1"/>
  <c r="X221" i="7"/>
  <c r="AY221" i="7" s="1"/>
  <c r="U221" i="7"/>
  <c r="AV221" i="7" s="1"/>
  <c r="H222" i="8"/>
  <c r="N222" i="8" s="1"/>
  <c r="M222" i="8"/>
  <c r="S222" i="8"/>
  <c r="T222" i="8"/>
  <c r="AU222" i="8" s="1"/>
  <c r="U222" i="8"/>
  <c r="AV222" i="8" s="1"/>
  <c r="K222" i="8"/>
  <c r="AA222" i="8" s="1"/>
  <c r="AI221" i="7"/>
  <c r="AC221" i="7"/>
  <c r="BD221" i="7" s="1"/>
  <c r="AD221" i="7"/>
  <c r="BE221" i="7" s="1"/>
  <c r="AB221" i="7"/>
  <c r="BC221" i="7" s="1"/>
  <c r="AL220" i="8"/>
  <c r="BM220" i="8" s="1"/>
  <c r="BJ220" i="8"/>
  <c r="AR224" i="8"/>
  <c r="BN224" i="8" s="1"/>
  <c r="AQ224" i="8"/>
  <c r="AL220" i="7"/>
  <c r="BM220" i="7" s="1"/>
  <c r="BJ220" i="7"/>
  <c r="O223" i="7"/>
  <c r="L223" i="7"/>
  <c r="AE223" i="7" s="1"/>
  <c r="BF223" i="7" s="1"/>
  <c r="AN219" i="8"/>
  <c r="BO219" i="8" s="1"/>
  <c r="BL219" i="8"/>
  <c r="C235" i="9"/>
  <c r="B234" i="9"/>
  <c r="AT221" i="7"/>
  <c r="O223" i="8"/>
  <c r="L223" i="8"/>
  <c r="AE223" i="8" s="1"/>
  <c r="BF223" i="8" s="1"/>
  <c r="A227" i="8"/>
  <c r="B226" i="8"/>
  <c r="C225" i="8"/>
  <c r="AP225" i="8"/>
  <c r="G223" i="8"/>
  <c r="K223" i="8" s="1"/>
  <c r="AA223" i="8" s="1"/>
  <c r="X233" i="9"/>
  <c r="L233" i="9"/>
  <c r="R233" i="9"/>
  <c r="F233" i="9"/>
  <c r="D233" i="9"/>
  <c r="Z233" i="9"/>
  <c r="V233" i="9"/>
  <c r="M233" i="9"/>
  <c r="O233" i="9"/>
  <c r="E224" i="8" s="1"/>
  <c r="E233" i="9"/>
  <c r="S233" i="9"/>
  <c r="D224" i="7" s="1"/>
  <c r="I224" i="7" s="1"/>
  <c r="T233" i="9"/>
  <c r="Q233" i="9"/>
  <c r="W233" i="9"/>
  <c r="I233" i="9"/>
  <c r="E224" i="7" s="1"/>
  <c r="K233" i="9"/>
  <c r="U233" i="9"/>
  <c r="H233" i="9"/>
  <c r="G233" i="9"/>
  <c r="N233" i="9"/>
  <c r="J233" i="9"/>
  <c r="P233" i="9"/>
  <c r="Y233" i="9"/>
  <c r="D224" i="8" s="1"/>
  <c r="I224" i="8" s="1"/>
  <c r="AA233" i="9"/>
  <c r="AG219" i="7"/>
  <c r="BH219" i="7" s="1"/>
  <c r="BL220" i="7"/>
  <c r="Z220" i="8"/>
  <c r="B228" i="7"/>
  <c r="A229" i="7"/>
  <c r="AH222" i="7"/>
  <c r="W222" i="7"/>
  <c r="AX222" i="7" s="1"/>
  <c r="X222" i="7"/>
  <c r="AY222" i="7" s="1"/>
  <c r="U222" i="7"/>
  <c r="AV222" i="7" s="1"/>
  <c r="AF221" i="8" l="1"/>
  <c r="BG221" i="8" s="1"/>
  <c r="AJ221" i="8"/>
  <c r="BK221" i="8" s="1"/>
  <c r="BJ221" i="8"/>
  <c r="N222" i="7"/>
  <c r="AC222" i="7" s="1"/>
  <c r="BD222" i="7" s="1"/>
  <c r="S223" i="7"/>
  <c r="AT223" i="7" s="1"/>
  <c r="T223" i="7"/>
  <c r="AU223" i="7" s="1"/>
  <c r="M223" i="7"/>
  <c r="AH223" i="7" s="1"/>
  <c r="H223" i="7"/>
  <c r="N223" i="7" s="1"/>
  <c r="AB223" i="7" s="1"/>
  <c r="G224" i="7"/>
  <c r="T224" i="7" s="1"/>
  <c r="AU224" i="7" s="1"/>
  <c r="Z221" i="7"/>
  <c r="BA221" i="7" s="1"/>
  <c r="BB223" i="8"/>
  <c r="BB222" i="8"/>
  <c r="BL220" i="8"/>
  <c r="AN220" i="8"/>
  <c r="BO220" i="8" s="1"/>
  <c r="R234" i="9"/>
  <c r="F234" i="9"/>
  <c r="L234" i="9"/>
  <c r="X234" i="9"/>
  <c r="O234" i="9"/>
  <c r="E225" i="8" s="1"/>
  <c r="K234" i="9"/>
  <c r="W234" i="9"/>
  <c r="M234" i="9"/>
  <c r="U234" i="9"/>
  <c r="J234" i="9"/>
  <c r="S234" i="9"/>
  <c r="D225" i="7" s="1"/>
  <c r="I225" i="7" s="1"/>
  <c r="H234" i="9"/>
  <c r="T234" i="9"/>
  <c r="V234" i="9"/>
  <c r="Q234" i="9"/>
  <c r="N234" i="9"/>
  <c r="P234" i="9"/>
  <c r="AA234" i="9"/>
  <c r="E234" i="9"/>
  <c r="I234" i="9"/>
  <c r="E225" i="7" s="1"/>
  <c r="D234" i="9"/>
  <c r="Y234" i="9"/>
  <c r="D225" i="8" s="1"/>
  <c r="I225" i="8" s="1"/>
  <c r="G234" i="9"/>
  <c r="Z234" i="9"/>
  <c r="BG220" i="7"/>
  <c r="AG220" i="7"/>
  <c r="BH220" i="7" s="1"/>
  <c r="AH222" i="8"/>
  <c r="W222" i="8"/>
  <c r="AX222" i="8" s="1"/>
  <c r="X222" i="8"/>
  <c r="AY222" i="8" s="1"/>
  <c r="BI221" i="7"/>
  <c r="AK221" i="7"/>
  <c r="AJ221" i="7"/>
  <c r="BK221" i="7" s="1"/>
  <c r="AN221" i="8"/>
  <c r="BO221" i="8" s="1"/>
  <c r="BL221" i="8"/>
  <c r="AI222" i="8"/>
  <c r="AC222" i="8"/>
  <c r="BD222" i="8" s="1"/>
  <c r="AD222" i="8"/>
  <c r="BE222" i="8" s="1"/>
  <c r="AB222" i="8"/>
  <c r="BC222" i="8" s="1"/>
  <c r="AT222" i="8"/>
  <c r="J222" i="8"/>
  <c r="AF221" i="7"/>
  <c r="BG221" i="7" s="1"/>
  <c r="Z222" i="7"/>
  <c r="BI222" i="7"/>
  <c r="AK222" i="7"/>
  <c r="G224" i="8"/>
  <c r="AR225" i="8"/>
  <c r="BN225" i="8" s="1"/>
  <c r="AQ225" i="8"/>
  <c r="O224" i="7"/>
  <c r="L224" i="7"/>
  <c r="AE224" i="7" s="1"/>
  <c r="BF224" i="7" s="1"/>
  <c r="H223" i="8"/>
  <c r="N223" i="8" s="1"/>
  <c r="M223" i="8"/>
  <c r="S223" i="8"/>
  <c r="U223" i="8"/>
  <c r="AV223" i="8" s="1"/>
  <c r="T223" i="8"/>
  <c r="AU223" i="8" s="1"/>
  <c r="AR227" i="7"/>
  <c r="BN227" i="7" s="1"/>
  <c r="AQ227" i="7"/>
  <c r="A230" i="7"/>
  <c r="B229" i="7"/>
  <c r="B235" i="9"/>
  <c r="C236" i="9"/>
  <c r="C228" i="7"/>
  <c r="AP228" i="7"/>
  <c r="BA220" i="8"/>
  <c r="AG220" i="8"/>
  <c r="BH220" i="8" s="1"/>
  <c r="AN220" i="7"/>
  <c r="BO220" i="7" s="1"/>
  <c r="C226" i="8"/>
  <c r="AP226" i="8"/>
  <c r="AL221" i="7"/>
  <c r="BM221" i="7" s="1"/>
  <c r="BJ221" i="7"/>
  <c r="AG221" i="8"/>
  <c r="BH221" i="8" s="1"/>
  <c r="L224" i="8"/>
  <c r="AE224" i="8" s="1"/>
  <c r="BF224" i="8" s="1"/>
  <c r="O224" i="8"/>
  <c r="A228" i="8"/>
  <c r="B227" i="8"/>
  <c r="AI222" i="7" l="1"/>
  <c r="AJ222" i="7" s="1"/>
  <c r="BK222" i="7" s="1"/>
  <c r="AB222" i="7"/>
  <c r="BC222" i="7" s="1"/>
  <c r="AD222" i="7"/>
  <c r="BE222" i="7" s="1"/>
  <c r="AI223" i="7"/>
  <c r="BJ223" i="7" s="1"/>
  <c r="U223" i="7"/>
  <c r="AV223" i="7" s="1"/>
  <c r="X223" i="7"/>
  <c r="AY223" i="7" s="1"/>
  <c r="J223" i="7"/>
  <c r="W223" i="7"/>
  <c r="AX223" i="7" s="1"/>
  <c r="AC223" i="7"/>
  <c r="BD223" i="7" s="1"/>
  <c r="AD223" i="7"/>
  <c r="BE223" i="7" s="1"/>
  <c r="K224" i="7"/>
  <c r="AA224" i="7" s="1"/>
  <c r="BB224" i="7" s="1"/>
  <c r="S224" i="7"/>
  <c r="AT224" i="7" s="1"/>
  <c r="M224" i="7"/>
  <c r="W224" i="7" s="1"/>
  <c r="AX224" i="7" s="1"/>
  <c r="H224" i="7"/>
  <c r="N224" i="7" s="1"/>
  <c r="AI224" i="7" s="1"/>
  <c r="G225" i="7"/>
  <c r="M225" i="7" s="1"/>
  <c r="G225" i="8"/>
  <c r="U225" i="8" s="1"/>
  <c r="AV225" i="8" s="1"/>
  <c r="BC223" i="7"/>
  <c r="AP227" i="8"/>
  <c r="C227" i="8"/>
  <c r="BL222" i="7"/>
  <c r="B236" i="9"/>
  <c r="C237" i="9"/>
  <c r="BJ222" i="8"/>
  <c r="AL222" i="8"/>
  <c r="BM222" i="8" s="1"/>
  <c r="M224" i="8"/>
  <c r="H224" i="8"/>
  <c r="N224" i="8" s="1"/>
  <c r="S224" i="8"/>
  <c r="U224" i="8"/>
  <c r="AV224" i="8" s="1"/>
  <c r="T224" i="8"/>
  <c r="AU224" i="8" s="1"/>
  <c r="BA222" i="7"/>
  <c r="A229" i="8"/>
  <c r="B228" i="8"/>
  <c r="AF222" i="7"/>
  <c r="BG222" i="7" s="1"/>
  <c r="R235" i="9"/>
  <c r="F235" i="9"/>
  <c r="X235" i="9"/>
  <c r="L235" i="9"/>
  <c r="J235" i="9"/>
  <c r="E235" i="9"/>
  <c r="D235" i="9"/>
  <c r="AA235" i="9"/>
  <c r="H235" i="9"/>
  <c r="P235" i="9"/>
  <c r="Y235" i="9"/>
  <c r="D226" i="8" s="1"/>
  <c r="I226" i="8" s="1"/>
  <c r="N235" i="9"/>
  <c r="M235" i="9"/>
  <c r="U235" i="9"/>
  <c r="Z235" i="9"/>
  <c r="G235" i="9"/>
  <c r="S235" i="9"/>
  <c r="D226" i="7" s="1"/>
  <c r="I226" i="7" s="1"/>
  <c r="T235" i="9"/>
  <c r="K235" i="9"/>
  <c r="I235" i="9"/>
  <c r="E226" i="7" s="1"/>
  <c r="V235" i="9"/>
  <c r="W235" i="9"/>
  <c r="O235" i="9"/>
  <c r="E226" i="8" s="1"/>
  <c r="Q235" i="9"/>
  <c r="Z222" i="8"/>
  <c r="AT223" i="8"/>
  <c r="AR228" i="7"/>
  <c r="BN228" i="7" s="1"/>
  <c r="AQ228" i="7"/>
  <c r="J223" i="8"/>
  <c r="AP229" i="7"/>
  <c r="C229" i="7"/>
  <c r="AG221" i="7"/>
  <c r="BH221" i="7" s="1"/>
  <c r="AJ222" i="8"/>
  <c r="BK222" i="8" s="1"/>
  <c r="BI222" i="8"/>
  <c r="AK222" i="8"/>
  <c r="K224" i="8"/>
  <c r="AA224" i="8" s="1"/>
  <c r="AI223" i="8"/>
  <c r="AC223" i="8"/>
  <c r="BD223" i="8" s="1"/>
  <c r="AD223" i="8"/>
  <c r="BE223" i="8" s="1"/>
  <c r="AB223" i="8"/>
  <c r="AK223" i="7"/>
  <c r="BI223" i="7"/>
  <c r="AR226" i="8"/>
  <c r="BN226" i="8" s="1"/>
  <c r="AQ226" i="8"/>
  <c r="O225" i="7"/>
  <c r="L225" i="7"/>
  <c r="AE225" i="7" s="1"/>
  <c r="BF225" i="7" s="1"/>
  <c r="AF222" i="8"/>
  <c r="BG222" i="8" s="1"/>
  <c r="BJ222" i="7"/>
  <c r="AL222" i="7"/>
  <c r="BM222" i="7" s="1"/>
  <c r="O225" i="8"/>
  <c r="L225" i="8"/>
  <c r="AE225" i="8" s="1"/>
  <c r="BF225" i="8" s="1"/>
  <c r="AH223" i="8"/>
  <c r="W223" i="8"/>
  <c r="AX223" i="8" s="1"/>
  <c r="X223" i="8"/>
  <c r="AY223" i="8" s="1"/>
  <c r="B230" i="7"/>
  <c r="A231" i="7"/>
  <c r="AN221" i="7"/>
  <c r="BO221" i="7" s="1"/>
  <c r="BL221" i="7"/>
  <c r="AJ223" i="7" l="1"/>
  <c r="BK223" i="7" s="1"/>
  <c r="AL223" i="7"/>
  <c r="BM223" i="7" s="1"/>
  <c r="Z223" i="7"/>
  <c r="BA223" i="7" s="1"/>
  <c r="AH224" i="7"/>
  <c r="AJ224" i="7" s="1"/>
  <c r="BK224" i="7" s="1"/>
  <c r="AF223" i="7"/>
  <c r="BG223" i="7" s="1"/>
  <c r="U224" i="7"/>
  <c r="AV224" i="7" s="1"/>
  <c r="X224" i="7"/>
  <c r="AY224" i="7" s="1"/>
  <c r="G226" i="7"/>
  <c r="K226" i="7" s="1"/>
  <c r="AA226" i="7" s="1"/>
  <c r="BB226" i="7" s="1"/>
  <c r="K225" i="8"/>
  <c r="AA225" i="8" s="1"/>
  <c r="BB225" i="8" s="1"/>
  <c r="K225" i="7"/>
  <c r="AA225" i="7" s="1"/>
  <c r="BB225" i="7" s="1"/>
  <c r="J224" i="7"/>
  <c r="AB224" i="7"/>
  <c r="BC224" i="7" s="1"/>
  <c r="AD224" i="7"/>
  <c r="BE224" i="7" s="1"/>
  <c r="AC224" i="7"/>
  <c r="BD224" i="7" s="1"/>
  <c r="S225" i="7"/>
  <c r="AT225" i="7" s="1"/>
  <c r="T225" i="7"/>
  <c r="AU225" i="7" s="1"/>
  <c r="H225" i="7"/>
  <c r="N225" i="7" s="1"/>
  <c r="AI225" i="7" s="1"/>
  <c r="M225" i="8"/>
  <c r="AH225" i="8" s="1"/>
  <c r="S225" i="8"/>
  <c r="AT225" i="8" s="1"/>
  <c r="H225" i="8"/>
  <c r="N225" i="8" s="1"/>
  <c r="AB225" i="8" s="1"/>
  <c r="BC225" i="8" s="1"/>
  <c r="T225" i="8"/>
  <c r="AU225" i="8" s="1"/>
  <c r="G226" i="8"/>
  <c r="K226" i="8" s="1"/>
  <c r="AA226" i="8" s="1"/>
  <c r="BB226" i="8" s="1"/>
  <c r="AQ229" i="7"/>
  <c r="AR229" i="7"/>
  <c r="BN229" i="7" s="1"/>
  <c r="X236" i="9"/>
  <c r="L236" i="9"/>
  <c r="R236" i="9"/>
  <c r="Q236" i="9"/>
  <c r="P236" i="9"/>
  <c r="N236" i="9"/>
  <c r="G236" i="9"/>
  <c r="F236" i="9"/>
  <c r="J236" i="9"/>
  <c r="K236" i="9"/>
  <c r="I236" i="9"/>
  <c r="E227" i="7" s="1"/>
  <c r="O236" i="9"/>
  <c r="E227" i="8" s="1"/>
  <c r="D236" i="9"/>
  <c r="M236" i="9"/>
  <c r="T236" i="9"/>
  <c r="AA236" i="9"/>
  <c r="H236" i="9"/>
  <c r="Z236" i="9"/>
  <c r="V236" i="9"/>
  <c r="W236" i="9"/>
  <c r="Y236" i="9"/>
  <c r="D227" i="8" s="1"/>
  <c r="I227" i="8" s="1"/>
  <c r="U236" i="9"/>
  <c r="S236" i="9"/>
  <c r="D227" i="7" s="1"/>
  <c r="I227" i="7" s="1"/>
  <c r="E236" i="9"/>
  <c r="BC223" i="8"/>
  <c r="AF223" i="8"/>
  <c r="BG223" i="8" s="1"/>
  <c r="C228" i="8"/>
  <c r="AP228" i="8"/>
  <c r="AN222" i="7"/>
  <c r="BO222" i="7" s="1"/>
  <c r="AP230" i="7"/>
  <c r="C230" i="7"/>
  <c r="AH225" i="7"/>
  <c r="W225" i="7"/>
  <c r="AX225" i="7" s="1"/>
  <c r="X225" i="7"/>
  <c r="AY225" i="7" s="1"/>
  <c r="U225" i="7"/>
  <c r="AV225" i="7" s="1"/>
  <c r="L226" i="7"/>
  <c r="AE226" i="7" s="1"/>
  <c r="BF226" i="7" s="1"/>
  <c r="O226" i="7"/>
  <c r="B229" i="8"/>
  <c r="A230" i="8"/>
  <c r="AT224" i="8"/>
  <c r="L226" i="8"/>
  <c r="AE226" i="8" s="1"/>
  <c r="BF226" i="8" s="1"/>
  <c r="O226" i="8"/>
  <c r="B237" i="9"/>
  <c r="C238" i="9"/>
  <c r="Z224" i="7"/>
  <c r="AG222" i="7"/>
  <c r="BH222" i="7" s="1"/>
  <c r="B231" i="7"/>
  <c r="A232" i="7"/>
  <c r="AI224" i="8"/>
  <c r="AC224" i="8"/>
  <c r="BD224" i="8" s="1"/>
  <c r="AD224" i="8"/>
  <c r="BE224" i="8" s="1"/>
  <c r="AB224" i="8"/>
  <c r="BC224" i="8" s="1"/>
  <c r="AR227" i="8"/>
  <c r="BN227" i="8" s="1"/>
  <c r="AQ227" i="8"/>
  <c r="AN223" i="7"/>
  <c r="BO223" i="7" s="1"/>
  <c r="BL223" i="7"/>
  <c r="AK223" i="8"/>
  <c r="AJ223" i="8"/>
  <c r="BK223" i="8" s="1"/>
  <c r="BI223" i="8"/>
  <c r="AL223" i="8"/>
  <c r="BM223" i="8" s="1"/>
  <c r="BJ223" i="8"/>
  <c r="BL222" i="8"/>
  <c r="AN222" i="8"/>
  <c r="BO222" i="8" s="1"/>
  <c r="Z223" i="8"/>
  <c r="J224" i="8"/>
  <c r="BB224" i="8"/>
  <c r="AL224" i="7"/>
  <c r="BM224" i="7" s="1"/>
  <c r="BJ224" i="7"/>
  <c r="AG222" i="8"/>
  <c r="BH222" i="8" s="1"/>
  <c r="BA222" i="8"/>
  <c r="AH224" i="8"/>
  <c r="W224" i="8"/>
  <c r="AX224" i="8" s="1"/>
  <c r="X224" i="8"/>
  <c r="AY224" i="8" s="1"/>
  <c r="AK224" i="7" l="1"/>
  <c r="BI224" i="7"/>
  <c r="T226" i="7"/>
  <c r="AU226" i="7" s="1"/>
  <c r="H226" i="7"/>
  <c r="J226" i="7" s="1"/>
  <c r="M226" i="7"/>
  <c r="W226" i="7" s="1"/>
  <c r="AX226" i="7" s="1"/>
  <c r="AG223" i="7"/>
  <c r="BH223" i="7" s="1"/>
  <c r="S226" i="7"/>
  <c r="AT226" i="7" s="1"/>
  <c r="AB225" i="7"/>
  <c r="BC225" i="7" s="1"/>
  <c r="AD225" i="7"/>
  <c r="BE225" i="7" s="1"/>
  <c r="AC225" i="7"/>
  <c r="BD225" i="7" s="1"/>
  <c r="X225" i="8"/>
  <c r="AY225" i="8" s="1"/>
  <c r="W225" i="8"/>
  <c r="AX225" i="8" s="1"/>
  <c r="N226" i="7"/>
  <c r="AI226" i="7" s="1"/>
  <c r="AD225" i="8"/>
  <c r="BE225" i="8" s="1"/>
  <c r="AC225" i="8"/>
  <c r="BD225" i="8" s="1"/>
  <c r="AI225" i="8"/>
  <c r="AL225" i="8" s="1"/>
  <c r="BM225" i="8" s="1"/>
  <c r="AF224" i="7"/>
  <c r="BG224" i="7" s="1"/>
  <c r="J225" i="7"/>
  <c r="J225" i="8"/>
  <c r="M226" i="8"/>
  <c r="X226" i="8" s="1"/>
  <c r="AY226" i="8" s="1"/>
  <c r="H226" i="8"/>
  <c r="N226" i="8" s="1"/>
  <c r="AI226" i="8" s="1"/>
  <c r="U226" i="8"/>
  <c r="AV226" i="8" s="1"/>
  <c r="G227" i="8"/>
  <c r="U227" i="8" s="1"/>
  <c r="AV227" i="8" s="1"/>
  <c r="T226" i="8"/>
  <c r="AU226" i="8" s="1"/>
  <c r="S226" i="8"/>
  <c r="AT226" i="8" s="1"/>
  <c r="AH226" i="7"/>
  <c r="G227" i="7"/>
  <c r="AN223" i="8"/>
  <c r="BO223" i="8" s="1"/>
  <c r="BL223" i="8"/>
  <c r="Z225" i="7"/>
  <c r="A233" i="7"/>
  <c r="B232" i="7"/>
  <c r="BA224" i="7"/>
  <c r="L227" i="8"/>
  <c r="AE227" i="8" s="1"/>
  <c r="BF227" i="8" s="1"/>
  <c r="O227" i="8"/>
  <c r="AN224" i="7"/>
  <c r="BO224" i="7" s="1"/>
  <c r="BL224" i="7"/>
  <c r="C229" i="8"/>
  <c r="AP229" i="8"/>
  <c r="BJ225" i="7"/>
  <c r="AL225" i="7"/>
  <c r="BM225" i="7" s="1"/>
  <c r="AK224" i="8"/>
  <c r="AJ224" i="8"/>
  <c r="BK224" i="8" s="1"/>
  <c r="BI224" i="8"/>
  <c r="C231" i="7"/>
  <c r="AP231" i="7"/>
  <c r="X237" i="9"/>
  <c r="L237" i="9"/>
  <c r="R237" i="9"/>
  <c r="F237" i="9"/>
  <c r="Y237" i="9"/>
  <c r="D228" i="8" s="1"/>
  <c r="I228" i="8" s="1"/>
  <c r="H237" i="9"/>
  <c r="W237" i="9"/>
  <c r="Z237" i="9"/>
  <c r="U237" i="9"/>
  <c r="K237" i="9"/>
  <c r="N237" i="9"/>
  <c r="Q237" i="9"/>
  <c r="V237" i="9"/>
  <c r="O237" i="9"/>
  <c r="E228" i="8" s="1"/>
  <c r="J237" i="9"/>
  <c r="D237" i="9"/>
  <c r="S237" i="9"/>
  <c r="D228" i="7" s="1"/>
  <c r="I228" i="7" s="1"/>
  <c r="AA237" i="9"/>
  <c r="I237" i="9"/>
  <c r="E228" i="7" s="1"/>
  <c r="M237" i="9"/>
  <c r="E237" i="9"/>
  <c r="G237" i="9"/>
  <c r="P237" i="9"/>
  <c r="T237" i="9"/>
  <c r="AR230" i="7"/>
  <c r="BN230" i="7" s="1"/>
  <c r="AQ230" i="7"/>
  <c r="O227" i="7"/>
  <c r="L227" i="7"/>
  <c r="AE227" i="7" s="1"/>
  <c r="BF227" i="7" s="1"/>
  <c r="C239" i="9"/>
  <c r="B238" i="9"/>
  <c r="BA223" i="8"/>
  <c r="AG223" i="8"/>
  <c r="BH223" i="8" s="1"/>
  <c r="AJ225" i="7"/>
  <c r="BK225" i="7" s="1"/>
  <c r="BI225" i="7"/>
  <c r="AK225" i="7"/>
  <c r="AF224" i="8"/>
  <c r="BG224" i="8" s="1"/>
  <c r="Z224" i="8"/>
  <c r="AR228" i="8"/>
  <c r="BN228" i="8" s="1"/>
  <c r="AQ228" i="8"/>
  <c r="BI225" i="8"/>
  <c r="AK225" i="8"/>
  <c r="AL224" i="8"/>
  <c r="BM224" i="8" s="1"/>
  <c r="BJ224" i="8"/>
  <c r="A231" i="8"/>
  <c r="B230" i="8"/>
  <c r="M227" i="8" l="1"/>
  <c r="U226" i="7"/>
  <c r="AV226" i="7" s="1"/>
  <c r="X226" i="7"/>
  <c r="AY226" i="7" s="1"/>
  <c r="Z225" i="8"/>
  <c r="BA225" i="8" s="1"/>
  <c r="AF225" i="7"/>
  <c r="BG225" i="7" s="1"/>
  <c r="K227" i="8"/>
  <c r="AA227" i="8" s="1"/>
  <c r="BB227" i="8" s="1"/>
  <c r="AG224" i="7"/>
  <c r="BH224" i="7" s="1"/>
  <c r="W226" i="8"/>
  <c r="AX226" i="8" s="1"/>
  <c r="AJ225" i="8"/>
  <c r="BK225" i="8" s="1"/>
  <c r="AB226" i="7"/>
  <c r="BC226" i="7" s="1"/>
  <c r="AD226" i="7"/>
  <c r="BE226" i="7" s="1"/>
  <c r="AH226" i="8"/>
  <c r="AK226" i="8" s="1"/>
  <c r="BJ225" i="8"/>
  <c r="AC226" i="7"/>
  <c r="BD226" i="7" s="1"/>
  <c r="AB226" i="8"/>
  <c r="BC226" i="8" s="1"/>
  <c r="AD226" i="8"/>
  <c r="BE226" i="8" s="1"/>
  <c r="J226" i="8"/>
  <c r="AF225" i="8"/>
  <c r="BG225" i="8" s="1"/>
  <c r="AC226" i="8"/>
  <c r="BD226" i="8" s="1"/>
  <c r="H227" i="8"/>
  <c r="N227" i="8" s="1"/>
  <c r="AB227" i="8" s="1"/>
  <c r="BC227" i="8" s="1"/>
  <c r="S227" i="8"/>
  <c r="AT227" i="8" s="1"/>
  <c r="T227" i="8"/>
  <c r="AU227" i="8" s="1"/>
  <c r="G228" i="7"/>
  <c r="S228" i="7" s="1"/>
  <c r="BL225" i="8"/>
  <c r="AN225" i="8"/>
  <c r="BO225" i="8" s="1"/>
  <c r="B239" i="9"/>
  <c r="C240" i="9"/>
  <c r="AK226" i="7"/>
  <c r="AJ226" i="7"/>
  <c r="BK226" i="7" s="1"/>
  <c r="BI226" i="7"/>
  <c r="R238" i="9"/>
  <c r="F238" i="9"/>
  <c r="L238" i="9"/>
  <c r="X238" i="9"/>
  <c r="W238" i="9"/>
  <c r="K238" i="9"/>
  <c r="N238" i="9"/>
  <c r="I238" i="9"/>
  <c r="E229" i="7" s="1"/>
  <c r="AA238" i="9"/>
  <c r="H238" i="9"/>
  <c r="D238" i="9"/>
  <c r="O238" i="9"/>
  <c r="E229" i="8" s="1"/>
  <c r="Z238" i="9"/>
  <c r="E238" i="9"/>
  <c r="Q238" i="9"/>
  <c r="J238" i="9"/>
  <c r="U238" i="9"/>
  <c r="T238" i="9"/>
  <c r="S238" i="9"/>
  <c r="D229" i="7" s="1"/>
  <c r="I229" i="7" s="1"/>
  <c r="M238" i="9"/>
  <c r="P238" i="9"/>
  <c r="G238" i="9"/>
  <c r="Y238" i="9"/>
  <c r="D229" i="8" s="1"/>
  <c r="I229" i="8" s="1"/>
  <c r="V238" i="9"/>
  <c r="BA225" i="7"/>
  <c r="AG225" i="7"/>
  <c r="BH225" i="7" s="1"/>
  <c r="O228" i="8"/>
  <c r="L228" i="8"/>
  <c r="AE228" i="8" s="1"/>
  <c r="BF228" i="8" s="1"/>
  <c r="M227" i="7"/>
  <c r="H227" i="7"/>
  <c r="N227" i="7" s="1"/>
  <c r="S227" i="7"/>
  <c r="T227" i="7"/>
  <c r="AU227" i="7" s="1"/>
  <c r="K227" i="7"/>
  <c r="AA227" i="7" s="1"/>
  <c r="B233" i="7"/>
  <c r="A234" i="7"/>
  <c r="AQ229" i="8"/>
  <c r="AR229" i="8"/>
  <c r="BN229" i="8" s="1"/>
  <c r="AP232" i="7"/>
  <c r="C232" i="7"/>
  <c r="BL225" i="7"/>
  <c r="AN225" i="7"/>
  <c r="BO225" i="7" s="1"/>
  <c r="G228" i="8"/>
  <c r="AL226" i="7"/>
  <c r="BM226" i="7" s="1"/>
  <c r="BJ226" i="7"/>
  <c r="O228" i="7"/>
  <c r="L228" i="7"/>
  <c r="AE228" i="7" s="1"/>
  <c r="BF228" i="7" s="1"/>
  <c r="C230" i="8"/>
  <c r="AP230" i="8"/>
  <c r="AL226" i="8"/>
  <c r="BM226" i="8" s="1"/>
  <c r="BJ226" i="8"/>
  <c r="AN224" i="8"/>
  <c r="BO224" i="8" s="1"/>
  <c r="BL224" i="8"/>
  <c r="AG224" i="8"/>
  <c r="BH224" i="8" s="1"/>
  <c r="BA224" i="8"/>
  <c r="A232" i="8"/>
  <c r="B231" i="8"/>
  <c r="AR231" i="7"/>
  <c r="BN231" i="7" s="1"/>
  <c r="AQ231" i="7"/>
  <c r="AH227" i="8"/>
  <c r="W227" i="8"/>
  <c r="AX227" i="8" s="1"/>
  <c r="X227" i="8"/>
  <c r="AY227" i="8" s="1"/>
  <c r="Z226" i="7" l="1"/>
  <c r="Z226" i="8"/>
  <c r="BA226" i="8" s="1"/>
  <c r="AD227" i="8"/>
  <c r="BE227" i="8" s="1"/>
  <c r="AI227" i="8"/>
  <c r="AJ227" i="8" s="1"/>
  <c r="BK227" i="8" s="1"/>
  <c r="AC227" i="8"/>
  <c r="BD227" i="8" s="1"/>
  <c r="BI226" i="8"/>
  <c r="AJ226" i="8"/>
  <c r="BK226" i="8" s="1"/>
  <c r="J227" i="8"/>
  <c r="AG225" i="8"/>
  <c r="BH225" i="8" s="1"/>
  <c r="AF226" i="7"/>
  <c r="BG226" i="7" s="1"/>
  <c r="AF226" i="8"/>
  <c r="BG226" i="8" s="1"/>
  <c r="M228" i="7"/>
  <c r="AH228" i="7" s="1"/>
  <c r="H228" i="7"/>
  <c r="N228" i="7" s="1"/>
  <c r="AI228" i="7" s="1"/>
  <c r="K228" i="7"/>
  <c r="AA228" i="7" s="1"/>
  <c r="BB228" i="7" s="1"/>
  <c r="T228" i="7"/>
  <c r="AU228" i="7" s="1"/>
  <c r="G229" i="7"/>
  <c r="K229" i="7" s="1"/>
  <c r="AA229" i="7" s="1"/>
  <c r="BB229" i="7" s="1"/>
  <c r="G229" i="8"/>
  <c r="S229" i="8" s="1"/>
  <c r="J227" i="7"/>
  <c r="BB227" i="7"/>
  <c r="L229" i="8"/>
  <c r="AE229" i="8" s="1"/>
  <c r="BF229" i="8" s="1"/>
  <c r="O229" i="8"/>
  <c r="C231" i="8"/>
  <c r="AP231" i="8"/>
  <c r="AN226" i="7"/>
  <c r="BO226" i="7" s="1"/>
  <c r="BL226" i="7"/>
  <c r="M228" i="8"/>
  <c r="H228" i="8"/>
  <c r="N228" i="8" s="1"/>
  <c r="S228" i="8"/>
  <c r="T228" i="8"/>
  <c r="AU228" i="8" s="1"/>
  <c r="U228" i="8"/>
  <c r="AV228" i="8" s="1"/>
  <c r="K228" i="8"/>
  <c r="AA228" i="8" s="1"/>
  <c r="B232" i="8"/>
  <c r="A233" i="8"/>
  <c r="AI227" i="7"/>
  <c r="AC227" i="7"/>
  <c r="BD227" i="7" s="1"/>
  <c r="AD227" i="7"/>
  <c r="BE227" i="7" s="1"/>
  <c r="AB227" i="7"/>
  <c r="BC227" i="7" s="1"/>
  <c r="C241" i="9"/>
  <c r="B240" i="9"/>
  <c r="B234" i="7"/>
  <c r="A235" i="7"/>
  <c r="R239" i="9"/>
  <c r="F239" i="9"/>
  <c r="X239" i="9"/>
  <c r="L239" i="9"/>
  <c r="S239" i="9"/>
  <c r="D230" i="7" s="1"/>
  <c r="I230" i="7" s="1"/>
  <c r="K239" i="9"/>
  <c r="J239" i="9"/>
  <c r="V239" i="9"/>
  <c r="W239" i="9"/>
  <c r="D239" i="9"/>
  <c r="O239" i="9"/>
  <c r="E230" i="8" s="1"/>
  <c r="Y239" i="9"/>
  <c r="D230" i="8" s="1"/>
  <c r="I230" i="8" s="1"/>
  <c r="I239" i="9"/>
  <c r="E230" i="7" s="1"/>
  <c r="T239" i="9"/>
  <c r="E239" i="9"/>
  <c r="Z239" i="9"/>
  <c r="AA239" i="9"/>
  <c r="U239" i="9"/>
  <c r="G239" i="9"/>
  <c r="M239" i="9"/>
  <c r="N239" i="9"/>
  <c r="H239" i="9"/>
  <c r="Q239" i="9"/>
  <c r="P239" i="9"/>
  <c r="C233" i="7"/>
  <c r="AP233" i="7"/>
  <c r="AL227" i="8"/>
  <c r="BM227" i="8" s="1"/>
  <c r="AN226" i="8"/>
  <c r="BO226" i="8" s="1"/>
  <c r="BL226" i="8"/>
  <c r="AT227" i="7"/>
  <c r="AR230" i="8"/>
  <c r="BN230" i="8" s="1"/>
  <c r="AQ230" i="8"/>
  <c r="AR232" i="7"/>
  <c r="BN232" i="7" s="1"/>
  <c r="AQ232" i="7"/>
  <c r="AT228" i="7"/>
  <c r="Z227" i="8"/>
  <c r="AH227" i="7"/>
  <c r="W227" i="7"/>
  <c r="AX227" i="7" s="1"/>
  <c r="X227" i="7"/>
  <c r="AY227" i="7" s="1"/>
  <c r="U227" i="7"/>
  <c r="AV227" i="7" s="1"/>
  <c r="O229" i="7"/>
  <c r="L229" i="7"/>
  <c r="AE229" i="7" s="1"/>
  <c r="BF229" i="7" s="1"/>
  <c r="BI227" i="8"/>
  <c r="AK227" i="8"/>
  <c r="BA226" i="7"/>
  <c r="BJ227" i="8" l="1"/>
  <c r="AG226" i="8"/>
  <c r="BH226" i="8" s="1"/>
  <c r="AF227" i="8"/>
  <c r="BG227" i="8" s="1"/>
  <c r="AG226" i="7"/>
  <c r="BH226" i="7" s="1"/>
  <c r="U228" i="7"/>
  <c r="AV228" i="7" s="1"/>
  <c r="X228" i="7"/>
  <c r="AY228" i="7" s="1"/>
  <c r="M229" i="7"/>
  <c r="AH229" i="7" s="1"/>
  <c r="AD228" i="7"/>
  <c r="BE228" i="7" s="1"/>
  <c r="T229" i="7"/>
  <c r="AU229" i="7" s="1"/>
  <c r="AB228" i="7"/>
  <c r="BC228" i="7" s="1"/>
  <c r="W228" i="7"/>
  <c r="AX228" i="7" s="1"/>
  <c r="AC228" i="7"/>
  <c r="BD228" i="7" s="1"/>
  <c r="H229" i="7"/>
  <c r="N229" i="7" s="1"/>
  <c r="AI229" i="7" s="1"/>
  <c r="H229" i="8"/>
  <c r="J229" i="8" s="1"/>
  <c r="M229" i="8"/>
  <c r="AH229" i="8" s="1"/>
  <c r="J228" i="7"/>
  <c r="K229" i="8"/>
  <c r="AA229" i="8" s="1"/>
  <c r="BB229" i="8" s="1"/>
  <c r="T229" i="8"/>
  <c r="AU229" i="8" s="1"/>
  <c r="U229" i="8"/>
  <c r="AV229" i="8" s="1"/>
  <c r="S229" i="7"/>
  <c r="AT229" i="7" s="1"/>
  <c r="G230" i="8"/>
  <c r="H230" i="8" s="1"/>
  <c r="Z227" i="7"/>
  <c r="BA227" i="7" s="1"/>
  <c r="AT229" i="8"/>
  <c r="BJ228" i="7"/>
  <c r="AL228" i="7"/>
  <c r="BM228" i="7" s="1"/>
  <c r="AQ231" i="8"/>
  <c r="AR231" i="8"/>
  <c r="BN231" i="8" s="1"/>
  <c r="AN227" i="8"/>
  <c r="BO227" i="8" s="1"/>
  <c r="BL227" i="8"/>
  <c r="BI227" i="7"/>
  <c r="AK227" i="7"/>
  <c r="AJ227" i="7"/>
  <c r="BK227" i="7" s="1"/>
  <c r="B235" i="7"/>
  <c r="A236" i="7"/>
  <c r="C232" i="8"/>
  <c r="AP232" i="8"/>
  <c r="BA227" i="8"/>
  <c r="C234" i="7"/>
  <c r="AP234" i="7"/>
  <c r="AT228" i="8"/>
  <c r="BB228" i="8"/>
  <c r="AR233" i="7"/>
  <c r="BN233" i="7" s="1"/>
  <c r="AQ233" i="7"/>
  <c r="X240" i="9"/>
  <c r="L240" i="9"/>
  <c r="R240" i="9"/>
  <c r="F240" i="9"/>
  <c r="J240" i="9"/>
  <c r="D240" i="9"/>
  <c r="E240" i="9"/>
  <c r="T240" i="9"/>
  <c r="Y240" i="9"/>
  <c r="D231" i="8" s="1"/>
  <c r="I231" i="8" s="1"/>
  <c r="H240" i="9"/>
  <c r="V240" i="9"/>
  <c r="W240" i="9"/>
  <c r="I240" i="9"/>
  <c r="E231" i="7" s="1"/>
  <c r="N240" i="9"/>
  <c r="Z240" i="9"/>
  <c r="G240" i="9"/>
  <c r="K240" i="9"/>
  <c r="U240" i="9"/>
  <c r="Q240" i="9"/>
  <c r="M240" i="9"/>
  <c r="P240" i="9"/>
  <c r="O240" i="9"/>
  <c r="E231" i="8" s="1"/>
  <c r="AA240" i="9"/>
  <c r="S240" i="9"/>
  <c r="D231" i="7" s="1"/>
  <c r="I231" i="7" s="1"/>
  <c r="AI228" i="8"/>
  <c r="AC228" i="8"/>
  <c r="BD228" i="8" s="1"/>
  <c r="AD228" i="8"/>
  <c r="BE228" i="8" s="1"/>
  <c r="AB228" i="8"/>
  <c r="BC228" i="8" s="1"/>
  <c r="O230" i="7"/>
  <c r="L230" i="7"/>
  <c r="AE230" i="7" s="1"/>
  <c r="BF230" i="7" s="1"/>
  <c r="G230" i="7"/>
  <c r="C242" i="9"/>
  <c r="B241" i="9"/>
  <c r="J228" i="8"/>
  <c r="AF227" i="7"/>
  <c r="BG227" i="7" s="1"/>
  <c r="AL227" i="7"/>
  <c r="BM227" i="7" s="1"/>
  <c r="BJ227" i="7"/>
  <c r="B233" i="8"/>
  <c r="A234" i="8"/>
  <c r="O230" i="8"/>
  <c r="L230" i="8"/>
  <c r="AE230" i="8" s="1"/>
  <c r="BF230" i="8" s="1"/>
  <c r="AH228" i="8"/>
  <c r="W228" i="8"/>
  <c r="AX228" i="8" s="1"/>
  <c r="X228" i="8"/>
  <c r="AY228" i="8" s="1"/>
  <c r="AJ228" i="7"/>
  <c r="BK228" i="7" s="1"/>
  <c r="BI228" i="7"/>
  <c r="AK228" i="7"/>
  <c r="U229" i="7" l="1"/>
  <c r="AV229" i="7" s="1"/>
  <c r="W229" i="7"/>
  <c r="AX229" i="7" s="1"/>
  <c r="AG227" i="8"/>
  <c r="BH227" i="8" s="1"/>
  <c r="X229" i="7"/>
  <c r="AY229" i="7" s="1"/>
  <c r="J229" i="7"/>
  <c r="AF228" i="7"/>
  <c r="BG228" i="7" s="1"/>
  <c r="N230" i="8"/>
  <c r="AI230" i="8" s="1"/>
  <c r="X229" i="8"/>
  <c r="AY229" i="8" s="1"/>
  <c r="AD229" i="7"/>
  <c r="BE229" i="7" s="1"/>
  <c r="Z228" i="7"/>
  <c r="BA228" i="7" s="1"/>
  <c r="W229" i="8"/>
  <c r="AX229" i="8" s="1"/>
  <c r="AC229" i="7"/>
  <c r="BD229" i="7" s="1"/>
  <c r="N229" i="8"/>
  <c r="AD229" i="8" s="1"/>
  <c r="BE229" i="8" s="1"/>
  <c r="AB229" i="7"/>
  <c r="K230" i="8"/>
  <c r="AA230" i="8" s="1"/>
  <c r="BB230" i="8" s="1"/>
  <c r="U230" i="8"/>
  <c r="AV230" i="8" s="1"/>
  <c r="AF228" i="8"/>
  <c r="BG228" i="8" s="1"/>
  <c r="T230" i="8"/>
  <c r="AU230" i="8" s="1"/>
  <c r="S230" i="8"/>
  <c r="AT230" i="8" s="1"/>
  <c r="G231" i="7"/>
  <c r="S231" i="7" s="1"/>
  <c r="M230" i="8"/>
  <c r="AH230" i="8" s="1"/>
  <c r="Z228" i="8"/>
  <c r="BA228" i="8" s="1"/>
  <c r="G231" i="8"/>
  <c r="K231" i="8" s="1"/>
  <c r="AA231" i="8" s="1"/>
  <c r="BB231" i="8" s="1"/>
  <c r="AL229" i="7"/>
  <c r="BM229" i="7" s="1"/>
  <c r="BJ229" i="7"/>
  <c r="AQ234" i="7"/>
  <c r="AR234" i="7"/>
  <c r="BN234" i="7" s="1"/>
  <c r="AP235" i="7"/>
  <c r="C235" i="7"/>
  <c r="C233" i="8"/>
  <c r="AP233" i="8"/>
  <c r="BL228" i="7"/>
  <c r="AN228" i="7"/>
  <c r="BO228" i="7" s="1"/>
  <c r="AN227" i="7"/>
  <c r="BO227" i="7" s="1"/>
  <c r="BL227" i="7"/>
  <c r="AK228" i="8"/>
  <c r="AJ228" i="8"/>
  <c r="BK228" i="8" s="1"/>
  <c r="BI228" i="8"/>
  <c r="AK229" i="7"/>
  <c r="AJ229" i="7"/>
  <c r="BK229" i="7" s="1"/>
  <c r="BI229" i="7"/>
  <c r="O231" i="7"/>
  <c r="L231" i="7"/>
  <c r="AE231" i="7" s="1"/>
  <c r="BF231" i="7" s="1"/>
  <c r="A235" i="8"/>
  <c r="B234" i="8"/>
  <c r="BI229" i="8"/>
  <c r="AK229" i="8"/>
  <c r="AQ232" i="8"/>
  <c r="AR232" i="8"/>
  <c r="BN232" i="8" s="1"/>
  <c r="M230" i="7"/>
  <c r="H230" i="7"/>
  <c r="N230" i="7" s="1"/>
  <c r="S230" i="7"/>
  <c r="T230" i="7"/>
  <c r="AU230" i="7" s="1"/>
  <c r="K230" i="7"/>
  <c r="AA230" i="7" s="1"/>
  <c r="B236" i="7"/>
  <c r="A237" i="7"/>
  <c r="BJ228" i="8"/>
  <c r="AL228" i="8"/>
  <c r="BM228" i="8" s="1"/>
  <c r="X241" i="9"/>
  <c r="L241" i="9"/>
  <c r="F241" i="9"/>
  <c r="R241" i="9"/>
  <c r="E241" i="9"/>
  <c r="Q241" i="9"/>
  <c r="M241" i="9"/>
  <c r="Y241" i="9"/>
  <c r="D232" i="8" s="1"/>
  <c r="I232" i="8" s="1"/>
  <c r="Z241" i="9"/>
  <c r="S241" i="9"/>
  <c r="D232" i="7" s="1"/>
  <c r="I232" i="7" s="1"/>
  <c r="AA241" i="9"/>
  <c r="T241" i="9"/>
  <c r="J241" i="9"/>
  <c r="G241" i="9"/>
  <c r="K241" i="9"/>
  <c r="I241" i="9"/>
  <c r="E232" i="7" s="1"/>
  <c r="O241" i="9"/>
  <c r="E232" i="8" s="1"/>
  <c r="V241" i="9"/>
  <c r="U241" i="9"/>
  <c r="H241" i="9"/>
  <c r="D241" i="9"/>
  <c r="P241" i="9"/>
  <c r="N241" i="9"/>
  <c r="W241" i="9"/>
  <c r="J230" i="8"/>
  <c r="C243" i="9"/>
  <c r="B242" i="9"/>
  <c r="O231" i="8"/>
  <c r="L231" i="8"/>
  <c r="AE231" i="8" s="1"/>
  <c r="BF231" i="8" s="1"/>
  <c r="AG227" i="7"/>
  <c r="BH227" i="7" s="1"/>
  <c r="Z229" i="7" l="1"/>
  <c r="AI229" i="8"/>
  <c r="AL229" i="8" s="1"/>
  <c r="BM229" i="8" s="1"/>
  <c r="AC229" i="8"/>
  <c r="BD229" i="8" s="1"/>
  <c r="AF229" i="7"/>
  <c r="BG229" i="7" s="1"/>
  <c r="AB230" i="8"/>
  <c r="BC230" i="8" s="1"/>
  <c r="AD230" i="8"/>
  <c r="BE230" i="8" s="1"/>
  <c r="AC230" i="8"/>
  <c r="BD230" i="8" s="1"/>
  <c r="BC229" i="7"/>
  <c r="Z229" i="8"/>
  <c r="BA229" i="8" s="1"/>
  <c r="AG228" i="7"/>
  <c r="BH228" i="7" s="1"/>
  <c r="AB229" i="8"/>
  <c r="BC229" i="8" s="1"/>
  <c r="K231" i="7"/>
  <c r="AA231" i="7" s="1"/>
  <c r="BB231" i="7" s="1"/>
  <c r="AG228" i="8"/>
  <c r="BH228" i="8" s="1"/>
  <c r="M231" i="7"/>
  <c r="U231" i="7" s="1"/>
  <c r="AV231" i="7" s="1"/>
  <c r="T231" i="7"/>
  <c r="AU231" i="7" s="1"/>
  <c r="H231" i="8"/>
  <c r="N231" i="8" s="1"/>
  <c r="AI231" i="8" s="1"/>
  <c r="H231" i="7"/>
  <c r="N231" i="7" s="1"/>
  <c r="AI231" i="7" s="1"/>
  <c r="U231" i="8"/>
  <c r="AV231" i="8" s="1"/>
  <c r="T231" i="8"/>
  <c r="AU231" i="8" s="1"/>
  <c r="S231" i="8"/>
  <c r="AT231" i="8" s="1"/>
  <c r="M231" i="8"/>
  <c r="AH231" i="8" s="1"/>
  <c r="X230" i="8"/>
  <c r="AY230" i="8" s="1"/>
  <c r="W230" i="8"/>
  <c r="AX230" i="8" s="1"/>
  <c r="G232" i="8"/>
  <c r="M232" i="8" s="1"/>
  <c r="G232" i="7"/>
  <c r="H232" i="7" s="1"/>
  <c r="AR233" i="8"/>
  <c r="BN233" i="8" s="1"/>
  <c r="AQ233" i="8"/>
  <c r="AT230" i="7"/>
  <c r="BL229" i="8"/>
  <c r="AQ235" i="7"/>
  <c r="AR235" i="7"/>
  <c r="BN235" i="7" s="1"/>
  <c r="J230" i="7"/>
  <c r="AH230" i="7"/>
  <c r="W230" i="7"/>
  <c r="AX230" i="7" s="1"/>
  <c r="X230" i="7"/>
  <c r="AY230" i="7" s="1"/>
  <c r="U230" i="7"/>
  <c r="AV230" i="7" s="1"/>
  <c r="AI230" i="7"/>
  <c r="AC230" i="7"/>
  <c r="BD230" i="7" s="1"/>
  <c r="AD230" i="7"/>
  <c r="BE230" i="7" s="1"/>
  <c r="AB230" i="7"/>
  <c r="BC230" i="7" s="1"/>
  <c r="AP234" i="8"/>
  <c r="C234" i="8"/>
  <c r="BL228" i="8"/>
  <c r="AN228" i="8"/>
  <c r="BO228" i="8" s="1"/>
  <c r="AN229" i="7"/>
  <c r="BO229" i="7" s="1"/>
  <c r="BL229" i="7"/>
  <c r="A236" i="8"/>
  <c r="B235" i="8"/>
  <c r="R242" i="9"/>
  <c r="F242" i="9"/>
  <c r="X242" i="9"/>
  <c r="L242" i="9"/>
  <c r="O242" i="9"/>
  <c r="E233" i="8" s="1"/>
  <c r="S242" i="9"/>
  <c r="D233" i="7" s="1"/>
  <c r="I233" i="7" s="1"/>
  <c r="M242" i="9"/>
  <c r="U242" i="9"/>
  <c r="D242" i="9"/>
  <c r="AA242" i="9"/>
  <c r="Y242" i="9"/>
  <c r="D233" i="8" s="1"/>
  <c r="I233" i="8" s="1"/>
  <c r="P242" i="9"/>
  <c r="N242" i="9"/>
  <c r="T242" i="9"/>
  <c r="W242" i="9"/>
  <c r="I242" i="9"/>
  <c r="E233" i="7" s="1"/>
  <c r="Z242" i="9"/>
  <c r="V242" i="9"/>
  <c r="G242" i="9"/>
  <c r="J242" i="9"/>
  <c r="E242" i="9"/>
  <c r="Q242" i="9"/>
  <c r="K242" i="9"/>
  <c r="H242" i="9"/>
  <c r="AK230" i="8"/>
  <c r="AJ230" i="8"/>
  <c r="BK230" i="8" s="1"/>
  <c r="BI230" i="8"/>
  <c r="L232" i="7"/>
  <c r="AE232" i="7" s="1"/>
  <c r="BF232" i="7" s="1"/>
  <c r="O232" i="7"/>
  <c r="B237" i="7"/>
  <c r="A238" i="7"/>
  <c r="C236" i="7"/>
  <c r="AP236" i="7"/>
  <c r="AT231" i="7"/>
  <c r="BA229" i="7"/>
  <c r="AG229" i="7"/>
  <c r="BH229" i="7" s="1"/>
  <c r="BJ230" i="8"/>
  <c r="AL230" i="8"/>
  <c r="BM230" i="8" s="1"/>
  <c r="B243" i="9"/>
  <c r="C244" i="9"/>
  <c r="L232" i="8"/>
  <c r="AE232" i="8" s="1"/>
  <c r="BF232" i="8" s="1"/>
  <c r="O232" i="8"/>
  <c r="BB230" i="7"/>
  <c r="AF230" i="8" l="1"/>
  <c r="BG230" i="8" s="1"/>
  <c r="BJ229" i="8"/>
  <c r="AN229" i="8"/>
  <c r="BO229" i="8" s="1"/>
  <c r="AJ229" i="8"/>
  <c r="BK229" i="8" s="1"/>
  <c r="AF229" i="8"/>
  <c r="BG229" i="8" s="1"/>
  <c r="AH231" i="7"/>
  <c r="BI231" i="7" s="1"/>
  <c r="W231" i="7"/>
  <c r="AX231" i="7" s="1"/>
  <c r="X231" i="7"/>
  <c r="AY231" i="7" s="1"/>
  <c r="J231" i="7"/>
  <c r="AB231" i="8"/>
  <c r="BC231" i="8" s="1"/>
  <c r="AD231" i="8"/>
  <c r="BE231" i="8" s="1"/>
  <c r="AC231" i="8"/>
  <c r="BD231" i="8" s="1"/>
  <c r="W231" i="8"/>
  <c r="AX231" i="8" s="1"/>
  <c r="Z230" i="8"/>
  <c r="X231" i="8"/>
  <c r="AY231" i="8" s="1"/>
  <c r="N232" i="7"/>
  <c r="AD232" i="7" s="1"/>
  <c r="BE232" i="7" s="1"/>
  <c r="AD231" i="7"/>
  <c r="BE231" i="7" s="1"/>
  <c r="AB231" i="7"/>
  <c r="BC231" i="7" s="1"/>
  <c r="J231" i="8"/>
  <c r="AC231" i="7"/>
  <c r="BD231" i="7" s="1"/>
  <c r="K232" i="7"/>
  <c r="AA232" i="7" s="1"/>
  <c r="BB232" i="7" s="1"/>
  <c r="K232" i="8"/>
  <c r="AA232" i="8" s="1"/>
  <c r="BB232" i="8" s="1"/>
  <c r="T232" i="7"/>
  <c r="AU232" i="7" s="1"/>
  <c r="S232" i="7"/>
  <c r="AT232" i="7" s="1"/>
  <c r="M232" i="7"/>
  <c r="U232" i="7" s="1"/>
  <c r="AV232" i="7" s="1"/>
  <c r="U232" i="8"/>
  <c r="AV232" i="8" s="1"/>
  <c r="T232" i="8"/>
  <c r="AU232" i="8" s="1"/>
  <c r="S232" i="8"/>
  <c r="AT232" i="8" s="1"/>
  <c r="H232" i="8"/>
  <c r="N232" i="8" s="1"/>
  <c r="AI232" i="8" s="1"/>
  <c r="Z230" i="7"/>
  <c r="AF230" i="7"/>
  <c r="BG230" i="7" s="1"/>
  <c r="J232" i="7"/>
  <c r="L233" i="8"/>
  <c r="AE233" i="8" s="1"/>
  <c r="BF233" i="8" s="1"/>
  <c r="O233" i="8"/>
  <c r="A237" i="8"/>
  <c r="B236" i="8"/>
  <c r="AK231" i="8"/>
  <c r="AJ231" i="8"/>
  <c r="BK231" i="8" s="1"/>
  <c r="BI231" i="8"/>
  <c r="AQ234" i="8"/>
  <c r="AR234" i="8"/>
  <c r="BN234" i="8" s="1"/>
  <c r="AH232" i="8"/>
  <c r="W232" i="8"/>
  <c r="AX232" i="8" s="1"/>
  <c r="X232" i="8"/>
  <c r="AY232" i="8" s="1"/>
  <c r="C235" i="8"/>
  <c r="AP235" i="8"/>
  <c r="X243" i="9"/>
  <c r="L243" i="9"/>
  <c r="R243" i="9"/>
  <c r="F243" i="9"/>
  <c r="P243" i="9"/>
  <c r="D243" i="9"/>
  <c r="AA243" i="9"/>
  <c r="V243" i="9"/>
  <c r="N243" i="9"/>
  <c r="I243" i="9"/>
  <c r="E234" i="7" s="1"/>
  <c r="M243" i="9"/>
  <c r="Z243" i="9"/>
  <c r="T243" i="9"/>
  <c r="J243" i="9"/>
  <c r="Y243" i="9"/>
  <c r="D234" i="8" s="1"/>
  <c r="I234" i="8" s="1"/>
  <c r="E243" i="9"/>
  <c r="H243" i="9"/>
  <c r="Q243" i="9"/>
  <c r="O243" i="9"/>
  <c r="E234" i="8" s="1"/>
  <c r="G243" i="9"/>
  <c r="W243" i="9"/>
  <c r="S243" i="9"/>
  <c r="D234" i="7" s="1"/>
  <c r="I234" i="7" s="1"/>
  <c r="U243" i="9"/>
  <c r="K243" i="9"/>
  <c r="AL230" i="7"/>
  <c r="BM230" i="7" s="1"/>
  <c r="BJ230" i="7"/>
  <c r="C245" i="9"/>
  <c r="B244" i="9"/>
  <c r="G233" i="8"/>
  <c r="AN230" i="8"/>
  <c r="BO230" i="8" s="1"/>
  <c r="BL230" i="8"/>
  <c r="AR236" i="7"/>
  <c r="BN236" i="7" s="1"/>
  <c r="AQ236" i="7"/>
  <c r="A239" i="7"/>
  <c r="B238" i="7"/>
  <c r="O233" i="7"/>
  <c r="L233" i="7"/>
  <c r="AE233" i="7" s="1"/>
  <c r="BF233" i="7" s="1"/>
  <c r="C237" i="7"/>
  <c r="AP237" i="7"/>
  <c r="G233" i="7"/>
  <c r="AL231" i="8"/>
  <c r="BM231" i="8" s="1"/>
  <c r="BJ231" i="8"/>
  <c r="BI230" i="7"/>
  <c r="AK230" i="7"/>
  <c r="AJ230" i="7"/>
  <c r="BK230" i="7" s="1"/>
  <c r="BJ231" i="7"/>
  <c r="AL231" i="7"/>
  <c r="BM231" i="7" s="1"/>
  <c r="AG230" i="8" l="1"/>
  <c r="BH230" i="8" s="1"/>
  <c r="AG229" i="8"/>
  <c r="BH229" i="8" s="1"/>
  <c r="AJ231" i="7"/>
  <c r="BK231" i="7" s="1"/>
  <c r="AK231" i="7"/>
  <c r="Z231" i="7"/>
  <c r="BA231" i="7" s="1"/>
  <c r="X232" i="7"/>
  <c r="AY232" i="7" s="1"/>
  <c r="W232" i="7"/>
  <c r="AX232" i="7" s="1"/>
  <c r="AF231" i="8"/>
  <c r="BG231" i="8" s="1"/>
  <c r="AH232" i="7"/>
  <c r="AK232" i="7" s="1"/>
  <c r="AB232" i="7"/>
  <c r="BC232" i="7" s="1"/>
  <c r="AI232" i="7"/>
  <c r="BJ232" i="7" s="1"/>
  <c r="AC232" i="7"/>
  <c r="BD232" i="7" s="1"/>
  <c r="Z231" i="8"/>
  <c r="BA230" i="8"/>
  <c r="AF231" i="7"/>
  <c r="BG231" i="7" s="1"/>
  <c r="AD232" i="8"/>
  <c r="BE232" i="8" s="1"/>
  <c r="AC232" i="8"/>
  <c r="BD232" i="8" s="1"/>
  <c r="AB232" i="8"/>
  <c r="BC232" i="8" s="1"/>
  <c r="AG230" i="7"/>
  <c r="BH230" i="7" s="1"/>
  <c r="J232" i="8"/>
  <c r="BA230" i="7"/>
  <c r="Z232" i="8"/>
  <c r="BA232" i="8" s="1"/>
  <c r="G234" i="7"/>
  <c r="K234" i="7" s="1"/>
  <c r="AA234" i="7" s="1"/>
  <c r="AK232" i="8"/>
  <c r="AJ232" i="8"/>
  <c r="BK232" i="8" s="1"/>
  <c r="BI232" i="8"/>
  <c r="AN231" i="8"/>
  <c r="BO231" i="8" s="1"/>
  <c r="BL231" i="8"/>
  <c r="C236" i="8"/>
  <c r="AP236" i="8"/>
  <c r="L234" i="7"/>
  <c r="AE234" i="7" s="1"/>
  <c r="BF234" i="7" s="1"/>
  <c r="O234" i="7"/>
  <c r="B239" i="7"/>
  <c r="A240" i="7"/>
  <c r="BL231" i="7"/>
  <c r="AN231" i="7"/>
  <c r="BO231" i="7" s="1"/>
  <c r="B237" i="8"/>
  <c r="A238" i="8"/>
  <c r="AN230" i="7"/>
  <c r="BO230" i="7" s="1"/>
  <c r="BL230" i="7"/>
  <c r="AQ235" i="8"/>
  <c r="AR235" i="8"/>
  <c r="BN235" i="8" s="1"/>
  <c r="O234" i="8"/>
  <c r="L234" i="8"/>
  <c r="AE234" i="8" s="1"/>
  <c r="BF234" i="8" s="1"/>
  <c r="BJ232" i="8"/>
  <c r="AL232" i="8"/>
  <c r="BM232" i="8" s="1"/>
  <c r="G234" i="8"/>
  <c r="AQ237" i="7"/>
  <c r="AR237" i="7"/>
  <c r="BN237" i="7" s="1"/>
  <c r="AP238" i="7"/>
  <c r="C238" i="7"/>
  <c r="C246" i="9"/>
  <c r="B245" i="9"/>
  <c r="M233" i="8"/>
  <c r="H233" i="8"/>
  <c r="N233" i="8" s="1"/>
  <c r="S233" i="8"/>
  <c r="U233" i="8"/>
  <c r="AV233" i="8" s="1"/>
  <c r="T233" i="8"/>
  <c r="AU233" i="8" s="1"/>
  <c r="K233" i="8"/>
  <c r="AA233" i="8" s="1"/>
  <c r="M233" i="7"/>
  <c r="H233" i="7"/>
  <c r="N233" i="7" s="1"/>
  <c r="S233" i="7"/>
  <c r="T233" i="7"/>
  <c r="AU233" i="7" s="1"/>
  <c r="K233" i="7"/>
  <c r="AA233" i="7" s="1"/>
  <c r="X244" i="9"/>
  <c r="L244" i="9"/>
  <c r="R244" i="9"/>
  <c r="F244" i="9"/>
  <c r="K244" i="9"/>
  <c r="N244" i="9"/>
  <c r="I244" i="9"/>
  <c r="E235" i="7" s="1"/>
  <c r="U244" i="9"/>
  <c r="V244" i="9"/>
  <c r="W244" i="9"/>
  <c r="H244" i="9"/>
  <c r="Q244" i="9"/>
  <c r="O244" i="9"/>
  <c r="E235" i="8" s="1"/>
  <c r="S244" i="9"/>
  <c r="D235" i="7" s="1"/>
  <c r="I235" i="7" s="1"/>
  <c r="AA244" i="9"/>
  <c r="Y244" i="9"/>
  <c r="D235" i="8" s="1"/>
  <c r="I235" i="8" s="1"/>
  <c r="T244" i="9"/>
  <c r="G244" i="9"/>
  <c r="Z244" i="9"/>
  <c r="P244" i="9"/>
  <c r="J244" i="9"/>
  <c r="E244" i="9"/>
  <c r="M244" i="9"/>
  <c r="D244" i="9"/>
  <c r="AG231" i="8" l="1"/>
  <c r="BH231" i="8" s="1"/>
  <c r="BI232" i="7"/>
  <c r="Z232" i="7"/>
  <c r="BA232" i="7" s="1"/>
  <c r="BA231" i="8"/>
  <c r="AJ232" i="7"/>
  <c r="BK232" i="7" s="1"/>
  <c r="AL232" i="7"/>
  <c r="BM232" i="7" s="1"/>
  <c r="AG231" i="7"/>
  <c r="BH231" i="7" s="1"/>
  <c r="AF232" i="7"/>
  <c r="BG232" i="7" s="1"/>
  <c r="AF232" i="8"/>
  <c r="BG232" i="8" s="1"/>
  <c r="T234" i="7"/>
  <c r="AU234" i="7" s="1"/>
  <c r="M234" i="7"/>
  <c r="W234" i="7" s="1"/>
  <c r="AX234" i="7" s="1"/>
  <c r="H234" i="7"/>
  <c r="J234" i="7" s="1"/>
  <c r="S234" i="7"/>
  <c r="AT234" i="7" s="1"/>
  <c r="G235" i="7"/>
  <c r="K235" i="7" s="1"/>
  <c r="AA235" i="7" s="1"/>
  <c r="BB235" i="7" s="1"/>
  <c r="AH233" i="8"/>
  <c r="W233" i="8"/>
  <c r="AX233" i="8" s="1"/>
  <c r="X233" i="8"/>
  <c r="AY233" i="8" s="1"/>
  <c r="BL232" i="7"/>
  <c r="A239" i="8"/>
  <c r="B238" i="8"/>
  <c r="R245" i="9"/>
  <c r="F245" i="9"/>
  <c r="X245" i="9"/>
  <c r="L245" i="9"/>
  <c r="AA245" i="9"/>
  <c r="U245" i="9"/>
  <c r="M245" i="9"/>
  <c r="Y245" i="9"/>
  <c r="D236" i="8" s="1"/>
  <c r="I236" i="8" s="1"/>
  <c r="E245" i="9"/>
  <c r="V245" i="9"/>
  <c r="G245" i="9"/>
  <c r="D245" i="9"/>
  <c r="W245" i="9"/>
  <c r="I245" i="9"/>
  <c r="E236" i="7" s="1"/>
  <c r="N245" i="9"/>
  <c r="H245" i="9"/>
  <c r="Q245" i="9"/>
  <c r="Z245" i="9"/>
  <c r="K245" i="9"/>
  <c r="J245" i="9"/>
  <c r="P245" i="9"/>
  <c r="T245" i="9"/>
  <c r="S245" i="9"/>
  <c r="D236" i="7" s="1"/>
  <c r="I236" i="7" s="1"/>
  <c r="O245" i="9"/>
  <c r="E236" i="8" s="1"/>
  <c r="BB234" i="7"/>
  <c r="AH233" i="7"/>
  <c r="W233" i="7"/>
  <c r="AX233" i="7" s="1"/>
  <c r="X233" i="7"/>
  <c r="AY233" i="7" s="1"/>
  <c r="U233" i="7"/>
  <c r="AV233" i="7" s="1"/>
  <c r="AQ238" i="7"/>
  <c r="AR238" i="7"/>
  <c r="BN238" i="7" s="1"/>
  <c r="C239" i="7"/>
  <c r="AP239" i="7"/>
  <c r="BB233" i="8"/>
  <c r="A241" i="7"/>
  <c r="B240" i="7"/>
  <c r="AP237" i="8"/>
  <c r="C237" i="8"/>
  <c r="C247" i="9"/>
  <c r="B246" i="9"/>
  <c r="J233" i="7"/>
  <c r="L235" i="7"/>
  <c r="AE235" i="7" s="1"/>
  <c r="BF235" i="7" s="1"/>
  <c r="O235" i="7"/>
  <c r="AT233" i="8"/>
  <c r="AT233" i="7"/>
  <c r="AR236" i="8"/>
  <c r="BN236" i="8" s="1"/>
  <c r="AQ236" i="8"/>
  <c r="AI233" i="7"/>
  <c r="AC233" i="7"/>
  <c r="BD233" i="7" s="1"/>
  <c r="AD233" i="7"/>
  <c r="BE233" i="7" s="1"/>
  <c r="AB233" i="7"/>
  <c r="BC233" i="7" s="1"/>
  <c r="G235" i="8"/>
  <c r="K235" i="8" s="1"/>
  <c r="AA235" i="8" s="1"/>
  <c r="BB233" i="7"/>
  <c r="AI233" i="8"/>
  <c r="AC233" i="8"/>
  <c r="BD233" i="8" s="1"/>
  <c r="AD233" i="8"/>
  <c r="BE233" i="8" s="1"/>
  <c r="AB233" i="8"/>
  <c r="BC233" i="8" s="1"/>
  <c r="L235" i="8"/>
  <c r="AE235" i="8" s="1"/>
  <c r="BF235" i="8" s="1"/>
  <c r="O235" i="8"/>
  <c r="H234" i="8"/>
  <c r="N234" i="8" s="1"/>
  <c r="M234" i="8"/>
  <c r="S234" i="8"/>
  <c r="T234" i="8"/>
  <c r="AU234" i="8" s="1"/>
  <c r="U234" i="8"/>
  <c r="AV234" i="8" s="1"/>
  <c r="K234" i="8"/>
  <c r="AA234" i="8" s="1"/>
  <c r="J233" i="8"/>
  <c r="BL232" i="8"/>
  <c r="AN232" i="8"/>
  <c r="BO232" i="8" s="1"/>
  <c r="AN232" i="7" l="1"/>
  <c r="BO232" i="7" s="1"/>
  <c r="AG232" i="7"/>
  <c r="BH232" i="7" s="1"/>
  <c r="AG232" i="8"/>
  <c r="BH232" i="8" s="1"/>
  <c r="AH234" i="7"/>
  <c r="AK234" i="7" s="1"/>
  <c r="U234" i="7"/>
  <c r="AV234" i="7" s="1"/>
  <c r="T235" i="7"/>
  <c r="AU235" i="7" s="1"/>
  <c r="S235" i="7"/>
  <c r="AT235" i="7" s="1"/>
  <c r="M235" i="7"/>
  <c r="AH235" i="7" s="1"/>
  <c r="H235" i="7"/>
  <c r="N235" i="7" s="1"/>
  <c r="AI235" i="7" s="1"/>
  <c r="X234" i="7"/>
  <c r="AY234" i="7" s="1"/>
  <c r="N234" i="7"/>
  <c r="AI234" i="7" s="1"/>
  <c r="J234" i="8"/>
  <c r="Z233" i="7"/>
  <c r="Z233" i="8"/>
  <c r="BA233" i="8" s="1"/>
  <c r="AF233" i="7"/>
  <c r="BG233" i="7" s="1"/>
  <c r="O236" i="8"/>
  <c r="L236" i="8"/>
  <c r="AE236" i="8" s="1"/>
  <c r="BF236" i="8" s="1"/>
  <c r="BB235" i="8"/>
  <c r="B239" i="8"/>
  <c r="A240" i="8"/>
  <c r="BJ233" i="8"/>
  <c r="AL233" i="8"/>
  <c r="BM233" i="8" s="1"/>
  <c r="O236" i="7"/>
  <c r="L236" i="7"/>
  <c r="AE236" i="7" s="1"/>
  <c r="BF236" i="7" s="1"/>
  <c r="C240" i="7"/>
  <c r="AP240" i="7"/>
  <c r="H235" i="8"/>
  <c r="N235" i="8" s="1"/>
  <c r="M235" i="8"/>
  <c r="S235" i="8"/>
  <c r="U235" i="8"/>
  <c r="AV235" i="8" s="1"/>
  <c r="T235" i="8"/>
  <c r="AU235" i="8" s="1"/>
  <c r="AK233" i="7"/>
  <c r="AJ233" i="7"/>
  <c r="BK233" i="7" s="1"/>
  <c r="BI233" i="7"/>
  <c r="BJ233" i="7"/>
  <c r="AL233" i="7"/>
  <c r="BM233" i="7" s="1"/>
  <c r="AT234" i="8"/>
  <c r="AH234" i="8"/>
  <c r="W234" i="8"/>
  <c r="AX234" i="8" s="1"/>
  <c r="X234" i="8"/>
  <c r="AY234" i="8" s="1"/>
  <c r="AF233" i="8"/>
  <c r="BG233" i="8" s="1"/>
  <c r="G236" i="7"/>
  <c r="BI233" i="8"/>
  <c r="AJ233" i="8"/>
  <c r="BK233" i="8" s="1"/>
  <c r="AK233" i="8"/>
  <c r="AR237" i="8"/>
  <c r="BN237" i="8" s="1"/>
  <c r="AQ237" i="8"/>
  <c r="R246" i="9"/>
  <c r="F246" i="9"/>
  <c r="L246" i="9"/>
  <c r="X246" i="9"/>
  <c r="S246" i="9"/>
  <c r="D237" i="7" s="1"/>
  <c r="I237" i="7" s="1"/>
  <c r="G246" i="9"/>
  <c r="Q246" i="9"/>
  <c r="J246" i="9"/>
  <c r="AA246" i="9"/>
  <c r="H246" i="9"/>
  <c r="T246" i="9"/>
  <c r="V246" i="9"/>
  <c r="Z246" i="9"/>
  <c r="E246" i="9"/>
  <c r="O246" i="9"/>
  <c r="E237" i="8" s="1"/>
  <c r="K246" i="9"/>
  <c r="P246" i="9"/>
  <c r="Y246" i="9"/>
  <c r="D237" i="8" s="1"/>
  <c r="I237" i="8" s="1"/>
  <c r="W246" i="9"/>
  <c r="I246" i="9"/>
  <c r="E237" i="7" s="1"/>
  <c r="D246" i="9"/>
  <c r="M246" i="9"/>
  <c r="U246" i="9"/>
  <c r="N246" i="9"/>
  <c r="A242" i="7"/>
  <c r="B241" i="7"/>
  <c r="AI234" i="8"/>
  <c r="AC234" i="8"/>
  <c r="BD234" i="8" s="1"/>
  <c r="AD234" i="8"/>
  <c r="BE234" i="8" s="1"/>
  <c r="AB234" i="8"/>
  <c r="BC234" i="8" s="1"/>
  <c r="AR239" i="7"/>
  <c r="BN239" i="7" s="1"/>
  <c r="AQ239" i="7"/>
  <c r="BB234" i="8"/>
  <c r="C248" i="9"/>
  <c r="B247" i="9"/>
  <c r="G236" i="8"/>
  <c r="C238" i="8"/>
  <c r="AP238" i="8"/>
  <c r="W235" i="7" l="1"/>
  <c r="AX235" i="7" s="1"/>
  <c r="BI234" i="7"/>
  <c r="J235" i="8"/>
  <c r="AB234" i="7"/>
  <c r="AD234" i="7"/>
  <c r="BE234" i="7" s="1"/>
  <c r="J235" i="7"/>
  <c r="AB235" i="7"/>
  <c r="AD235" i="7"/>
  <c r="BE235" i="7" s="1"/>
  <c r="U235" i="7"/>
  <c r="AV235" i="7" s="1"/>
  <c r="AC235" i="7"/>
  <c r="BD235" i="7" s="1"/>
  <c r="X235" i="7"/>
  <c r="AY235" i="7" s="1"/>
  <c r="AC234" i="7"/>
  <c r="BD234" i="7" s="1"/>
  <c r="Z234" i="7"/>
  <c r="BA234" i="7" s="1"/>
  <c r="AG233" i="7"/>
  <c r="BH233" i="7" s="1"/>
  <c r="BA233" i="7"/>
  <c r="AG233" i="8"/>
  <c r="BH233" i="8" s="1"/>
  <c r="G237" i="7"/>
  <c r="K237" i="7" s="1"/>
  <c r="AA237" i="7" s="1"/>
  <c r="Z234" i="8"/>
  <c r="BA234" i="8" s="1"/>
  <c r="G237" i="8"/>
  <c r="K237" i="8" s="1"/>
  <c r="AA237" i="8" s="1"/>
  <c r="M236" i="8"/>
  <c r="H236" i="8"/>
  <c r="N236" i="8" s="1"/>
  <c r="S236" i="8"/>
  <c r="U236" i="8"/>
  <c r="AV236" i="8" s="1"/>
  <c r="T236" i="8"/>
  <c r="AU236" i="8" s="1"/>
  <c r="K236" i="8"/>
  <c r="AA236" i="8" s="1"/>
  <c r="BJ234" i="7"/>
  <c r="AL234" i="7"/>
  <c r="BM234" i="7" s="1"/>
  <c r="A241" i="8"/>
  <c r="B240" i="8"/>
  <c r="C239" i="8"/>
  <c r="AP239" i="8"/>
  <c r="AL234" i="8"/>
  <c r="BM234" i="8" s="1"/>
  <c r="BJ234" i="8"/>
  <c r="BL233" i="7"/>
  <c r="AN233" i="7"/>
  <c r="BO233" i="7" s="1"/>
  <c r="AJ234" i="7"/>
  <c r="BK234" i="7" s="1"/>
  <c r="B248" i="9"/>
  <c r="C249" i="9"/>
  <c r="AF234" i="8"/>
  <c r="BG234" i="8" s="1"/>
  <c r="L237" i="8"/>
  <c r="AE237" i="8" s="1"/>
  <c r="BF237" i="8" s="1"/>
  <c r="O237" i="8"/>
  <c r="M236" i="7"/>
  <c r="H236" i="7"/>
  <c r="N236" i="7" s="1"/>
  <c r="S236" i="7"/>
  <c r="T236" i="7"/>
  <c r="AU236" i="7" s="1"/>
  <c r="K236" i="7"/>
  <c r="AA236" i="7" s="1"/>
  <c r="AL235" i="7"/>
  <c r="BM235" i="7" s="1"/>
  <c r="BJ235" i="7"/>
  <c r="BL234" i="7"/>
  <c r="AP241" i="7"/>
  <c r="C241" i="7"/>
  <c r="L237" i="7"/>
  <c r="AE237" i="7" s="1"/>
  <c r="BF237" i="7" s="1"/>
  <c r="O237" i="7"/>
  <c r="AT235" i="8"/>
  <c r="AQ240" i="7"/>
  <c r="AR240" i="7"/>
  <c r="BN240" i="7" s="1"/>
  <c r="BL233" i="8"/>
  <c r="AN233" i="8"/>
  <c r="BO233" i="8" s="1"/>
  <c r="BC235" i="7"/>
  <c r="AK234" i="8"/>
  <c r="AJ234" i="8"/>
  <c r="BK234" i="8" s="1"/>
  <c r="BI234" i="8"/>
  <c r="AH235" i="8"/>
  <c r="W235" i="8"/>
  <c r="AX235" i="8" s="1"/>
  <c r="X235" i="8"/>
  <c r="AY235" i="8" s="1"/>
  <c r="R247" i="9"/>
  <c r="L247" i="9"/>
  <c r="F247" i="9"/>
  <c r="X247" i="9"/>
  <c r="Q247" i="9"/>
  <c r="D247" i="9"/>
  <c r="J247" i="9"/>
  <c r="O247" i="9"/>
  <c r="E238" i="8" s="1"/>
  <c r="I247" i="9"/>
  <c r="E238" i="7" s="1"/>
  <c r="N247" i="9"/>
  <c r="P247" i="9"/>
  <c r="K247" i="9"/>
  <c r="Y247" i="9"/>
  <c r="D238" i="8" s="1"/>
  <c r="I238" i="8" s="1"/>
  <c r="V247" i="9"/>
  <c r="G247" i="9"/>
  <c r="S247" i="9"/>
  <c r="D238" i="7" s="1"/>
  <c r="I238" i="7" s="1"/>
  <c r="M247" i="9"/>
  <c r="E247" i="9"/>
  <c r="H247" i="9"/>
  <c r="U247" i="9"/>
  <c r="Z247" i="9"/>
  <c r="T247" i="9"/>
  <c r="W247" i="9"/>
  <c r="AA247" i="9"/>
  <c r="B242" i="7"/>
  <c r="A243" i="7"/>
  <c r="AQ238" i="8"/>
  <c r="AR238" i="8"/>
  <c r="BN238" i="8" s="1"/>
  <c r="AK235" i="7"/>
  <c r="BI235" i="7"/>
  <c r="AJ235" i="7"/>
  <c r="BK235" i="7" s="1"/>
  <c r="AI235" i="8"/>
  <c r="AC235" i="8"/>
  <c r="BD235" i="8" s="1"/>
  <c r="AD235" i="8"/>
  <c r="BE235" i="8" s="1"/>
  <c r="AB235" i="8"/>
  <c r="BC234" i="7"/>
  <c r="AF235" i="7" l="1"/>
  <c r="BG235" i="7" s="1"/>
  <c r="AF234" i="7"/>
  <c r="BG234" i="7" s="1"/>
  <c r="Z235" i="7"/>
  <c r="S237" i="7"/>
  <c r="AT237" i="7" s="1"/>
  <c r="M237" i="7"/>
  <c r="AH237" i="7" s="1"/>
  <c r="H237" i="7"/>
  <c r="J237" i="7" s="1"/>
  <c r="BA235" i="7"/>
  <c r="T237" i="7"/>
  <c r="AU237" i="7" s="1"/>
  <c r="T237" i="8"/>
  <c r="AU237" i="8" s="1"/>
  <c r="U237" i="8"/>
  <c r="AV237" i="8" s="1"/>
  <c r="S237" i="8"/>
  <c r="AT237" i="8" s="1"/>
  <c r="M237" i="8"/>
  <c r="AH237" i="8" s="1"/>
  <c r="H237" i="8"/>
  <c r="J237" i="8" s="1"/>
  <c r="AG234" i="7"/>
  <c r="BH234" i="7" s="1"/>
  <c r="J236" i="7"/>
  <c r="AN234" i="8"/>
  <c r="BO234" i="8" s="1"/>
  <c r="BL234" i="8"/>
  <c r="AN234" i="7"/>
  <c r="BO234" i="7" s="1"/>
  <c r="AG234" i="8"/>
  <c r="BH234" i="8" s="1"/>
  <c r="AH236" i="7"/>
  <c r="W236" i="7"/>
  <c r="AX236" i="7" s="1"/>
  <c r="X236" i="7"/>
  <c r="AY236" i="7" s="1"/>
  <c r="U236" i="7"/>
  <c r="AV236" i="7" s="1"/>
  <c r="C250" i="9"/>
  <c r="B249" i="9"/>
  <c r="AL235" i="8"/>
  <c r="BM235" i="8" s="1"/>
  <c r="BJ235" i="8"/>
  <c r="B243" i="7"/>
  <c r="A244" i="7"/>
  <c r="R248" i="9"/>
  <c r="L248" i="9"/>
  <c r="X248" i="9"/>
  <c r="F248" i="9"/>
  <c r="V248" i="9"/>
  <c r="O248" i="9"/>
  <c r="E239" i="8" s="1"/>
  <c r="W248" i="9"/>
  <c r="P248" i="9"/>
  <c r="E248" i="9"/>
  <c r="G248" i="9"/>
  <c r="AA248" i="9"/>
  <c r="J248" i="9"/>
  <c r="N248" i="9"/>
  <c r="Z248" i="9"/>
  <c r="T248" i="9"/>
  <c r="D248" i="9"/>
  <c r="S248" i="9"/>
  <c r="D239" i="7" s="1"/>
  <c r="I239" i="7" s="1"/>
  <c r="K248" i="9"/>
  <c r="Q248" i="9"/>
  <c r="U248" i="9"/>
  <c r="Y248" i="9"/>
  <c r="D239" i="8" s="1"/>
  <c r="I239" i="8" s="1"/>
  <c r="H248" i="9"/>
  <c r="M248" i="9"/>
  <c r="I248" i="9"/>
  <c r="E239" i="7" s="1"/>
  <c r="BB236" i="8"/>
  <c r="BB236" i="7"/>
  <c r="AT236" i="8"/>
  <c r="L238" i="8"/>
  <c r="AE238" i="8" s="1"/>
  <c r="BF238" i="8" s="1"/>
  <c r="O238" i="8"/>
  <c r="BL235" i="7"/>
  <c r="AN235" i="7"/>
  <c r="BO235" i="7" s="1"/>
  <c r="AI236" i="8"/>
  <c r="AC236" i="8"/>
  <c r="BD236" i="8" s="1"/>
  <c r="AD236" i="8"/>
  <c r="BE236" i="8" s="1"/>
  <c r="AB236" i="8"/>
  <c r="BC236" i="8" s="1"/>
  <c r="BC235" i="8"/>
  <c r="AF235" i="8"/>
  <c r="BG235" i="8" s="1"/>
  <c r="L238" i="7"/>
  <c r="AE238" i="7" s="1"/>
  <c r="BF238" i="7" s="1"/>
  <c r="O238" i="7"/>
  <c r="C242" i="7"/>
  <c r="AP242" i="7"/>
  <c r="AK235" i="8"/>
  <c r="AJ235" i="8"/>
  <c r="BK235" i="8" s="1"/>
  <c r="BI235" i="8"/>
  <c r="AT236" i="7"/>
  <c r="J236" i="8"/>
  <c r="AR241" i="7"/>
  <c r="BN241" i="7" s="1"/>
  <c r="AQ241" i="7"/>
  <c r="G238" i="7"/>
  <c r="Z235" i="8"/>
  <c r="BB237" i="7"/>
  <c r="AP240" i="8"/>
  <c r="C240" i="8"/>
  <c r="AH236" i="8"/>
  <c r="W236" i="8"/>
  <c r="AX236" i="8" s="1"/>
  <c r="X236" i="8"/>
  <c r="AY236" i="8" s="1"/>
  <c r="AQ239" i="8"/>
  <c r="AR239" i="8"/>
  <c r="BN239" i="8" s="1"/>
  <c r="G238" i="8"/>
  <c r="AI236" i="7"/>
  <c r="AC236" i="7"/>
  <c r="BD236" i="7" s="1"/>
  <c r="AD236" i="7"/>
  <c r="BE236" i="7" s="1"/>
  <c r="AB236" i="7"/>
  <c r="BC236" i="7" s="1"/>
  <c r="A242" i="8"/>
  <c r="B241" i="8"/>
  <c r="BB237" i="8"/>
  <c r="U237" i="7" l="1"/>
  <c r="AV237" i="7" s="1"/>
  <c r="X237" i="7"/>
  <c r="AY237" i="7" s="1"/>
  <c r="W237" i="7"/>
  <c r="AX237" i="7" s="1"/>
  <c r="AG235" i="7"/>
  <c r="BH235" i="7" s="1"/>
  <c r="N237" i="7"/>
  <c r="AI237" i="7" s="1"/>
  <c r="AJ237" i="7" s="1"/>
  <c r="BK237" i="7" s="1"/>
  <c r="N237" i="8"/>
  <c r="AI237" i="8" s="1"/>
  <c r="AJ237" i="8" s="1"/>
  <c r="BK237" i="8" s="1"/>
  <c r="X237" i="8"/>
  <c r="AY237" i="8" s="1"/>
  <c r="W237" i="8"/>
  <c r="AX237" i="8" s="1"/>
  <c r="Z236" i="8"/>
  <c r="BA236" i="8" s="1"/>
  <c r="X249" i="9"/>
  <c r="L249" i="9"/>
  <c r="F249" i="9"/>
  <c r="R249" i="9"/>
  <c r="AA249" i="9"/>
  <c r="V249" i="9"/>
  <c r="K249" i="9"/>
  <c r="O249" i="9"/>
  <c r="E240" i="8" s="1"/>
  <c r="M249" i="9"/>
  <c r="D249" i="9"/>
  <c r="I249" i="9"/>
  <c r="E240" i="7" s="1"/>
  <c r="Z249" i="9"/>
  <c r="N249" i="9"/>
  <c r="P249" i="9"/>
  <c r="Q249" i="9"/>
  <c r="J249" i="9"/>
  <c r="H249" i="9"/>
  <c r="E249" i="9"/>
  <c r="S249" i="9"/>
  <c r="D240" i="7" s="1"/>
  <c r="I240" i="7" s="1"/>
  <c r="G249" i="9"/>
  <c r="T249" i="9"/>
  <c r="W249" i="9"/>
  <c r="Y249" i="9"/>
  <c r="D240" i="8" s="1"/>
  <c r="I240" i="8" s="1"/>
  <c r="U249" i="9"/>
  <c r="BJ236" i="8"/>
  <c r="AL236" i="8"/>
  <c r="BM236" i="8" s="1"/>
  <c r="G239" i="7"/>
  <c r="K239" i="7" s="1"/>
  <c r="AA239" i="7" s="1"/>
  <c r="A245" i="7"/>
  <c r="B244" i="7"/>
  <c r="B250" i="9"/>
  <c r="C251" i="9"/>
  <c r="AK237" i="7"/>
  <c r="BI237" i="7"/>
  <c r="BI236" i="7"/>
  <c r="AK236" i="7"/>
  <c r="AJ236" i="7"/>
  <c r="BK236" i="7" s="1"/>
  <c r="AR240" i="8"/>
  <c r="BN240" i="8" s="1"/>
  <c r="AQ240" i="8"/>
  <c r="O239" i="8"/>
  <c r="L239" i="8"/>
  <c r="AE239" i="8" s="1"/>
  <c r="BF239" i="8" s="1"/>
  <c r="O239" i="7"/>
  <c r="L239" i="7"/>
  <c r="AE239" i="7" s="1"/>
  <c r="BF239" i="7" s="1"/>
  <c r="AR242" i="7"/>
  <c r="BN242" i="7" s="1"/>
  <c r="AQ242" i="7"/>
  <c r="A243" i="8"/>
  <c r="B242" i="8"/>
  <c r="BL235" i="8"/>
  <c r="AN235" i="8"/>
  <c r="BO235" i="8" s="1"/>
  <c r="BA235" i="8"/>
  <c r="AG235" i="8"/>
  <c r="BH235" i="8" s="1"/>
  <c r="H238" i="7"/>
  <c r="N238" i="7" s="1"/>
  <c r="M238" i="7"/>
  <c r="T238" i="7"/>
  <c r="AU238" i="7" s="1"/>
  <c r="S238" i="7"/>
  <c r="K238" i="7"/>
  <c r="AA238" i="7" s="1"/>
  <c r="AP241" i="8"/>
  <c r="C241" i="8"/>
  <c r="AF236" i="7"/>
  <c r="BG236" i="7" s="1"/>
  <c r="Z236" i="7"/>
  <c r="AF236" i="8"/>
  <c r="BG236" i="8" s="1"/>
  <c r="BJ236" i="7"/>
  <c r="AL236" i="7"/>
  <c r="BM236" i="7" s="1"/>
  <c r="H238" i="8"/>
  <c r="N238" i="8" s="1"/>
  <c r="M238" i="8"/>
  <c r="S238" i="8"/>
  <c r="T238" i="8"/>
  <c r="AU238" i="8" s="1"/>
  <c r="U238" i="8"/>
  <c r="AV238" i="8" s="1"/>
  <c r="K238" i="8"/>
  <c r="AA238" i="8" s="1"/>
  <c r="C243" i="7"/>
  <c r="AP243" i="7"/>
  <c r="BI236" i="8"/>
  <c r="AK236" i="8"/>
  <c r="AJ236" i="8"/>
  <c r="BK236" i="8" s="1"/>
  <c r="G239" i="8"/>
  <c r="AK237" i="8"/>
  <c r="BI237" i="8"/>
  <c r="AB237" i="7" l="1"/>
  <c r="AD237" i="7"/>
  <c r="BE237" i="7" s="1"/>
  <c r="AC237" i="7"/>
  <c r="BD237" i="7" s="1"/>
  <c r="Z237" i="7"/>
  <c r="BA237" i="7" s="1"/>
  <c r="BJ237" i="8"/>
  <c r="AL237" i="8"/>
  <c r="BM237" i="8" s="1"/>
  <c r="AD237" i="8"/>
  <c r="BE237" i="8" s="1"/>
  <c r="AB237" i="8"/>
  <c r="BC237" i="8" s="1"/>
  <c r="Z237" i="8"/>
  <c r="BA237" i="8" s="1"/>
  <c r="AC237" i="8"/>
  <c r="BD237" i="8" s="1"/>
  <c r="G240" i="7"/>
  <c r="H240" i="7" s="1"/>
  <c r="J240" i="7" s="1"/>
  <c r="G240" i="8"/>
  <c r="L240" i="8"/>
  <c r="AE240" i="8" s="1"/>
  <c r="BF240" i="8" s="1"/>
  <c r="O240" i="8"/>
  <c r="L240" i="7"/>
  <c r="AE240" i="7" s="1"/>
  <c r="BF240" i="7" s="1"/>
  <c r="O240" i="7"/>
  <c r="AT238" i="7"/>
  <c r="C252" i="9"/>
  <c r="B251" i="9"/>
  <c r="AP244" i="7"/>
  <c r="C244" i="7"/>
  <c r="B243" i="8"/>
  <c r="A244" i="8"/>
  <c r="BL237" i="7"/>
  <c r="BL237" i="8"/>
  <c r="L250" i="9"/>
  <c r="X250" i="9"/>
  <c r="R250" i="9"/>
  <c r="F250" i="9"/>
  <c r="N250" i="9"/>
  <c r="Y250" i="9"/>
  <c r="D241" i="8" s="1"/>
  <c r="I241" i="8" s="1"/>
  <c r="P250" i="9"/>
  <c r="Q250" i="9"/>
  <c r="S250" i="9"/>
  <c r="D241" i="7" s="1"/>
  <c r="I241" i="7" s="1"/>
  <c r="AA250" i="9"/>
  <c r="O250" i="9"/>
  <c r="E241" i="8" s="1"/>
  <c r="Z250" i="9"/>
  <c r="E250" i="9"/>
  <c r="I250" i="9"/>
  <c r="E241" i="7" s="1"/>
  <c r="H250" i="9"/>
  <c r="G250" i="9"/>
  <c r="M250" i="9"/>
  <c r="T250" i="9"/>
  <c r="V250" i="9"/>
  <c r="W250" i="9"/>
  <c r="J250" i="9"/>
  <c r="U250" i="9"/>
  <c r="K250" i="9"/>
  <c r="D250" i="9"/>
  <c r="BJ237" i="7"/>
  <c r="AL237" i="7"/>
  <c r="BM237" i="7" s="1"/>
  <c r="AG236" i="7"/>
  <c r="BH236" i="7" s="1"/>
  <c r="BA236" i="7"/>
  <c r="M239" i="8"/>
  <c r="H239" i="8"/>
  <c r="N239" i="8" s="1"/>
  <c r="S239" i="8"/>
  <c r="T239" i="8"/>
  <c r="AU239" i="8" s="1"/>
  <c r="U239" i="8"/>
  <c r="AV239" i="8" s="1"/>
  <c r="BC237" i="7"/>
  <c r="AT238" i="8"/>
  <c r="BL236" i="8"/>
  <c r="AN236" i="8"/>
  <c r="BO236" i="8" s="1"/>
  <c r="AI238" i="8"/>
  <c r="AC238" i="8"/>
  <c r="BD238" i="8" s="1"/>
  <c r="AD238" i="8"/>
  <c r="BE238" i="8" s="1"/>
  <c r="AB238" i="8"/>
  <c r="BC238" i="8" s="1"/>
  <c r="BB239" i="7"/>
  <c r="AG236" i="8"/>
  <c r="BH236" i="8" s="1"/>
  <c r="AI238" i="7"/>
  <c r="AC238" i="7"/>
  <c r="BD238" i="7" s="1"/>
  <c r="AD238" i="7"/>
  <c r="BE238" i="7" s="1"/>
  <c r="AB238" i="7"/>
  <c r="BC238" i="7" s="1"/>
  <c r="K239" i="8"/>
  <c r="AA239" i="8" s="1"/>
  <c r="J238" i="8"/>
  <c r="AN236" i="7"/>
  <c r="BO236" i="7" s="1"/>
  <c r="BL236" i="7"/>
  <c r="BB238" i="7"/>
  <c r="AH238" i="7"/>
  <c r="W238" i="7"/>
  <c r="AX238" i="7" s="1"/>
  <c r="X238" i="7"/>
  <c r="AY238" i="7" s="1"/>
  <c r="U238" i="7"/>
  <c r="AV238" i="7" s="1"/>
  <c r="BB238" i="8"/>
  <c r="J238" i="7"/>
  <c r="B245" i="7"/>
  <c r="A246" i="7"/>
  <c r="M239" i="7"/>
  <c r="H239" i="7"/>
  <c r="N239" i="7" s="1"/>
  <c r="S239" i="7"/>
  <c r="T239" i="7"/>
  <c r="AU239" i="7" s="1"/>
  <c r="AQ243" i="7"/>
  <c r="AR243" i="7"/>
  <c r="BN243" i="7" s="1"/>
  <c r="AH238" i="8"/>
  <c r="W238" i="8"/>
  <c r="AX238" i="8" s="1"/>
  <c r="X238" i="8"/>
  <c r="AY238" i="8" s="1"/>
  <c r="AQ241" i="8"/>
  <c r="AR241" i="8"/>
  <c r="BN241" i="8" s="1"/>
  <c r="C242" i="8"/>
  <c r="AP242" i="8"/>
  <c r="AN237" i="8" l="1"/>
  <c r="BO237" i="8" s="1"/>
  <c r="AF237" i="7"/>
  <c r="BG237" i="7" s="1"/>
  <c r="K240" i="7"/>
  <c r="AA240" i="7" s="1"/>
  <c r="AF237" i="8"/>
  <c r="BG237" i="8" s="1"/>
  <c r="T240" i="7"/>
  <c r="AU240" i="7" s="1"/>
  <c r="S240" i="7"/>
  <c r="AT240" i="7" s="1"/>
  <c r="M240" i="7"/>
  <c r="AH240" i="7" s="1"/>
  <c r="AN237" i="7"/>
  <c r="BO237" i="7" s="1"/>
  <c r="G241" i="8"/>
  <c r="K241" i="8" s="1"/>
  <c r="AA241" i="8" s="1"/>
  <c r="J239" i="8"/>
  <c r="AF238" i="7"/>
  <c r="BG238" i="7" s="1"/>
  <c r="Z238" i="7"/>
  <c r="J239" i="7"/>
  <c r="A245" i="8"/>
  <c r="B244" i="8"/>
  <c r="H240" i="8"/>
  <c r="N240" i="8" s="1"/>
  <c r="M240" i="8"/>
  <c r="S240" i="8"/>
  <c r="T240" i="8"/>
  <c r="AU240" i="8" s="1"/>
  <c r="U240" i="8"/>
  <c r="AV240" i="8" s="1"/>
  <c r="AI239" i="8"/>
  <c r="AC239" i="8"/>
  <c r="BD239" i="8" s="1"/>
  <c r="AD239" i="8"/>
  <c r="BE239" i="8" s="1"/>
  <c r="AB239" i="8"/>
  <c r="BC239" i="8" s="1"/>
  <c r="C243" i="8"/>
  <c r="AP243" i="8"/>
  <c r="AG237" i="7"/>
  <c r="BH237" i="7" s="1"/>
  <c r="L241" i="7"/>
  <c r="AE241" i="7" s="1"/>
  <c r="BF241" i="7" s="1"/>
  <c r="O241" i="7"/>
  <c r="AL238" i="8"/>
  <c r="BM238" i="8" s="1"/>
  <c r="BJ238" i="8"/>
  <c r="L241" i="8"/>
  <c r="AE241" i="8" s="1"/>
  <c r="BF241" i="8" s="1"/>
  <c r="O241" i="8"/>
  <c r="AK238" i="7"/>
  <c r="AJ238" i="7"/>
  <c r="BK238" i="7" s="1"/>
  <c r="BI238" i="7"/>
  <c r="AR242" i="8"/>
  <c r="BN242" i="8" s="1"/>
  <c r="AQ242" i="8"/>
  <c r="AH239" i="7"/>
  <c r="W239" i="7"/>
  <c r="AX239" i="7" s="1"/>
  <c r="X239" i="7"/>
  <c r="AY239" i="7" s="1"/>
  <c r="U239" i="7"/>
  <c r="AV239" i="7" s="1"/>
  <c r="BB239" i="8"/>
  <c r="K240" i="8"/>
  <c r="AA240" i="8" s="1"/>
  <c r="AR244" i="7"/>
  <c r="BN244" i="7" s="1"/>
  <c r="AQ244" i="7"/>
  <c r="AI239" i="7"/>
  <c r="AC239" i="7"/>
  <c r="BD239" i="7" s="1"/>
  <c r="AD239" i="7"/>
  <c r="BE239" i="7" s="1"/>
  <c r="AB239" i="7"/>
  <c r="AT239" i="8"/>
  <c r="C245" i="7"/>
  <c r="AP245" i="7"/>
  <c r="AH239" i="8"/>
  <c r="W239" i="8"/>
  <c r="AX239" i="8" s="1"/>
  <c r="X239" i="8"/>
  <c r="AY239" i="8" s="1"/>
  <c r="AK238" i="8"/>
  <c r="AJ238" i="8"/>
  <c r="BK238" i="8" s="1"/>
  <c r="BI238" i="8"/>
  <c r="AF238" i="8"/>
  <c r="BG238" i="8" s="1"/>
  <c r="R251" i="9"/>
  <c r="F251" i="9"/>
  <c r="X251" i="9"/>
  <c r="L251" i="9"/>
  <c r="V251" i="9"/>
  <c r="Y251" i="9"/>
  <c r="D242" i="8" s="1"/>
  <c r="I242" i="8" s="1"/>
  <c r="O251" i="9"/>
  <c r="E242" i="8" s="1"/>
  <c r="K251" i="9"/>
  <c r="G251" i="9"/>
  <c r="Q251" i="9"/>
  <c r="H251" i="9"/>
  <c r="N251" i="9"/>
  <c r="P251" i="9"/>
  <c r="E251" i="9"/>
  <c r="J251" i="9"/>
  <c r="AA251" i="9"/>
  <c r="Z251" i="9"/>
  <c r="S251" i="9"/>
  <c r="D242" i="7" s="1"/>
  <c r="I242" i="7" s="1"/>
  <c r="M251" i="9"/>
  <c r="T251" i="9"/>
  <c r="U251" i="9"/>
  <c r="I251" i="9"/>
  <c r="E242" i="7" s="1"/>
  <c r="W251" i="9"/>
  <c r="D251" i="9"/>
  <c r="AL238" i="7"/>
  <c r="BM238" i="7" s="1"/>
  <c r="BJ238" i="7"/>
  <c r="AT239" i="7"/>
  <c r="BB240" i="7"/>
  <c r="B246" i="7"/>
  <c r="A247" i="7"/>
  <c r="B252" i="9"/>
  <c r="C253" i="9"/>
  <c r="Z238" i="8"/>
  <c r="G241" i="7"/>
  <c r="N240" i="7"/>
  <c r="H241" i="8" l="1"/>
  <c r="N241" i="8" s="1"/>
  <c r="AG237" i="8"/>
  <c r="BH237" i="8" s="1"/>
  <c r="G242" i="7"/>
  <c r="M242" i="7" s="1"/>
  <c r="M241" i="8"/>
  <c r="X241" i="8" s="1"/>
  <c r="AY241" i="8" s="1"/>
  <c r="U240" i="7"/>
  <c r="AV240" i="7" s="1"/>
  <c r="X240" i="7"/>
  <c r="AY240" i="7" s="1"/>
  <c r="W240" i="7"/>
  <c r="AX240" i="7" s="1"/>
  <c r="S241" i="8"/>
  <c r="AT241" i="8" s="1"/>
  <c r="U241" i="8"/>
  <c r="AV241" i="8" s="1"/>
  <c r="T241" i="8"/>
  <c r="AU241" i="8" s="1"/>
  <c r="G242" i="8"/>
  <c r="M242" i="8" s="1"/>
  <c r="Z239" i="7"/>
  <c r="BA239" i="7" s="1"/>
  <c r="AI240" i="8"/>
  <c r="AC240" i="8"/>
  <c r="BD240" i="8" s="1"/>
  <c r="AD240" i="8"/>
  <c r="BE240" i="8" s="1"/>
  <c r="AB240" i="8"/>
  <c r="BC240" i="8" s="1"/>
  <c r="AN238" i="8"/>
  <c r="BO238" i="8" s="1"/>
  <c r="BL238" i="8"/>
  <c r="BJ239" i="7"/>
  <c r="AL239" i="7"/>
  <c r="BM239" i="7" s="1"/>
  <c r="A246" i="8"/>
  <c r="B245" i="8"/>
  <c r="AH241" i="8"/>
  <c r="O242" i="7"/>
  <c r="L242" i="7"/>
  <c r="AE242" i="7" s="1"/>
  <c r="BF242" i="7" s="1"/>
  <c r="AI240" i="7"/>
  <c r="AC240" i="7"/>
  <c r="BD240" i="7" s="1"/>
  <c r="AD240" i="7"/>
  <c r="BE240" i="7" s="1"/>
  <c r="AB240" i="7"/>
  <c r="M241" i="7"/>
  <c r="H241" i="7"/>
  <c r="N241" i="7" s="1"/>
  <c r="S241" i="7"/>
  <c r="T241" i="7"/>
  <c r="AU241" i="7" s="1"/>
  <c r="K241" i="7"/>
  <c r="AA241" i="7" s="1"/>
  <c r="AP244" i="8"/>
  <c r="C244" i="8"/>
  <c r="O242" i="8"/>
  <c r="L242" i="8"/>
  <c r="AE242" i="8" s="1"/>
  <c r="BF242" i="8" s="1"/>
  <c r="BJ239" i="8"/>
  <c r="AL239" i="8"/>
  <c r="BM239" i="8" s="1"/>
  <c r="Z239" i="8"/>
  <c r="AT240" i="8"/>
  <c r="AR243" i="8"/>
  <c r="BN243" i="8" s="1"/>
  <c r="AQ243" i="8"/>
  <c r="AN238" i="7"/>
  <c r="BO238" i="7" s="1"/>
  <c r="BL238" i="7"/>
  <c r="BB240" i="8"/>
  <c r="AJ239" i="8"/>
  <c r="BK239" i="8" s="1"/>
  <c r="AK239" i="8"/>
  <c r="BI239" i="8"/>
  <c r="AK240" i="7"/>
  <c r="BI240" i="7"/>
  <c r="BC239" i="7"/>
  <c r="AF239" i="7"/>
  <c r="BG239" i="7" s="1"/>
  <c r="BI239" i="7"/>
  <c r="AK239" i="7"/>
  <c r="AJ239" i="7"/>
  <c r="BK239" i="7" s="1"/>
  <c r="BB241" i="8"/>
  <c r="J241" i="8"/>
  <c r="AF239" i="8"/>
  <c r="BG239" i="8" s="1"/>
  <c r="AR245" i="7"/>
  <c r="BN245" i="7" s="1"/>
  <c r="AQ245" i="7"/>
  <c r="BA238" i="8"/>
  <c r="AG238" i="8"/>
  <c r="BH238" i="8" s="1"/>
  <c r="J240" i="8"/>
  <c r="B253" i="9"/>
  <c r="C254" i="9"/>
  <c r="F252" i="9"/>
  <c r="L252" i="9"/>
  <c r="X252" i="9"/>
  <c r="R252" i="9"/>
  <c r="W252" i="9"/>
  <c r="S252" i="9"/>
  <c r="D243" i="7" s="1"/>
  <c r="I243" i="7" s="1"/>
  <c r="M252" i="9"/>
  <c r="G252" i="9"/>
  <c r="Q252" i="9"/>
  <c r="J252" i="9"/>
  <c r="U252" i="9"/>
  <c r="K252" i="9"/>
  <c r="Z252" i="9"/>
  <c r="Y252" i="9"/>
  <c r="D243" i="8" s="1"/>
  <c r="I243" i="8" s="1"/>
  <c r="D252" i="9"/>
  <c r="I252" i="9"/>
  <c r="E243" i="7" s="1"/>
  <c r="E252" i="9"/>
  <c r="V252" i="9"/>
  <c r="P252" i="9"/>
  <c r="T252" i="9"/>
  <c r="N252" i="9"/>
  <c r="O252" i="9"/>
  <c r="E243" i="8" s="1"/>
  <c r="H252" i="9"/>
  <c r="AA252" i="9"/>
  <c r="A248" i="7"/>
  <c r="B247" i="7"/>
  <c r="C246" i="7"/>
  <c r="AP246" i="7"/>
  <c r="AH240" i="8"/>
  <c r="W240" i="8"/>
  <c r="AX240" i="8" s="1"/>
  <c r="X240" i="8"/>
  <c r="AY240" i="8" s="1"/>
  <c r="AG238" i="7"/>
  <c r="BH238" i="7" s="1"/>
  <c r="BA238" i="7"/>
  <c r="K242" i="7" l="1"/>
  <c r="AA242" i="7" s="1"/>
  <c r="W241" i="8"/>
  <c r="AX241" i="8" s="1"/>
  <c r="Z240" i="7"/>
  <c r="BA240" i="7" s="1"/>
  <c r="T242" i="7"/>
  <c r="AU242" i="7" s="1"/>
  <c r="S242" i="7"/>
  <c r="AT242" i="7" s="1"/>
  <c r="H242" i="7"/>
  <c r="N242" i="7" s="1"/>
  <c r="K242" i="8"/>
  <c r="AA242" i="8" s="1"/>
  <c r="BB242" i="8" s="1"/>
  <c r="T242" i="8"/>
  <c r="AU242" i="8" s="1"/>
  <c r="U242" i="8"/>
  <c r="AV242" i="8" s="1"/>
  <c r="S242" i="8"/>
  <c r="AT242" i="8" s="1"/>
  <c r="H242" i="8"/>
  <c r="N242" i="8" s="1"/>
  <c r="AI242" i="8" s="1"/>
  <c r="G243" i="8"/>
  <c r="K243" i="8" s="1"/>
  <c r="AA243" i="8" s="1"/>
  <c r="BB243" i="8" s="1"/>
  <c r="AF240" i="8"/>
  <c r="BG240" i="8" s="1"/>
  <c r="BC240" i="7"/>
  <c r="AF240" i="7"/>
  <c r="B254" i="9"/>
  <c r="C255" i="9"/>
  <c r="AK241" i="8"/>
  <c r="BI241" i="8"/>
  <c r="AH242" i="8"/>
  <c r="W242" i="8"/>
  <c r="AX242" i="8" s="1"/>
  <c r="X242" i="8"/>
  <c r="AY242" i="8" s="1"/>
  <c r="B246" i="8"/>
  <c r="A247" i="8"/>
  <c r="BB241" i="7"/>
  <c r="AG239" i="7"/>
  <c r="BH239" i="7" s="1"/>
  <c r="AN239" i="7"/>
  <c r="BO239" i="7" s="1"/>
  <c r="BL239" i="7"/>
  <c r="AL240" i="7"/>
  <c r="BM240" i="7" s="1"/>
  <c r="BJ240" i="7"/>
  <c r="L243" i="7"/>
  <c r="AE243" i="7" s="1"/>
  <c r="BF243" i="7" s="1"/>
  <c r="O243" i="7"/>
  <c r="AJ240" i="7"/>
  <c r="BK240" i="7" s="1"/>
  <c r="Z240" i="8"/>
  <c r="AT241" i="7"/>
  <c r="AI241" i="8"/>
  <c r="AJ241" i="8" s="1"/>
  <c r="BK241" i="8" s="1"/>
  <c r="AC241" i="8"/>
  <c r="BD241" i="8" s="1"/>
  <c r="AD241" i="8"/>
  <c r="BE241" i="8" s="1"/>
  <c r="AB241" i="8"/>
  <c r="BL240" i="7"/>
  <c r="BB242" i="7"/>
  <c r="X253" i="9"/>
  <c r="L253" i="9"/>
  <c r="F253" i="9"/>
  <c r="R253" i="9"/>
  <c r="P253" i="9"/>
  <c r="O253" i="9"/>
  <c r="E244" i="8" s="1"/>
  <c r="W253" i="9"/>
  <c r="N253" i="9"/>
  <c r="G253" i="9"/>
  <c r="H253" i="9"/>
  <c r="T253" i="9"/>
  <c r="K253" i="9"/>
  <c r="S253" i="9"/>
  <c r="D244" i="7" s="1"/>
  <c r="I244" i="7" s="1"/>
  <c r="E253" i="9"/>
  <c r="AA253" i="9"/>
  <c r="J253" i="9"/>
  <c r="Y253" i="9"/>
  <c r="D244" i="8" s="1"/>
  <c r="I244" i="8" s="1"/>
  <c r="M253" i="9"/>
  <c r="D253" i="9"/>
  <c r="U253" i="9"/>
  <c r="Z253" i="9"/>
  <c r="V253" i="9"/>
  <c r="I253" i="9"/>
  <c r="E244" i="7" s="1"/>
  <c r="Q253" i="9"/>
  <c r="AQ244" i="8"/>
  <c r="AR244" i="8"/>
  <c r="BN244" i="8" s="1"/>
  <c r="G243" i="7"/>
  <c r="AG239" i="8"/>
  <c r="BH239" i="8" s="1"/>
  <c r="BA239" i="8"/>
  <c r="AI241" i="7"/>
  <c r="AC241" i="7"/>
  <c r="BD241" i="7" s="1"/>
  <c r="AD241" i="7"/>
  <c r="BE241" i="7" s="1"/>
  <c r="AB241" i="7"/>
  <c r="BC241" i="7" s="1"/>
  <c r="C245" i="8"/>
  <c r="AP245" i="8"/>
  <c r="AK240" i="8"/>
  <c r="BI240" i="8"/>
  <c r="AJ240" i="8"/>
  <c r="BK240" i="8" s="1"/>
  <c r="AQ246" i="7"/>
  <c r="AR246" i="7"/>
  <c r="BN246" i="7" s="1"/>
  <c r="AP247" i="7"/>
  <c r="C247" i="7"/>
  <c r="BL239" i="8"/>
  <c r="AN239" i="8"/>
  <c r="BO239" i="8" s="1"/>
  <c r="J241" i="7"/>
  <c r="O243" i="8"/>
  <c r="L243" i="8"/>
  <c r="AE243" i="8" s="1"/>
  <c r="BF243" i="8" s="1"/>
  <c r="B248" i="7"/>
  <c r="A249" i="7"/>
  <c r="AH241" i="7"/>
  <c r="W241" i="7"/>
  <c r="AX241" i="7" s="1"/>
  <c r="X241" i="7"/>
  <c r="AY241" i="7" s="1"/>
  <c r="U241" i="7"/>
  <c r="AV241" i="7" s="1"/>
  <c r="AH242" i="7"/>
  <c r="W242" i="7"/>
  <c r="AX242" i="7" s="1"/>
  <c r="X242" i="7"/>
  <c r="AY242" i="7" s="1"/>
  <c r="U242" i="7"/>
  <c r="AV242" i="7" s="1"/>
  <c r="BJ240" i="8"/>
  <c r="AL240" i="8"/>
  <c r="BM240" i="8" s="1"/>
  <c r="Z241" i="8" l="1"/>
  <c r="BA241" i="8" s="1"/>
  <c r="J242" i="7"/>
  <c r="H243" i="8"/>
  <c r="N243" i="8" s="1"/>
  <c r="AB242" i="8"/>
  <c r="BC242" i="8" s="1"/>
  <c r="AD242" i="8"/>
  <c r="BE242" i="8" s="1"/>
  <c r="AC242" i="8"/>
  <c r="BD242" i="8" s="1"/>
  <c r="T243" i="8"/>
  <c r="AU243" i="8" s="1"/>
  <c r="J242" i="8"/>
  <c r="S243" i="8"/>
  <c r="AT243" i="8" s="1"/>
  <c r="M243" i="8"/>
  <c r="AH243" i="8" s="1"/>
  <c r="U243" i="8"/>
  <c r="AV243" i="8" s="1"/>
  <c r="J243" i="8"/>
  <c r="G244" i="8"/>
  <c r="K244" i="8" s="1"/>
  <c r="AA244" i="8" s="1"/>
  <c r="BB244" i="8" s="1"/>
  <c r="Z242" i="7"/>
  <c r="BA242" i="7" s="1"/>
  <c r="BC241" i="8"/>
  <c r="AF241" i="8"/>
  <c r="BG241" i="8" s="1"/>
  <c r="AL241" i="7"/>
  <c r="BM241" i="7" s="1"/>
  <c r="BJ241" i="7"/>
  <c r="BL241" i="8"/>
  <c r="BI242" i="7"/>
  <c r="AK242" i="7"/>
  <c r="AK242" i="8"/>
  <c r="AJ242" i="8"/>
  <c r="BK242" i="8" s="1"/>
  <c r="BI242" i="8"/>
  <c r="C256" i="9"/>
  <c r="B255" i="9"/>
  <c r="AK241" i="7"/>
  <c r="AJ241" i="7"/>
  <c r="BK241" i="7" s="1"/>
  <c r="BI241" i="7"/>
  <c r="B247" i="8"/>
  <c r="A248" i="8"/>
  <c r="L254" i="9"/>
  <c r="F254" i="9"/>
  <c r="X254" i="9"/>
  <c r="R254" i="9"/>
  <c r="AA254" i="9"/>
  <c r="Z254" i="9"/>
  <c r="T254" i="9"/>
  <c r="M254" i="9"/>
  <c r="Y254" i="9"/>
  <c r="D245" i="8" s="1"/>
  <c r="I245" i="8" s="1"/>
  <c r="N254" i="9"/>
  <c r="E254" i="9"/>
  <c r="G254" i="9"/>
  <c r="H254" i="9"/>
  <c r="D254" i="9"/>
  <c r="Q254" i="9"/>
  <c r="J254" i="9"/>
  <c r="O254" i="9"/>
  <c r="E245" i="8" s="1"/>
  <c r="V254" i="9"/>
  <c r="U254" i="9"/>
  <c r="P254" i="9"/>
  <c r="W254" i="9"/>
  <c r="I254" i="9"/>
  <c r="E245" i="7" s="1"/>
  <c r="K254" i="9"/>
  <c r="S254" i="9"/>
  <c r="D245" i="7" s="1"/>
  <c r="I245" i="7" s="1"/>
  <c r="AL241" i="8"/>
  <c r="BM241" i="8" s="1"/>
  <c r="BJ241" i="8"/>
  <c r="AF241" i="7"/>
  <c r="BG241" i="7" s="1"/>
  <c r="Z241" i="7"/>
  <c r="AP246" i="8"/>
  <c r="C246" i="8"/>
  <c r="BG240" i="7"/>
  <c r="AG240" i="7"/>
  <c r="BH240" i="7" s="1"/>
  <c r="BJ242" i="8"/>
  <c r="AL242" i="8"/>
  <c r="BM242" i="8" s="1"/>
  <c r="C248" i="7"/>
  <c r="AP248" i="7"/>
  <c r="Z242" i="8"/>
  <c r="AN240" i="8"/>
  <c r="BO240" i="8" s="1"/>
  <c r="BL240" i="8"/>
  <c r="AR245" i="8"/>
  <c r="BN245" i="8" s="1"/>
  <c r="AQ245" i="8"/>
  <c r="BA240" i="8"/>
  <c r="AG240" i="8"/>
  <c r="BH240" i="8" s="1"/>
  <c r="L244" i="8"/>
  <c r="AE244" i="8" s="1"/>
  <c r="BF244" i="8" s="1"/>
  <c r="O244" i="8"/>
  <c r="G244" i="7"/>
  <c r="K244" i="7" s="1"/>
  <c r="AA244" i="7" s="1"/>
  <c r="AR247" i="7"/>
  <c r="BN247" i="7" s="1"/>
  <c r="AQ247" i="7"/>
  <c r="B249" i="7"/>
  <c r="A250" i="7"/>
  <c r="H243" i="7"/>
  <c r="N243" i="7" s="1"/>
  <c r="M243" i="7"/>
  <c r="S243" i="7"/>
  <c r="T243" i="7"/>
  <c r="AU243" i="7" s="1"/>
  <c r="K243" i="7"/>
  <c r="AA243" i="7" s="1"/>
  <c r="L244" i="7"/>
  <c r="AE244" i="7" s="1"/>
  <c r="BF244" i="7" s="1"/>
  <c r="O244" i="7"/>
  <c r="AI242" i="7"/>
  <c r="AJ242" i="7" s="1"/>
  <c r="BK242" i="7" s="1"/>
  <c r="AC242" i="7"/>
  <c r="BD242" i="7" s="1"/>
  <c r="AD242" i="7"/>
  <c r="BE242" i="7" s="1"/>
  <c r="AB242" i="7"/>
  <c r="AN240" i="7"/>
  <c r="BO240" i="7" s="1"/>
  <c r="AF242" i="8" l="1"/>
  <c r="BG242" i="8" s="1"/>
  <c r="AB243" i="8"/>
  <c r="AC243" i="8"/>
  <c r="BD243" i="8" s="1"/>
  <c r="AD243" i="8"/>
  <c r="BE243" i="8" s="1"/>
  <c r="AI243" i="8"/>
  <c r="AJ243" i="8" s="1"/>
  <c r="BK243" i="8" s="1"/>
  <c r="X243" i="8"/>
  <c r="AY243" i="8" s="1"/>
  <c r="W243" i="8"/>
  <c r="AX243" i="8" s="1"/>
  <c r="AG241" i="8"/>
  <c r="BH241" i="8" s="1"/>
  <c r="H244" i="8"/>
  <c r="N244" i="8" s="1"/>
  <c r="AI244" i="8" s="1"/>
  <c r="M244" i="8"/>
  <c r="AH244" i="8" s="1"/>
  <c r="AN241" i="8"/>
  <c r="BO241" i="8" s="1"/>
  <c r="T244" i="8"/>
  <c r="AU244" i="8" s="1"/>
  <c r="U244" i="8"/>
  <c r="AV244" i="8" s="1"/>
  <c r="S244" i="8"/>
  <c r="AT244" i="8" s="1"/>
  <c r="J243" i="7"/>
  <c r="G245" i="7"/>
  <c r="K245" i="7" s="1"/>
  <c r="AA245" i="7" s="1"/>
  <c r="BB244" i="7"/>
  <c r="L245" i="8"/>
  <c r="AE245" i="8" s="1"/>
  <c r="BF245" i="8" s="1"/>
  <c r="O245" i="8"/>
  <c r="BL242" i="8"/>
  <c r="AN242" i="8"/>
  <c r="BO242" i="8" s="1"/>
  <c r="BB243" i="7"/>
  <c r="B256" i="9"/>
  <c r="C257" i="9"/>
  <c r="BC242" i="7"/>
  <c r="AF242" i="7"/>
  <c r="AG241" i="7"/>
  <c r="BH241" i="7" s="1"/>
  <c r="BA241" i="7"/>
  <c r="BC243" i="8"/>
  <c r="G245" i="8"/>
  <c r="AI243" i="7"/>
  <c r="AC243" i="7"/>
  <c r="BD243" i="7" s="1"/>
  <c r="AD243" i="7"/>
  <c r="BE243" i="7" s="1"/>
  <c r="AB243" i="7"/>
  <c r="BC243" i="7" s="1"/>
  <c r="R255" i="9"/>
  <c r="F255" i="9"/>
  <c r="L255" i="9"/>
  <c r="X255" i="9"/>
  <c r="I255" i="9"/>
  <c r="E246" i="7" s="1"/>
  <c r="V255" i="9"/>
  <c r="Z255" i="9"/>
  <c r="E255" i="9"/>
  <c r="K255" i="9"/>
  <c r="W255" i="9"/>
  <c r="O255" i="9"/>
  <c r="E246" i="8" s="1"/>
  <c r="D255" i="9"/>
  <c r="Q255" i="9"/>
  <c r="U255" i="9"/>
  <c r="T255" i="9"/>
  <c r="N255" i="9"/>
  <c r="H255" i="9"/>
  <c r="Y255" i="9"/>
  <c r="D246" i="8" s="1"/>
  <c r="I246" i="8" s="1"/>
  <c r="AA255" i="9"/>
  <c r="P255" i="9"/>
  <c r="J255" i="9"/>
  <c r="M255" i="9"/>
  <c r="S255" i="9"/>
  <c r="D246" i="7" s="1"/>
  <c r="I246" i="7" s="1"/>
  <c r="G255" i="9"/>
  <c r="AT243" i="7"/>
  <c r="AH243" i="7"/>
  <c r="W243" i="7"/>
  <c r="AX243" i="7" s="1"/>
  <c r="X243" i="7"/>
  <c r="AY243" i="7" s="1"/>
  <c r="U243" i="7"/>
  <c r="AV243" i="7" s="1"/>
  <c r="AR246" i="8"/>
  <c r="BN246" i="8" s="1"/>
  <c r="AQ246" i="8"/>
  <c r="AK243" i="8"/>
  <c r="BI243" i="8"/>
  <c r="BJ242" i="7"/>
  <c r="AL242" i="7"/>
  <c r="BM242" i="7" s="1"/>
  <c r="AN241" i="7"/>
  <c r="BO241" i="7" s="1"/>
  <c r="BL241" i="7"/>
  <c r="AR248" i="7"/>
  <c r="BN248" i="7" s="1"/>
  <c r="AQ248" i="7"/>
  <c r="C249" i="7"/>
  <c r="AP249" i="7"/>
  <c r="O245" i="7"/>
  <c r="L245" i="7"/>
  <c r="AE245" i="7" s="1"/>
  <c r="BF245" i="7" s="1"/>
  <c r="B248" i="8"/>
  <c r="A249" i="8"/>
  <c r="A251" i="7"/>
  <c r="B250" i="7"/>
  <c r="AP247" i="8"/>
  <c r="C247" i="8"/>
  <c r="M244" i="7"/>
  <c r="H244" i="7"/>
  <c r="N244" i="7" s="1"/>
  <c r="T244" i="7"/>
  <c r="AU244" i="7" s="1"/>
  <c r="S244" i="7"/>
  <c r="BA242" i="8"/>
  <c r="BL242" i="7"/>
  <c r="AL243" i="8" l="1"/>
  <c r="BM243" i="8" s="1"/>
  <c r="BJ243" i="8"/>
  <c r="AF243" i="8"/>
  <c r="BG243" i="8" s="1"/>
  <c r="AG242" i="8"/>
  <c r="BH242" i="8" s="1"/>
  <c r="X244" i="8"/>
  <c r="AY244" i="8" s="1"/>
  <c r="W244" i="8"/>
  <c r="AX244" i="8" s="1"/>
  <c r="AD244" i="8"/>
  <c r="BE244" i="8" s="1"/>
  <c r="AC244" i="8"/>
  <c r="BD244" i="8" s="1"/>
  <c r="AB244" i="8"/>
  <c r="BC244" i="8" s="1"/>
  <c r="J244" i="8"/>
  <c r="Z243" i="8"/>
  <c r="BA243" i="8" s="1"/>
  <c r="S245" i="7"/>
  <c r="AT245" i="7" s="1"/>
  <c r="H245" i="7"/>
  <c r="N245" i="7" s="1"/>
  <c r="AB245" i="7" s="1"/>
  <c r="BC245" i="7" s="1"/>
  <c r="M245" i="7"/>
  <c r="U245" i="7" s="1"/>
  <c r="AV245" i="7" s="1"/>
  <c r="T245" i="7"/>
  <c r="AU245" i="7" s="1"/>
  <c r="G246" i="8"/>
  <c r="M246" i="8" s="1"/>
  <c r="Z243" i="7"/>
  <c r="BA243" i="7" s="1"/>
  <c r="J244" i="7"/>
  <c r="C248" i="8"/>
  <c r="AP248" i="8"/>
  <c r="B257" i="9"/>
  <c r="C258" i="9"/>
  <c r="AQ247" i="8"/>
  <c r="AR247" i="8"/>
  <c r="BN247" i="8" s="1"/>
  <c r="AQ249" i="7"/>
  <c r="AR249" i="7"/>
  <c r="BN249" i="7" s="1"/>
  <c r="AF243" i="7"/>
  <c r="BG243" i="7" s="1"/>
  <c r="AN242" i="7"/>
  <c r="BO242" i="7" s="1"/>
  <c r="X256" i="9"/>
  <c r="R256" i="9"/>
  <c r="L256" i="9"/>
  <c r="F256" i="9"/>
  <c r="Z256" i="9"/>
  <c r="W256" i="9"/>
  <c r="V256" i="9"/>
  <c r="P256" i="9"/>
  <c r="Q256" i="9"/>
  <c r="AA256" i="9"/>
  <c r="S256" i="9"/>
  <c r="D247" i="7" s="1"/>
  <c r="I247" i="7" s="1"/>
  <c r="J256" i="9"/>
  <c r="O256" i="9"/>
  <c r="E247" i="8" s="1"/>
  <c r="I256" i="9"/>
  <c r="E247" i="7" s="1"/>
  <c r="N256" i="9"/>
  <c r="D256" i="9"/>
  <c r="E256" i="9"/>
  <c r="U256" i="9"/>
  <c r="M256" i="9"/>
  <c r="Y256" i="9"/>
  <c r="D247" i="8" s="1"/>
  <c r="I247" i="8" s="1"/>
  <c r="G256" i="9"/>
  <c r="T256" i="9"/>
  <c r="K256" i="9"/>
  <c r="H256" i="9"/>
  <c r="AL243" i="7"/>
  <c r="BM243" i="7" s="1"/>
  <c r="BJ243" i="7"/>
  <c r="BJ244" i="8"/>
  <c r="AL244" i="8"/>
  <c r="BM244" i="8" s="1"/>
  <c r="H245" i="8"/>
  <c r="N245" i="8" s="1"/>
  <c r="M245" i="8"/>
  <c r="S245" i="8"/>
  <c r="U245" i="8"/>
  <c r="AV245" i="8" s="1"/>
  <c r="T245" i="8"/>
  <c r="AU245" i="8" s="1"/>
  <c r="K245" i="8"/>
  <c r="AA245" i="8" s="1"/>
  <c r="AK243" i="7"/>
  <c r="AJ243" i="7"/>
  <c r="BK243" i="7" s="1"/>
  <c r="BI243" i="7"/>
  <c r="AH244" i="7"/>
  <c r="W244" i="7"/>
  <c r="AX244" i="7" s="1"/>
  <c r="X244" i="7"/>
  <c r="AY244" i="7" s="1"/>
  <c r="U244" i="7"/>
  <c r="AV244" i="7" s="1"/>
  <c r="BI244" i="8"/>
  <c r="AK244" i="8"/>
  <c r="AJ244" i="8"/>
  <c r="BK244" i="8" s="1"/>
  <c r="AT244" i="7"/>
  <c r="B251" i="7"/>
  <c r="A252" i="7"/>
  <c r="O246" i="8"/>
  <c r="L246" i="8"/>
  <c r="AE246" i="8" s="1"/>
  <c r="BF246" i="8" s="1"/>
  <c r="A250" i="8"/>
  <c r="B249" i="8"/>
  <c r="BG242" i="7"/>
  <c r="AG242" i="7"/>
  <c r="BH242" i="7" s="1"/>
  <c r="O246" i="7"/>
  <c r="L246" i="7"/>
  <c r="AE246" i="7" s="1"/>
  <c r="BF246" i="7" s="1"/>
  <c r="BB245" i="7"/>
  <c r="G246" i="7"/>
  <c r="BL243" i="8"/>
  <c r="AN243" i="8"/>
  <c r="BO243" i="8" s="1"/>
  <c r="AP250" i="7"/>
  <c r="C250" i="7"/>
  <c r="AI244" i="7"/>
  <c r="AC244" i="7"/>
  <c r="BD244" i="7" s="1"/>
  <c r="AD244" i="7"/>
  <c r="BE244" i="7" s="1"/>
  <c r="AB244" i="7"/>
  <c r="AF244" i="8" l="1"/>
  <c r="BG244" i="8" s="1"/>
  <c r="Z244" i="8"/>
  <c r="BA244" i="8" s="1"/>
  <c r="K246" i="8"/>
  <c r="AA246" i="8" s="1"/>
  <c r="BB246" i="8" s="1"/>
  <c r="J245" i="7"/>
  <c r="AG243" i="8"/>
  <c r="BH243" i="8" s="1"/>
  <c r="X245" i="7"/>
  <c r="AY245" i="7" s="1"/>
  <c r="W245" i="7"/>
  <c r="AX245" i="7" s="1"/>
  <c r="AH245" i="7"/>
  <c r="BI245" i="7" s="1"/>
  <c r="AI245" i="7"/>
  <c r="BJ245" i="7" s="1"/>
  <c r="T246" i="8"/>
  <c r="AU246" i="8" s="1"/>
  <c r="U246" i="8"/>
  <c r="AV246" i="8" s="1"/>
  <c r="S246" i="8"/>
  <c r="AT246" i="8" s="1"/>
  <c r="H246" i="8"/>
  <c r="J246" i="8" s="1"/>
  <c r="AD245" i="7"/>
  <c r="BE245" i="7" s="1"/>
  <c r="AC245" i="7"/>
  <c r="BD245" i="7" s="1"/>
  <c r="G247" i="7"/>
  <c r="S247" i="7" s="1"/>
  <c r="J245" i="8"/>
  <c r="AK244" i="7"/>
  <c r="BI244" i="7"/>
  <c r="AJ244" i="7"/>
  <c r="BK244" i="7" s="1"/>
  <c r="AH246" i="8"/>
  <c r="W246" i="8"/>
  <c r="AX246" i="8" s="1"/>
  <c r="X246" i="8"/>
  <c r="AY246" i="8" s="1"/>
  <c r="AR250" i="7"/>
  <c r="BN250" i="7" s="1"/>
  <c r="AQ250" i="7"/>
  <c r="L247" i="8"/>
  <c r="AE247" i="8" s="1"/>
  <c r="BF247" i="8" s="1"/>
  <c r="O247" i="8"/>
  <c r="AI245" i="8"/>
  <c r="AC245" i="8"/>
  <c r="BD245" i="8" s="1"/>
  <c r="AD245" i="8"/>
  <c r="BE245" i="8" s="1"/>
  <c r="AB245" i="8"/>
  <c r="BC245" i="8" s="1"/>
  <c r="B258" i="9"/>
  <c r="C259" i="9"/>
  <c r="H246" i="7"/>
  <c r="N246" i="7" s="1"/>
  <c r="M246" i="7"/>
  <c r="S246" i="7"/>
  <c r="T246" i="7"/>
  <c r="AU246" i="7" s="1"/>
  <c r="K246" i="7"/>
  <c r="AA246" i="7" s="1"/>
  <c r="AN244" i="8"/>
  <c r="BO244" i="8" s="1"/>
  <c r="BL244" i="8"/>
  <c r="G247" i="8"/>
  <c r="X257" i="9"/>
  <c r="L257" i="9"/>
  <c r="F257" i="9"/>
  <c r="R257" i="9"/>
  <c r="D257" i="9"/>
  <c r="K257" i="9"/>
  <c r="W257" i="9"/>
  <c r="M257" i="9"/>
  <c r="AA257" i="9"/>
  <c r="O257" i="9"/>
  <c r="E248" i="8" s="1"/>
  <c r="P257" i="9"/>
  <c r="Z257" i="9"/>
  <c r="V257" i="9"/>
  <c r="U257" i="9"/>
  <c r="H257" i="9"/>
  <c r="E257" i="9"/>
  <c r="G257" i="9"/>
  <c r="S257" i="9"/>
  <c r="D248" i="7" s="1"/>
  <c r="I248" i="7" s="1"/>
  <c r="I257" i="9"/>
  <c r="E248" i="7" s="1"/>
  <c r="Y257" i="9"/>
  <c r="D248" i="8" s="1"/>
  <c r="I248" i="8" s="1"/>
  <c r="Q257" i="9"/>
  <c r="T257" i="9"/>
  <c r="J257" i="9"/>
  <c r="N257" i="9"/>
  <c r="AH245" i="8"/>
  <c r="W245" i="8"/>
  <c r="AX245" i="8" s="1"/>
  <c r="X245" i="8"/>
  <c r="AY245" i="8" s="1"/>
  <c r="B252" i="7"/>
  <c r="A253" i="7"/>
  <c r="BC244" i="7"/>
  <c r="AF244" i="7"/>
  <c r="BG244" i="7" s="1"/>
  <c r="Z244" i="7"/>
  <c r="AP249" i="8"/>
  <c r="C249" i="8"/>
  <c r="AR248" i="8"/>
  <c r="BN248" i="8" s="1"/>
  <c r="AQ248" i="8"/>
  <c r="C251" i="7"/>
  <c r="AP251" i="7"/>
  <c r="BL243" i="7"/>
  <c r="AN243" i="7"/>
  <c r="BO243" i="7" s="1"/>
  <c r="AL244" i="7"/>
  <c r="BM244" i="7" s="1"/>
  <c r="BJ244" i="7"/>
  <c r="BB245" i="8"/>
  <c r="AG243" i="7"/>
  <c r="BH243" i="7" s="1"/>
  <c r="A251" i="8"/>
  <c r="B250" i="8"/>
  <c r="AT245" i="8"/>
  <c r="L247" i="7"/>
  <c r="AE247" i="7" s="1"/>
  <c r="BF247" i="7" s="1"/>
  <c r="O247" i="7"/>
  <c r="AG244" i="8" l="1"/>
  <c r="BH244" i="8" s="1"/>
  <c r="Z245" i="7"/>
  <c r="AK245" i="7"/>
  <c r="N246" i="8"/>
  <c r="AI246" i="8" s="1"/>
  <c r="AJ246" i="8" s="1"/>
  <c r="BK246" i="8" s="1"/>
  <c r="AL245" i="7"/>
  <c r="BM245" i="7" s="1"/>
  <c r="AJ245" i="7"/>
  <c r="BK245" i="7" s="1"/>
  <c r="T247" i="7"/>
  <c r="AU247" i="7" s="1"/>
  <c r="H247" i="7"/>
  <c r="N247" i="7" s="1"/>
  <c r="M247" i="7"/>
  <c r="AH247" i="7" s="1"/>
  <c r="AF245" i="7"/>
  <c r="BG245" i="7" s="1"/>
  <c r="K247" i="7"/>
  <c r="AA247" i="7" s="1"/>
  <c r="BB247" i="7" s="1"/>
  <c r="AB246" i="8"/>
  <c r="BC246" i="8" s="1"/>
  <c r="G248" i="8"/>
  <c r="S248" i="8" s="1"/>
  <c r="G248" i="7"/>
  <c r="K248" i="7" s="1"/>
  <c r="AA248" i="7" s="1"/>
  <c r="BB248" i="7" s="1"/>
  <c r="Z246" i="8"/>
  <c r="BA246" i="8" s="1"/>
  <c r="Z245" i="8"/>
  <c r="BA245" i="8" s="1"/>
  <c r="BJ245" i="8"/>
  <c r="AL245" i="8"/>
  <c r="BM245" i="8" s="1"/>
  <c r="C260" i="9"/>
  <c r="B259" i="9"/>
  <c r="R258" i="9"/>
  <c r="L258" i="9"/>
  <c r="X258" i="9"/>
  <c r="F258" i="9"/>
  <c r="I258" i="9"/>
  <c r="E249" i="7" s="1"/>
  <c r="N258" i="9"/>
  <c r="M258" i="9"/>
  <c r="D258" i="9"/>
  <c r="T258" i="9"/>
  <c r="Z258" i="9"/>
  <c r="S258" i="9"/>
  <c r="D249" i="7" s="1"/>
  <c r="I249" i="7" s="1"/>
  <c r="J258" i="9"/>
  <c r="P258" i="9"/>
  <c r="Y258" i="9"/>
  <c r="D249" i="8" s="1"/>
  <c r="I249" i="8" s="1"/>
  <c r="O258" i="9"/>
  <c r="E249" i="8" s="1"/>
  <c r="H258" i="9"/>
  <c r="V258" i="9"/>
  <c r="K258" i="9"/>
  <c r="Q258" i="9"/>
  <c r="U258" i="9"/>
  <c r="W258" i="9"/>
  <c r="E258" i="9"/>
  <c r="AA258" i="9"/>
  <c r="G258" i="9"/>
  <c r="B251" i="8"/>
  <c r="A252" i="8"/>
  <c r="AN244" i="7"/>
  <c r="BO244" i="7" s="1"/>
  <c r="BL244" i="7"/>
  <c r="M247" i="8"/>
  <c r="H247" i="8"/>
  <c r="N247" i="8" s="1"/>
  <c r="S247" i="8"/>
  <c r="T247" i="8"/>
  <c r="AU247" i="8" s="1"/>
  <c r="U247" i="8"/>
  <c r="AV247" i="8" s="1"/>
  <c r="K247" i="8"/>
  <c r="AA247" i="8" s="1"/>
  <c r="AT247" i="7"/>
  <c r="AP250" i="8"/>
  <c r="C250" i="8"/>
  <c r="AF245" i="8"/>
  <c r="BG245" i="8" s="1"/>
  <c r="AG244" i="7"/>
  <c r="BH244" i="7" s="1"/>
  <c r="BA244" i="7"/>
  <c r="BB246" i="7"/>
  <c r="AK245" i="8"/>
  <c r="AJ245" i="8"/>
  <c r="BK245" i="8" s="1"/>
  <c r="BI245" i="8"/>
  <c r="O248" i="8"/>
  <c r="L248" i="8"/>
  <c r="AE248" i="8" s="1"/>
  <c r="BF248" i="8" s="1"/>
  <c r="AI246" i="7"/>
  <c r="AC246" i="7"/>
  <c r="BD246" i="7" s="1"/>
  <c r="AD246" i="7"/>
  <c r="BE246" i="7" s="1"/>
  <c r="AB246" i="7"/>
  <c r="BC246" i="7" s="1"/>
  <c r="AT246" i="7"/>
  <c r="AK246" i="8"/>
  <c r="BI246" i="8"/>
  <c r="AH246" i="7"/>
  <c r="W246" i="7"/>
  <c r="AX246" i="7" s="1"/>
  <c r="X246" i="7"/>
  <c r="AY246" i="7" s="1"/>
  <c r="U246" i="7"/>
  <c r="AV246" i="7" s="1"/>
  <c r="AR249" i="8"/>
  <c r="BN249" i="8" s="1"/>
  <c r="AQ249" i="8"/>
  <c r="A254" i="7"/>
  <c r="B253" i="7"/>
  <c r="AR251" i="7"/>
  <c r="BN251" i="7" s="1"/>
  <c r="AQ251" i="7"/>
  <c r="C252" i="7"/>
  <c r="AP252" i="7"/>
  <c r="O248" i="7"/>
  <c r="L248" i="7"/>
  <c r="AE248" i="7" s="1"/>
  <c r="BF248" i="7" s="1"/>
  <c r="J246" i="7"/>
  <c r="BA245" i="7"/>
  <c r="AD246" i="8" l="1"/>
  <c r="BE246" i="8" s="1"/>
  <c r="BJ246" i="8"/>
  <c r="AL246" i="8"/>
  <c r="BM246" i="8" s="1"/>
  <c r="AN245" i="7"/>
  <c r="BO245" i="7" s="1"/>
  <c r="BL245" i="7"/>
  <c r="J247" i="7"/>
  <c r="AC246" i="8"/>
  <c r="BD246" i="8" s="1"/>
  <c r="U247" i="7"/>
  <c r="AV247" i="7" s="1"/>
  <c r="X247" i="7"/>
  <c r="AY247" i="7" s="1"/>
  <c r="W247" i="7"/>
  <c r="AX247" i="7" s="1"/>
  <c r="K248" i="8"/>
  <c r="AA248" i="8" s="1"/>
  <c r="BB248" i="8" s="1"/>
  <c r="AG245" i="7"/>
  <c r="BH245" i="7" s="1"/>
  <c r="M248" i="8"/>
  <c r="AH248" i="8" s="1"/>
  <c r="H248" i="8"/>
  <c r="N248" i="8" s="1"/>
  <c r="AB248" i="8" s="1"/>
  <c r="BC248" i="8" s="1"/>
  <c r="T248" i="7"/>
  <c r="AU248" i="7" s="1"/>
  <c r="S248" i="7"/>
  <c r="AT248" i="7" s="1"/>
  <c r="M248" i="7"/>
  <c r="U248" i="7" s="1"/>
  <c r="AV248" i="7" s="1"/>
  <c r="T248" i="8"/>
  <c r="AU248" i="8" s="1"/>
  <c r="H248" i="7"/>
  <c r="N248" i="7" s="1"/>
  <c r="AI248" i="7" s="1"/>
  <c r="U248" i="8"/>
  <c r="AV248" i="8" s="1"/>
  <c r="AF246" i="7"/>
  <c r="BG246" i="7" s="1"/>
  <c r="G249" i="8"/>
  <c r="K249" i="8" s="1"/>
  <c r="AA249" i="8" s="1"/>
  <c r="BB249" i="8" s="1"/>
  <c r="AQ250" i="8"/>
  <c r="AR250" i="8"/>
  <c r="BN250" i="8" s="1"/>
  <c r="BB247" i="8"/>
  <c r="AI247" i="7"/>
  <c r="AC247" i="7"/>
  <c r="BD247" i="7" s="1"/>
  <c r="AD247" i="7"/>
  <c r="BE247" i="7" s="1"/>
  <c r="AB247" i="7"/>
  <c r="A253" i="8"/>
  <c r="B252" i="8"/>
  <c r="O249" i="7"/>
  <c r="L249" i="7"/>
  <c r="AE249" i="7" s="1"/>
  <c r="BF249" i="7" s="1"/>
  <c r="C261" i="9"/>
  <c r="B260" i="9"/>
  <c r="AQ252" i="7"/>
  <c r="AR252" i="7"/>
  <c r="BN252" i="7" s="1"/>
  <c r="Z246" i="7"/>
  <c r="O249" i="8"/>
  <c r="L249" i="8"/>
  <c r="AE249" i="8" s="1"/>
  <c r="BF249" i="8" s="1"/>
  <c r="AN246" i="8"/>
  <c r="BO246" i="8" s="1"/>
  <c r="BL246" i="8"/>
  <c r="AP253" i="7"/>
  <c r="C253" i="7"/>
  <c r="AI247" i="8"/>
  <c r="AC247" i="8"/>
  <c r="BD247" i="8" s="1"/>
  <c r="AD247" i="8"/>
  <c r="BE247" i="8" s="1"/>
  <c r="AB247" i="8"/>
  <c r="BC247" i="8" s="1"/>
  <c r="C251" i="8"/>
  <c r="AP251" i="8"/>
  <c r="AL246" i="7"/>
  <c r="BM246" i="7" s="1"/>
  <c r="BJ246" i="7"/>
  <c r="AT247" i="8"/>
  <c r="AT248" i="8"/>
  <c r="AK247" i="7"/>
  <c r="BI247" i="7"/>
  <c r="J247" i="8"/>
  <c r="AK246" i="7"/>
  <c r="AJ246" i="7"/>
  <c r="BK246" i="7" s="1"/>
  <c r="BI246" i="7"/>
  <c r="R259" i="9"/>
  <c r="F259" i="9"/>
  <c r="X259" i="9"/>
  <c r="L259" i="9"/>
  <c r="N259" i="9"/>
  <c r="D259" i="9"/>
  <c r="O259" i="9"/>
  <c r="E250" i="8" s="1"/>
  <c r="K259" i="9"/>
  <c r="Y259" i="9"/>
  <c r="D250" i="8" s="1"/>
  <c r="I250" i="8" s="1"/>
  <c r="G259" i="9"/>
  <c r="Z259" i="9"/>
  <c r="U259" i="9"/>
  <c r="S259" i="9"/>
  <c r="D250" i="7" s="1"/>
  <c r="I250" i="7" s="1"/>
  <c r="P259" i="9"/>
  <c r="I259" i="9"/>
  <c r="E250" i="7" s="1"/>
  <c r="J259" i="9"/>
  <c r="W259" i="9"/>
  <c r="AA259" i="9"/>
  <c r="E259" i="9"/>
  <c r="Q259" i="9"/>
  <c r="M259" i="9"/>
  <c r="V259" i="9"/>
  <c r="H259" i="9"/>
  <c r="T259" i="9"/>
  <c r="B254" i="7"/>
  <c r="A255" i="7"/>
  <c r="AN245" i="8"/>
  <c r="BO245" i="8" s="1"/>
  <c r="BL245" i="8"/>
  <c r="AH247" i="8"/>
  <c r="W247" i="8"/>
  <c r="AX247" i="8" s="1"/>
  <c r="X247" i="8"/>
  <c r="AY247" i="8" s="1"/>
  <c r="G249" i="7"/>
  <c r="AG245" i="8"/>
  <c r="BH245" i="8" s="1"/>
  <c r="Z247" i="7" l="1"/>
  <c r="BA247" i="7" s="1"/>
  <c r="AF246" i="8"/>
  <c r="W248" i="7"/>
  <c r="AX248" i="7" s="1"/>
  <c r="X248" i="8"/>
  <c r="AY248" i="8" s="1"/>
  <c r="W248" i="8"/>
  <c r="AX248" i="8" s="1"/>
  <c r="AH248" i="7"/>
  <c r="BI248" i="7" s="1"/>
  <c r="X248" i="7"/>
  <c r="AY248" i="7" s="1"/>
  <c r="U249" i="8"/>
  <c r="AV249" i="8" s="1"/>
  <c r="J248" i="8"/>
  <c r="S249" i="8"/>
  <c r="AT249" i="8" s="1"/>
  <c r="M249" i="8"/>
  <c r="X249" i="8" s="1"/>
  <c r="AY249" i="8" s="1"/>
  <c r="H249" i="8"/>
  <c r="N249" i="8" s="1"/>
  <c r="AC249" i="8" s="1"/>
  <c r="BD249" i="8" s="1"/>
  <c r="AB248" i="7"/>
  <c r="BC248" i="7" s="1"/>
  <c r="AD248" i="7"/>
  <c r="BE248" i="7" s="1"/>
  <c r="AC248" i="7"/>
  <c r="BD248" i="7" s="1"/>
  <c r="J248" i="7"/>
  <c r="AD248" i="8"/>
  <c r="BE248" i="8" s="1"/>
  <c r="AC248" i="8"/>
  <c r="BD248" i="8" s="1"/>
  <c r="T249" i="8"/>
  <c r="AU249" i="8" s="1"/>
  <c r="AI248" i="8"/>
  <c r="AL248" i="8" s="1"/>
  <c r="BM248" i="8" s="1"/>
  <c r="G250" i="7"/>
  <c r="M250" i="7" s="1"/>
  <c r="C252" i="8"/>
  <c r="AP252" i="8"/>
  <c r="BC247" i="7"/>
  <c r="AF247" i="7"/>
  <c r="H249" i="7"/>
  <c r="N249" i="7" s="1"/>
  <c r="M249" i="7"/>
  <c r="T249" i="7"/>
  <c r="AU249" i="7" s="1"/>
  <c r="S249" i="7"/>
  <c r="K249" i="7"/>
  <c r="AA249" i="7" s="1"/>
  <c r="BA246" i="7"/>
  <c r="AG246" i="7"/>
  <c r="BH246" i="7" s="1"/>
  <c r="B253" i="8"/>
  <c r="A254" i="8"/>
  <c r="AR253" i="7"/>
  <c r="BN253" i="7" s="1"/>
  <c r="AQ253" i="7"/>
  <c r="AL247" i="7"/>
  <c r="BM247" i="7" s="1"/>
  <c r="BJ247" i="7"/>
  <c r="BI248" i="8"/>
  <c r="AK248" i="8"/>
  <c r="AR251" i="8"/>
  <c r="BN251" i="8" s="1"/>
  <c r="AQ251" i="8"/>
  <c r="AF247" i="8"/>
  <c r="BG247" i="8" s="1"/>
  <c r="BJ248" i="7"/>
  <c r="AL248" i="7"/>
  <c r="BM248" i="7" s="1"/>
  <c r="Z247" i="8"/>
  <c r="G250" i="8"/>
  <c r="AJ247" i="7"/>
  <c r="BK247" i="7" s="1"/>
  <c r="L260" i="9"/>
  <c r="F260" i="9"/>
  <c r="X260" i="9"/>
  <c r="R260" i="9"/>
  <c r="Z260" i="9"/>
  <c r="M260" i="9"/>
  <c r="Q260" i="9"/>
  <c r="S260" i="9"/>
  <c r="D251" i="7" s="1"/>
  <c r="I251" i="7" s="1"/>
  <c r="K260" i="9"/>
  <c r="I260" i="9"/>
  <c r="E251" i="7" s="1"/>
  <c r="H260" i="9"/>
  <c r="V260" i="9"/>
  <c r="Y260" i="9"/>
  <c r="D251" i="8" s="1"/>
  <c r="I251" i="8" s="1"/>
  <c r="D260" i="9"/>
  <c r="T260" i="9"/>
  <c r="O260" i="9"/>
  <c r="E251" i="8" s="1"/>
  <c r="N260" i="9"/>
  <c r="U260" i="9"/>
  <c r="W260" i="9"/>
  <c r="AA260" i="9"/>
  <c r="G260" i="9"/>
  <c r="J260" i="9"/>
  <c r="P260" i="9"/>
  <c r="E260" i="9"/>
  <c r="BL247" i="7"/>
  <c r="B261" i="9"/>
  <c r="C262" i="9"/>
  <c r="BL246" i="7"/>
  <c r="AN246" i="7"/>
  <c r="BO246" i="7" s="1"/>
  <c r="L250" i="7"/>
  <c r="AE250" i="7" s="1"/>
  <c r="BF250" i="7" s="1"/>
  <c r="O250" i="7"/>
  <c r="L250" i="8"/>
  <c r="AE250" i="8" s="1"/>
  <c r="BF250" i="8" s="1"/>
  <c r="O250" i="8"/>
  <c r="BI247" i="8"/>
  <c r="AK247" i="8"/>
  <c r="AJ247" i="8"/>
  <c r="BK247" i="8" s="1"/>
  <c r="B255" i="7"/>
  <c r="A256" i="7"/>
  <c r="C254" i="7"/>
  <c r="AP254" i="7"/>
  <c r="AL247" i="8"/>
  <c r="BM247" i="8" s="1"/>
  <c r="BJ247" i="8"/>
  <c r="Z248" i="8" l="1"/>
  <c r="BA248" i="8" s="1"/>
  <c r="AJ248" i="7"/>
  <c r="BK248" i="7" s="1"/>
  <c r="Z248" i="7"/>
  <c r="BA248" i="7" s="1"/>
  <c r="BG246" i="8"/>
  <c r="AG246" i="8"/>
  <c r="BH246" i="8" s="1"/>
  <c r="AK248" i="7"/>
  <c r="BL248" i="7" s="1"/>
  <c r="AI249" i="8"/>
  <c r="AL249" i="8" s="1"/>
  <c r="BM249" i="8" s="1"/>
  <c r="W249" i="8"/>
  <c r="AX249" i="8" s="1"/>
  <c r="AB249" i="8"/>
  <c r="BC249" i="8" s="1"/>
  <c r="AH249" i="8"/>
  <c r="AK249" i="8" s="1"/>
  <c r="AD249" i="8"/>
  <c r="BE249" i="8" s="1"/>
  <c r="J249" i="7"/>
  <c r="AF248" i="7"/>
  <c r="BG248" i="7" s="1"/>
  <c r="T250" i="7"/>
  <c r="AU250" i="7" s="1"/>
  <c r="J249" i="8"/>
  <c r="H250" i="7"/>
  <c r="N250" i="7" s="1"/>
  <c r="AF248" i="8"/>
  <c r="BG248" i="8" s="1"/>
  <c r="AJ248" i="8"/>
  <c r="BK248" i="8" s="1"/>
  <c r="BJ248" i="8"/>
  <c r="S250" i="7"/>
  <c r="K250" i="7"/>
  <c r="AA250" i="7" s="1"/>
  <c r="BB250" i="7" s="1"/>
  <c r="G251" i="7"/>
  <c r="K251" i="7" s="1"/>
  <c r="AA251" i="7" s="1"/>
  <c r="BB251" i="7" s="1"/>
  <c r="X261" i="9"/>
  <c r="L261" i="9"/>
  <c r="R261" i="9"/>
  <c r="F261" i="9"/>
  <c r="N261" i="9"/>
  <c r="D261" i="9"/>
  <c r="W261" i="9"/>
  <c r="E261" i="9"/>
  <c r="P261" i="9"/>
  <c r="H261" i="9"/>
  <c r="K261" i="9"/>
  <c r="J261" i="9"/>
  <c r="Y261" i="9"/>
  <c r="D252" i="8" s="1"/>
  <c r="I252" i="8" s="1"/>
  <c r="Q261" i="9"/>
  <c r="I261" i="9"/>
  <c r="E252" i="7" s="1"/>
  <c r="Z261" i="9"/>
  <c r="G261" i="9"/>
  <c r="T261" i="9"/>
  <c r="V261" i="9"/>
  <c r="S261" i="9"/>
  <c r="D252" i="7" s="1"/>
  <c r="I252" i="7" s="1"/>
  <c r="AA261" i="9"/>
  <c r="U261" i="9"/>
  <c r="O261" i="9"/>
  <c r="E252" i="8" s="1"/>
  <c r="M261" i="9"/>
  <c r="AH249" i="7"/>
  <c r="W249" i="7"/>
  <c r="AX249" i="7" s="1"/>
  <c r="X249" i="7"/>
  <c r="AY249" i="7" s="1"/>
  <c r="U249" i="7"/>
  <c r="AV249" i="7" s="1"/>
  <c r="O251" i="8"/>
  <c r="L251" i="8"/>
  <c r="AE251" i="8" s="1"/>
  <c r="BF251" i="8" s="1"/>
  <c r="AI249" i="7"/>
  <c r="AC249" i="7"/>
  <c r="BD249" i="7" s="1"/>
  <c r="AD249" i="7"/>
  <c r="BE249" i="7" s="1"/>
  <c r="AB249" i="7"/>
  <c r="BC249" i="7" s="1"/>
  <c r="C263" i="9"/>
  <c r="B262" i="9"/>
  <c r="M250" i="8"/>
  <c r="H250" i="8"/>
  <c r="N250" i="8" s="1"/>
  <c r="S250" i="8"/>
  <c r="U250" i="8"/>
  <c r="AV250" i="8" s="1"/>
  <c r="T250" i="8"/>
  <c r="AU250" i="8" s="1"/>
  <c r="K250" i="8"/>
  <c r="AA250" i="8" s="1"/>
  <c r="BA247" i="8"/>
  <c r="AG247" i="8"/>
  <c r="BH247" i="8" s="1"/>
  <c r="O251" i="7"/>
  <c r="L251" i="7"/>
  <c r="AE251" i="7" s="1"/>
  <c r="BF251" i="7" s="1"/>
  <c r="B254" i="8"/>
  <c r="A255" i="8"/>
  <c r="AP253" i="8"/>
  <c r="C253" i="8"/>
  <c r="BG247" i="7"/>
  <c r="AG247" i="7"/>
  <c r="BH247" i="7" s="1"/>
  <c r="A257" i="7"/>
  <c r="B256" i="7"/>
  <c r="AR254" i="7"/>
  <c r="BN254" i="7" s="1"/>
  <c r="AQ254" i="7"/>
  <c r="C255" i="7"/>
  <c r="AP255" i="7"/>
  <c r="AH250" i="7"/>
  <c r="W250" i="7"/>
  <c r="AX250" i="7" s="1"/>
  <c r="X250" i="7"/>
  <c r="AY250" i="7" s="1"/>
  <c r="U250" i="7"/>
  <c r="AV250" i="7" s="1"/>
  <c r="AQ252" i="8"/>
  <c r="AR252" i="8"/>
  <c r="BN252" i="8" s="1"/>
  <c r="AN247" i="8"/>
  <c r="BO247" i="8" s="1"/>
  <c r="BL247" i="8"/>
  <c r="G251" i="8"/>
  <c r="K251" i="8" s="1"/>
  <c r="AA251" i="8" s="1"/>
  <c r="AN248" i="8"/>
  <c r="BO248" i="8" s="1"/>
  <c r="BL248" i="8"/>
  <c r="BB249" i="7"/>
  <c r="AN247" i="7"/>
  <c r="BO247" i="7" s="1"/>
  <c r="AT249" i="7"/>
  <c r="BJ249" i="8" l="1"/>
  <c r="AN248" i="7"/>
  <c r="BO248" i="7" s="1"/>
  <c r="Z249" i="8"/>
  <c r="BA249" i="8" s="1"/>
  <c r="BI249" i="8"/>
  <c r="AJ249" i="8"/>
  <c r="BK249" i="8" s="1"/>
  <c r="AF249" i="8"/>
  <c r="BG249" i="8" s="1"/>
  <c r="J250" i="7"/>
  <c r="AG248" i="8"/>
  <c r="BH248" i="8" s="1"/>
  <c r="AG248" i="7"/>
  <c r="BH248" i="7" s="1"/>
  <c r="Z250" i="7"/>
  <c r="BA250" i="7" s="1"/>
  <c r="S251" i="7"/>
  <c r="AT251" i="7" s="1"/>
  <c r="H251" i="7"/>
  <c r="N251" i="7" s="1"/>
  <c r="AI251" i="7" s="1"/>
  <c r="M251" i="7"/>
  <c r="X251" i="7" s="1"/>
  <c r="AY251" i="7" s="1"/>
  <c r="T251" i="7"/>
  <c r="AU251" i="7" s="1"/>
  <c r="AT250" i="7"/>
  <c r="Z249" i="7"/>
  <c r="BA249" i="7" s="1"/>
  <c r="J250" i="8"/>
  <c r="AF249" i="7"/>
  <c r="BG249" i="7" s="1"/>
  <c r="BB251" i="8"/>
  <c r="AH250" i="8"/>
  <c r="W250" i="8"/>
  <c r="AX250" i="8" s="1"/>
  <c r="X250" i="8"/>
  <c r="AY250" i="8" s="1"/>
  <c r="C254" i="8"/>
  <c r="AP254" i="8"/>
  <c r="M251" i="8"/>
  <c r="H251" i="8"/>
  <c r="N251" i="8" s="1"/>
  <c r="S251" i="8"/>
  <c r="U251" i="8"/>
  <c r="AV251" i="8" s="1"/>
  <c r="T251" i="8"/>
  <c r="AU251" i="8" s="1"/>
  <c r="B257" i="7"/>
  <c r="A258" i="7"/>
  <c r="G252" i="7"/>
  <c r="BL249" i="8"/>
  <c r="AN249" i="8"/>
  <c r="BO249" i="8" s="1"/>
  <c r="AK250" i="7"/>
  <c r="BI250" i="7"/>
  <c r="AQ255" i="7"/>
  <c r="AR255" i="7"/>
  <c r="BN255" i="7" s="1"/>
  <c r="AK249" i="7"/>
  <c r="AJ249" i="7"/>
  <c r="BK249" i="7" s="1"/>
  <c r="BI249" i="7"/>
  <c r="O252" i="8"/>
  <c r="L252" i="8"/>
  <c r="AE252" i="8" s="1"/>
  <c r="BF252" i="8" s="1"/>
  <c r="O252" i="7"/>
  <c r="L252" i="7"/>
  <c r="AE252" i="7" s="1"/>
  <c r="BF252" i="7" s="1"/>
  <c r="X262" i="9"/>
  <c r="F262" i="9"/>
  <c r="R262" i="9"/>
  <c r="L262" i="9"/>
  <c r="K262" i="9"/>
  <c r="T262" i="9"/>
  <c r="W262" i="9"/>
  <c r="M262" i="9"/>
  <c r="V262" i="9"/>
  <c r="I262" i="9"/>
  <c r="E253" i="7" s="1"/>
  <c r="H262" i="9"/>
  <c r="P262" i="9"/>
  <c r="Q262" i="9"/>
  <c r="J262" i="9"/>
  <c r="E262" i="9"/>
  <c r="N262" i="9"/>
  <c r="U262" i="9"/>
  <c r="S262" i="9"/>
  <c r="D253" i="7" s="1"/>
  <c r="I253" i="7" s="1"/>
  <c r="G262" i="9"/>
  <c r="O262" i="9"/>
  <c r="E253" i="8" s="1"/>
  <c r="D262" i="9"/>
  <c r="Z262" i="9"/>
  <c r="Y262" i="9"/>
  <c r="D253" i="8" s="1"/>
  <c r="I253" i="8" s="1"/>
  <c r="AA262" i="9"/>
  <c r="AP256" i="7"/>
  <c r="C256" i="7"/>
  <c r="AQ253" i="8"/>
  <c r="AR253" i="8"/>
  <c r="BN253" i="8" s="1"/>
  <c r="B255" i="8"/>
  <c r="A256" i="8"/>
  <c r="C264" i="9"/>
  <c r="B263" i="9"/>
  <c r="BB250" i="8"/>
  <c r="AT250" i="8"/>
  <c r="AI250" i="7"/>
  <c r="AJ250" i="7" s="1"/>
  <c r="BK250" i="7" s="1"/>
  <c r="AC250" i="7"/>
  <c r="BD250" i="7" s="1"/>
  <c r="AD250" i="7"/>
  <c r="BE250" i="7" s="1"/>
  <c r="AB250" i="7"/>
  <c r="AI250" i="8"/>
  <c r="AC250" i="8"/>
  <c r="BD250" i="8" s="1"/>
  <c r="AD250" i="8"/>
  <c r="BE250" i="8" s="1"/>
  <c r="AB250" i="8"/>
  <c r="BC250" i="8" s="1"/>
  <c r="AL249" i="7"/>
  <c r="BM249" i="7" s="1"/>
  <c r="BJ249" i="7"/>
  <c r="G252" i="8"/>
  <c r="AG249" i="8" l="1"/>
  <c r="BH249" i="8" s="1"/>
  <c r="AB251" i="7"/>
  <c r="BC251" i="7" s="1"/>
  <c r="AD251" i="7"/>
  <c r="BE251" i="7" s="1"/>
  <c r="AC251" i="7"/>
  <c r="BD251" i="7" s="1"/>
  <c r="J251" i="7"/>
  <c r="AH251" i="7"/>
  <c r="BI251" i="7" s="1"/>
  <c r="W251" i="7"/>
  <c r="AX251" i="7" s="1"/>
  <c r="AG249" i="7"/>
  <c r="BH249" i="7" s="1"/>
  <c r="U251" i="7"/>
  <c r="AV251" i="7" s="1"/>
  <c r="G253" i="7"/>
  <c r="H253" i="7" s="1"/>
  <c r="AR254" i="8"/>
  <c r="BN254" i="8" s="1"/>
  <c r="AQ254" i="8"/>
  <c r="B258" i="7"/>
  <c r="A259" i="7"/>
  <c r="AP255" i="8"/>
  <c r="C255" i="8"/>
  <c r="C257" i="7"/>
  <c r="AP257" i="7"/>
  <c r="BI250" i="8"/>
  <c r="AK250" i="8"/>
  <c r="AJ250" i="8"/>
  <c r="BK250" i="8" s="1"/>
  <c r="Z250" i="8"/>
  <c r="H252" i="8"/>
  <c r="N252" i="8" s="1"/>
  <c r="M252" i="8"/>
  <c r="S252" i="8"/>
  <c r="T252" i="8"/>
  <c r="AU252" i="8" s="1"/>
  <c r="U252" i="8"/>
  <c r="AV252" i="8" s="1"/>
  <c r="BL250" i="7"/>
  <c r="BJ250" i="8"/>
  <c r="AL250" i="8"/>
  <c r="BM250" i="8" s="1"/>
  <c r="AT251" i="8"/>
  <c r="G253" i="8"/>
  <c r="AI251" i="8"/>
  <c r="AC251" i="8"/>
  <c r="BD251" i="8" s="1"/>
  <c r="AD251" i="8"/>
  <c r="BE251" i="8" s="1"/>
  <c r="AB251" i="8"/>
  <c r="L253" i="8"/>
  <c r="AE253" i="8" s="1"/>
  <c r="BF253" i="8" s="1"/>
  <c r="O253" i="8"/>
  <c r="BC250" i="7"/>
  <c r="AF250" i="7"/>
  <c r="R263" i="9"/>
  <c r="F263" i="9"/>
  <c r="L263" i="9"/>
  <c r="X263" i="9"/>
  <c r="M263" i="9"/>
  <c r="E263" i="9"/>
  <c r="P263" i="9"/>
  <c r="S263" i="9"/>
  <c r="D254" i="7" s="1"/>
  <c r="I254" i="7" s="1"/>
  <c r="W263" i="9"/>
  <c r="J263" i="9"/>
  <c r="Z263" i="9"/>
  <c r="Q263" i="9"/>
  <c r="N263" i="9"/>
  <c r="U263" i="9"/>
  <c r="G263" i="9"/>
  <c r="D263" i="9"/>
  <c r="H263" i="9"/>
  <c r="T263" i="9"/>
  <c r="AA263" i="9"/>
  <c r="V263" i="9"/>
  <c r="Y263" i="9"/>
  <c r="D254" i="8" s="1"/>
  <c r="I254" i="8" s="1"/>
  <c r="I263" i="9"/>
  <c r="E254" i="7" s="1"/>
  <c r="K263" i="9"/>
  <c r="O263" i="9"/>
  <c r="E254" i="8" s="1"/>
  <c r="B264" i="9"/>
  <c r="C265" i="9"/>
  <c r="K252" i="8"/>
  <c r="AA252" i="8" s="1"/>
  <c r="AL250" i="7"/>
  <c r="BM250" i="7" s="1"/>
  <c r="BJ250" i="7"/>
  <c r="AH251" i="8"/>
  <c r="W251" i="8"/>
  <c r="AX251" i="8" s="1"/>
  <c r="X251" i="8"/>
  <c r="AY251" i="8" s="1"/>
  <c r="H252" i="7"/>
  <c r="N252" i="7" s="1"/>
  <c r="M252" i="7"/>
  <c r="S252" i="7"/>
  <c r="T252" i="7"/>
  <c r="AU252" i="7" s="1"/>
  <c r="K252" i="7"/>
  <c r="AA252" i="7" s="1"/>
  <c r="BJ251" i="7"/>
  <c r="AL251" i="7"/>
  <c r="BM251" i="7" s="1"/>
  <c r="AR256" i="7"/>
  <c r="BN256" i="7" s="1"/>
  <c r="AQ256" i="7"/>
  <c r="AF250" i="8"/>
  <c r="BG250" i="8" s="1"/>
  <c r="B256" i="8"/>
  <c r="A257" i="8"/>
  <c r="L253" i="7"/>
  <c r="AE253" i="7" s="1"/>
  <c r="BF253" i="7" s="1"/>
  <c r="O253" i="7"/>
  <c r="BL249" i="7"/>
  <c r="AN249" i="7"/>
  <c r="BO249" i="7" s="1"/>
  <c r="J251" i="8"/>
  <c r="AF251" i="7" l="1"/>
  <c r="BG251" i="7" s="1"/>
  <c r="G254" i="7"/>
  <c r="S254" i="7" s="1"/>
  <c r="G254" i="8"/>
  <c r="M254" i="8" s="1"/>
  <c r="Z251" i="7"/>
  <c r="J252" i="7"/>
  <c r="AJ251" i="7"/>
  <c r="BK251" i="7" s="1"/>
  <c r="AK251" i="7"/>
  <c r="BL251" i="7" s="1"/>
  <c r="J252" i="8"/>
  <c r="K253" i="7"/>
  <c r="AA253" i="7" s="1"/>
  <c r="BB253" i="7" s="1"/>
  <c r="N253" i="7"/>
  <c r="AC253" i="7" s="1"/>
  <c r="BD253" i="7" s="1"/>
  <c r="S253" i="7"/>
  <c r="AT253" i="7" s="1"/>
  <c r="M253" i="7"/>
  <c r="X253" i="7" s="1"/>
  <c r="AY253" i="7" s="1"/>
  <c r="T253" i="7"/>
  <c r="AU253" i="7" s="1"/>
  <c r="Z251" i="8"/>
  <c r="BA251" i="8" s="1"/>
  <c r="B265" i="9"/>
  <c r="C266" i="9"/>
  <c r="J253" i="7"/>
  <c r="AT252" i="7"/>
  <c r="R264" i="9"/>
  <c r="X264" i="9"/>
  <c r="L264" i="9"/>
  <c r="G264" i="9"/>
  <c r="F264" i="9"/>
  <c r="U264" i="9"/>
  <c r="N264" i="9"/>
  <c r="K264" i="9"/>
  <c r="V264" i="9"/>
  <c r="AA264" i="9"/>
  <c r="Z264" i="9"/>
  <c r="I264" i="9"/>
  <c r="E255" i="7" s="1"/>
  <c r="O264" i="9"/>
  <c r="E255" i="8" s="1"/>
  <c r="W264" i="9"/>
  <c r="S264" i="9"/>
  <c r="D255" i="7" s="1"/>
  <c r="I255" i="7" s="1"/>
  <c r="J264" i="9"/>
  <c r="D264" i="9"/>
  <c r="Q264" i="9"/>
  <c r="Y264" i="9"/>
  <c r="D255" i="8" s="1"/>
  <c r="I255" i="8" s="1"/>
  <c r="P264" i="9"/>
  <c r="E264" i="9"/>
  <c r="T264" i="9"/>
  <c r="M264" i="9"/>
  <c r="H264" i="9"/>
  <c r="M253" i="8"/>
  <c r="K254" i="8"/>
  <c r="AA254" i="8" s="1"/>
  <c r="H253" i="8"/>
  <c r="N253" i="8" s="1"/>
  <c r="S253" i="8"/>
  <c r="T253" i="8"/>
  <c r="AU253" i="8" s="1"/>
  <c r="U253" i="8"/>
  <c r="AV253" i="8" s="1"/>
  <c r="AT252" i="8"/>
  <c r="O254" i="7"/>
  <c r="L254" i="7"/>
  <c r="AE254" i="7" s="1"/>
  <c r="BF254" i="7" s="1"/>
  <c r="BJ251" i="8"/>
  <c r="AL251" i="8"/>
  <c r="BM251" i="8" s="1"/>
  <c r="AI252" i="7"/>
  <c r="AC252" i="7"/>
  <c r="BD252" i="7" s="1"/>
  <c r="AD252" i="7"/>
  <c r="BE252" i="7" s="1"/>
  <c r="AB252" i="7"/>
  <c r="BC252" i="7" s="1"/>
  <c r="AH252" i="8"/>
  <c r="W252" i="8"/>
  <c r="AX252" i="8" s="1"/>
  <c r="X252" i="8"/>
  <c r="AY252" i="8" s="1"/>
  <c r="AR255" i="8"/>
  <c r="BN255" i="8" s="1"/>
  <c r="AQ255" i="8"/>
  <c r="AN250" i="7"/>
  <c r="BO250" i="7" s="1"/>
  <c r="K253" i="8"/>
  <c r="AA253" i="8" s="1"/>
  <c r="A260" i="7"/>
  <c r="B259" i="7"/>
  <c r="BL250" i="8"/>
  <c r="AN250" i="8"/>
  <c r="BO250" i="8" s="1"/>
  <c r="O254" i="8"/>
  <c r="L254" i="8"/>
  <c r="AE254" i="8" s="1"/>
  <c r="BF254" i="8" s="1"/>
  <c r="BI251" i="8"/>
  <c r="AK251" i="8"/>
  <c r="AJ251" i="8"/>
  <c r="BK251" i="8" s="1"/>
  <c r="BC251" i="8"/>
  <c r="AF251" i="8"/>
  <c r="BG251" i="8" s="1"/>
  <c r="AI252" i="8"/>
  <c r="AC252" i="8"/>
  <c r="BD252" i="8" s="1"/>
  <c r="AD252" i="8"/>
  <c r="BE252" i="8" s="1"/>
  <c r="AB252" i="8"/>
  <c r="BC252" i="8" s="1"/>
  <c r="C258" i="7"/>
  <c r="AP258" i="7"/>
  <c r="M254" i="7"/>
  <c r="H254" i="7"/>
  <c r="N254" i="7" s="1"/>
  <c r="T254" i="7"/>
  <c r="AU254" i="7" s="1"/>
  <c r="AP256" i="8"/>
  <c r="C256" i="8"/>
  <c r="BA250" i="8"/>
  <c r="AG250" i="8"/>
  <c r="BH250" i="8" s="1"/>
  <c r="BG250" i="7"/>
  <c r="AG250" i="7"/>
  <c r="BH250" i="7" s="1"/>
  <c r="AR257" i="7"/>
  <c r="BN257" i="7" s="1"/>
  <c r="AQ257" i="7"/>
  <c r="AH252" i="7"/>
  <c r="W252" i="7"/>
  <c r="AX252" i="7" s="1"/>
  <c r="X252" i="7"/>
  <c r="AY252" i="7" s="1"/>
  <c r="U252" i="7"/>
  <c r="AV252" i="7" s="1"/>
  <c r="B257" i="8"/>
  <c r="A258" i="8"/>
  <c r="BB252" i="7"/>
  <c r="BB252" i="8"/>
  <c r="K254" i="7"/>
  <c r="AA254" i="7" s="1"/>
  <c r="AG251" i="7" l="1"/>
  <c r="BH251" i="7" s="1"/>
  <c r="T254" i="8"/>
  <c r="AU254" i="8" s="1"/>
  <c r="U254" i="8"/>
  <c r="AV254" i="8" s="1"/>
  <c r="S254" i="8"/>
  <c r="AT254" i="8" s="1"/>
  <c r="H254" i="8"/>
  <c r="N254" i="8" s="1"/>
  <c r="AB253" i="7"/>
  <c r="BC253" i="7" s="1"/>
  <c r="BA251" i="7"/>
  <c r="AD253" i="7"/>
  <c r="BE253" i="7" s="1"/>
  <c r="AI253" i="7"/>
  <c r="BJ253" i="7" s="1"/>
  <c r="AN251" i="7"/>
  <c r="BO251" i="7" s="1"/>
  <c r="AH253" i="7"/>
  <c r="AK253" i="7" s="1"/>
  <c r="W253" i="7"/>
  <c r="AX253" i="7" s="1"/>
  <c r="G255" i="7"/>
  <c r="K255" i="7" s="1"/>
  <c r="AA255" i="7" s="1"/>
  <c r="U253" i="7"/>
  <c r="AV253" i="7" s="1"/>
  <c r="Z252" i="7"/>
  <c r="BA252" i="7" s="1"/>
  <c r="G255" i="8"/>
  <c r="H255" i="8" s="1"/>
  <c r="AF252" i="8"/>
  <c r="BG252" i="8" s="1"/>
  <c r="AH254" i="7"/>
  <c r="W254" i="7"/>
  <c r="AX254" i="7" s="1"/>
  <c r="X254" i="7"/>
  <c r="AY254" i="7" s="1"/>
  <c r="U254" i="7"/>
  <c r="AV254" i="7" s="1"/>
  <c r="BB254" i="7"/>
  <c r="AH254" i="8"/>
  <c r="W254" i="8"/>
  <c r="AX254" i="8" s="1"/>
  <c r="X254" i="8"/>
  <c r="AY254" i="8" s="1"/>
  <c r="C257" i="8"/>
  <c r="AP257" i="8"/>
  <c r="O255" i="8"/>
  <c r="L255" i="8"/>
  <c r="AE255" i="8" s="1"/>
  <c r="BF255" i="8" s="1"/>
  <c r="AL252" i="7"/>
  <c r="BM252" i="7" s="1"/>
  <c r="BJ252" i="7"/>
  <c r="AF252" i="7"/>
  <c r="BG252" i="7" s="1"/>
  <c r="AP259" i="7"/>
  <c r="C259" i="7"/>
  <c r="AQ256" i="8"/>
  <c r="AR256" i="8"/>
  <c r="BN256" i="8" s="1"/>
  <c r="AT254" i="7"/>
  <c r="BB253" i="8"/>
  <c r="AK252" i="8"/>
  <c r="AJ252" i="8"/>
  <c r="BK252" i="8" s="1"/>
  <c r="BI252" i="8"/>
  <c r="AG251" i="8"/>
  <c r="BH251" i="8" s="1"/>
  <c r="AT253" i="8"/>
  <c r="B260" i="7"/>
  <c r="A261" i="7"/>
  <c r="AI253" i="8"/>
  <c r="AC253" i="8"/>
  <c r="BD253" i="8" s="1"/>
  <c r="AD253" i="8"/>
  <c r="BE253" i="8" s="1"/>
  <c r="AB253" i="8"/>
  <c r="BC253" i="8" s="1"/>
  <c r="BL251" i="8"/>
  <c r="AN251" i="8"/>
  <c r="BO251" i="8" s="1"/>
  <c r="AH253" i="8"/>
  <c r="W253" i="8"/>
  <c r="AX253" i="8" s="1"/>
  <c r="X253" i="8"/>
  <c r="AY253" i="8" s="1"/>
  <c r="AQ258" i="7"/>
  <c r="AR258" i="7"/>
  <c r="BN258" i="7" s="1"/>
  <c r="A259" i="8"/>
  <c r="B258" i="8"/>
  <c r="AK252" i="7"/>
  <c r="AJ252" i="7"/>
  <c r="BK252" i="7" s="1"/>
  <c r="BI252" i="7"/>
  <c r="Z252" i="8"/>
  <c r="J253" i="8"/>
  <c r="O255" i="7"/>
  <c r="L255" i="7"/>
  <c r="AE255" i="7" s="1"/>
  <c r="BF255" i="7" s="1"/>
  <c r="C267" i="9"/>
  <c r="B266" i="9"/>
  <c r="BJ252" i="8"/>
  <c r="AL252" i="8"/>
  <c r="BM252" i="8" s="1"/>
  <c r="AI254" i="7"/>
  <c r="AC254" i="7"/>
  <c r="BD254" i="7" s="1"/>
  <c r="AD254" i="7"/>
  <c r="BE254" i="7" s="1"/>
  <c r="AB254" i="7"/>
  <c r="BC254" i="7" s="1"/>
  <c r="J254" i="7"/>
  <c r="BB254" i="8"/>
  <c r="X265" i="9"/>
  <c r="L265" i="9"/>
  <c r="F265" i="9"/>
  <c r="R265" i="9"/>
  <c r="J265" i="9"/>
  <c r="M265" i="9"/>
  <c r="Y265" i="9"/>
  <c r="D256" i="8" s="1"/>
  <c r="I256" i="8" s="1"/>
  <c r="N265" i="9"/>
  <c r="O265" i="9"/>
  <c r="E256" i="8" s="1"/>
  <c r="D265" i="9"/>
  <c r="Q265" i="9"/>
  <c r="H265" i="9"/>
  <c r="K265" i="9"/>
  <c r="P265" i="9"/>
  <c r="V265" i="9"/>
  <c r="E265" i="9"/>
  <c r="I265" i="9"/>
  <c r="E256" i="7" s="1"/>
  <c r="S265" i="9"/>
  <c r="D256" i="7" s="1"/>
  <c r="I256" i="7" s="1"/>
  <c r="W265" i="9"/>
  <c r="G265" i="9"/>
  <c r="Z265" i="9"/>
  <c r="U265" i="9"/>
  <c r="AA265" i="9"/>
  <c r="T265" i="9"/>
  <c r="J254" i="8" l="1"/>
  <c r="N255" i="8"/>
  <c r="AI255" i="8" s="1"/>
  <c r="AD254" i="8"/>
  <c r="BE254" i="8" s="1"/>
  <c r="AI254" i="8"/>
  <c r="AJ254" i="8" s="1"/>
  <c r="BK254" i="8" s="1"/>
  <c r="AC254" i="8"/>
  <c r="BD254" i="8" s="1"/>
  <c r="AB254" i="8"/>
  <c r="BC254" i="8" s="1"/>
  <c r="AL253" i="7"/>
  <c r="BM253" i="7" s="1"/>
  <c r="AF253" i="7"/>
  <c r="BG253" i="7" s="1"/>
  <c r="H255" i="7"/>
  <c r="N255" i="7" s="1"/>
  <c r="AI255" i="7" s="1"/>
  <c r="M255" i="7"/>
  <c r="U255" i="7" s="1"/>
  <c r="AV255" i="7" s="1"/>
  <c r="S255" i="7"/>
  <c r="AT255" i="7" s="1"/>
  <c r="T255" i="7"/>
  <c r="AU255" i="7" s="1"/>
  <c r="BI253" i="7"/>
  <c r="AG252" i="7"/>
  <c r="BH252" i="7" s="1"/>
  <c r="AJ253" i="7"/>
  <c r="BK253" i="7" s="1"/>
  <c r="U255" i="8"/>
  <c r="AV255" i="8" s="1"/>
  <c r="K255" i="8"/>
  <c r="AA255" i="8" s="1"/>
  <c r="BB255" i="8" s="1"/>
  <c r="T255" i="8"/>
  <c r="AU255" i="8" s="1"/>
  <c r="S255" i="8"/>
  <c r="AT255" i="8" s="1"/>
  <c r="M255" i="8"/>
  <c r="X255" i="8" s="1"/>
  <c r="AY255" i="8" s="1"/>
  <c r="Z253" i="7"/>
  <c r="BA253" i="7" s="1"/>
  <c r="AF253" i="8"/>
  <c r="BG253" i="8" s="1"/>
  <c r="J255" i="8"/>
  <c r="AF254" i="7"/>
  <c r="BG254" i="7" s="1"/>
  <c r="G256" i="8"/>
  <c r="K256" i="8" s="1"/>
  <c r="AA256" i="8" s="1"/>
  <c r="BB256" i="8" s="1"/>
  <c r="Z254" i="8"/>
  <c r="G256" i="7"/>
  <c r="H256" i="7" s="1"/>
  <c r="A260" i="8"/>
  <c r="B259" i="8"/>
  <c r="BL252" i="8"/>
  <c r="AN252" i="8"/>
  <c r="BO252" i="8" s="1"/>
  <c r="AJ253" i="8"/>
  <c r="BK253" i="8" s="1"/>
  <c r="BI253" i="8"/>
  <c r="AK253" i="8"/>
  <c r="BI254" i="7"/>
  <c r="AK254" i="7"/>
  <c r="AJ254" i="7"/>
  <c r="BK254" i="7" s="1"/>
  <c r="BA252" i="8"/>
  <c r="AG252" i="8"/>
  <c r="BH252" i="8" s="1"/>
  <c r="AB255" i="8"/>
  <c r="BC255" i="8" s="1"/>
  <c r="Z254" i="7"/>
  <c r="BJ253" i="8"/>
  <c r="AL253" i="8"/>
  <c r="BM253" i="8" s="1"/>
  <c r="AR257" i="8"/>
  <c r="BN257" i="8" s="1"/>
  <c r="AQ257" i="8"/>
  <c r="L256" i="7"/>
  <c r="AE256" i="7" s="1"/>
  <c r="BF256" i="7" s="1"/>
  <c r="O256" i="7"/>
  <c r="BJ254" i="7"/>
  <c r="AL254" i="7"/>
  <c r="BM254" i="7" s="1"/>
  <c r="BB255" i="7"/>
  <c r="Z253" i="8"/>
  <c r="L256" i="8"/>
  <c r="AE256" i="8" s="1"/>
  <c r="BF256" i="8" s="1"/>
  <c r="O256" i="8"/>
  <c r="AR259" i="7"/>
  <c r="BN259" i="7" s="1"/>
  <c r="AQ259" i="7"/>
  <c r="X266" i="9"/>
  <c r="L266" i="9"/>
  <c r="F266" i="9"/>
  <c r="R266" i="9"/>
  <c r="U266" i="9"/>
  <c r="Z266" i="9"/>
  <c r="S266" i="9"/>
  <c r="D257" i="7" s="1"/>
  <c r="I257" i="7" s="1"/>
  <c r="J266" i="9"/>
  <c r="M266" i="9"/>
  <c r="P266" i="9"/>
  <c r="N266" i="9"/>
  <c r="D266" i="9"/>
  <c r="K266" i="9"/>
  <c r="W266" i="9"/>
  <c r="G266" i="9"/>
  <c r="V266" i="9"/>
  <c r="I266" i="9"/>
  <c r="E257" i="7" s="1"/>
  <c r="E266" i="9"/>
  <c r="AA266" i="9"/>
  <c r="H266" i="9"/>
  <c r="T266" i="9"/>
  <c r="Y266" i="9"/>
  <c r="D257" i="8" s="1"/>
  <c r="I257" i="8" s="1"/>
  <c r="O266" i="9"/>
  <c r="E257" i="8" s="1"/>
  <c r="Q266" i="9"/>
  <c r="BL253" i="7"/>
  <c r="BL252" i="7"/>
  <c r="AN252" i="7"/>
  <c r="BO252" i="7" s="1"/>
  <c r="C260" i="7"/>
  <c r="AP260" i="7"/>
  <c r="C268" i="9"/>
  <c r="B267" i="9"/>
  <c r="B261" i="7"/>
  <c r="A262" i="7"/>
  <c r="AP258" i="8"/>
  <c r="C258" i="8"/>
  <c r="BI254" i="8"/>
  <c r="AK254" i="8"/>
  <c r="AD255" i="8" l="1"/>
  <c r="BE255" i="8" s="1"/>
  <c r="AC255" i="8"/>
  <c r="BD255" i="8" s="1"/>
  <c r="BJ254" i="8"/>
  <c r="AF254" i="8"/>
  <c r="BG254" i="8" s="1"/>
  <c r="AL254" i="8"/>
  <c r="BM254" i="8" s="1"/>
  <c r="AB255" i="7"/>
  <c r="BC255" i="7" s="1"/>
  <c r="AD255" i="7"/>
  <c r="BE255" i="7" s="1"/>
  <c r="AC255" i="7"/>
  <c r="BD255" i="7" s="1"/>
  <c r="X255" i="7"/>
  <c r="AY255" i="7" s="1"/>
  <c r="AN253" i="7"/>
  <c r="BO253" i="7" s="1"/>
  <c r="W255" i="7"/>
  <c r="AX255" i="7" s="1"/>
  <c r="AH255" i="7"/>
  <c r="AK255" i="7" s="1"/>
  <c r="N256" i="7"/>
  <c r="AC256" i="7" s="1"/>
  <c r="BD256" i="7" s="1"/>
  <c r="J255" i="7"/>
  <c r="AH255" i="8"/>
  <c r="AK255" i="8" s="1"/>
  <c r="W255" i="8"/>
  <c r="AX255" i="8" s="1"/>
  <c r="AG253" i="7"/>
  <c r="BH253" i="7" s="1"/>
  <c r="T256" i="7"/>
  <c r="AU256" i="7" s="1"/>
  <c r="S256" i="7"/>
  <c r="AT256" i="7" s="1"/>
  <c r="M256" i="7"/>
  <c r="AH256" i="7" s="1"/>
  <c r="AG254" i="8"/>
  <c r="BH254" i="8" s="1"/>
  <c r="BA254" i="8"/>
  <c r="K256" i="7"/>
  <c r="AA256" i="7" s="1"/>
  <c r="BB256" i="7" s="1"/>
  <c r="U256" i="8"/>
  <c r="AV256" i="8" s="1"/>
  <c r="G257" i="8"/>
  <c r="S257" i="8" s="1"/>
  <c r="T256" i="8"/>
  <c r="AU256" i="8" s="1"/>
  <c r="S256" i="8"/>
  <c r="AT256" i="8" s="1"/>
  <c r="H256" i="8"/>
  <c r="N256" i="8" s="1"/>
  <c r="AC256" i="8" s="1"/>
  <c r="BD256" i="8" s="1"/>
  <c r="M256" i="8"/>
  <c r="X256" i="8" s="1"/>
  <c r="AY256" i="8" s="1"/>
  <c r="O257" i="8"/>
  <c r="L257" i="8"/>
  <c r="AE257" i="8" s="1"/>
  <c r="BF257" i="8" s="1"/>
  <c r="AL255" i="8"/>
  <c r="BM255" i="8" s="1"/>
  <c r="BJ255" i="8"/>
  <c r="AF255" i="8"/>
  <c r="BG255" i="8" s="1"/>
  <c r="BL253" i="8"/>
  <c r="AN253" i="8"/>
  <c r="BO253" i="8" s="1"/>
  <c r="O257" i="7"/>
  <c r="L257" i="7"/>
  <c r="AE257" i="7" s="1"/>
  <c r="BF257" i="7" s="1"/>
  <c r="AR258" i="8"/>
  <c r="BN258" i="8" s="1"/>
  <c r="AQ258" i="8"/>
  <c r="AP259" i="8"/>
  <c r="C259" i="8"/>
  <c r="A263" i="7"/>
  <c r="B262" i="7"/>
  <c r="AG254" i="7"/>
  <c r="BH254" i="7" s="1"/>
  <c r="BA254" i="7"/>
  <c r="B260" i="8"/>
  <c r="A261" i="8"/>
  <c r="AR260" i="7"/>
  <c r="BN260" i="7" s="1"/>
  <c r="AQ260" i="7"/>
  <c r="BL254" i="8"/>
  <c r="C261" i="7"/>
  <c r="AP261" i="7"/>
  <c r="R267" i="9"/>
  <c r="F267" i="9"/>
  <c r="X267" i="9"/>
  <c r="L267" i="9"/>
  <c r="I267" i="9"/>
  <c r="E258" i="7" s="1"/>
  <c r="D267" i="9"/>
  <c r="G267" i="9"/>
  <c r="Z267" i="9"/>
  <c r="J267" i="9"/>
  <c r="W267" i="9"/>
  <c r="O267" i="9"/>
  <c r="E258" i="8" s="1"/>
  <c r="T267" i="9"/>
  <c r="U267" i="9"/>
  <c r="M267" i="9"/>
  <c r="Y267" i="9"/>
  <c r="D258" i="8" s="1"/>
  <c r="I258" i="8" s="1"/>
  <c r="H267" i="9"/>
  <c r="E267" i="9"/>
  <c r="Q267" i="9"/>
  <c r="N267" i="9"/>
  <c r="AA267" i="9"/>
  <c r="K267" i="9"/>
  <c r="S267" i="9"/>
  <c r="D258" i="7" s="1"/>
  <c r="I258" i="7" s="1"/>
  <c r="P267" i="9"/>
  <c r="V267" i="9"/>
  <c r="AN254" i="7"/>
  <c r="BO254" i="7" s="1"/>
  <c r="BL254" i="7"/>
  <c r="AL255" i="7"/>
  <c r="BM255" i="7" s="1"/>
  <c r="BJ255" i="7"/>
  <c r="G257" i="7"/>
  <c r="J256" i="7"/>
  <c r="B268" i="9"/>
  <c r="C269" i="9"/>
  <c r="BA253" i="8"/>
  <c r="AG253" i="8"/>
  <c r="BH253" i="8" s="1"/>
  <c r="AN254" i="8" l="1"/>
  <c r="BO254" i="8" s="1"/>
  <c r="Z255" i="7"/>
  <c r="BI255" i="7"/>
  <c r="AB256" i="7"/>
  <c r="BC256" i="7" s="1"/>
  <c r="AJ255" i="7"/>
  <c r="BK255" i="7" s="1"/>
  <c r="AF255" i="7"/>
  <c r="BG255" i="7" s="1"/>
  <c r="AD256" i="7"/>
  <c r="BE256" i="7" s="1"/>
  <c r="BI255" i="8"/>
  <c r="AI256" i="7"/>
  <c r="BJ256" i="7" s="1"/>
  <c r="Z255" i="8"/>
  <c r="BA255" i="8" s="1"/>
  <c r="U256" i="7"/>
  <c r="AV256" i="7" s="1"/>
  <c r="X256" i="7"/>
  <c r="AY256" i="7" s="1"/>
  <c r="W256" i="7"/>
  <c r="AX256" i="7" s="1"/>
  <c r="AJ255" i="8"/>
  <c r="BK255" i="8" s="1"/>
  <c r="AH256" i="8"/>
  <c r="BI256" i="8" s="1"/>
  <c r="AI256" i="8"/>
  <c r="BJ256" i="8" s="1"/>
  <c r="G258" i="7"/>
  <c r="K258" i="7" s="1"/>
  <c r="AA258" i="7" s="1"/>
  <c r="W256" i="8"/>
  <c r="AX256" i="8" s="1"/>
  <c r="K257" i="8"/>
  <c r="AA257" i="8" s="1"/>
  <c r="BB257" i="8" s="1"/>
  <c r="T257" i="8"/>
  <c r="AU257" i="8" s="1"/>
  <c r="U257" i="8"/>
  <c r="AV257" i="8" s="1"/>
  <c r="M257" i="8"/>
  <c r="AH257" i="8" s="1"/>
  <c r="H257" i="8"/>
  <c r="N257" i="8" s="1"/>
  <c r="AB256" i="8"/>
  <c r="BC256" i="8" s="1"/>
  <c r="AD256" i="8"/>
  <c r="BE256" i="8" s="1"/>
  <c r="J256" i="8"/>
  <c r="AT257" i="8"/>
  <c r="AN255" i="8"/>
  <c r="BO255" i="8" s="1"/>
  <c r="BL255" i="8"/>
  <c r="AQ259" i="8"/>
  <c r="AR259" i="8"/>
  <c r="BN259" i="8" s="1"/>
  <c r="BA255" i="7"/>
  <c r="AK256" i="7"/>
  <c r="BI256" i="7"/>
  <c r="AQ261" i="7"/>
  <c r="AR261" i="7"/>
  <c r="BN261" i="7" s="1"/>
  <c r="A262" i="8"/>
  <c r="B261" i="8"/>
  <c r="B263" i="7"/>
  <c r="A264" i="7"/>
  <c r="R268" i="9"/>
  <c r="L268" i="9"/>
  <c r="F268" i="9"/>
  <c r="X268" i="9"/>
  <c r="D268" i="9"/>
  <c r="Q268" i="9"/>
  <c r="Z268" i="9"/>
  <c r="H268" i="9"/>
  <c r="V268" i="9"/>
  <c r="W268" i="9"/>
  <c r="N268" i="9"/>
  <c r="I268" i="9"/>
  <c r="E259" i="7" s="1"/>
  <c r="O268" i="9"/>
  <c r="E259" i="8" s="1"/>
  <c r="J268" i="9"/>
  <c r="Y268" i="9"/>
  <c r="D259" i="8" s="1"/>
  <c r="I259" i="8" s="1"/>
  <c r="P268" i="9"/>
  <c r="U268" i="9"/>
  <c r="E268" i="9"/>
  <c r="T268" i="9"/>
  <c r="M268" i="9"/>
  <c r="G268" i="9"/>
  <c r="S268" i="9"/>
  <c r="D259" i="7" s="1"/>
  <c r="I259" i="7" s="1"/>
  <c r="K268" i="9"/>
  <c r="AA268" i="9"/>
  <c r="B269" i="9"/>
  <c r="C270" i="9"/>
  <c r="M257" i="7"/>
  <c r="H257" i="7"/>
  <c r="N257" i="7" s="1"/>
  <c r="T257" i="7"/>
  <c r="AU257" i="7" s="1"/>
  <c r="S257" i="7"/>
  <c r="K257" i="7"/>
  <c r="AA257" i="7" s="1"/>
  <c r="O258" i="8"/>
  <c r="L258" i="8"/>
  <c r="AE258" i="8" s="1"/>
  <c r="BF258" i="8" s="1"/>
  <c r="BL255" i="7"/>
  <c r="AN255" i="7"/>
  <c r="BO255" i="7" s="1"/>
  <c r="C260" i="8"/>
  <c r="AP260" i="8"/>
  <c r="O258" i="7"/>
  <c r="L258" i="7"/>
  <c r="AE258" i="7" s="1"/>
  <c r="BF258" i="7" s="1"/>
  <c r="G258" i="8"/>
  <c r="AP262" i="7"/>
  <c r="C262" i="7"/>
  <c r="AG255" i="7" l="1"/>
  <c r="BH255" i="7" s="1"/>
  <c r="AJ256" i="7"/>
  <c r="BK256" i="7" s="1"/>
  <c r="AF256" i="7"/>
  <c r="BG256" i="7" s="1"/>
  <c r="AL256" i="7"/>
  <c r="BM256" i="7" s="1"/>
  <c r="AG255" i="8"/>
  <c r="BH255" i="8" s="1"/>
  <c r="T258" i="7"/>
  <c r="AU258" i="7" s="1"/>
  <c r="S258" i="7"/>
  <c r="AT258" i="7" s="1"/>
  <c r="M258" i="7"/>
  <c r="U258" i="7" s="1"/>
  <c r="AV258" i="7" s="1"/>
  <c r="AK256" i="8"/>
  <c r="BL256" i="8" s="1"/>
  <c r="H258" i="7"/>
  <c r="N258" i="7" s="1"/>
  <c r="AI258" i="7" s="1"/>
  <c r="AJ256" i="8"/>
  <c r="BK256" i="8" s="1"/>
  <c r="Z256" i="7"/>
  <c r="BA256" i="7" s="1"/>
  <c r="AL256" i="8"/>
  <c r="BM256" i="8" s="1"/>
  <c r="J257" i="8"/>
  <c r="Z256" i="8"/>
  <c r="BA256" i="8" s="1"/>
  <c r="X257" i="8"/>
  <c r="AY257" i="8" s="1"/>
  <c r="W257" i="8"/>
  <c r="AX257" i="8" s="1"/>
  <c r="AF256" i="8"/>
  <c r="BG256" i="8" s="1"/>
  <c r="AB257" i="8"/>
  <c r="BC257" i="8" s="1"/>
  <c r="AI257" i="8"/>
  <c r="BJ257" i="8" s="1"/>
  <c r="AC257" i="8"/>
  <c r="BD257" i="8" s="1"/>
  <c r="AD257" i="8"/>
  <c r="BE257" i="8" s="1"/>
  <c r="G259" i="7"/>
  <c r="M259" i="7" s="1"/>
  <c r="L259" i="7"/>
  <c r="AE259" i="7" s="1"/>
  <c r="BF259" i="7" s="1"/>
  <c r="O259" i="7"/>
  <c r="C263" i="7"/>
  <c r="AP263" i="7"/>
  <c r="BI257" i="8"/>
  <c r="AK257" i="8"/>
  <c r="BB257" i="7"/>
  <c r="AT257" i="7"/>
  <c r="J257" i="7"/>
  <c r="G259" i="8"/>
  <c r="K259" i="8" s="1"/>
  <c r="AA259" i="8" s="1"/>
  <c r="BB258" i="7"/>
  <c r="AI257" i="7"/>
  <c r="AC257" i="7"/>
  <c r="BD257" i="7" s="1"/>
  <c r="AD257" i="7"/>
  <c r="BE257" i="7" s="1"/>
  <c r="AB257" i="7"/>
  <c r="BC257" i="7" s="1"/>
  <c r="AP261" i="8"/>
  <c r="C261" i="8"/>
  <c r="AR260" i="8"/>
  <c r="BN260" i="8" s="1"/>
  <c r="AQ260" i="8"/>
  <c r="AH257" i="7"/>
  <c r="W257" i="7"/>
  <c r="AX257" i="7" s="1"/>
  <c r="X257" i="7"/>
  <c r="AY257" i="7" s="1"/>
  <c r="U257" i="7"/>
  <c r="AV257" i="7" s="1"/>
  <c r="B262" i="8"/>
  <c r="A263" i="8"/>
  <c r="AR262" i="7"/>
  <c r="BN262" i="7" s="1"/>
  <c r="AQ262" i="7"/>
  <c r="H258" i="8"/>
  <c r="N258" i="8" s="1"/>
  <c r="M258" i="8"/>
  <c r="S258" i="8"/>
  <c r="T258" i="8"/>
  <c r="AU258" i="8" s="1"/>
  <c r="U258" i="8"/>
  <c r="AV258" i="8" s="1"/>
  <c r="K258" i="8"/>
  <c r="AA258" i="8" s="1"/>
  <c r="C271" i="9"/>
  <c r="B270" i="9"/>
  <c r="L259" i="8"/>
  <c r="AE259" i="8" s="1"/>
  <c r="BF259" i="8" s="1"/>
  <c r="O259" i="8"/>
  <c r="BL256" i="7"/>
  <c r="B264" i="7"/>
  <c r="A265" i="7"/>
  <c r="X269" i="9"/>
  <c r="L269" i="9"/>
  <c r="F269" i="9"/>
  <c r="R269" i="9"/>
  <c r="S269" i="9"/>
  <c r="D260" i="7" s="1"/>
  <c r="I260" i="7" s="1"/>
  <c r="K269" i="9"/>
  <c r="W269" i="9"/>
  <c r="U269" i="9"/>
  <c r="G269" i="9"/>
  <c r="AA269" i="9"/>
  <c r="P269" i="9"/>
  <c r="O269" i="9"/>
  <c r="E260" i="8" s="1"/>
  <c r="Z269" i="9"/>
  <c r="Q269" i="9"/>
  <c r="I269" i="9"/>
  <c r="E260" i="7" s="1"/>
  <c r="M269" i="9"/>
  <c r="N269" i="9"/>
  <c r="E269" i="9"/>
  <c r="V269" i="9"/>
  <c r="J269" i="9"/>
  <c r="Y269" i="9"/>
  <c r="D260" i="8" s="1"/>
  <c r="I260" i="8" s="1"/>
  <c r="D269" i="9"/>
  <c r="T269" i="9"/>
  <c r="H269" i="9"/>
  <c r="J258" i="7" l="1"/>
  <c r="W258" i="7"/>
  <c r="AX258" i="7" s="1"/>
  <c r="AH258" i="7"/>
  <c r="BI258" i="7" s="1"/>
  <c r="AN256" i="7"/>
  <c r="BO256" i="7" s="1"/>
  <c r="X258" i="7"/>
  <c r="AY258" i="7" s="1"/>
  <c r="AG256" i="7"/>
  <c r="BH256" i="7" s="1"/>
  <c r="Z257" i="8"/>
  <c r="AN256" i="8"/>
  <c r="BO256" i="8" s="1"/>
  <c r="AJ257" i="8"/>
  <c r="BK257" i="8" s="1"/>
  <c r="AF257" i="8"/>
  <c r="BG257" i="8" s="1"/>
  <c r="AL257" i="8"/>
  <c r="BM257" i="8" s="1"/>
  <c r="AG256" i="8"/>
  <c r="BH256" i="8" s="1"/>
  <c r="AB258" i="7"/>
  <c r="BC258" i="7" s="1"/>
  <c r="AD258" i="7"/>
  <c r="BE258" i="7" s="1"/>
  <c r="K259" i="7"/>
  <c r="AA259" i="7" s="1"/>
  <c r="BB259" i="7" s="1"/>
  <c r="AC258" i="7"/>
  <c r="BD258" i="7" s="1"/>
  <c r="S259" i="7"/>
  <c r="AT259" i="7" s="1"/>
  <c r="T259" i="7"/>
  <c r="AU259" i="7" s="1"/>
  <c r="H259" i="7"/>
  <c r="N259" i="7" s="1"/>
  <c r="AI259" i="7" s="1"/>
  <c r="Z257" i="7"/>
  <c r="BA257" i="7" s="1"/>
  <c r="Z258" i="7"/>
  <c r="BA258" i="7" s="1"/>
  <c r="G260" i="8"/>
  <c r="H260" i="8" s="1"/>
  <c r="G260" i="7"/>
  <c r="S260" i="7" s="1"/>
  <c r="AR261" i="8"/>
  <c r="BN261" i="8" s="1"/>
  <c r="AQ261" i="8"/>
  <c r="C272" i="9"/>
  <c r="B271" i="9"/>
  <c r="AP262" i="8"/>
  <c r="C262" i="8"/>
  <c r="BJ257" i="7"/>
  <c r="AL257" i="7"/>
  <c r="BM257" i="7" s="1"/>
  <c r="R270" i="9"/>
  <c r="L270" i="9"/>
  <c r="F270" i="9"/>
  <c r="X270" i="9"/>
  <c r="S270" i="9"/>
  <c r="D261" i="7" s="1"/>
  <c r="I261" i="7" s="1"/>
  <c r="K270" i="9"/>
  <c r="Y270" i="9"/>
  <c r="D261" i="8" s="1"/>
  <c r="I261" i="8" s="1"/>
  <c r="V270" i="9"/>
  <c r="E270" i="9"/>
  <c r="U270" i="9"/>
  <c r="N270" i="9"/>
  <c r="Q270" i="9"/>
  <c r="I270" i="9"/>
  <c r="E261" i="7" s="1"/>
  <c r="W270" i="9"/>
  <c r="P270" i="9"/>
  <c r="H270" i="9"/>
  <c r="D270" i="9"/>
  <c r="T270" i="9"/>
  <c r="J270" i="9"/>
  <c r="Z270" i="9"/>
  <c r="O270" i="9"/>
  <c r="E261" i="8" s="1"/>
  <c r="G270" i="9"/>
  <c r="M270" i="9"/>
  <c r="AA270" i="9"/>
  <c r="BB258" i="8"/>
  <c r="AH259" i="7"/>
  <c r="W259" i="7"/>
  <c r="AX259" i="7" s="1"/>
  <c r="X259" i="7"/>
  <c r="AY259" i="7" s="1"/>
  <c r="U259" i="7"/>
  <c r="AV259" i="7" s="1"/>
  <c r="AF257" i="7"/>
  <c r="BG257" i="7" s="1"/>
  <c r="AT258" i="8"/>
  <c r="BI257" i="7"/>
  <c r="AK257" i="7"/>
  <c r="AJ257" i="7"/>
  <c r="BK257" i="7" s="1"/>
  <c r="BL257" i="8"/>
  <c r="C264" i="7"/>
  <c r="AP264" i="7"/>
  <c r="AH258" i="8"/>
  <c r="W258" i="8"/>
  <c r="AX258" i="8" s="1"/>
  <c r="X258" i="8"/>
  <c r="AY258" i="8" s="1"/>
  <c r="A266" i="7"/>
  <c r="B266" i="7" s="1"/>
  <c r="B265" i="7"/>
  <c r="J258" i="8"/>
  <c r="AL258" i="7"/>
  <c r="BM258" i="7" s="1"/>
  <c r="BJ258" i="7"/>
  <c r="AR263" i="7"/>
  <c r="BN263" i="7" s="1"/>
  <c r="AQ263" i="7"/>
  <c r="AI258" i="8"/>
  <c r="AC258" i="8"/>
  <c r="BD258" i="8" s="1"/>
  <c r="AD258" i="8"/>
  <c r="BE258" i="8" s="1"/>
  <c r="AB258" i="8"/>
  <c r="BC258" i="8" s="1"/>
  <c r="B263" i="8"/>
  <c r="A264" i="8"/>
  <c r="O260" i="8"/>
  <c r="L260" i="8"/>
  <c r="AE260" i="8" s="1"/>
  <c r="BF260" i="8" s="1"/>
  <c r="O260" i="7"/>
  <c r="L260" i="7"/>
  <c r="AE260" i="7" s="1"/>
  <c r="BF260" i="7" s="1"/>
  <c r="BB259" i="8"/>
  <c r="M259" i="8"/>
  <c r="H259" i="8"/>
  <c r="N259" i="8" s="1"/>
  <c r="S259" i="8"/>
  <c r="T259" i="8"/>
  <c r="AU259" i="8" s="1"/>
  <c r="U259" i="8"/>
  <c r="AV259" i="8" s="1"/>
  <c r="AK258" i="7"/>
  <c r="AJ258" i="7"/>
  <c r="BK258" i="7" s="1"/>
  <c r="AG257" i="8" l="1"/>
  <c r="BH257" i="8" s="1"/>
  <c r="BA257" i="8"/>
  <c r="AN257" i="8"/>
  <c r="BO257" i="8" s="1"/>
  <c r="AF258" i="7"/>
  <c r="BG258" i="7" s="1"/>
  <c r="AB259" i="7"/>
  <c r="BC259" i="7" s="1"/>
  <c r="AD259" i="7"/>
  <c r="BE259" i="7" s="1"/>
  <c r="AC259" i="7"/>
  <c r="BD259" i="7" s="1"/>
  <c r="J259" i="7"/>
  <c r="H260" i="7"/>
  <c r="N260" i="7" s="1"/>
  <c r="AI260" i="7" s="1"/>
  <c r="M260" i="7"/>
  <c r="AH260" i="7" s="1"/>
  <c r="T260" i="8"/>
  <c r="AU260" i="8" s="1"/>
  <c r="AG257" i="7"/>
  <c r="BH257" i="7" s="1"/>
  <c r="U260" i="8"/>
  <c r="AV260" i="8" s="1"/>
  <c r="M260" i="8"/>
  <c r="X260" i="8" s="1"/>
  <c r="AY260" i="8" s="1"/>
  <c r="K260" i="7"/>
  <c r="AA260" i="7" s="1"/>
  <c r="BB260" i="7" s="1"/>
  <c r="G261" i="8"/>
  <c r="H261" i="8" s="1"/>
  <c r="N261" i="8" s="1"/>
  <c r="T260" i="7"/>
  <c r="AU260" i="7" s="1"/>
  <c r="S260" i="8"/>
  <c r="AT260" i="8" s="1"/>
  <c r="K260" i="8"/>
  <c r="AA260" i="8" s="1"/>
  <c r="BB260" i="8" s="1"/>
  <c r="B264" i="8"/>
  <c r="A265" i="8"/>
  <c r="AT259" i="8"/>
  <c r="AQ262" i="8"/>
  <c r="AR262" i="8"/>
  <c r="BN262" i="8" s="1"/>
  <c r="AK258" i="8"/>
  <c r="AJ258" i="8"/>
  <c r="BK258" i="8" s="1"/>
  <c r="BI258" i="8"/>
  <c r="AT260" i="7"/>
  <c r="AQ264" i="7"/>
  <c r="AR264" i="7"/>
  <c r="BN264" i="7" s="1"/>
  <c r="B272" i="9"/>
  <c r="C273" i="9"/>
  <c r="AL259" i="7"/>
  <c r="BM259" i="7" s="1"/>
  <c r="BJ259" i="7"/>
  <c r="AI259" i="8"/>
  <c r="AC259" i="8"/>
  <c r="BD259" i="8" s="1"/>
  <c r="AD259" i="8"/>
  <c r="BE259" i="8" s="1"/>
  <c r="AB259" i="8"/>
  <c r="C263" i="8"/>
  <c r="AP263" i="8"/>
  <c r="F271" i="9"/>
  <c r="L271" i="9"/>
  <c r="X271" i="9"/>
  <c r="R271" i="9"/>
  <c r="M271" i="9"/>
  <c r="Y271" i="9"/>
  <c r="D262" i="8" s="1"/>
  <c r="I262" i="8" s="1"/>
  <c r="Z271" i="9"/>
  <c r="H271" i="9"/>
  <c r="V271" i="9"/>
  <c r="K271" i="9"/>
  <c r="E271" i="9"/>
  <c r="W271" i="9"/>
  <c r="P271" i="9"/>
  <c r="J271" i="9"/>
  <c r="I271" i="9"/>
  <c r="E262" i="7" s="1"/>
  <c r="Q271" i="9"/>
  <c r="U271" i="9"/>
  <c r="G271" i="9"/>
  <c r="AA271" i="9"/>
  <c r="N271" i="9"/>
  <c r="S271" i="9"/>
  <c r="D262" i="7" s="1"/>
  <c r="I262" i="7" s="1"/>
  <c r="D271" i="9"/>
  <c r="O271" i="9"/>
  <c r="E262" i="8" s="1"/>
  <c r="T271" i="9"/>
  <c r="BL258" i="7"/>
  <c r="AN258" i="7"/>
  <c r="BO258" i="7" s="1"/>
  <c r="O261" i="8"/>
  <c r="L261" i="8"/>
  <c r="AE261" i="8" s="1"/>
  <c r="BF261" i="8" s="1"/>
  <c r="AH259" i="8"/>
  <c r="W259" i="8"/>
  <c r="AX259" i="8" s="1"/>
  <c r="X259" i="8"/>
  <c r="AY259" i="8" s="1"/>
  <c r="N260" i="8"/>
  <c r="AN257" i="7"/>
  <c r="BO257" i="7" s="1"/>
  <c r="BL257" i="7"/>
  <c r="AK259" i="7"/>
  <c r="AJ259" i="7"/>
  <c r="BK259" i="7" s="1"/>
  <c r="BI259" i="7"/>
  <c r="AP265" i="7"/>
  <c r="C265" i="7"/>
  <c r="J259" i="8"/>
  <c r="AF258" i="8"/>
  <c r="BG258" i="8" s="1"/>
  <c r="C266" i="7"/>
  <c r="AP266" i="7"/>
  <c r="O261" i="7"/>
  <c r="L261" i="7"/>
  <c r="AE261" i="7" s="1"/>
  <c r="BF261" i="7" s="1"/>
  <c r="BJ258" i="8"/>
  <c r="AL258" i="8"/>
  <c r="BM258" i="8" s="1"/>
  <c r="J260" i="8"/>
  <c r="Z258" i="8"/>
  <c r="G261" i="7"/>
  <c r="Z259" i="7"/>
  <c r="AG258" i="7" l="1"/>
  <c r="BH258" i="7" s="1"/>
  <c r="AF259" i="7"/>
  <c r="BG259" i="7" s="1"/>
  <c r="U260" i="7"/>
  <c r="AV260" i="7" s="1"/>
  <c r="X260" i="7"/>
  <c r="AY260" i="7" s="1"/>
  <c r="W260" i="7"/>
  <c r="AX260" i="7" s="1"/>
  <c r="J260" i="7"/>
  <c r="G262" i="7"/>
  <c r="K262" i="7" s="1"/>
  <c r="AA262" i="7" s="1"/>
  <c r="AB260" i="7"/>
  <c r="BC260" i="7" s="1"/>
  <c r="AD260" i="7"/>
  <c r="BE260" i="7" s="1"/>
  <c r="AC260" i="7"/>
  <c r="BD260" i="7" s="1"/>
  <c r="W260" i="8"/>
  <c r="AX260" i="8" s="1"/>
  <c r="K261" i="8"/>
  <c r="AA261" i="8" s="1"/>
  <c r="BB261" i="8" s="1"/>
  <c r="AH260" i="8"/>
  <c r="BI260" i="8" s="1"/>
  <c r="U261" i="8"/>
  <c r="AV261" i="8" s="1"/>
  <c r="T261" i="8"/>
  <c r="AU261" i="8" s="1"/>
  <c r="G262" i="8"/>
  <c r="T262" i="8" s="1"/>
  <c r="AU262" i="8" s="1"/>
  <c r="Z259" i="8"/>
  <c r="BA259" i="8" s="1"/>
  <c r="S261" i="8"/>
  <c r="AT261" i="8" s="1"/>
  <c r="M261" i="8"/>
  <c r="AH261" i="8" s="1"/>
  <c r="J261" i="8"/>
  <c r="AN259" i="7"/>
  <c r="BO259" i="7" s="1"/>
  <c r="BL259" i="7"/>
  <c r="F272" i="9"/>
  <c r="R272" i="9"/>
  <c r="X272" i="9"/>
  <c r="L272" i="9"/>
  <c r="V272" i="9"/>
  <c r="I272" i="9"/>
  <c r="E263" i="7" s="1"/>
  <c r="W272" i="9"/>
  <c r="K272" i="9"/>
  <c r="Y272" i="9"/>
  <c r="D263" i="8" s="1"/>
  <c r="I263" i="8" s="1"/>
  <c r="U272" i="9"/>
  <c r="J272" i="9"/>
  <c r="D272" i="9"/>
  <c r="Q272" i="9"/>
  <c r="G272" i="9"/>
  <c r="S272" i="9"/>
  <c r="D263" i="7" s="1"/>
  <c r="I263" i="7" s="1"/>
  <c r="AA272" i="9"/>
  <c r="E272" i="9"/>
  <c r="T272" i="9"/>
  <c r="N272" i="9"/>
  <c r="P272" i="9"/>
  <c r="O272" i="9"/>
  <c r="E263" i="8" s="1"/>
  <c r="H272" i="9"/>
  <c r="M272" i="9"/>
  <c r="Z272" i="9"/>
  <c r="A266" i="8"/>
  <c r="B266" i="8" s="1"/>
  <c r="B265" i="8"/>
  <c r="C274" i="9"/>
  <c r="B273" i="9"/>
  <c r="C264" i="8"/>
  <c r="AP264" i="8"/>
  <c r="AN258" i="8"/>
  <c r="BO258" i="8" s="1"/>
  <c r="BL258" i="8"/>
  <c r="AR265" i="7"/>
  <c r="BN265" i="7" s="1"/>
  <c r="AQ265" i="7"/>
  <c r="BJ259" i="8"/>
  <c r="AL259" i="8"/>
  <c r="BM259" i="8" s="1"/>
  <c r="AI260" i="8"/>
  <c r="AC260" i="8"/>
  <c r="BD260" i="8" s="1"/>
  <c r="AD260" i="8"/>
  <c r="BE260" i="8" s="1"/>
  <c r="AB260" i="8"/>
  <c r="AR263" i="8"/>
  <c r="BN263" i="8" s="1"/>
  <c r="AQ263" i="8"/>
  <c r="AR266" i="7"/>
  <c r="BN266" i="7" s="1"/>
  <c r="AQ266" i="7"/>
  <c r="BA259" i="7"/>
  <c r="AG259" i="7"/>
  <c r="BH259" i="7" s="1"/>
  <c r="H261" i="7"/>
  <c r="N261" i="7" s="1"/>
  <c r="M261" i="7"/>
  <c r="S261" i="7"/>
  <c r="T261" i="7"/>
  <c r="AU261" i="7" s="1"/>
  <c r="K261" i="7"/>
  <c r="AA261" i="7" s="1"/>
  <c r="BJ260" i="7"/>
  <c r="AL260" i="7"/>
  <c r="BM260" i="7" s="1"/>
  <c r="AI261" i="8"/>
  <c r="AC261" i="8"/>
  <c r="BD261" i="8" s="1"/>
  <c r="AD261" i="8"/>
  <c r="BE261" i="8" s="1"/>
  <c r="AB261" i="8"/>
  <c r="BC261" i="8" s="1"/>
  <c r="BA258" i="8"/>
  <c r="AG258" i="8"/>
  <c r="BH258" i="8" s="1"/>
  <c r="BI259" i="8"/>
  <c r="AK259" i="8"/>
  <c r="AJ259" i="8"/>
  <c r="BK259" i="8" s="1"/>
  <c r="L262" i="8"/>
  <c r="AE262" i="8" s="1"/>
  <c r="BF262" i="8" s="1"/>
  <c r="O262" i="8"/>
  <c r="BC259" i="8"/>
  <c r="AF259" i="8"/>
  <c r="BG259" i="8" s="1"/>
  <c r="L262" i="7"/>
  <c r="AE262" i="7" s="1"/>
  <c r="BF262" i="7" s="1"/>
  <c r="O262" i="7"/>
  <c r="BI260" i="7"/>
  <c r="AK260" i="7"/>
  <c r="AJ260" i="7"/>
  <c r="BK260" i="7" s="1"/>
  <c r="BN269" i="7" l="1"/>
  <c r="H262" i="7"/>
  <c r="J262" i="7" s="1"/>
  <c r="T262" i="7"/>
  <c r="AU262" i="7" s="1"/>
  <c r="S262" i="7"/>
  <c r="AT262" i="7" s="1"/>
  <c r="X261" i="8"/>
  <c r="AY261" i="8" s="1"/>
  <c r="W261" i="8"/>
  <c r="AX261" i="8" s="1"/>
  <c r="Z260" i="7"/>
  <c r="BA260" i="7" s="1"/>
  <c r="M262" i="7"/>
  <c r="W262" i="7" s="1"/>
  <c r="AX262" i="7" s="1"/>
  <c r="AK260" i="8"/>
  <c r="BL260" i="8" s="1"/>
  <c r="AF260" i="7"/>
  <c r="BG260" i="7" s="1"/>
  <c r="M262" i="8"/>
  <c r="X262" i="8" s="1"/>
  <c r="AY262" i="8" s="1"/>
  <c r="Z260" i="8"/>
  <c r="BA260" i="8" s="1"/>
  <c r="U262" i="8"/>
  <c r="AV262" i="8" s="1"/>
  <c r="K262" i="8"/>
  <c r="AA262" i="8" s="1"/>
  <c r="BB262" i="8" s="1"/>
  <c r="S262" i="8"/>
  <c r="AT262" i="8" s="1"/>
  <c r="H262" i="8"/>
  <c r="N262" i="8" s="1"/>
  <c r="AI262" i="8" s="1"/>
  <c r="G263" i="8"/>
  <c r="U263" i="8" s="1"/>
  <c r="AV263" i="8" s="1"/>
  <c r="AG259" i="8"/>
  <c r="BH259" i="8" s="1"/>
  <c r="AH261" i="7"/>
  <c r="W261" i="7"/>
  <c r="AX261" i="7" s="1"/>
  <c r="X261" i="7"/>
  <c r="AY261" i="7" s="1"/>
  <c r="U261" i="7"/>
  <c r="AV261" i="7" s="1"/>
  <c r="BB262" i="7"/>
  <c r="AP265" i="8"/>
  <c r="C265" i="8"/>
  <c r="C266" i="8"/>
  <c r="AP266" i="8"/>
  <c r="AL261" i="8"/>
  <c r="BM261" i="8" s="1"/>
  <c r="BJ261" i="8"/>
  <c r="BJ260" i="8"/>
  <c r="AL260" i="8"/>
  <c r="BM260" i="8" s="1"/>
  <c r="F273" i="9"/>
  <c r="R273" i="9"/>
  <c r="L273" i="9"/>
  <c r="X273" i="9"/>
  <c r="E273" i="9"/>
  <c r="D273" i="9"/>
  <c r="V273" i="9"/>
  <c r="N273" i="9"/>
  <c r="P273" i="9"/>
  <c r="M273" i="9"/>
  <c r="K273" i="9"/>
  <c r="Y273" i="9"/>
  <c r="D264" i="8" s="1"/>
  <c r="I264" i="8" s="1"/>
  <c r="H273" i="9"/>
  <c r="Z273" i="9"/>
  <c r="G273" i="9"/>
  <c r="Q273" i="9"/>
  <c r="I273" i="9"/>
  <c r="E264" i="7" s="1"/>
  <c r="O273" i="9"/>
  <c r="E264" i="8" s="1"/>
  <c r="J273" i="9"/>
  <c r="W273" i="9"/>
  <c r="U273" i="9"/>
  <c r="AA273" i="9"/>
  <c r="T273" i="9"/>
  <c r="S273" i="9"/>
  <c r="D264" i="7" s="1"/>
  <c r="I264" i="7" s="1"/>
  <c r="AI261" i="7"/>
  <c r="AC261" i="7"/>
  <c r="BD261" i="7" s="1"/>
  <c r="AD261" i="7"/>
  <c r="BE261" i="7" s="1"/>
  <c r="AB261" i="7"/>
  <c r="BC261" i="7" s="1"/>
  <c r="BL259" i="8"/>
  <c r="AN259" i="8"/>
  <c r="BO259" i="8" s="1"/>
  <c r="AF261" i="8"/>
  <c r="BG261" i="8" s="1"/>
  <c r="O263" i="8"/>
  <c r="L263" i="8"/>
  <c r="AE263" i="8" s="1"/>
  <c r="BF263" i="8" s="1"/>
  <c r="O263" i="7"/>
  <c r="L263" i="7"/>
  <c r="AE263" i="7" s="1"/>
  <c r="BF263" i="7" s="1"/>
  <c r="AR264" i="8"/>
  <c r="BN264" i="8" s="1"/>
  <c r="AQ264" i="8"/>
  <c r="B274" i="9"/>
  <c r="C275" i="9"/>
  <c r="AJ260" i="8"/>
  <c r="BK260" i="8" s="1"/>
  <c r="BB261" i="7"/>
  <c r="AT261" i="7"/>
  <c r="AK261" i="8"/>
  <c r="AJ261" i="8"/>
  <c r="BK261" i="8" s="1"/>
  <c r="BI261" i="8"/>
  <c r="AN260" i="7"/>
  <c r="BO260" i="7" s="1"/>
  <c r="BL260" i="7"/>
  <c r="J261" i="7"/>
  <c r="BC260" i="8"/>
  <c r="AF260" i="8"/>
  <c r="G263" i="7"/>
  <c r="N262" i="7" l="1"/>
  <c r="AI262" i="7" s="1"/>
  <c r="Z261" i="8"/>
  <c r="AG261" i="8" s="1"/>
  <c r="BH261" i="8" s="1"/>
  <c r="AH262" i="7"/>
  <c r="AK262" i="7" s="1"/>
  <c r="U262" i="7"/>
  <c r="AV262" i="7" s="1"/>
  <c r="X262" i="7"/>
  <c r="AY262" i="7" s="1"/>
  <c r="AG260" i="7"/>
  <c r="BH260" i="7" s="1"/>
  <c r="AH262" i="8"/>
  <c r="BI262" i="8" s="1"/>
  <c r="W262" i="8"/>
  <c r="AX262" i="8" s="1"/>
  <c r="H263" i="8"/>
  <c r="N263" i="8" s="1"/>
  <c r="AD263" i="8" s="1"/>
  <c r="BE263" i="8" s="1"/>
  <c r="M263" i="8"/>
  <c r="AH263" i="8" s="1"/>
  <c r="AB262" i="8"/>
  <c r="BC262" i="8" s="1"/>
  <c r="AD262" i="8"/>
  <c r="BE262" i="8" s="1"/>
  <c r="J262" i="8"/>
  <c r="AC262" i="8"/>
  <c r="BD262" i="8" s="1"/>
  <c r="T263" i="8"/>
  <c r="AU263" i="8" s="1"/>
  <c r="S263" i="8"/>
  <c r="AT263" i="8" s="1"/>
  <c r="G264" i="8"/>
  <c r="U264" i="8" s="1"/>
  <c r="AV264" i="8" s="1"/>
  <c r="G264" i="7"/>
  <c r="T264" i="7" s="1"/>
  <c r="AU264" i="7" s="1"/>
  <c r="K263" i="8"/>
  <c r="AA263" i="8" s="1"/>
  <c r="BB263" i="8" s="1"/>
  <c r="AN260" i="8"/>
  <c r="BO260" i="8" s="1"/>
  <c r="Z261" i="7"/>
  <c r="BA261" i="7" s="1"/>
  <c r="AR266" i="8"/>
  <c r="BN266" i="8" s="1"/>
  <c r="BN269" i="8" s="1"/>
  <c r="AQ266" i="8"/>
  <c r="BA261" i="8"/>
  <c r="F274" i="9"/>
  <c r="R274" i="9"/>
  <c r="X274" i="9"/>
  <c r="L274" i="9"/>
  <c r="Q274" i="9"/>
  <c r="V274" i="9"/>
  <c r="Z274" i="9"/>
  <c r="T274" i="9"/>
  <c r="Y274" i="9"/>
  <c r="D265" i="8" s="1"/>
  <c r="I265" i="8" s="1"/>
  <c r="E274" i="9"/>
  <c r="I274" i="9"/>
  <c r="E265" i="7" s="1"/>
  <c r="P274" i="9"/>
  <c r="J274" i="9"/>
  <c r="K274" i="9"/>
  <c r="U274" i="9"/>
  <c r="H274" i="9"/>
  <c r="N274" i="9"/>
  <c r="AA274" i="9"/>
  <c r="O274" i="9"/>
  <c r="E265" i="8" s="1"/>
  <c r="W274" i="9"/>
  <c r="G274" i="9"/>
  <c r="M274" i="9"/>
  <c r="D274" i="9"/>
  <c r="S274" i="9"/>
  <c r="D265" i="7" s="1"/>
  <c r="I265" i="7" s="1"/>
  <c r="AQ265" i="8"/>
  <c r="AR265" i="8"/>
  <c r="BN265" i="8" s="1"/>
  <c r="AF261" i="7"/>
  <c r="BG261" i="7" s="1"/>
  <c r="AL261" i="7"/>
  <c r="BM261" i="7" s="1"/>
  <c r="BJ261" i="7"/>
  <c r="O264" i="7"/>
  <c r="L264" i="7"/>
  <c r="AE264" i="7" s="1"/>
  <c r="BF264" i="7" s="1"/>
  <c r="O264" i="8"/>
  <c r="L264" i="8"/>
  <c r="AE264" i="8" s="1"/>
  <c r="BF264" i="8" s="1"/>
  <c r="AL262" i="8"/>
  <c r="BM262" i="8" s="1"/>
  <c r="BJ262" i="8"/>
  <c r="M263" i="7"/>
  <c r="H263" i="7"/>
  <c r="N263" i="7" s="1"/>
  <c r="S263" i="7"/>
  <c r="T263" i="7"/>
  <c r="AU263" i="7" s="1"/>
  <c r="K263" i="7"/>
  <c r="AA263" i="7" s="1"/>
  <c r="BG260" i="8"/>
  <c r="AG260" i="8"/>
  <c r="BH260" i="8" s="1"/>
  <c r="BL261" i="8"/>
  <c r="AN261" i="8"/>
  <c r="BO261" i="8" s="1"/>
  <c r="C276" i="9"/>
  <c r="B275" i="9"/>
  <c r="AK261" i="7"/>
  <c r="AJ261" i="7"/>
  <c r="BK261" i="7" s="1"/>
  <c r="BI261" i="7"/>
  <c r="AD262" i="7" l="1"/>
  <c r="BE262" i="7" s="1"/>
  <c r="AC262" i="7"/>
  <c r="BD262" i="7" s="1"/>
  <c r="AB262" i="7"/>
  <c r="BC262" i="7" s="1"/>
  <c r="AC263" i="8"/>
  <c r="BD263" i="8" s="1"/>
  <c r="Z262" i="7"/>
  <c r="BA262" i="7" s="1"/>
  <c r="BI262" i="7"/>
  <c r="AK262" i="8"/>
  <c r="BL262" i="8" s="1"/>
  <c r="AJ262" i="8"/>
  <c r="BK262" i="8" s="1"/>
  <c r="AI263" i="8"/>
  <c r="BJ263" i="8" s="1"/>
  <c r="X263" i="8"/>
  <c r="AY263" i="8" s="1"/>
  <c r="W263" i="8"/>
  <c r="AX263" i="8" s="1"/>
  <c r="Z262" i="8"/>
  <c r="BA262" i="8" s="1"/>
  <c r="AB263" i="8"/>
  <c r="BC263" i="8" s="1"/>
  <c r="J263" i="8"/>
  <c r="AF262" i="8"/>
  <c r="BG262" i="8" s="1"/>
  <c r="M264" i="7"/>
  <c r="AH264" i="7" s="1"/>
  <c r="H264" i="7"/>
  <c r="N264" i="7" s="1"/>
  <c r="K264" i="8"/>
  <c r="AA264" i="8" s="1"/>
  <c r="BB264" i="8" s="1"/>
  <c r="K264" i="7"/>
  <c r="AA264" i="7" s="1"/>
  <c r="BB264" i="7" s="1"/>
  <c r="H264" i="8"/>
  <c r="N264" i="8" s="1"/>
  <c r="AD264" i="8" s="1"/>
  <c r="BE264" i="8" s="1"/>
  <c r="S264" i="8"/>
  <c r="AT264" i="8" s="1"/>
  <c r="S264" i="7"/>
  <c r="AT264" i="7" s="1"/>
  <c r="M264" i="8"/>
  <c r="AH264" i="8" s="1"/>
  <c r="T264" i="8"/>
  <c r="AU264" i="8" s="1"/>
  <c r="L265" i="7"/>
  <c r="AE265" i="7" s="1"/>
  <c r="BF265" i="7" s="1"/>
  <c r="O265" i="7"/>
  <c r="L265" i="8"/>
  <c r="AE265" i="8" s="1"/>
  <c r="BF265" i="8" s="1"/>
  <c r="O265" i="8"/>
  <c r="BL261" i="7"/>
  <c r="AN261" i="7"/>
  <c r="BO261" i="7" s="1"/>
  <c r="F275" i="9"/>
  <c r="R275" i="9"/>
  <c r="X275" i="9"/>
  <c r="L275" i="9"/>
  <c r="G275" i="9"/>
  <c r="W275" i="9"/>
  <c r="Z275" i="9"/>
  <c r="P275" i="9"/>
  <c r="Q275" i="9"/>
  <c r="S275" i="9"/>
  <c r="D266" i="7" s="1"/>
  <c r="I266" i="7" s="1"/>
  <c r="H275" i="9"/>
  <c r="T275" i="9"/>
  <c r="K275" i="9"/>
  <c r="J275" i="9"/>
  <c r="D275" i="9"/>
  <c r="E275" i="9"/>
  <c r="O275" i="9"/>
  <c r="E266" i="8" s="1"/>
  <c r="N275" i="9"/>
  <c r="V275" i="9"/>
  <c r="M275" i="9"/>
  <c r="I275" i="9"/>
  <c r="E266" i="7" s="1"/>
  <c r="AA275" i="9"/>
  <c r="Y275" i="9"/>
  <c r="D266" i="8" s="1"/>
  <c r="I266" i="8" s="1"/>
  <c r="U275" i="9"/>
  <c r="BI263" i="8"/>
  <c r="AK263" i="8"/>
  <c r="AG261" i="7"/>
  <c r="BH261" i="7" s="1"/>
  <c r="AT263" i="7"/>
  <c r="G265" i="7"/>
  <c r="G265" i="8"/>
  <c r="BB263" i="7"/>
  <c r="AL262" i="7"/>
  <c r="BM262" i="7" s="1"/>
  <c r="BJ262" i="7"/>
  <c r="AJ262" i="7"/>
  <c r="BK262" i="7" s="1"/>
  <c r="C277" i="9"/>
  <c r="B276" i="9"/>
  <c r="AI263" i="7"/>
  <c r="AC263" i="7"/>
  <c r="BD263" i="7" s="1"/>
  <c r="AD263" i="7"/>
  <c r="BE263" i="7" s="1"/>
  <c r="AB263" i="7"/>
  <c r="BC263" i="7" s="1"/>
  <c r="J263" i="7"/>
  <c r="BL262" i="7"/>
  <c r="AH263" i="7"/>
  <c r="W263" i="7"/>
  <c r="AX263" i="7" s="1"/>
  <c r="X263" i="7"/>
  <c r="AY263" i="7" s="1"/>
  <c r="U263" i="7"/>
  <c r="AV263" i="7" s="1"/>
  <c r="AF262" i="7" l="1"/>
  <c r="BG262" i="7" s="1"/>
  <c r="AJ263" i="8"/>
  <c r="BK263" i="8" s="1"/>
  <c r="AN262" i="8"/>
  <c r="BO262" i="8" s="1"/>
  <c r="AL263" i="8"/>
  <c r="BM263" i="8" s="1"/>
  <c r="Z263" i="8"/>
  <c r="BA263" i="8" s="1"/>
  <c r="AF263" i="8"/>
  <c r="BG263" i="8" s="1"/>
  <c r="AG262" i="8"/>
  <c r="BH262" i="8" s="1"/>
  <c r="J264" i="7"/>
  <c r="AI264" i="8"/>
  <c r="BJ264" i="8" s="1"/>
  <c r="U264" i="7"/>
  <c r="AV264" i="7" s="1"/>
  <c r="W264" i="7"/>
  <c r="AX264" i="7" s="1"/>
  <c r="X264" i="7"/>
  <c r="AY264" i="7" s="1"/>
  <c r="AC264" i="8"/>
  <c r="BD264" i="8" s="1"/>
  <c r="AB264" i="8"/>
  <c r="BC264" i="8" s="1"/>
  <c r="J264" i="8"/>
  <c r="X264" i="8"/>
  <c r="AY264" i="8" s="1"/>
  <c r="W264" i="8"/>
  <c r="AX264" i="8" s="1"/>
  <c r="G266" i="7"/>
  <c r="K266" i="7" s="1"/>
  <c r="AF263" i="7"/>
  <c r="BG263" i="7" s="1"/>
  <c r="M265" i="7"/>
  <c r="H265" i="7"/>
  <c r="N265" i="7" s="1"/>
  <c r="S265" i="7"/>
  <c r="T265" i="7"/>
  <c r="AU265" i="7" s="1"/>
  <c r="K265" i="7"/>
  <c r="AA265" i="7" s="1"/>
  <c r="O266" i="8"/>
  <c r="O269" i="8" s="1"/>
  <c r="L266" i="8"/>
  <c r="I269" i="8"/>
  <c r="BI263" i="7"/>
  <c r="AK263" i="7"/>
  <c r="AJ263" i="7"/>
  <c r="BK263" i="7" s="1"/>
  <c r="AN262" i="7"/>
  <c r="BO262" i="7" s="1"/>
  <c r="C278" i="9"/>
  <c r="B277" i="9"/>
  <c r="M265" i="8"/>
  <c r="H265" i="8"/>
  <c r="N265" i="8" s="1"/>
  <c r="S265" i="8"/>
  <c r="T265" i="8"/>
  <c r="AU265" i="8" s="1"/>
  <c r="U265" i="8"/>
  <c r="AV265" i="8" s="1"/>
  <c r="K265" i="8"/>
  <c r="AA265" i="8" s="1"/>
  <c r="G266" i="8"/>
  <c r="O266" i="7"/>
  <c r="O269" i="7" s="1"/>
  <c r="L266" i="7"/>
  <c r="I269" i="7"/>
  <c r="BJ263" i="7"/>
  <c r="AL263" i="7"/>
  <c r="BM263" i="7" s="1"/>
  <c r="AK264" i="8"/>
  <c r="BI264" i="8"/>
  <c r="AK264" i="7"/>
  <c r="BI264" i="7"/>
  <c r="AG262" i="7"/>
  <c r="BH262" i="7" s="1"/>
  <c r="BL263" i="8"/>
  <c r="R276" i="9"/>
  <c r="L276" i="9"/>
  <c r="F276" i="9"/>
  <c r="X276" i="9"/>
  <c r="Y276" i="9"/>
  <c r="D276" i="9"/>
  <c r="U276" i="9"/>
  <c r="AA276" i="9"/>
  <c r="V276" i="9"/>
  <c r="J276" i="9"/>
  <c r="W276" i="9"/>
  <c r="N276" i="9"/>
  <c r="I276" i="9"/>
  <c r="G276" i="9"/>
  <c r="S276" i="9"/>
  <c r="P276" i="9"/>
  <c r="O276" i="9"/>
  <c r="T276" i="9"/>
  <c r="E276" i="9"/>
  <c r="K276" i="9"/>
  <c r="H276" i="9"/>
  <c r="Z276" i="9"/>
  <c r="Q276" i="9"/>
  <c r="M276" i="9"/>
  <c r="AI264" i="7"/>
  <c r="AC264" i="7"/>
  <c r="BD264" i="7" s="1"/>
  <c r="AD264" i="7"/>
  <c r="BE264" i="7" s="1"/>
  <c r="AB264" i="7"/>
  <c r="Z263" i="7"/>
  <c r="AG263" i="8" l="1"/>
  <c r="BH263" i="8" s="1"/>
  <c r="G269" i="7"/>
  <c r="AN263" i="8"/>
  <c r="BO263" i="8" s="1"/>
  <c r="AJ264" i="8"/>
  <c r="BK264" i="8" s="1"/>
  <c r="AL264" i="8"/>
  <c r="BM264" i="8" s="1"/>
  <c r="Z264" i="7"/>
  <c r="BA264" i="7" s="1"/>
  <c r="Z264" i="8"/>
  <c r="BA264" i="8" s="1"/>
  <c r="H266" i="7"/>
  <c r="J266" i="7" s="1"/>
  <c r="M266" i="7"/>
  <c r="W266" i="7" s="1"/>
  <c r="T266" i="7"/>
  <c r="T269" i="7" s="1"/>
  <c r="S266" i="7"/>
  <c r="AT266" i="7" s="1"/>
  <c r="AF264" i="8"/>
  <c r="BG264" i="8" s="1"/>
  <c r="J265" i="8"/>
  <c r="BB265" i="7"/>
  <c r="AH265" i="8"/>
  <c r="W265" i="8"/>
  <c r="AX265" i="8" s="1"/>
  <c r="X265" i="8"/>
  <c r="AY265" i="8" s="1"/>
  <c r="R277" i="9"/>
  <c r="F277" i="9"/>
  <c r="X277" i="9"/>
  <c r="L277" i="9"/>
  <c r="I277" i="9"/>
  <c r="K277" i="9"/>
  <c r="V277" i="9"/>
  <c r="S277" i="9"/>
  <c r="T277" i="9"/>
  <c r="D277" i="9"/>
  <c r="P277" i="9"/>
  <c r="J277" i="9"/>
  <c r="E277" i="9"/>
  <c r="Q277" i="9"/>
  <c r="U277" i="9"/>
  <c r="M277" i="9"/>
  <c r="Y277" i="9"/>
  <c r="G277" i="9"/>
  <c r="W277" i="9"/>
  <c r="AA277" i="9"/>
  <c r="N277" i="9"/>
  <c r="H277" i="9"/>
  <c r="O277" i="9"/>
  <c r="Z277" i="9"/>
  <c r="B278" i="9"/>
  <c r="C279" i="9"/>
  <c r="AT265" i="7"/>
  <c r="BB265" i="8"/>
  <c r="AA266" i="7"/>
  <c r="K269" i="7"/>
  <c r="AL264" i="7"/>
  <c r="BM264" i="7" s="1"/>
  <c r="BJ264" i="7"/>
  <c r="AI265" i="7"/>
  <c r="AC265" i="7"/>
  <c r="BD265" i="7" s="1"/>
  <c r="AD265" i="7"/>
  <c r="BE265" i="7" s="1"/>
  <c r="AB265" i="7"/>
  <c r="BC265" i="7" s="1"/>
  <c r="BC264" i="7"/>
  <c r="AF264" i="7"/>
  <c r="AN263" i="7"/>
  <c r="BO263" i="7" s="1"/>
  <c r="BL263" i="7"/>
  <c r="J265" i="7"/>
  <c r="AG263" i="7"/>
  <c r="BH263" i="7" s="1"/>
  <c r="BA263" i="7"/>
  <c r="AE266" i="7"/>
  <c r="L269" i="7"/>
  <c r="AJ264" i="7"/>
  <c r="BK264" i="7" s="1"/>
  <c r="BL264" i="7"/>
  <c r="AT265" i="8"/>
  <c r="AH265" i="7"/>
  <c r="W265" i="7"/>
  <c r="AX265" i="7" s="1"/>
  <c r="X265" i="7"/>
  <c r="AY265" i="7" s="1"/>
  <c r="U265" i="7"/>
  <c r="AV265" i="7" s="1"/>
  <c r="M266" i="8"/>
  <c r="H266" i="8"/>
  <c r="S266" i="8"/>
  <c r="T266" i="8"/>
  <c r="U266" i="8"/>
  <c r="G269" i="8"/>
  <c r="K266" i="8"/>
  <c r="BL264" i="8"/>
  <c r="AI265" i="8"/>
  <c r="AC265" i="8"/>
  <c r="BD265" i="8" s="1"/>
  <c r="AD265" i="8"/>
  <c r="BE265" i="8" s="1"/>
  <c r="AB265" i="8"/>
  <c r="BC265" i="8" s="1"/>
  <c r="AE266" i="8"/>
  <c r="L269" i="8"/>
  <c r="AN264" i="8" l="1"/>
  <c r="BO264" i="8" s="1"/>
  <c r="AU266" i="7"/>
  <c r="AU269" i="7" s="1"/>
  <c r="B41" i="3" s="1"/>
  <c r="S269" i="7"/>
  <c r="N266" i="7"/>
  <c r="AI266" i="7" s="1"/>
  <c r="H269" i="7"/>
  <c r="M269" i="7"/>
  <c r="U266" i="7"/>
  <c r="AV266" i="7" s="1"/>
  <c r="AV269" i="7" s="1"/>
  <c r="B42" i="3" s="1"/>
  <c r="AH266" i="7"/>
  <c r="BI266" i="7" s="1"/>
  <c r="X266" i="7"/>
  <c r="AY266" i="7" s="1"/>
  <c r="AY269" i="7" s="1"/>
  <c r="AG264" i="8"/>
  <c r="BH264" i="8" s="1"/>
  <c r="Z265" i="8"/>
  <c r="BA265" i="8" s="1"/>
  <c r="AN264" i="7"/>
  <c r="BO264" i="7" s="1"/>
  <c r="BG264" i="7"/>
  <c r="AG264" i="7"/>
  <c r="BH264" i="7" s="1"/>
  <c r="R278" i="9"/>
  <c r="X278" i="9"/>
  <c r="L278" i="9"/>
  <c r="F278" i="9"/>
  <c r="M278" i="9"/>
  <c r="J278" i="9"/>
  <c r="N278" i="9"/>
  <c r="S278" i="9"/>
  <c r="H278" i="9"/>
  <c r="D278" i="9"/>
  <c r="O278" i="9"/>
  <c r="V278" i="9"/>
  <c r="K278" i="9"/>
  <c r="P278" i="9"/>
  <c r="I278" i="9"/>
  <c r="Q278" i="9"/>
  <c r="T278" i="9"/>
  <c r="W278" i="9"/>
  <c r="Y278" i="9"/>
  <c r="Z278" i="9"/>
  <c r="E278" i="9"/>
  <c r="G278" i="9"/>
  <c r="AA278" i="9"/>
  <c r="U278" i="9"/>
  <c r="B279" i="9"/>
  <c r="C280" i="9"/>
  <c r="AV266" i="8"/>
  <c r="AV269" i="8" s="1"/>
  <c r="C42" i="3" s="1"/>
  <c r="U269" i="8"/>
  <c r="N269" i="7"/>
  <c r="AX266" i="7"/>
  <c r="AX269" i="7" s="1"/>
  <c r="B49" i="3" s="1"/>
  <c r="W269" i="7"/>
  <c r="AT266" i="8"/>
  <c r="AT269" i="8" s="1"/>
  <c r="C40" i="3" s="1"/>
  <c r="S269" i="8"/>
  <c r="AK265" i="8"/>
  <c r="AJ265" i="8"/>
  <c r="BK265" i="8" s="1"/>
  <c r="BI265" i="8"/>
  <c r="AA266" i="8"/>
  <c r="K269" i="8"/>
  <c r="AL265" i="7"/>
  <c r="BM265" i="7" s="1"/>
  <c r="BJ265" i="7"/>
  <c r="AT269" i="7"/>
  <c r="B40" i="3" s="1"/>
  <c r="AF265" i="7"/>
  <c r="BG265" i="7" s="1"/>
  <c r="AU266" i="8"/>
  <c r="AU269" i="8" s="1"/>
  <c r="C41" i="3" s="1"/>
  <c r="D41" i="3" s="1"/>
  <c r="T269" i="8"/>
  <c r="N266" i="8"/>
  <c r="H269" i="8"/>
  <c r="BF266" i="7"/>
  <c r="BF269" i="7" s="1"/>
  <c r="B46" i="3" s="1"/>
  <c r="AE269" i="7"/>
  <c r="AL265" i="8"/>
  <c r="BM265" i="8" s="1"/>
  <c r="BJ265" i="8"/>
  <c r="AK265" i="7"/>
  <c r="AJ265" i="7"/>
  <c r="BK265" i="7" s="1"/>
  <c r="BI265" i="7"/>
  <c r="Z265" i="7"/>
  <c r="BF266" i="8"/>
  <c r="BF269" i="8" s="1"/>
  <c r="C46" i="3" s="1"/>
  <c r="AE269" i="8"/>
  <c r="J266" i="8"/>
  <c r="AH266" i="8"/>
  <c r="W266" i="8"/>
  <c r="X266" i="8"/>
  <c r="M269" i="8"/>
  <c r="BB266" i="7"/>
  <c r="BB269" i="7" s="1"/>
  <c r="B44" i="3" s="1"/>
  <c r="AA269" i="7"/>
  <c r="AF265" i="8"/>
  <c r="BG265" i="8" s="1"/>
  <c r="U269" i="7" l="1"/>
  <c r="BI269" i="7"/>
  <c r="AH269" i="7"/>
  <c r="AK266" i="7"/>
  <c r="BL266" i="7" s="1"/>
  <c r="AB266" i="7"/>
  <c r="BC266" i="7" s="1"/>
  <c r="BC269" i="7" s="1"/>
  <c r="B45" i="3" s="1"/>
  <c r="B47" i="3" s="1"/>
  <c r="AD266" i="7"/>
  <c r="AD269" i="7" s="1"/>
  <c r="AC266" i="7"/>
  <c r="BD266" i="7" s="1"/>
  <c r="BD269" i="7" s="1"/>
  <c r="B50" i="3" s="1"/>
  <c r="X269" i="7"/>
  <c r="AJ266" i="7"/>
  <c r="BK266" i="7" s="1"/>
  <c r="BK269" i="7" s="1"/>
  <c r="Z266" i="7"/>
  <c r="BA266" i="7" s="1"/>
  <c r="D42" i="3"/>
  <c r="AG265" i="8"/>
  <c r="BH265" i="8" s="1"/>
  <c r="D46" i="3"/>
  <c r="Z266" i="8"/>
  <c r="BA266" i="8" s="1"/>
  <c r="BA269" i="8" s="1"/>
  <c r="BJ266" i="7"/>
  <c r="BJ269" i="7" s="1"/>
  <c r="AL266" i="7"/>
  <c r="AI269" i="7"/>
  <c r="B280" i="9"/>
  <c r="C281" i="9"/>
  <c r="AY266" i="8"/>
  <c r="AY269" i="8" s="1"/>
  <c r="X269" i="8"/>
  <c r="BA265" i="7"/>
  <c r="AG265" i="7"/>
  <c r="BH265" i="7" s="1"/>
  <c r="R279" i="9"/>
  <c r="X279" i="9"/>
  <c r="L279" i="9"/>
  <c r="F279" i="9"/>
  <c r="J279" i="9"/>
  <c r="P279" i="9"/>
  <c r="O279" i="9"/>
  <c r="H279" i="9"/>
  <c r="E279" i="9"/>
  <c r="T279" i="9"/>
  <c r="I279" i="9"/>
  <c r="K279" i="9"/>
  <c r="Y279" i="9"/>
  <c r="V279" i="9"/>
  <c r="S279" i="9"/>
  <c r="Z279" i="9"/>
  <c r="M279" i="9"/>
  <c r="U279" i="9"/>
  <c r="D279" i="9"/>
  <c r="N279" i="9"/>
  <c r="W279" i="9"/>
  <c r="AA279" i="9"/>
  <c r="G279" i="9"/>
  <c r="Q279" i="9"/>
  <c r="AX266" i="8"/>
  <c r="AX269" i="8" s="1"/>
  <c r="C49" i="3" s="1"/>
  <c r="D49" i="3" s="1"/>
  <c r="W269" i="8"/>
  <c r="D40" i="3"/>
  <c r="BI266" i="8"/>
  <c r="BI269" i="8" s="1"/>
  <c r="AK266" i="8"/>
  <c r="AH269" i="8"/>
  <c r="AN265" i="7"/>
  <c r="BO265" i="7" s="1"/>
  <c r="BL265" i="7"/>
  <c r="AI266" i="8"/>
  <c r="AC266" i="8"/>
  <c r="AD266" i="8"/>
  <c r="AB266" i="8"/>
  <c r="N269" i="8"/>
  <c r="AN265" i="8"/>
  <c r="BO265" i="8" s="1"/>
  <c r="BL265" i="8"/>
  <c r="BB266" i="8"/>
  <c r="BB269" i="8" s="1"/>
  <c r="C44" i="3" s="1"/>
  <c r="AA269" i="8"/>
  <c r="AK269" i="7" l="1"/>
  <c r="AB269" i="7"/>
  <c r="BE266" i="7"/>
  <c r="BE269" i="7" s="1"/>
  <c r="B51" i="3" s="1"/>
  <c r="AF266" i="7"/>
  <c r="BG266" i="7" s="1"/>
  <c r="BG269" i="7" s="1"/>
  <c r="AC269" i="7"/>
  <c r="AJ269" i="7"/>
  <c r="BA269" i="7"/>
  <c r="Z269" i="7"/>
  <c r="Z269" i="8"/>
  <c r="AF269" i="7"/>
  <c r="BL269" i="7"/>
  <c r="BM266" i="7"/>
  <c r="BM269" i="7" s="1"/>
  <c r="AL269" i="7"/>
  <c r="BL266" i="8"/>
  <c r="BL269" i="8" s="1"/>
  <c r="AK269" i="8"/>
  <c r="BJ266" i="8"/>
  <c r="BJ269" i="8" s="1"/>
  <c r="AL266" i="8"/>
  <c r="AI269" i="8"/>
  <c r="X280" i="9"/>
  <c r="F280" i="9"/>
  <c r="L280" i="9"/>
  <c r="R280" i="9"/>
  <c r="O280" i="9"/>
  <c r="V280" i="9"/>
  <c r="Z280" i="9"/>
  <c r="P280" i="9"/>
  <c r="U280" i="9"/>
  <c r="Y280" i="9"/>
  <c r="H280" i="9"/>
  <c r="T280" i="9"/>
  <c r="D280" i="9"/>
  <c r="AA280" i="9"/>
  <c r="Q280" i="9"/>
  <c r="N280" i="9"/>
  <c r="G280" i="9"/>
  <c r="J280" i="9"/>
  <c r="K280" i="9"/>
  <c r="S280" i="9"/>
  <c r="M280" i="9"/>
  <c r="I280" i="9"/>
  <c r="W280" i="9"/>
  <c r="E280" i="9"/>
  <c r="D44" i="3"/>
  <c r="AN266" i="7"/>
  <c r="BD266" i="8"/>
  <c r="BD269" i="8" s="1"/>
  <c r="C50" i="3" s="1"/>
  <c r="D50" i="3" s="1"/>
  <c r="AC269" i="8"/>
  <c r="AF266" i="8"/>
  <c r="G28" i="3"/>
  <c r="F8" i="14"/>
  <c r="G14" i="3"/>
  <c r="B52" i="3"/>
  <c r="BC266" i="8"/>
  <c r="BC269" i="8" s="1"/>
  <c r="C45" i="3" s="1"/>
  <c r="C47" i="3" s="1"/>
  <c r="D47" i="3" s="1"/>
  <c r="AB269" i="8"/>
  <c r="BE266" i="8"/>
  <c r="BE269" i="8" s="1"/>
  <c r="C51" i="3" s="1"/>
  <c r="AD269" i="8"/>
  <c r="AJ266" i="8"/>
  <c r="C282" i="9"/>
  <c r="B281" i="9"/>
  <c r="AG266" i="7" l="1"/>
  <c r="D51" i="3"/>
  <c r="D45" i="3"/>
  <c r="BM266" i="8"/>
  <c r="BM269" i="8" s="1"/>
  <c r="AL269" i="8"/>
  <c r="L281" i="9"/>
  <c r="R281" i="9"/>
  <c r="X281" i="9"/>
  <c r="F281" i="9"/>
  <c r="Y281" i="9"/>
  <c r="U281" i="9"/>
  <c r="J281" i="9"/>
  <c r="N281" i="9"/>
  <c r="W281" i="9"/>
  <c r="M281" i="9"/>
  <c r="G281" i="9"/>
  <c r="AA281" i="9"/>
  <c r="K281" i="9"/>
  <c r="V281" i="9"/>
  <c r="E281" i="9"/>
  <c r="Q281" i="9"/>
  <c r="H281" i="9"/>
  <c r="T281" i="9"/>
  <c r="D281" i="9"/>
  <c r="I281" i="9"/>
  <c r="O281" i="9"/>
  <c r="Z281" i="9"/>
  <c r="S281" i="9"/>
  <c r="P281" i="9"/>
  <c r="BG266" i="8"/>
  <c r="BG269" i="8" s="1"/>
  <c r="AF269" i="8"/>
  <c r="AG266" i="8"/>
  <c r="AN266" i="8"/>
  <c r="B282" i="9"/>
  <c r="C283" i="9"/>
  <c r="BK266" i="8"/>
  <c r="BK269" i="8" s="1"/>
  <c r="AJ269" i="8"/>
  <c r="BO266" i="7"/>
  <c r="BO269" i="7" s="1"/>
  <c r="AN269" i="7"/>
  <c r="BH266" i="7" l="1"/>
  <c r="BH269" i="7" s="1"/>
  <c r="AG269" i="7"/>
  <c r="BO266" i="8"/>
  <c r="BO269" i="8" s="1"/>
  <c r="AN269" i="8"/>
  <c r="BH266" i="8"/>
  <c r="BH269" i="8" s="1"/>
  <c r="AG269" i="8"/>
  <c r="G29" i="3"/>
  <c r="G30" i="3" s="1"/>
  <c r="G15" i="3"/>
  <c r="G16" i="3" s="1"/>
  <c r="G8" i="14"/>
  <c r="N8" i="14" s="1"/>
  <c r="C52" i="3"/>
  <c r="D52" i="3" s="1"/>
  <c r="E28" i="3"/>
  <c r="E14" i="3"/>
  <c r="H8" i="14"/>
  <c r="B283" i="9"/>
  <c r="C284" i="9"/>
  <c r="R282" i="9"/>
  <c r="F282" i="9"/>
  <c r="X282" i="9"/>
  <c r="L282" i="9"/>
  <c r="E282" i="9"/>
  <c r="J282" i="9"/>
  <c r="K282" i="9"/>
  <c r="W282" i="9"/>
  <c r="M282" i="9"/>
  <c r="Y282" i="9"/>
  <c r="I282" i="9"/>
  <c r="G282" i="9"/>
  <c r="V282" i="9"/>
  <c r="O282" i="9"/>
  <c r="AA282" i="9"/>
  <c r="D282" i="9"/>
  <c r="Z282" i="9"/>
  <c r="T282" i="9"/>
  <c r="N282" i="9"/>
  <c r="P282" i="9"/>
  <c r="U282" i="9"/>
  <c r="H282" i="9"/>
  <c r="Q282" i="9"/>
  <c r="S282" i="9"/>
  <c r="B53" i="3" l="1"/>
  <c r="C14" i="3"/>
  <c r="D8" i="14"/>
  <c r="C28" i="3"/>
  <c r="E8" i="14"/>
  <c r="C53" i="3"/>
  <c r="C29" i="3"/>
  <c r="C15" i="3"/>
  <c r="B284" i="9"/>
  <c r="C285" i="9"/>
  <c r="X283" i="9"/>
  <c r="F283" i="9"/>
  <c r="L283" i="9"/>
  <c r="R283" i="9"/>
  <c r="Y283" i="9"/>
  <c r="J283" i="9"/>
  <c r="K283" i="9"/>
  <c r="M283" i="9"/>
  <c r="D283" i="9"/>
  <c r="U283" i="9"/>
  <c r="AA283" i="9"/>
  <c r="W283" i="9"/>
  <c r="Z283" i="9"/>
  <c r="V283" i="9"/>
  <c r="E283" i="9"/>
  <c r="O283" i="9"/>
  <c r="H283" i="9"/>
  <c r="S283" i="9"/>
  <c r="N283" i="9"/>
  <c r="P283" i="9"/>
  <c r="G283" i="9"/>
  <c r="Q283" i="9"/>
  <c r="I283" i="9"/>
  <c r="T283" i="9"/>
  <c r="E29" i="3"/>
  <c r="E30" i="3" s="1"/>
  <c r="E15" i="3"/>
  <c r="E16" i="3" s="1"/>
  <c r="I8" i="14"/>
  <c r="O8" i="14" s="1"/>
  <c r="C16" i="3" l="1"/>
  <c r="M8" i="14"/>
  <c r="D53" i="3"/>
  <c r="C30" i="3"/>
  <c r="C20" i="3"/>
  <c r="C34" i="3"/>
  <c r="C286" i="9"/>
  <c r="B285" i="9"/>
  <c r="L284" i="9"/>
  <c r="X284" i="9"/>
  <c r="R284" i="9"/>
  <c r="F284" i="9"/>
  <c r="Y284" i="9"/>
  <c r="N284" i="9"/>
  <c r="D284" i="9"/>
  <c r="P284" i="9"/>
  <c r="I284" i="9"/>
  <c r="W284" i="9"/>
  <c r="T284" i="9"/>
  <c r="G284" i="9"/>
  <c r="O284" i="9"/>
  <c r="E284" i="9"/>
  <c r="AA284" i="9"/>
  <c r="Q284" i="9"/>
  <c r="Z284" i="9"/>
  <c r="U284" i="9"/>
  <c r="S284" i="9"/>
  <c r="K284" i="9"/>
  <c r="V284" i="9"/>
  <c r="J284" i="9"/>
  <c r="H284" i="9"/>
  <c r="M284" i="9"/>
  <c r="C18" i="3"/>
  <c r="C19" i="3"/>
  <c r="C33" i="3"/>
  <c r="C32" i="3"/>
  <c r="R285" i="9" l="1"/>
  <c r="F285" i="9"/>
  <c r="X285" i="9"/>
  <c r="L285" i="9"/>
  <c r="V285" i="9"/>
  <c r="W285" i="9"/>
  <c r="Z285" i="9"/>
  <c r="D285" i="9"/>
  <c r="G285" i="9"/>
  <c r="H285" i="9"/>
  <c r="P285" i="9"/>
  <c r="J285" i="9"/>
  <c r="K285" i="9"/>
  <c r="I285" i="9"/>
  <c r="E285" i="9"/>
  <c r="Q285" i="9"/>
  <c r="M285" i="9"/>
  <c r="S285" i="9"/>
  <c r="N285" i="9"/>
  <c r="AA285" i="9"/>
  <c r="U285" i="9"/>
  <c r="O285" i="9"/>
  <c r="Y285" i="9"/>
  <c r="T285" i="9"/>
  <c r="B286" i="9"/>
  <c r="C287" i="9"/>
  <c r="C288" i="9" l="1"/>
  <c r="B287" i="9"/>
  <c r="F286" i="9"/>
  <c r="R286" i="9"/>
  <c r="X286" i="9"/>
  <c r="L286" i="9"/>
  <c r="G286" i="9"/>
  <c r="D286" i="9"/>
  <c r="E286" i="9"/>
  <c r="N286" i="9"/>
  <c r="J286" i="9"/>
  <c r="V286" i="9"/>
  <c r="O286" i="9"/>
  <c r="S286" i="9"/>
  <c r="P286" i="9"/>
  <c r="Z286" i="9"/>
  <c r="T286" i="9"/>
  <c r="Y286" i="9"/>
  <c r="AA286" i="9"/>
  <c r="W286" i="9"/>
  <c r="I286" i="9"/>
  <c r="U286" i="9"/>
  <c r="H286" i="9"/>
  <c r="Q286" i="9"/>
  <c r="M286" i="9"/>
  <c r="K286" i="9"/>
  <c r="L287" i="9" l="1"/>
  <c r="X287" i="9"/>
  <c r="F287" i="9"/>
  <c r="R287" i="9"/>
  <c r="V287" i="9"/>
  <c r="D287" i="9"/>
  <c r="I287" i="9"/>
  <c r="M287" i="9"/>
  <c r="Y287" i="9"/>
  <c r="N287" i="9"/>
  <c r="Q287" i="9"/>
  <c r="W287" i="9"/>
  <c r="AA287" i="9"/>
  <c r="T287" i="9"/>
  <c r="H287" i="9"/>
  <c r="O287" i="9"/>
  <c r="E287" i="9"/>
  <c r="Z287" i="9"/>
  <c r="G287" i="9"/>
  <c r="J287" i="9"/>
  <c r="U287" i="9"/>
  <c r="P287" i="9"/>
  <c r="S287" i="9"/>
  <c r="K287" i="9"/>
  <c r="B288" i="9"/>
  <c r="C289" i="9"/>
  <c r="B289" i="9" l="1"/>
  <c r="C290" i="9"/>
  <c r="R288" i="9"/>
  <c r="F288" i="9"/>
  <c r="L288" i="9"/>
  <c r="X288" i="9"/>
  <c r="Z288" i="9"/>
  <c r="E288" i="9"/>
  <c r="O288" i="9"/>
  <c r="K288" i="9"/>
  <c r="N288" i="9"/>
  <c r="U288" i="9"/>
  <c r="G288" i="9"/>
  <c r="T288" i="9"/>
  <c r="AA288" i="9"/>
  <c r="I288" i="9"/>
  <c r="W288" i="9"/>
  <c r="Q288" i="9"/>
  <c r="S288" i="9"/>
  <c r="D288" i="9"/>
  <c r="M288" i="9"/>
  <c r="P288" i="9"/>
  <c r="H288" i="9"/>
  <c r="J288" i="9"/>
  <c r="Y288" i="9"/>
  <c r="V288" i="9"/>
  <c r="B290" i="9" l="1"/>
  <c r="C291" i="9"/>
  <c r="L289" i="9"/>
  <c r="R289" i="9"/>
  <c r="F289" i="9"/>
  <c r="X289" i="9"/>
  <c r="J289" i="9"/>
  <c r="K289" i="9"/>
  <c r="M289" i="9"/>
  <c r="T289" i="9"/>
  <c r="U289" i="9"/>
  <c r="W289" i="9"/>
  <c r="Y289" i="9"/>
  <c r="Z289" i="9"/>
  <c r="N289" i="9"/>
  <c r="O289" i="9"/>
  <c r="G289" i="9"/>
  <c r="V289" i="9"/>
  <c r="E289" i="9"/>
  <c r="Q289" i="9"/>
  <c r="AA289" i="9"/>
  <c r="D289" i="9"/>
  <c r="P289" i="9"/>
  <c r="H289" i="9"/>
  <c r="I289" i="9"/>
  <c r="S289" i="9"/>
  <c r="C292" i="9" l="1"/>
  <c r="B291" i="9"/>
  <c r="R290" i="9"/>
  <c r="L290" i="9"/>
  <c r="F290" i="9"/>
  <c r="X290" i="9"/>
  <c r="O290" i="9"/>
  <c r="Y290" i="9"/>
  <c r="P290" i="9"/>
  <c r="U290" i="9"/>
  <c r="D290" i="9"/>
  <c r="E290" i="9"/>
  <c r="S290" i="9"/>
  <c r="AA290" i="9"/>
  <c r="J290" i="9"/>
  <c r="G290" i="9"/>
  <c r="H290" i="9"/>
  <c r="K290" i="9"/>
  <c r="N290" i="9"/>
  <c r="Q290" i="9"/>
  <c r="W290" i="9"/>
  <c r="V290" i="9"/>
  <c r="M290" i="9"/>
  <c r="T290" i="9"/>
  <c r="I290" i="9"/>
  <c r="Z290" i="9"/>
  <c r="L291" i="9" l="1"/>
  <c r="R291" i="9"/>
  <c r="F291" i="9"/>
  <c r="X291" i="9"/>
  <c r="K291" i="9"/>
  <c r="D291" i="9"/>
  <c r="E291" i="9"/>
  <c r="J291" i="9"/>
  <c r="O291" i="9"/>
  <c r="N291" i="9"/>
  <c r="T291" i="9"/>
  <c r="S291" i="9"/>
  <c r="Y291" i="9"/>
  <c r="I291" i="9"/>
  <c r="Z291" i="9"/>
  <c r="P291" i="9"/>
  <c r="V291" i="9"/>
  <c r="AA291" i="9"/>
  <c r="U291" i="9"/>
  <c r="G291" i="9"/>
  <c r="Q291" i="9"/>
  <c r="W291" i="9"/>
  <c r="H291" i="9"/>
  <c r="M291" i="9"/>
  <c r="C293" i="9"/>
  <c r="B292" i="9"/>
  <c r="R292" i="9" l="1"/>
  <c r="L292" i="9"/>
  <c r="F292" i="9"/>
  <c r="X292" i="9"/>
  <c r="M292" i="9"/>
  <c r="J292" i="9"/>
  <c r="V292" i="9"/>
  <c r="W292" i="9"/>
  <c r="Y292" i="9"/>
  <c r="Z292" i="9"/>
  <c r="D292" i="9"/>
  <c r="P292" i="9"/>
  <c r="AA292" i="9"/>
  <c r="Q292" i="9"/>
  <c r="I292" i="9"/>
  <c r="S292" i="9"/>
  <c r="U292" i="9"/>
  <c r="T292" i="9"/>
  <c r="N292" i="9"/>
  <c r="G292" i="9"/>
  <c r="H292" i="9"/>
  <c r="E292" i="9"/>
  <c r="K292" i="9"/>
  <c r="O292" i="9"/>
  <c r="B293" i="9"/>
  <c r="C294" i="9"/>
  <c r="B294" i="9" l="1"/>
  <c r="C295" i="9"/>
  <c r="L293" i="9"/>
  <c r="X293" i="9"/>
  <c r="F293" i="9"/>
  <c r="R293" i="9"/>
  <c r="N293" i="9"/>
  <c r="P293" i="9"/>
  <c r="J293" i="9"/>
  <c r="V293" i="9"/>
  <c r="K293" i="9"/>
  <c r="Y293" i="9"/>
  <c r="T293" i="9"/>
  <c r="H293" i="9"/>
  <c r="E293" i="9"/>
  <c r="Q293" i="9"/>
  <c r="M293" i="9"/>
  <c r="U293" i="9"/>
  <c r="S293" i="9"/>
  <c r="G293" i="9"/>
  <c r="O293" i="9"/>
  <c r="D293" i="9"/>
  <c r="AA293" i="9"/>
  <c r="W293" i="9"/>
  <c r="Z293" i="9"/>
  <c r="I293" i="9"/>
  <c r="B295" i="9" l="1"/>
  <c r="C296" i="9"/>
  <c r="X294" i="9"/>
  <c r="L294" i="9"/>
  <c r="F294" i="9"/>
  <c r="R294" i="9"/>
  <c r="K294" i="9"/>
  <c r="N294" i="9"/>
  <c r="E294" i="9"/>
  <c r="Q294" i="9"/>
  <c r="H294" i="9"/>
  <c r="V294" i="9"/>
  <c r="W294" i="9"/>
  <c r="Z294" i="9"/>
  <c r="M294" i="9"/>
  <c r="D294" i="9"/>
  <c r="P294" i="9"/>
  <c r="I294" i="9"/>
  <c r="O294" i="9"/>
  <c r="G294" i="9"/>
  <c r="AA294" i="9"/>
  <c r="S294" i="9"/>
  <c r="T294" i="9"/>
  <c r="U294" i="9"/>
  <c r="J294" i="9"/>
  <c r="Y294" i="9"/>
  <c r="C297" i="9" l="1"/>
  <c r="B296" i="9"/>
  <c r="X295" i="9"/>
  <c r="R295" i="9"/>
  <c r="F295" i="9"/>
  <c r="L295" i="9"/>
  <c r="N295" i="9"/>
  <c r="Y295" i="9"/>
  <c r="K295" i="9"/>
  <c r="Q295" i="9"/>
  <c r="U295" i="9"/>
  <c r="W295" i="9"/>
  <c r="M295" i="9"/>
  <c r="D295" i="9"/>
  <c r="I295" i="9"/>
  <c r="H295" i="9"/>
  <c r="V295" i="9"/>
  <c r="E295" i="9"/>
  <c r="J295" i="9"/>
  <c r="S295" i="9"/>
  <c r="G295" i="9"/>
  <c r="T295" i="9"/>
  <c r="P295" i="9"/>
  <c r="AA295" i="9"/>
  <c r="Z295" i="9"/>
  <c r="O295" i="9"/>
  <c r="R296" i="9" l="1"/>
  <c r="F296" i="9"/>
  <c r="L296" i="9"/>
  <c r="X296" i="9"/>
  <c r="N296" i="9"/>
  <c r="G296" i="9"/>
  <c r="T296" i="9"/>
  <c r="S296" i="9"/>
  <c r="H296" i="9"/>
  <c r="M296" i="9"/>
  <c r="J296" i="9"/>
  <c r="D296" i="9"/>
  <c r="AA296" i="9"/>
  <c r="Z296" i="9"/>
  <c r="U296" i="9"/>
  <c r="I296" i="9"/>
  <c r="W296" i="9"/>
  <c r="Y296" i="9"/>
  <c r="O296" i="9"/>
  <c r="K296" i="9"/>
  <c r="E296" i="9"/>
  <c r="V296" i="9"/>
  <c r="Q296" i="9"/>
  <c r="P296" i="9"/>
  <c r="B297" i="9"/>
  <c r="C298" i="9"/>
  <c r="B298" i="9" l="1"/>
  <c r="C299" i="9"/>
  <c r="X297" i="9"/>
  <c r="F297" i="9"/>
  <c r="R297" i="9"/>
  <c r="L297" i="9"/>
  <c r="M297" i="9"/>
  <c r="Z297" i="9"/>
  <c r="D297" i="9"/>
  <c r="W297" i="9"/>
  <c r="U297" i="9"/>
  <c r="J297" i="9"/>
  <c r="Y297" i="9"/>
  <c r="O297" i="9"/>
  <c r="G297" i="9"/>
  <c r="E297" i="9"/>
  <c r="Q297" i="9"/>
  <c r="V297" i="9"/>
  <c r="K297" i="9"/>
  <c r="I297" i="9"/>
  <c r="AA297" i="9"/>
  <c r="S297" i="9"/>
  <c r="H297" i="9"/>
  <c r="T297" i="9"/>
  <c r="N297" i="9"/>
  <c r="P297" i="9"/>
  <c r="B299" i="9" l="1"/>
  <c r="C300" i="9"/>
  <c r="X298" i="9"/>
  <c r="L298" i="9"/>
  <c r="R298" i="9"/>
  <c r="F298" i="9"/>
  <c r="W298" i="9"/>
  <c r="Z298" i="9"/>
  <c r="J298" i="9"/>
  <c r="U298" i="9"/>
  <c r="V298" i="9"/>
  <c r="G298" i="9"/>
  <c r="S298" i="9"/>
  <c r="AA298" i="9"/>
  <c r="I298" i="9"/>
  <c r="Q298" i="9"/>
  <c r="Y298" i="9"/>
  <c r="H298" i="9"/>
  <c r="E298" i="9"/>
  <c r="T298" i="9"/>
  <c r="P298" i="9"/>
  <c r="K298" i="9"/>
  <c r="M298" i="9"/>
  <c r="N298" i="9"/>
  <c r="D298" i="9"/>
  <c r="O298" i="9"/>
  <c r="C301" i="9" l="1"/>
  <c r="B300" i="9"/>
  <c r="X299" i="9"/>
  <c r="F299" i="9"/>
  <c r="R299" i="9"/>
  <c r="L299" i="9"/>
  <c r="M299" i="9"/>
  <c r="N299" i="9"/>
  <c r="V299" i="9"/>
  <c r="T299" i="9"/>
  <c r="O299" i="9"/>
  <c r="H299" i="9"/>
  <c r="J299" i="9"/>
  <c r="S299" i="9"/>
  <c r="K299" i="9"/>
  <c r="E299" i="9"/>
  <c r="W299" i="9"/>
  <c r="D299" i="9"/>
  <c r="G299" i="9"/>
  <c r="Z299" i="9"/>
  <c r="I299" i="9"/>
  <c r="Q299" i="9"/>
  <c r="U299" i="9"/>
  <c r="Y299" i="9"/>
  <c r="P299" i="9"/>
  <c r="AA299" i="9"/>
  <c r="R300" i="9" l="1"/>
  <c r="F300" i="9"/>
  <c r="L300" i="9"/>
  <c r="X300" i="9"/>
  <c r="U300" i="9"/>
  <c r="Z300" i="9"/>
  <c r="Q300" i="9"/>
  <c r="M300" i="9"/>
  <c r="I300" i="9"/>
  <c r="H300" i="9"/>
  <c r="AA300" i="9"/>
  <c r="V300" i="9"/>
  <c r="K300" i="9"/>
  <c r="W300" i="9"/>
  <c r="E300" i="9"/>
  <c r="N300" i="9"/>
  <c r="P300" i="9"/>
  <c r="S300" i="9"/>
  <c r="Y300" i="9"/>
  <c r="O300" i="9"/>
  <c r="J300" i="9"/>
  <c r="G300" i="9"/>
  <c r="D300" i="9"/>
  <c r="T300" i="9"/>
  <c r="B301" i="9"/>
  <c r="C302" i="9"/>
  <c r="B302" i="9" l="1"/>
  <c r="C303" i="9"/>
  <c r="X301" i="9"/>
  <c r="F301" i="9"/>
  <c r="R301" i="9"/>
  <c r="L301" i="9"/>
  <c r="H301" i="9"/>
  <c r="M301" i="9"/>
  <c r="K301" i="9"/>
  <c r="W301" i="9"/>
  <c r="Z301" i="9"/>
  <c r="N301" i="9"/>
  <c r="G301" i="9"/>
  <c r="J301" i="9"/>
  <c r="D301" i="9"/>
  <c r="AA301" i="9"/>
  <c r="T301" i="9"/>
  <c r="E301" i="9"/>
  <c r="Q301" i="9"/>
  <c r="O301" i="9"/>
  <c r="P301" i="9"/>
  <c r="V301" i="9"/>
  <c r="Y301" i="9"/>
  <c r="S301" i="9"/>
  <c r="U301" i="9"/>
  <c r="I301" i="9"/>
  <c r="C304" i="9" l="1"/>
  <c r="B303" i="9"/>
  <c r="X302" i="9"/>
  <c r="L302" i="9"/>
  <c r="R302" i="9"/>
  <c r="F302" i="9"/>
  <c r="Q302" i="9"/>
  <c r="Y302" i="9"/>
  <c r="V302" i="9"/>
  <c r="H302" i="9"/>
  <c r="I302" i="9"/>
  <c r="T302" i="9"/>
  <c r="U302" i="9"/>
  <c r="S302" i="9"/>
  <c r="K302" i="9"/>
  <c r="M302" i="9"/>
  <c r="D302" i="9"/>
  <c r="P302" i="9"/>
  <c r="N302" i="9"/>
  <c r="E302" i="9"/>
  <c r="O302" i="9"/>
  <c r="AA302" i="9"/>
  <c r="W302" i="9"/>
  <c r="J302" i="9"/>
  <c r="Z302" i="9"/>
  <c r="G302" i="9"/>
  <c r="L303" i="9" l="1"/>
  <c r="F303" i="9"/>
  <c r="R303" i="9"/>
  <c r="X303" i="9"/>
  <c r="D303" i="9"/>
  <c r="K303" i="9"/>
  <c r="Z303" i="9"/>
  <c r="W303" i="9"/>
  <c r="I303" i="9"/>
  <c r="O303" i="9"/>
  <c r="E303" i="9"/>
  <c r="P303" i="9"/>
  <c r="V303" i="9"/>
  <c r="T303" i="9"/>
  <c r="G303" i="9"/>
  <c r="S303" i="9"/>
  <c r="Q303" i="9"/>
  <c r="U303" i="9"/>
  <c r="AA303" i="9"/>
  <c r="H303" i="9"/>
  <c r="Y303" i="9"/>
  <c r="N303" i="9"/>
  <c r="J303" i="9"/>
  <c r="M303" i="9"/>
  <c r="C305" i="9"/>
  <c r="B304" i="9"/>
  <c r="R304" i="9" l="1"/>
  <c r="F304" i="9"/>
  <c r="X304" i="9"/>
  <c r="L304" i="9"/>
  <c r="E304" i="9"/>
  <c r="I304" i="9"/>
  <c r="G304" i="9"/>
  <c r="T304" i="9"/>
  <c r="W304" i="9"/>
  <c r="D304" i="9"/>
  <c r="S304" i="9"/>
  <c r="V304" i="9"/>
  <c r="Y304" i="9"/>
  <c r="O304" i="9"/>
  <c r="Z304" i="9"/>
  <c r="Q304" i="9"/>
  <c r="U304" i="9"/>
  <c r="J304" i="9"/>
  <c r="AA304" i="9"/>
  <c r="P304" i="9"/>
  <c r="H304" i="9"/>
  <c r="M304" i="9"/>
  <c r="K304" i="9"/>
  <c r="N304" i="9"/>
  <c r="B305" i="9"/>
  <c r="C306" i="9"/>
  <c r="B306" i="9" l="1"/>
  <c r="C307" i="9"/>
  <c r="R305" i="9"/>
  <c r="X305" i="9"/>
  <c r="F305" i="9"/>
  <c r="L305" i="9"/>
  <c r="N305" i="9"/>
  <c r="O305" i="9"/>
  <c r="G305" i="9"/>
  <c r="E305" i="9"/>
  <c r="Q305" i="9"/>
  <c r="J305" i="9"/>
  <c r="I305" i="9"/>
  <c r="P305" i="9"/>
  <c r="H305" i="9"/>
  <c r="V305" i="9"/>
  <c r="AA305" i="9"/>
  <c r="Z305" i="9"/>
  <c r="D305" i="9"/>
  <c r="M305" i="9"/>
  <c r="U305" i="9"/>
  <c r="W305" i="9"/>
  <c r="S305" i="9"/>
  <c r="T305" i="9"/>
  <c r="Y305" i="9"/>
  <c r="K305" i="9"/>
  <c r="B307" i="9" l="1"/>
  <c r="C308" i="9"/>
  <c r="X306" i="9"/>
  <c r="L306" i="9"/>
  <c r="R306" i="9"/>
  <c r="F306" i="9"/>
  <c r="Q306" i="9"/>
  <c r="K306" i="9"/>
  <c r="N306" i="9"/>
  <c r="D306" i="9"/>
  <c r="T306" i="9"/>
  <c r="W306" i="9"/>
  <c r="Z306" i="9"/>
  <c r="G306" i="9"/>
  <c r="J306" i="9"/>
  <c r="H306" i="9"/>
  <c r="Y306" i="9"/>
  <c r="U306" i="9"/>
  <c r="S306" i="9"/>
  <c r="V306" i="9"/>
  <c r="O306" i="9"/>
  <c r="P306" i="9"/>
  <c r="I306" i="9"/>
  <c r="AA306" i="9"/>
  <c r="M306" i="9"/>
  <c r="E306" i="9"/>
  <c r="C309" i="9" l="1"/>
  <c r="B308" i="9"/>
  <c r="F307" i="9"/>
  <c r="X307" i="9"/>
  <c r="R307" i="9"/>
  <c r="L307" i="9"/>
  <c r="D307" i="9"/>
  <c r="H307" i="9"/>
  <c r="P307" i="9"/>
  <c r="E307" i="9"/>
  <c r="S307" i="9"/>
  <c r="V307" i="9"/>
  <c r="N307" i="9"/>
  <c r="J307" i="9"/>
  <c r="Q307" i="9"/>
  <c r="O307" i="9"/>
  <c r="U307" i="9"/>
  <c r="Y307" i="9"/>
  <c r="I307" i="9"/>
  <c r="Z307" i="9"/>
  <c r="W307" i="9"/>
  <c r="M307" i="9"/>
  <c r="G307" i="9"/>
  <c r="AA307" i="9"/>
  <c r="K307" i="9"/>
  <c r="T307" i="9"/>
  <c r="R308" i="9" l="1"/>
  <c r="F308" i="9"/>
  <c r="X308" i="9"/>
  <c r="L308" i="9"/>
  <c r="J308" i="9"/>
  <c r="W308" i="9"/>
  <c r="Y308" i="9"/>
  <c r="O308" i="9"/>
  <c r="H308" i="9"/>
  <c r="I308" i="9"/>
  <c r="N308" i="9"/>
  <c r="Z308" i="9"/>
  <c r="D308" i="9"/>
  <c r="P308" i="9"/>
  <c r="S308" i="9"/>
  <c r="K308" i="9"/>
  <c r="AA308" i="9"/>
  <c r="M308" i="9"/>
  <c r="G308" i="9"/>
  <c r="E308" i="9"/>
  <c r="V308" i="9"/>
  <c r="Q308" i="9"/>
  <c r="U308" i="9"/>
  <c r="T308" i="9"/>
  <c r="C310" i="9"/>
  <c r="B309" i="9"/>
  <c r="R309" i="9" l="1"/>
  <c r="F309" i="9"/>
  <c r="L309" i="9"/>
  <c r="X309" i="9"/>
  <c r="Y309" i="9"/>
  <c r="Q309" i="9"/>
  <c r="O309" i="9"/>
  <c r="V309" i="9"/>
  <c r="N309" i="9"/>
  <c r="S309" i="9"/>
  <c r="H309" i="9"/>
  <c r="I309" i="9"/>
  <c r="AA309" i="9"/>
  <c r="K309" i="9"/>
  <c r="G309" i="9"/>
  <c r="P309" i="9"/>
  <c r="Z309" i="9"/>
  <c r="W309" i="9"/>
  <c r="M309" i="9"/>
  <c r="D309" i="9"/>
  <c r="T309" i="9"/>
  <c r="J309" i="9"/>
  <c r="E309" i="9"/>
  <c r="U309" i="9"/>
  <c r="C311" i="9"/>
  <c r="B310" i="9"/>
  <c r="F310" i="9" l="1"/>
  <c r="L310" i="9"/>
  <c r="X310" i="9"/>
  <c r="R310" i="9"/>
  <c r="Y310" i="9"/>
  <c r="V310" i="9"/>
  <c r="Z310" i="9"/>
  <c r="AA310" i="9"/>
  <c r="K310" i="9"/>
  <c r="P310" i="9"/>
  <c r="J310" i="9"/>
  <c r="D310" i="9"/>
  <c r="U310" i="9"/>
  <c r="M310" i="9"/>
  <c r="N310" i="9"/>
  <c r="E310" i="9"/>
  <c r="O310" i="9"/>
  <c r="Q310" i="9"/>
  <c r="G310" i="9"/>
  <c r="W310" i="9"/>
  <c r="H310" i="9"/>
  <c r="I310" i="9"/>
  <c r="T310" i="9"/>
  <c r="S310" i="9"/>
  <c r="C312" i="9"/>
  <c r="B311" i="9"/>
  <c r="X311" i="9" l="1"/>
  <c r="L311" i="9"/>
  <c r="F311" i="9"/>
  <c r="R311" i="9"/>
  <c r="E311" i="9"/>
  <c r="Q311" i="9"/>
  <c r="U311" i="9"/>
  <c r="D311" i="9"/>
  <c r="Z311" i="9"/>
  <c r="M311" i="9"/>
  <c r="Y311" i="9"/>
  <c r="I311" i="9"/>
  <c r="AA311" i="9"/>
  <c r="T311" i="9"/>
  <c r="J311" i="9"/>
  <c r="V311" i="9"/>
  <c r="N311" i="9"/>
  <c r="O311" i="9"/>
  <c r="K311" i="9"/>
  <c r="P311" i="9"/>
  <c r="S311" i="9"/>
  <c r="G311" i="9"/>
  <c r="H311" i="9"/>
  <c r="W311" i="9"/>
  <c r="C313" i="9"/>
  <c r="B312" i="9"/>
  <c r="L312" i="9" l="1"/>
  <c r="X312" i="9"/>
  <c r="R312" i="9"/>
  <c r="F312" i="9"/>
  <c r="U312" i="9"/>
  <c r="W312" i="9"/>
  <c r="Z312" i="9"/>
  <c r="D312" i="9"/>
  <c r="I312" i="9"/>
  <c r="T312" i="9"/>
  <c r="J312" i="9"/>
  <c r="M312" i="9"/>
  <c r="Q312" i="9"/>
  <c r="Y312" i="9"/>
  <c r="V312" i="9"/>
  <c r="N312" i="9"/>
  <c r="S312" i="9"/>
  <c r="E312" i="9"/>
  <c r="G312" i="9"/>
  <c r="K312" i="9"/>
  <c r="O312" i="9"/>
  <c r="H312" i="9"/>
  <c r="P312" i="9"/>
  <c r="AA312" i="9"/>
  <c r="C314" i="9"/>
  <c r="B313" i="9"/>
  <c r="R313" i="9" l="1"/>
  <c r="F313" i="9"/>
  <c r="L313" i="9"/>
  <c r="X313" i="9"/>
  <c r="O313" i="9"/>
  <c r="N313" i="9"/>
  <c r="K313" i="9"/>
  <c r="P313" i="9"/>
  <c r="M313" i="9"/>
  <c r="Z313" i="9"/>
  <c r="Y313" i="9"/>
  <c r="Q313" i="9"/>
  <c r="W313" i="9"/>
  <c r="D313" i="9"/>
  <c r="S313" i="9"/>
  <c r="G313" i="9"/>
  <c r="AA313" i="9"/>
  <c r="T313" i="9"/>
  <c r="H313" i="9"/>
  <c r="I313" i="9"/>
  <c r="E313" i="9"/>
  <c r="U313" i="9"/>
  <c r="J313" i="9"/>
  <c r="V313" i="9"/>
  <c r="C315" i="9"/>
  <c r="B314" i="9"/>
  <c r="L314" i="9" l="1"/>
  <c r="F314" i="9"/>
  <c r="X314" i="9"/>
  <c r="R314" i="9"/>
  <c r="S314" i="9"/>
  <c r="P314" i="9"/>
  <c r="M314" i="9"/>
  <c r="Z314" i="9"/>
  <c r="H314" i="9"/>
  <c r="T314" i="9"/>
  <c r="W314" i="9"/>
  <c r="E314" i="9"/>
  <c r="N314" i="9"/>
  <c r="G314" i="9"/>
  <c r="Y314" i="9"/>
  <c r="O314" i="9"/>
  <c r="I314" i="9"/>
  <c r="Q314" i="9"/>
  <c r="D314" i="9"/>
  <c r="K314" i="9"/>
  <c r="V314" i="9"/>
  <c r="U314" i="9"/>
  <c r="AA314" i="9"/>
  <c r="J314" i="9"/>
  <c r="C316" i="9"/>
  <c r="B315" i="9"/>
  <c r="X315" i="9" l="1"/>
  <c r="L315" i="9"/>
  <c r="R315" i="9"/>
  <c r="F315" i="9"/>
  <c r="G315" i="9"/>
  <c r="N315" i="9"/>
  <c r="V315" i="9"/>
  <c r="Z315" i="9"/>
  <c r="J315" i="9"/>
  <c r="M315" i="9"/>
  <c r="K315" i="9"/>
  <c r="W315" i="9"/>
  <c r="Y315" i="9"/>
  <c r="U315" i="9"/>
  <c r="S315" i="9"/>
  <c r="D315" i="9"/>
  <c r="T315" i="9"/>
  <c r="I315" i="9"/>
  <c r="H315" i="9"/>
  <c r="AA315" i="9"/>
  <c r="E315" i="9"/>
  <c r="P315" i="9"/>
  <c r="Q315" i="9"/>
  <c r="O315" i="9"/>
  <c r="C317" i="9"/>
  <c r="B316" i="9"/>
  <c r="R316" i="9" l="1"/>
  <c r="L316" i="9"/>
  <c r="X316" i="9"/>
  <c r="F316" i="9"/>
  <c r="W316" i="9"/>
  <c r="Y316" i="9"/>
  <c r="P316" i="9"/>
  <c r="E316" i="9"/>
  <c r="O316" i="9"/>
  <c r="AA316" i="9"/>
  <c r="M316" i="9"/>
  <c r="D316" i="9"/>
  <c r="S316" i="9"/>
  <c r="G316" i="9"/>
  <c r="T316" i="9"/>
  <c r="K316" i="9"/>
  <c r="Q316" i="9"/>
  <c r="V316" i="9"/>
  <c r="J316" i="9"/>
  <c r="N316" i="9"/>
  <c r="U316" i="9"/>
  <c r="H316" i="9"/>
  <c r="I316" i="9"/>
  <c r="Z316" i="9"/>
  <c r="C318" i="9"/>
  <c r="B317" i="9"/>
  <c r="R317" i="9" l="1"/>
  <c r="F317" i="9"/>
  <c r="X317" i="9"/>
  <c r="L317" i="9"/>
  <c r="Z317" i="9"/>
  <c r="J317" i="9"/>
  <c r="M317" i="9"/>
  <c r="I317" i="9"/>
  <c r="U317" i="9"/>
  <c r="K317" i="9"/>
  <c r="N317" i="9"/>
  <c r="E317" i="9"/>
  <c r="T317" i="9"/>
  <c r="AA317" i="9"/>
  <c r="Y317" i="9"/>
  <c r="Q317" i="9"/>
  <c r="H317" i="9"/>
  <c r="O317" i="9"/>
  <c r="D317" i="9"/>
  <c r="W317" i="9"/>
  <c r="V317" i="9"/>
  <c r="S317" i="9"/>
  <c r="P317" i="9"/>
  <c r="G317" i="9"/>
  <c r="C319" i="9"/>
  <c r="B318" i="9"/>
  <c r="F318" i="9" l="1"/>
  <c r="R318" i="9"/>
  <c r="X318" i="9"/>
  <c r="L318" i="9"/>
  <c r="Z318" i="9"/>
  <c r="P318" i="9"/>
  <c r="Q318" i="9"/>
  <c r="AA318" i="9"/>
  <c r="H318" i="9"/>
  <c r="J318" i="9"/>
  <c r="D318" i="9"/>
  <c r="U318" i="9"/>
  <c r="O318" i="9"/>
  <c r="K318" i="9"/>
  <c r="N318" i="9"/>
  <c r="G318" i="9"/>
  <c r="V318" i="9"/>
  <c r="S318" i="9"/>
  <c r="T318" i="9"/>
  <c r="E318" i="9"/>
  <c r="W318" i="9"/>
  <c r="M318" i="9"/>
  <c r="I318" i="9"/>
  <c r="Y318" i="9"/>
  <c r="B319" i="9"/>
  <c r="C320" i="9"/>
  <c r="C321" i="9" l="1"/>
  <c r="B320" i="9"/>
  <c r="X319" i="9"/>
  <c r="L319" i="9"/>
  <c r="F319" i="9"/>
  <c r="R319" i="9"/>
  <c r="M319" i="9"/>
  <c r="AA319" i="9"/>
  <c r="S319" i="9"/>
  <c r="H319" i="9"/>
  <c r="V319" i="9"/>
  <c r="P319" i="9"/>
  <c r="K319" i="9"/>
  <c r="D319" i="9"/>
  <c r="E319" i="9"/>
  <c r="G319" i="9"/>
  <c r="W319" i="9"/>
  <c r="O319" i="9"/>
  <c r="Q319" i="9"/>
  <c r="U319" i="9"/>
  <c r="Z319" i="9"/>
  <c r="Y319" i="9"/>
  <c r="J319" i="9"/>
  <c r="N319" i="9"/>
  <c r="T319" i="9"/>
  <c r="I319" i="9"/>
  <c r="L320" i="9" l="1"/>
  <c r="X320" i="9"/>
  <c r="R320" i="9"/>
  <c r="F320" i="9"/>
  <c r="H320" i="9"/>
  <c r="N320" i="9"/>
  <c r="W320" i="9"/>
  <c r="Z320" i="9"/>
  <c r="Q320" i="9"/>
  <c r="K320" i="9"/>
  <c r="M320" i="9"/>
  <c r="P320" i="9"/>
  <c r="G320" i="9"/>
  <c r="I320" i="9"/>
  <c r="V320" i="9"/>
  <c r="O320" i="9"/>
  <c r="E320" i="9"/>
  <c r="U320" i="9"/>
  <c r="AA320" i="9"/>
  <c r="S320" i="9"/>
  <c r="J320" i="9"/>
  <c r="Y320" i="9"/>
  <c r="D320" i="9"/>
  <c r="T320" i="9"/>
  <c r="C322" i="9"/>
  <c r="B321" i="9"/>
  <c r="R321" i="9" l="1"/>
  <c r="F321" i="9"/>
  <c r="L321" i="9"/>
  <c r="X321" i="9"/>
  <c r="W321" i="9"/>
  <c r="E321" i="9"/>
  <c r="I321" i="9"/>
  <c r="Y321" i="9"/>
  <c r="H321" i="9"/>
  <c r="V321" i="9"/>
  <c r="U321" i="9"/>
  <c r="J321" i="9"/>
  <c r="D321" i="9"/>
  <c r="O321" i="9"/>
  <c r="AA321" i="9"/>
  <c r="N321" i="9"/>
  <c r="G321" i="9"/>
  <c r="Z321" i="9"/>
  <c r="P321" i="9"/>
  <c r="K321" i="9"/>
  <c r="T321" i="9"/>
  <c r="Q321" i="9"/>
  <c r="M321" i="9"/>
  <c r="S321" i="9"/>
  <c r="C323" i="9"/>
  <c r="B322" i="9"/>
  <c r="L322" i="9" l="1"/>
  <c r="F322" i="9"/>
  <c r="X322" i="9"/>
  <c r="R322" i="9"/>
  <c r="N322" i="9"/>
  <c r="J322" i="9"/>
  <c r="G322" i="9"/>
  <c r="I322" i="9"/>
  <c r="O322" i="9"/>
  <c r="T322" i="9"/>
  <c r="K322" i="9"/>
  <c r="M322" i="9"/>
  <c r="P322" i="9"/>
  <c r="S322" i="9"/>
  <c r="V322" i="9"/>
  <c r="Y322" i="9"/>
  <c r="Z322" i="9"/>
  <c r="U322" i="9"/>
  <c r="W322" i="9"/>
  <c r="Q322" i="9"/>
  <c r="AA322" i="9"/>
  <c r="D322" i="9"/>
  <c r="E322" i="9"/>
  <c r="H322" i="9"/>
  <c r="B323" i="9"/>
  <c r="C324" i="9"/>
  <c r="C325" i="9" l="1"/>
  <c r="B324" i="9"/>
  <c r="X323" i="9"/>
  <c r="L323" i="9"/>
  <c r="R323" i="9"/>
  <c r="F323" i="9"/>
  <c r="K323" i="9"/>
  <c r="Z323" i="9"/>
  <c r="M323" i="9"/>
  <c r="H323" i="9"/>
  <c r="T323" i="9"/>
  <c r="D323" i="9"/>
  <c r="Q323" i="9"/>
  <c r="J323" i="9"/>
  <c r="N323" i="9"/>
  <c r="P323" i="9"/>
  <c r="I323" i="9"/>
  <c r="S323" i="9"/>
  <c r="Y323" i="9"/>
  <c r="E323" i="9"/>
  <c r="U323" i="9"/>
  <c r="G323" i="9"/>
  <c r="W323" i="9"/>
  <c r="O323" i="9"/>
  <c r="AA323" i="9"/>
  <c r="V323" i="9"/>
  <c r="X324" i="9" l="1"/>
  <c r="F324" i="9"/>
  <c r="L324" i="9"/>
  <c r="R324" i="9"/>
  <c r="AA324" i="9"/>
  <c r="D324" i="9"/>
  <c r="K324" i="9"/>
  <c r="N324" i="9"/>
  <c r="Y324" i="9"/>
  <c r="J324" i="9"/>
  <c r="M324" i="9"/>
  <c r="V324" i="9"/>
  <c r="E324" i="9"/>
  <c r="I324" i="9"/>
  <c r="U324" i="9"/>
  <c r="T324" i="9"/>
  <c r="H324" i="9"/>
  <c r="W324" i="9"/>
  <c r="Q324" i="9"/>
  <c r="O324" i="9"/>
  <c r="Z324" i="9"/>
  <c r="S324" i="9"/>
  <c r="P324" i="9"/>
  <c r="G324" i="9"/>
  <c r="C326" i="9"/>
  <c r="B325" i="9"/>
  <c r="R325" i="9" l="1"/>
  <c r="F325" i="9"/>
  <c r="L325" i="9"/>
  <c r="X325" i="9"/>
  <c r="K325" i="9"/>
  <c r="M325" i="9"/>
  <c r="S325" i="9"/>
  <c r="E325" i="9"/>
  <c r="Q325" i="9"/>
  <c r="AA325" i="9"/>
  <c r="N325" i="9"/>
  <c r="Z325" i="9"/>
  <c r="P325" i="9"/>
  <c r="D325" i="9"/>
  <c r="J325" i="9"/>
  <c r="G325" i="9"/>
  <c r="O325" i="9"/>
  <c r="T325" i="9"/>
  <c r="W325" i="9"/>
  <c r="Y325" i="9"/>
  <c r="V325" i="9"/>
  <c r="U325" i="9"/>
  <c r="H325" i="9"/>
  <c r="I325" i="9"/>
  <c r="B326" i="9"/>
  <c r="C327" i="9"/>
  <c r="B327" i="9" l="1"/>
  <c r="C328" i="9"/>
  <c r="R326" i="9"/>
  <c r="X326" i="9"/>
  <c r="F326" i="9"/>
  <c r="L326" i="9"/>
  <c r="K326" i="9"/>
  <c r="Z326" i="9"/>
  <c r="W326" i="9"/>
  <c r="I326" i="9"/>
  <c r="M326" i="9"/>
  <c r="Q326" i="9"/>
  <c r="G326" i="9"/>
  <c r="V326" i="9"/>
  <c r="N326" i="9"/>
  <c r="J326" i="9"/>
  <c r="P326" i="9"/>
  <c r="E326" i="9"/>
  <c r="Y326" i="9"/>
  <c r="O326" i="9"/>
  <c r="U326" i="9"/>
  <c r="S326" i="9"/>
  <c r="AA326" i="9"/>
  <c r="H326" i="9"/>
  <c r="D326" i="9"/>
  <c r="T326" i="9"/>
  <c r="C329" i="9" l="1"/>
  <c r="B328" i="9"/>
  <c r="X327" i="9"/>
  <c r="L327" i="9"/>
  <c r="F327" i="9"/>
  <c r="R327" i="9"/>
  <c r="J327" i="9"/>
  <c r="V327" i="9"/>
  <c r="N327" i="9"/>
  <c r="K327" i="9"/>
  <c r="Z327" i="9"/>
  <c r="P327" i="9"/>
  <c r="E327" i="9"/>
  <c r="H327" i="9"/>
  <c r="G327" i="9"/>
  <c r="T327" i="9"/>
  <c r="D327" i="9"/>
  <c r="W327" i="9"/>
  <c r="Q327" i="9"/>
  <c r="M327" i="9"/>
  <c r="O327" i="9"/>
  <c r="I327" i="9"/>
  <c r="AA327" i="9"/>
  <c r="Y327" i="9"/>
  <c r="S327" i="9"/>
  <c r="U327" i="9"/>
  <c r="L328" i="9" l="1"/>
  <c r="F328" i="9"/>
  <c r="R328" i="9"/>
  <c r="X328" i="9"/>
  <c r="M328" i="9"/>
  <c r="AA328" i="9"/>
  <c r="J328" i="9"/>
  <c r="P328" i="9"/>
  <c r="E328" i="9"/>
  <c r="V328" i="9"/>
  <c r="Y328" i="9"/>
  <c r="H328" i="9"/>
  <c r="T328" i="9"/>
  <c r="K328" i="9"/>
  <c r="W328" i="9"/>
  <c r="O328" i="9"/>
  <c r="D328" i="9"/>
  <c r="G328" i="9"/>
  <c r="N328" i="9"/>
  <c r="Z328" i="9"/>
  <c r="U328" i="9"/>
  <c r="S328" i="9"/>
  <c r="I328" i="9"/>
  <c r="Q328" i="9"/>
  <c r="C330" i="9"/>
  <c r="B329" i="9"/>
  <c r="R329" i="9" l="1"/>
  <c r="F329" i="9"/>
  <c r="L329" i="9"/>
  <c r="X329" i="9"/>
  <c r="J329" i="9"/>
  <c r="V329" i="9"/>
  <c r="Q329" i="9"/>
  <c r="N329" i="9"/>
  <c r="I329" i="9"/>
  <c r="Y329" i="9"/>
  <c r="AA329" i="9"/>
  <c r="D329" i="9"/>
  <c r="U329" i="9"/>
  <c r="T329" i="9"/>
  <c r="M329" i="9"/>
  <c r="Z329" i="9"/>
  <c r="K329" i="9"/>
  <c r="H329" i="9"/>
  <c r="S329" i="9"/>
  <c r="O329" i="9"/>
  <c r="P329" i="9"/>
  <c r="W329" i="9"/>
  <c r="E329" i="9"/>
  <c r="G329" i="9"/>
  <c r="B330" i="9"/>
  <c r="C331" i="9"/>
  <c r="B331" i="9" l="1"/>
  <c r="C332" i="9"/>
  <c r="F330" i="9"/>
  <c r="L330" i="9"/>
  <c r="X330" i="9"/>
  <c r="R330" i="9"/>
  <c r="V330" i="9"/>
  <c r="Q330" i="9"/>
  <c r="O330" i="9"/>
  <c r="U330" i="9"/>
  <c r="G330" i="9"/>
  <c r="T330" i="9"/>
  <c r="S330" i="9"/>
  <c r="W330" i="9"/>
  <c r="Y330" i="9"/>
  <c r="K330" i="9"/>
  <c r="AA330" i="9"/>
  <c r="I330" i="9"/>
  <c r="P330" i="9"/>
  <c r="D330" i="9"/>
  <c r="E330" i="9"/>
  <c r="J330" i="9"/>
  <c r="M330" i="9"/>
  <c r="N330" i="9"/>
  <c r="Z330" i="9"/>
  <c r="H330" i="9"/>
  <c r="C333" i="9" l="1"/>
  <c r="B332" i="9"/>
  <c r="X331" i="9"/>
  <c r="L331" i="9"/>
  <c r="F331" i="9"/>
  <c r="R331" i="9"/>
  <c r="Y331" i="9"/>
  <c r="O331" i="9"/>
  <c r="T331" i="9"/>
  <c r="V331" i="9"/>
  <c r="Z331" i="9"/>
  <c r="D331" i="9"/>
  <c r="I331" i="9"/>
  <c r="U331" i="9"/>
  <c r="H331" i="9"/>
  <c r="G331" i="9"/>
  <c r="E331" i="9"/>
  <c r="S331" i="9"/>
  <c r="M331" i="9"/>
  <c r="W331" i="9"/>
  <c r="Q331" i="9"/>
  <c r="P331" i="9"/>
  <c r="J331" i="9"/>
  <c r="N331" i="9"/>
  <c r="AA331" i="9"/>
  <c r="K331" i="9"/>
  <c r="L332" i="9" l="1"/>
  <c r="F332" i="9"/>
  <c r="X332" i="9"/>
  <c r="R332" i="9"/>
  <c r="V332" i="9"/>
  <c r="AA332" i="9"/>
  <c r="K332" i="9"/>
  <c r="P332" i="9"/>
  <c r="E332" i="9"/>
  <c r="M332" i="9"/>
  <c r="Q332" i="9"/>
  <c r="S332" i="9"/>
  <c r="Z332" i="9"/>
  <c r="I332" i="9"/>
  <c r="O332" i="9"/>
  <c r="J332" i="9"/>
  <c r="W332" i="9"/>
  <c r="N332" i="9"/>
  <c r="U332" i="9"/>
  <c r="H332" i="9"/>
  <c r="T332" i="9"/>
  <c r="Y332" i="9"/>
  <c r="D332" i="9"/>
  <c r="G332" i="9"/>
  <c r="C334" i="9"/>
  <c r="B333" i="9"/>
  <c r="R333" i="9" l="1"/>
  <c r="F333" i="9"/>
  <c r="L333" i="9"/>
  <c r="X333" i="9"/>
  <c r="W333" i="9"/>
  <c r="P333" i="9"/>
  <c r="E333" i="9"/>
  <c r="J333" i="9"/>
  <c r="O333" i="9"/>
  <c r="N333" i="9"/>
  <c r="D333" i="9"/>
  <c r="S333" i="9"/>
  <c r="I333" i="9"/>
  <c r="AA333" i="9"/>
  <c r="Z333" i="9"/>
  <c r="G333" i="9"/>
  <c r="Y333" i="9"/>
  <c r="U333" i="9"/>
  <c r="K333" i="9"/>
  <c r="M333" i="9"/>
  <c r="H333" i="9"/>
  <c r="T333" i="9"/>
  <c r="V333" i="9"/>
  <c r="Q333" i="9"/>
  <c r="B334" i="9"/>
  <c r="C335" i="9"/>
  <c r="C336" i="9" l="1"/>
  <c r="B335" i="9"/>
  <c r="X334" i="9"/>
  <c r="L334" i="9"/>
  <c r="R334" i="9"/>
  <c r="F334" i="9"/>
  <c r="E334" i="9"/>
  <c r="O334" i="9"/>
  <c r="U334" i="9"/>
  <c r="V334" i="9"/>
  <c r="W334" i="9"/>
  <c r="M334" i="9"/>
  <c r="G334" i="9"/>
  <c r="Q334" i="9"/>
  <c r="N334" i="9"/>
  <c r="Z334" i="9"/>
  <c r="S334" i="9"/>
  <c r="I334" i="9"/>
  <c r="H334" i="9"/>
  <c r="T334" i="9"/>
  <c r="AA334" i="9"/>
  <c r="J334" i="9"/>
  <c r="K334" i="9"/>
  <c r="D334" i="9"/>
  <c r="Y334" i="9"/>
  <c r="P334" i="9"/>
  <c r="L335" i="9" l="1"/>
  <c r="X335" i="9"/>
  <c r="R335" i="9"/>
  <c r="F335" i="9"/>
  <c r="V335" i="9"/>
  <c r="K335" i="9"/>
  <c r="T335" i="9"/>
  <c r="H335" i="9"/>
  <c r="M335" i="9"/>
  <c r="U335" i="9"/>
  <c r="J335" i="9"/>
  <c r="G335" i="9"/>
  <c r="Z335" i="9"/>
  <c r="D335" i="9"/>
  <c r="Q335" i="9"/>
  <c r="AA335" i="9"/>
  <c r="I335" i="9"/>
  <c r="N335" i="9"/>
  <c r="P335" i="9"/>
  <c r="E335" i="9"/>
  <c r="W335" i="9"/>
  <c r="Y335" i="9"/>
  <c r="S335" i="9"/>
  <c r="O335" i="9"/>
  <c r="B336" i="9"/>
  <c r="C337" i="9"/>
  <c r="B337" i="9" l="1"/>
  <c r="C338" i="9"/>
  <c r="X336" i="9"/>
  <c r="F336" i="9"/>
  <c r="R336" i="9"/>
  <c r="L336" i="9"/>
  <c r="K336" i="9"/>
  <c r="Y336" i="9"/>
  <c r="P336" i="9"/>
  <c r="M336" i="9"/>
  <c r="N336" i="9"/>
  <c r="Z336" i="9"/>
  <c r="D336" i="9"/>
  <c r="E336" i="9"/>
  <c r="U336" i="9"/>
  <c r="H336" i="9"/>
  <c r="T336" i="9"/>
  <c r="W336" i="9"/>
  <c r="I336" i="9"/>
  <c r="G336" i="9"/>
  <c r="O336" i="9"/>
  <c r="V336" i="9"/>
  <c r="AA336" i="9"/>
  <c r="J336" i="9"/>
  <c r="S336" i="9"/>
  <c r="Q336" i="9"/>
  <c r="B338" i="9" l="1"/>
  <c r="C339" i="9"/>
  <c r="L337" i="9"/>
  <c r="X337" i="9"/>
  <c r="R337" i="9"/>
  <c r="F337" i="9"/>
  <c r="J337" i="9"/>
  <c r="Y337" i="9"/>
  <c r="P337" i="9"/>
  <c r="T337" i="9"/>
  <c r="W337" i="9"/>
  <c r="K337" i="9"/>
  <c r="I337" i="9"/>
  <c r="O337" i="9"/>
  <c r="M337" i="9"/>
  <c r="Q337" i="9"/>
  <c r="G337" i="9"/>
  <c r="V337" i="9"/>
  <c r="S337" i="9"/>
  <c r="E337" i="9"/>
  <c r="Z337" i="9"/>
  <c r="U337" i="9"/>
  <c r="D337" i="9"/>
  <c r="H337" i="9"/>
  <c r="N337" i="9"/>
  <c r="AA337" i="9"/>
  <c r="C340" i="9" l="1"/>
  <c r="B339" i="9"/>
  <c r="X338" i="9"/>
  <c r="F338" i="9"/>
  <c r="R338" i="9"/>
  <c r="L338" i="9"/>
  <c r="J338" i="9"/>
  <c r="N338" i="9"/>
  <c r="P338" i="9"/>
  <c r="K338" i="9"/>
  <c r="AA338" i="9"/>
  <c r="U338" i="9"/>
  <c r="G338" i="9"/>
  <c r="S338" i="9"/>
  <c r="D338" i="9"/>
  <c r="W338" i="9"/>
  <c r="M338" i="9"/>
  <c r="T338" i="9"/>
  <c r="H338" i="9"/>
  <c r="I338" i="9"/>
  <c r="Y338" i="9"/>
  <c r="Z338" i="9"/>
  <c r="V338" i="9"/>
  <c r="Q338" i="9"/>
  <c r="O338" i="9"/>
  <c r="E338" i="9"/>
  <c r="R339" i="9" l="1"/>
  <c r="F339" i="9"/>
  <c r="X339" i="9"/>
  <c r="L339" i="9"/>
  <c r="O339" i="9"/>
  <c r="W339" i="9"/>
  <c r="M339" i="9"/>
  <c r="Z339" i="9"/>
  <c r="J339" i="9"/>
  <c r="Y339" i="9"/>
  <c r="S339" i="9"/>
  <c r="H339" i="9"/>
  <c r="G339" i="9"/>
  <c r="P339" i="9"/>
  <c r="V339" i="9"/>
  <c r="N339" i="9"/>
  <c r="U339" i="9"/>
  <c r="E339" i="9"/>
  <c r="I339" i="9"/>
  <c r="AA339" i="9"/>
  <c r="Q339" i="9"/>
  <c r="D339" i="9"/>
  <c r="K339" i="9"/>
  <c r="T339" i="9"/>
  <c r="C341" i="9"/>
  <c r="B340" i="9"/>
  <c r="L340" i="9" l="1"/>
  <c r="X340" i="9"/>
  <c r="R340" i="9"/>
  <c r="F340" i="9"/>
  <c r="Y340" i="9"/>
  <c r="J340" i="9"/>
  <c r="S340" i="9"/>
  <c r="D340" i="9"/>
  <c r="P340" i="9"/>
  <c r="W340" i="9"/>
  <c r="N340" i="9"/>
  <c r="U340" i="9"/>
  <c r="AA340" i="9"/>
  <c r="M340" i="9"/>
  <c r="K340" i="9"/>
  <c r="I340" i="9"/>
  <c r="T340" i="9"/>
  <c r="E340" i="9"/>
  <c r="H340" i="9"/>
  <c r="V340" i="9"/>
  <c r="Z340" i="9"/>
  <c r="Q340" i="9"/>
  <c r="O340" i="9"/>
  <c r="G340" i="9"/>
  <c r="B341" i="9"/>
  <c r="C342" i="9"/>
  <c r="C343" i="9" l="1"/>
  <c r="B342" i="9"/>
  <c r="X341" i="9"/>
  <c r="L341" i="9"/>
  <c r="F341" i="9"/>
  <c r="R341" i="9"/>
  <c r="M341" i="9"/>
  <c r="Y341" i="9"/>
  <c r="V341" i="9"/>
  <c r="I341" i="9"/>
  <c r="Q341" i="9"/>
  <c r="T341" i="9"/>
  <c r="J341" i="9"/>
  <c r="W341" i="9"/>
  <c r="U341" i="9"/>
  <c r="Z341" i="9"/>
  <c r="N341" i="9"/>
  <c r="E341" i="9"/>
  <c r="G341" i="9"/>
  <c r="K341" i="9"/>
  <c r="P341" i="9"/>
  <c r="O341" i="9"/>
  <c r="D341" i="9"/>
  <c r="AA341" i="9"/>
  <c r="S341" i="9"/>
  <c r="H341" i="9"/>
  <c r="F342" i="9" l="1"/>
  <c r="X342" i="9"/>
  <c r="R342" i="9"/>
  <c r="L342" i="9"/>
  <c r="W342" i="9"/>
  <c r="N342" i="9"/>
  <c r="V342" i="9"/>
  <c r="D342" i="9"/>
  <c r="U342" i="9"/>
  <c r="G342" i="9"/>
  <c r="AA342" i="9"/>
  <c r="Y342" i="9"/>
  <c r="T342" i="9"/>
  <c r="Q342" i="9"/>
  <c r="M342" i="9"/>
  <c r="I342" i="9"/>
  <c r="P342" i="9"/>
  <c r="E342" i="9"/>
  <c r="H342" i="9"/>
  <c r="J342" i="9"/>
  <c r="S342" i="9"/>
  <c r="Z342" i="9"/>
  <c r="O342" i="9"/>
  <c r="K342" i="9"/>
  <c r="C344" i="9"/>
  <c r="B343" i="9"/>
  <c r="R343" i="9" l="1"/>
  <c r="F343" i="9"/>
  <c r="X343" i="9"/>
  <c r="L343" i="9"/>
  <c r="W343" i="9"/>
  <c r="I343" i="9"/>
  <c r="Z343" i="9"/>
  <c r="K343" i="9"/>
  <c r="Y343" i="9"/>
  <c r="S343" i="9"/>
  <c r="V343" i="9"/>
  <c r="N343" i="9"/>
  <c r="P343" i="9"/>
  <c r="O343" i="9"/>
  <c r="H343" i="9"/>
  <c r="M343" i="9"/>
  <c r="Q343" i="9"/>
  <c r="J343" i="9"/>
  <c r="U343" i="9"/>
  <c r="AA343" i="9"/>
  <c r="D343" i="9"/>
  <c r="E343" i="9"/>
  <c r="G343" i="9"/>
  <c r="T343" i="9"/>
  <c r="B344" i="9"/>
  <c r="C345" i="9"/>
  <c r="B345" i="9" l="1"/>
  <c r="C346" i="9"/>
  <c r="F344" i="9"/>
  <c r="R344" i="9"/>
  <c r="L344" i="9"/>
  <c r="X344" i="9"/>
  <c r="M344" i="9"/>
  <c r="P344" i="9"/>
  <c r="J344" i="9"/>
  <c r="S344" i="9"/>
  <c r="T344" i="9"/>
  <c r="G344" i="9"/>
  <c r="W344" i="9"/>
  <c r="I344" i="9"/>
  <c r="Q344" i="9"/>
  <c r="N344" i="9"/>
  <c r="U344" i="9"/>
  <c r="Y344" i="9"/>
  <c r="O344" i="9"/>
  <c r="K344" i="9"/>
  <c r="Z344" i="9"/>
  <c r="V344" i="9"/>
  <c r="D344" i="9"/>
  <c r="E344" i="9"/>
  <c r="AA344" i="9"/>
  <c r="H344" i="9"/>
  <c r="B346" i="9" l="1"/>
  <c r="C347" i="9"/>
  <c r="X345" i="9"/>
  <c r="L345" i="9"/>
  <c r="F345" i="9"/>
  <c r="R345" i="9"/>
  <c r="N345" i="9"/>
  <c r="Z345" i="9"/>
  <c r="D345" i="9"/>
  <c r="V345" i="9"/>
  <c r="W345" i="9"/>
  <c r="Y345" i="9"/>
  <c r="P345" i="9"/>
  <c r="Q345" i="9"/>
  <c r="S345" i="9"/>
  <c r="E345" i="9"/>
  <c r="K345" i="9"/>
  <c r="O345" i="9"/>
  <c r="I345" i="9"/>
  <c r="U345" i="9"/>
  <c r="H345" i="9"/>
  <c r="T345" i="9"/>
  <c r="J345" i="9"/>
  <c r="G345" i="9"/>
  <c r="AA345" i="9"/>
  <c r="M345" i="9"/>
  <c r="C348" i="9" l="1"/>
  <c r="B347" i="9"/>
  <c r="X346" i="9"/>
  <c r="F346" i="9"/>
  <c r="R346" i="9"/>
  <c r="L346" i="9"/>
  <c r="E346" i="9"/>
  <c r="Q346" i="9"/>
  <c r="M346" i="9"/>
  <c r="N346" i="9"/>
  <c r="K346" i="9"/>
  <c r="D346" i="9"/>
  <c r="G346" i="9"/>
  <c r="S346" i="9"/>
  <c r="H346" i="9"/>
  <c r="Z346" i="9"/>
  <c r="V346" i="9"/>
  <c r="Y346" i="9"/>
  <c r="J346" i="9"/>
  <c r="I346" i="9"/>
  <c r="W346" i="9"/>
  <c r="P346" i="9"/>
  <c r="AA346" i="9"/>
  <c r="O346" i="9"/>
  <c r="U346" i="9"/>
  <c r="T346" i="9"/>
  <c r="R347" i="9" l="1"/>
  <c r="F347" i="9"/>
  <c r="X347" i="9"/>
  <c r="L347" i="9"/>
  <c r="W347" i="9"/>
  <c r="D347" i="9"/>
  <c r="Q347" i="9"/>
  <c r="E347" i="9"/>
  <c r="G347" i="9"/>
  <c r="K347" i="9"/>
  <c r="AA347" i="9"/>
  <c r="I347" i="9"/>
  <c r="O347" i="9"/>
  <c r="T347" i="9"/>
  <c r="P347" i="9"/>
  <c r="H347" i="9"/>
  <c r="V347" i="9"/>
  <c r="Y347" i="9"/>
  <c r="J347" i="9"/>
  <c r="M347" i="9"/>
  <c r="N347" i="9"/>
  <c r="Z347" i="9"/>
  <c r="U347" i="9"/>
  <c r="S347" i="9"/>
  <c r="C349" i="9"/>
  <c r="B348" i="9"/>
  <c r="L348" i="9" l="1"/>
  <c r="X348" i="9"/>
  <c r="R348" i="9"/>
  <c r="F348" i="9"/>
  <c r="M348" i="9"/>
  <c r="N348" i="9"/>
  <c r="P348" i="9"/>
  <c r="I348" i="9"/>
  <c r="Z348" i="9"/>
  <c r="J348" i="9"/>
  <c r="Y348" i="9"/>
  <c r="AA348" i="9"/>
  <c r="T348" i="9"/>
  <c r="G348" i="9"/>
  <c r="E348" i="9"/>
  <c r="O348" i="9"/>
  <c r="U348" i="9"/>
  <c r="H348" i="9"/>
  <c r="V348" i="9"/>
  <c r="Q348" i="9"/>
  <c r="S348" i="9"/>
  <c r="K348" i="9"/>
  <c r="W348" i="9"/>
  <c r="D348" i="9"/>
  <c r="B349" i="9"/>
  <c r="C350" i="9"/>
  <c r="C351" i="9" l="1"/>
  <c r="B350" i="9"/>
  <c r="X349" i="9"/>
  <c r="L349" i="9"/>
  <c r="R349" i="9"/>
  <c r="F349" i="9"/>
  <c r="E349" i="9"/>
  <c r="O349" i="9"/>
  <c r="Y349" i="9"/>
  <c r="Z349" i="9"/>
  <c r="K349" i="9"/>
  <c r="P349" i="9"/>
  <c r="I349" i="9"/>
  <c r="W349" i="9"/>
  <c r="H349" i="9"/>
  <c r="D349" i="9"/>
  <c r="N349" i="9"/>
  <c r="S349" i="9"/>
  <c r="M349" i="9"/>
  <c r="AA349" i="9"/>
  <c r="Q349" i="9"/>
  <c r="U349" i="9"/>
  <c r="V349" i="9"/>
  <c r="G349" i="9"/>
  <c r="T349" i="9"/>
  <c r="J349" i="9"/>
  <c r="L350" i="9" l="1"/>
  <c r="R350" i="9"/>
  <c r="X350" i="9"/>
  <c r="F350" i="9"/>
  <c r="V350" i="9"/>
  <c r="Z350" i="9"/>
  <c r="J350" i="9"/>
  <c r="N350" i="9"/>
  <c r="Y350" i="9"/>
  <c r="U350" i="9"/>
  <c r="G350" i="9"/>
  <c r="W350" i="9"/>
  <c r="M350" i="9"/>
  <c r="E350" i="9"/>
  <c r="Q350" i="9"/>
  <c r="K350" i="9"/>
  <c r="O350" i="9"/>
  <c r="D350" i="9"/>
  <c r="I350" i="9"/>
  <c r="P350" i="9"/>
  <c r="S350" i="9"/>
  <c r="T350" i="9"/>
  <c r="AA350" i="9"/>
  <c r="H350" i="9"/>
  <c r="C352" i="9"/>
  <c r="B351" i="9"/>
  <c r="R351" i="9" l="1"/>
  <c r="F351" i="9"/>
  <c r="X351" i="9"/>
  <c r="L351" i="9"/>
  <c r="V351" i="9"/>
  <c r="Y351" i="9"/>
  <c r="M351" i="9"/>
  <c r="Z351" i="9"/>
  <c r="D351" i="9"/>
  <c r="H351" i="9"/>
  <c r="K351" i="9"/>
  <c r="I351" i="9"/>
  <c r="J351" i="9"/>
  <c r="W351" i="9"/>
  <c r="AA351" i="9"/>
  <c r="U351" i="9"/>
  <c r="Q351" i="9"/>
  <c r="O351" i="9"/>
  <c r="N351" i="9"/>
  <c r="E351" i="9"/>
  <c r="P351" i="9"/>
  <c r="S351" i="9"/>
  <c r="G351" i="9"/>
  <c r="T351" i="9"/>
  <c r="B352" i="9"/>
  <c r="C353" i="9"/>
  <c r="B353" i="9" l="1"/>
  <c r="C354" i="9"/>
  <c r="F352" i="9"/>
  <c r="R352" i="9"/>
  <c r="X352" i="9"/>
  <c r="L352" i="9"/>
  <c r="Y352" i="9"/>
  <c r="H352" i="9"/>
  <c r="Z352" i="9"/>
  <c r="U352" i="9"/>
  <c r="AA352" i="9"/>
  <c r="Q352" i="9"/>
  <c r="P352" i="9"/>
  <c r="T352" i="9"/>
  <c r="D352" i="9"/>
  <c r="E352" i="9"/>
  <c r="N352" i="9"/>
  <c r="W352" i="9"/>
  <c r="S352" i="9"/>
  <c r="K352" i="9"/>
  <c r="V352" i="9"/>
  <c r="G352" i="9"/>
  <c r="J352" i="9"/>
  <c r="M352" i="9"/>
  <c r="I352" i="9"/>
  <c r="O352" i="9"/>
  <c r="B354" i="9" l="1"/>
  <c r="C355" i="9"/>
  <c r="X353" i="9"/>
  <c r="L353" i="9"/>
  <c r="F353" i="9"/>
  <c r="R353" i="9"/>
  <c r="K353" i="9"/>
  <c r="AA353" i="9"/>
  <c r="J353" i="9"/>
  <c r="P353" i="9"/>
  <c r="I353" i="9"/>
  <c r="Q353" i="9"/>
  <c r="O353" i="9"/>
  <c r="H353" i="9"/>
  <c r="T353" i="9"/>
  <c r="U353" i="9"/>
  <c r="N353" i="9"/>
  <c r="M353" i="9"/>
  <c r="G353" i="9"/>
  <c r="W353" i="9"/>
  <c r="E353" i="9"/>
  <c r="Y353" i="9"/>
  <c r="D353" i="9"/>
  <c r="S353" i="9"/>
  <c r="V353" i="9"/>
  <c r="Z353" i="9"/>
  <c r="C356" i="9" l="1"/>
  <c r="B355" i="9"/>
  <c r="X354" i="9"/>
  <c r="F354" i="9"/>
  <c r="R354" i="9"/>
  <c r="L354" i="9"/>
  <c r="K354" i="9"/>
  <c r="U354" i="9"/>
  <c r="J354" i="9"/>
  <c r="W354" i="9"/>
  <c r="D354" i="9"/>
  <c r="N354" i="9"/>
  <c r="T354" i="9"/>
  <c r="I354" i="9"/>
  <c r="Q354" i="9"/>
  <c r="O354" i="9"/>
  <c r="Y354" i="9"/>
  <c r="P354" i="9"/>
  <c r="H354" i="9"/>
  <c r="M354" i="9"/>
  <c r="Z354" i="9"/>
  <c r="E354" i="9"/>
  <c r="AA354" i="9"/>
  <c r="V354" i="9"/>
  <c r="G354" i="9"/>
  <c r="S354" i="9"/>
  <c r="R355" i="9" l="1"/>
  <c r="F355" i="9"/>
  <c r="X355" i="9"/>
  <c r="L355" i="9"/>
  <c r="K355" i="9"/>
  <c r="E355" i="9"/>
  <c r="O355" i="9"/>
  <c r="V355" i="9"/>
  <c r="D355" i="9"/>
  <c r="Q355" i="9"/>
  <c r="M355" i="9"/>
  <c r="J355" i="9"/>
  <c r="I355" i="9"/>
  <c r="U355" i="9"/>
  <c r="S355" i="9"/>
  <c r="G355" i="9"/>
  <c r="T355" i="9"/>
  <c r="AA355" i="9"/>
  <c r="P355" i="9"/>
  <c r="Y355" i="9"/>
  <c r="W355" i="9"/>
  <c r="N355" i="9"/>
  <c r="Z355" i="9"/>
  <c r="H355" i="9"/>
  <c r="C357" i="9"/>
  <c r="B356" i="9"/>
  <c r="L356" i="9" l="1"/>
  <c r="X356" i="9"/>
  <c r="R356" i="9"/>
  <c r="F356" i="9"/>
  <c r="I356" i="9"/>
  <c r="V356" i="9"/>
  <c r="U356" i="9"/>
  <c r="M356" i="9"/>
  <c r="D356" i="9"/>
  <c r="W356" i="9"/>
  <c r="E356" i="9"/>
  <c r="O356" i="9"/>
  <c r="K356" i="9"/>
  <c r="G356" i="9"/>
  <c r="T356" i="9"/>
  <c r="Z356" i="9"/>
  <c r="AA356" i="9"/>
  <c r="J356" i="9"/>
  <c r="N356" i="9"/>
  <c r="P356" i="9"/>
  <c r="S356" i="9"/>
  <c r="Y356" i="9"/>
  <c r="Q356" i="9"/>
  <c r="H356" i="9"/>
  <c r="B357" i="9"/>
  <c r="C358" i="9"/>
  <c r="C359" i="9" l="1"/>
  <c r="B358" i="9"/>
  <c r="X357" i="9"/>
  <c r="L357" i="9"/>
  <c r="R357" i="9"/>
  <c r="F357" i="9"/>
  <c r="K357" i="9"/>
  <c r="W357" i="9"/>
  <c r="J357" i="9"/>
  <c r="N357" i="9"/>
  <c r="Z357" i="9"/>
  <c r="D357" i="9"/>
  <c r="I357" i="9"/>
  <c r="P357" i="9"/>
  <c r="Q357" i="9"/>
  <c r="M357" i="9"/>
  <c r="E357" i="9"/>
  <c r="AA357" i="9"/>
  <c r="Y357" i="9"/>
  <c r="T357" i="9"/>
  <c r="U357" i="9"/>
  <c r="V357" i="9"/>
  <c r="O357" i="9"/>
  <c r="S357" i="9"/>
  <c r="G357" i="9"/>
  <c r="H357" i="9"/>
  <c r="L358" i="9" l="1"/>
  <c r="X358" i="9"/>
  <c r="R358" i="9"/>
  <c r="F358" i="9"/>
  <c r="M358" i="9"/>
  <c r="D358" i="9"/>
  <c r="S358" i="9"/>
  <c r="V358" i="9"/>
  <c r="G358" i="9"/>
  <c r="AA358" i="9"/>
  <c r="Y358" i="9"/>
  <c r="Q358" i="9"/>
  <c r="P358" i="9"/>
  <c r="O358" i="9"/>
  <c r="N358" i="9"/>
  <c r="I358" i="9"/>
  <c r="H358" i="9"/>
  <c r="T358" i="9"/>
  <c r="U358" i="9"/>
  <c r="E358" i="9"/>
  <c r="J358" i="9"/>
  <c r="W358" i="9"/>
  <c r="Z358" i="9"/>
  <c r="K358" i="9"/>
  <c r="C360" i="9"/>
  <c r="B359" i="9"/>
  <c r="R359" i="9" l="1"/>
  <c r="F359" i="9"/>
  <c r="L359" i="9"/>
  <c r="X359" i="9"/>
  <c r="N359" i="9"/>
  <c r="Z359" i="9"/>
  <c r="I359" i="9"/>
  <c r="E359" i="9"/>
  <c r="U359" i="9"/>
  <c r="G359" i="9"/>
  <c r="H359" i="9"/>
  <c r="P359" i="9"/>
  <c r="O359" i="9"/>
  <c r="Y359" i="9"/>
  <c r="J359" i="9"/>
  <c r="Q359" i="9"/>
  <c r="S359" i="9"/>
  <c r="K359" i="9"/>
  <c r="D359" i="9"/>
  <c r="AA359" i="9"/>
  <c r="W359" i="9"/>
  <c r="V359" i="9"/>
  <c r="T359" i="9"/>
  <c r="M359" i="9"/>
  <c r="B360" i="9"/>
  <c r="C361" i="9"/>
  <c r="B361" i="9" l="1"/>
  <c r="C362" i="9"/>
  <c r="F360" i="9"/>
  <c r="R360" i="9"/>
  <c r="L360" i="9"/>
  <c r="X360" i="9"/>
  <c r="I360" i="9"/>
  <c r="M360" i="9"/>
  <c r="N360" i="9"/>
  <c r="V360" i="9"/>
  <c r="AA360" i="9"/>
  <c r="Y360" i="9"/>
  <c r="J360" i="9"/>
  <c r="W360" i="9"/>
  <c r="Z360" i="9"/>
  <c r="P360" i="9"/>
  <c r="Q360" i="9"/>
  <c r="D360" i="9"/>
  <c r="T360" i="9"/>
  <c r="H360" i="9"/>
  <c r="O360" i="9"/>
  <c r="S360" i="9"/>
  <c r="E360" i="9"/>
  <c r="K360" i="9"/>
  <c r="U360" i="9"/>
  <c r="G360" i="9"/>
  <c r="B362" i="9" l="1"/>
  <c r="C363" i="9"/>
  <c r="X361" i="9"/>
  <c r="L361" i="9"/>
  <c r="F361" i="9"/>
  <c r="R361" i="9"/>
  <c r="D361" i="9"/>
  <c r="K361" i="9"/>
  <c r="Z361" i="9"/>
  <c r="S361" i="9"/>
  <c r="U361" i="9"/>
  <c r="T361" i="9"/>
  <c r="E361" i="9"/>
  <c r="Y361" i="9"/>
  <c r="O361" i="9"/>
  <c r="M361" i="9"/>
  <c r="P361" i="9"/>
  <c r="J361" i="9"/>
  <c r="W361" i="9"/>
  <c r="AA361" i="9"/>
  <c r="G361" i="9"/>
  <c r="Q361" i="9"/>
  <c r="V361" i="9"/>
  <c r="N361" i="9"/>
  <c r="H361" i="9"/>
  <c r="I361" i="9"/>
  <c r="C364" i="9" l="1"/>
  <c r="B363" i="9"/>
  <c r="X362" i="9"/>
  <c r="F362" i="9"/>
  <c r="R362" i="9"/>
  <c r="L362" i="9"/>
  <c r="P362" i="9"/>
  <c r="Z362" i="9"/>
  <c r="U362" i="9"/>
  <c r="G362" i="9"/>
  <c r="S362" i="9"/>
  <c r="H362" i="9"/>
  <c r="T362" i="9"/>
  <c r="V362" i="9"/>
  <c r="W362" i="9"/>
  <c r="I362" i="9"/>
  <c r="M362" i="9"/>
  <c r="O362" i="9"/>
  <c r="K362" i="9"/>
  <c r="N362" i="9"/>
  <c r="J362" i="9"/>
  <c r="Y362" i="9"/>
  <c r="E362" i="9"/>
  <c r="AA362" i="9"/>
  <c r="Q362" i="9"/>
  <c r="D362" i="9"/>
  <c r="F363" i="9" l="1"/>
  <c r="X363" i="9"/>
  <c r="L363" i="9"/>
  <c r="R363" i="9"/>
  <c r="O363" i="9"/>
  <c r="Z363" i="9"/>
  <c r="Y363" i="9"/>
  <c r="G363" i="9"/>
  <c r="K363" i="9"/>
  <c r="M363" i="9"/>
  <c r="U363" i="9"/>
  <c r="T363" i="9"/>
  <c r="N363" i="9"/>
  <c r="I363" i="9"/>
  <c r="J363" i="9"/>
  <c r="S363" i="9"/>
  <c r="Q363" i="9"/>
  <c r="V363" i="9"/>
  <c r="D363" i="9"/>
  <c r="P363" i="9"/>
  <c r="E363" i="9"/>
  <c r="AA363" i="9"/>
  <c r="W363" i="9"/>
  <c r="H363" i="9"/>
  <c r="C365" i="9"/>
  <c r="B364" i="9"/>
  <c r="R364" i="9" l="1"/>
  <c r="L364" i="9"/>
  <c r="X364" i="9"/>
  <c r="F364" i="9"/>
  <c r="V364" i="9"/>
  <c r="M364" i="9"/>
  <c r="N364" i="9"/>
  <c r="W364" i="9"/>
  <c r="Q364" i="9"/>
  <c r="T364" i="9"/>
  <c r="G364" i="9"/>
  <c r="Z364" i="9"/>
  <c r="E364" i="9"/>
  <c r="J364" i="9"/>
  <c r="U364" i="9"/>
  <c r="H364" i="9"/>
  <c r="K364" i="9"/>
  <c r="I364" i="9"/>
  <c r="P364" i="9"/>
  <c r="O364" i="9"/>
  <c r="S364" i="9"/>
  <c r="AA364" i="9"/>
  <c r="D364" i="9"/>
  <c r="Y364" i="9"/>
  <c r="C366" i="9"/>
  <c r="B365" i="9"/>
  <c r="F365" i="9" l="1"/>
  <c r="R365" i="9"/>
  <c r="X365" i="9"/>
  <c r="L365" i="9"/>
  <c r="V365" i="9"/>
  <c r="D365" i="9"/>
  <c r="E365" i="9"/>
  <c r="AA365" i="9"/>
  <c r="M365" i="9"/>
  <c r="S365" i="9"/>
  <c r="G365" i="9"/>
  <c r="P365" i="9"/>
  <c r="Q365" i="9"/>
  <c r="O365" i="9"/>
  <c r="H365" i="9"/>
  <c r="T365" i="9"/>
  <c r="J365" i="9"/>
  <c r="W365" i="9"/>
  <c r="K365" i="9"/>
  <c r="Y365" i="9"/>
  <c r="N365" i="9"/>
  <c r="Z365" i="9"/>
  <c r="I365" i="9"/>
  <c r="U365" i="9"/>
  <c r="B366" i="9"/>
  <c r="C367" i="9"/>
  <c r="B367" i="9" l="1"/>
  <c r="C368" i="9"/>
  <c r="R366" i="9"/>
  <c r="X366" i="9"/>
  <c r="F366" i="9"/>
  <c r="L366" i="9"/>
  <c r="Z366" i="9"/>
  <c r="V366" i="9"/>
  <c r="Y366" i="9"/>
  <c r="D366" i="9"/>
  <c r="S366" i="9"/>
  <c r="N366" i="9"/>
  <c r="K366" i="9"/>
  <c r="I366" i="9"/>
  <c r="E366" i="9"/>
  <c r="Q366" i="9"/>
  <c r="U366" i="9"/>
  <c r="O366" i="9"/>
  <c r="G366" i="9"/>
  <c r="W366" i="9"/>
  <c r="M366" i="9"/>
  <c r="AA366" i="9"/>
  <c r="H366" i="9"/>
  <c r="J366" i="9"/>
  <c r="P366" i="9"/>
  <c r="T366" i="9"/>
  <c r="C369" i="9" l="1"/>
  <c r="B368" i="9"/>
  <c r="R367" i="9"/>
  <c r="L367" i="9"/>
  <c r="X367" i="9"/>
  <c r="F367" i="9"/>
  <c r="W367" i="9"/>
  <c r="J367" i="9"/>
  <c r="V367" i="9"/>
  <c r="P367" i="9"/>
  <c r="H367" i="9"/>
  <c r="E367" i="9"/>
  <c r="T367" i="9"/>
  <c r="Y367" i="9"/>
  <c r="O367" i="9"/>
  <c r="M367" i="9"/>
  <c r="U367" i="9"/>
  <c r="S367" i="9"/>
  <c r="D367" i="9"/>
  <c r="I367" i="9"/>
  <c r="Z367" i="9"/>
  <c r="Q367" i="9"/>
  <c r="G367" i="9"/>
  <c r="AA367" i="9"/>
  <c r="K367" i="9"/>
  <c r="N367" i="9"/>
  <c r="R368" i="9" l="1"/>
  <c r="L368" i="9"/>
  <c r="F368" i="9"/>
  <c r="X368" i="9"/>
  <c r="Q368" i="9"/>
  <c r="K368" i="9"/>
  <c r="E368" i="9"/>
  <c r="G368" i="9"/>
  <c r="M368" i="9"/>
  <c r="O368" i="9"/>
  <c r="U368" i="9"/>
  <c r="W368" i="9"/>
  <c r="S368" i="9"/>
  <c r="I368" i="9"/>
  <c r="Y368" i="9"/>
  <c r="T368" i="9"/>
  <c r="J368" i="9"/>
  <c r="H368" i="9"/>
  <c r="D368" i="9"/>
  <c r="V368" i="9"/>
  <c r="P368" i="9"/>
  <c r="Z368" i="9"/>
  <c r="AA368" i="9"/>
  <c r="N368" i="9"/>
  <c r="B369" i="9"/>
  <c r="C370" i="9"/>
  <c r="C371" i="9" l="1"/>
  <c r="B370" i="9"/>
  <c r="X369" i="9"/>
  <c r="F369" i="9"/>
  <c r="R369" i="9"/>
  <c r="L369" i="9"/>
  <c r="D369" i="9"/>
  <c r="O369" i="9"/>
  <c r="E369" i="9"/>
  <c r="Y369" i="9"/>
  <c r="Z369" i="9"/>
  <c r="Q369" i="9"/>
  <c r="W369" i="9"/>
  <c r="AA369" i="9"/>
  <c r="P369" i="9"/>
  <c r="U369" i="9"/>
  <c r="H369" i="9"/>
  <c r="J369" i="9"/>
  <c r="M369" i="9"/>
  <c r="N369" i="9"/>
  <c r="S369" i="9"/>
  <c r="I369" i="9"/>
  <c r="V369" i="9"/>
  <c r="G369" i="9"/>
  <c r="K369" i="9"/>
  <c r="T369" i="9"/>
  <c r="R370" i="9" l="1"/>
  <c r="F370" i="9"/>
  <c r="L370" i="9"/>
  <c r="X370" i="9"/>
  <c r="V370" i="9"/>
  <c r="D370" i="9"/>
  <c r="M370" i="9"/>
  <c r="P370" i="9"/>
  <c r="O370" i="9"/>
  <c r="J370" i="9"/>
  <c r="E370" i="9"/>
  <c r="K370" i="9"/>
  <c r="Z370" i="9"/>
  <c r="T370" i="9"/>
  <c r="W370" i="9"/>
  <c r="G370" i="9"/>
  <c r="Y370" i="9"/>
  <c r="AA370" i="9"/>
  <c r="U370" i="9"/>
  <c r="N370" i="9"/>
  <c r="I370" i="9"/>
  <c r="Q370" i="9"/>
  <c r="H370" i="9"/>
  <c r="S370" i="9"/>
  <c r="B371" i="9"/>
  <c r="C372" i="9"/>
  <c r="C373" i="9" l="1"/>
  <c r="B372" i="9"/>
  <c r="F371" i="9"/>
  <c r="X371" i="9"/>
  <c r="R371" i="9"/>
  <c r="L371" i="9"/>
  <c r="W371" i="9"/>
  <c r="Q371" i="9"/>
  <c r="J371" i="9"/>
  <c r="V371" i="9"/>
  <c r="M371" i="9"/>
  <c r="Z371" i="9"/>
  <c r="AA371" i="9"/>
  <c r="N371" i="9"/>
  <c r="I371" i="9"/>
  <c r="G371" i="9"/>
  <c r="K371" i="9"/>
  <c r="Y371" i="9"/>
  <c r="S371" i="9"/>
  <c r="H371" i="9"/>
  <c r="U371" i="9"/>
  <c r="T371" i="9"/>
  <c r="D371" i="9"/>
  <c r="E371" i="9"/>
  <c r="O371" i="9"/>
  <c r="P371" i="9"/>
  <c r="X372" i="9" l="1"/>
  <c r="L372" i="9"/>
  <c r="F372" i="9"/>
  <c r="R372" i="9"/>
  <c r="P372" i="9"/>
  <c r="V372" i="9"/>
  <c r="Z372" i="9"/>
  <c r="D372" i="9"/>
  <c r="Q372" i="9"/>
  <c r="J372" i="9"/>
  <c r="K372" i="9"/>
  <c r="W372" i="9"/>
  <c r="N372" i="9"/>
  <c r="I372" i="9"/>
  <c r="E372" i="9"/>
  <c r="M372" i="9"/>
  <c r="S372" i="9"/>
  <c r="T372" i="9"/>
  <c r="Y372" i="9"/>
  <c r="U372" i="9"/>
  <c r="O372" i="9"/>
  <c r="G372" i="9"/>
  <c r="H372" i="9"/>
  <c r="AA372" i="9"/>
  <c r="B373" i="9"/>
  <c r="C374" i="9"/>
  <c r="C375" i="9" l="1"/>
  <c r="B374" i="9"/>
  <c r="X373" i="9"/>
  <c r="F373" i="9"/>
  <c r="R373" i="9"/>
  <c r="L373" i="9"/>
  <c r="K373" i="9"/>
  <c r="Y373" i="9"/>
  <c r="G373" i="9"/>
  <c r="W373" i="9"/>
  <c r="N373" i="9"/>
  <c r="AA373" i="9"/>
  <c r="I373" i="9"/>
  <c r="J373" i="9"/>
  <c r="V373" i="9"/>
  <c r="P373" i="9"/>
  <c r="E373" i="9"/>
  <c r="Z373" i="9"/>
  <c r="U373" i="9"/>
  <c r="S373" i="9"/>
  <c r="Q373" i="9"/>
  <c r="T373" i="9"/>
  <c r="H373" i="9"/>
  <c r="M373" i="9"/>
  <c r="O373" i="9"/>
  <c r="D373" i="9"/>
  <c r="R374" i="9" l="1"/>
  <c r="F374" i="9"/>
  <c r="L374" i="9"/>
  <c r="X374" i="9"/>
  <c r="Y374" i="9"/>
  <c r="D374" i="9"/>
  <c r="V374" i="9"/>
  <c r="Q374" i="9"/>
  <c r="S374" i="9"/>
  <c r="H374" i="9"/>
  <c r="W374" i="9"/>
  <c r="I374" i="9"/>
  <c r="N374" i="9"/>
  <c r="J374" i="9"/>
  <c r="G374" i="9"/>
  <c r="K374" i="9"/>
  <c r="M374" i="9"/>
  <c r="O374" i="9"/>
  <c r="Z374" i="9"/>
  <c r="P374" i="9"/>
  <c r="U374" i="9"/>
  <c r="AA374" i="9"/>
  <c r="T374" i="9"/>
  <c r="E374" i="9"/>
  <c r="C376" i="9"/>
  <c r="B375" i="9"/>
  <c r="L375" i="9" l="1"/>
  <c r="X375" i="9"/>
  <c r="F375" i="9"/>
  <c r="R375" i="9"/>
  <c r="P375" i="9"/>
  <c r="D375" i="9"/>
  <c r="Y375" i="9"/>
  <c r="O375" i="9"/>
  <c r="H375" i="9"/>
  <c r="E375" i="9"/>
  <c r="N375" i="9"/>
  <c r="M375" i="9"/>
  <c r="Q375" i="9"/>
  <c r="S375" i="9"/>
  <c r="U375" i="9"/>
  <c r="W375" i="9"/>
  <c r="T375" i="9"/>
  <c r="K375" i="9"/>
  <c r="G375" i="9"/>
  <c r="J375" i="9"/>
  <c r="Z375" i="9"/>
  <c r="AA375" i="9"/>
  <c r="V375" i="9"/>
  <c r="I375" i="9"/>
  <c r="B376" i="9"/>
  <c r="C377" i="9"/>
  <c r="B377" i="9" l="1"/>
  <c r="C378" i="9"/>
  <c r="X376" i="9"/>
  <c r="L376" i="9"/>
  <c r="R376" i="9"/>
  <c r="F376" i="9"/>
  <c r="Z376" i="9"/>
  <c r="O376" i="9"/>
  <c r="U376" i="9"/>
  <c r="M376" i="9"/>
  <c r="N376" i="9"/>
  <c r="E376" i="9"/>
  <c r="H376" i="9"/>
  <c r="T376" i="9"/>
  <c r="K376" i="9"/>
  <c r="W376" i="9"/>
  <c r="I376" i="9"/>
  <c r="Y376" i="9"/>
  <c r="D376" i="9"/>
  <c r="AA376" i="9"/>
  <c r="J376" i="9"/>
  <c r="Q376" i="9"/>
  <c r="S376" i="9"/>
  <c r="G376" i="9"/>
  <c r="P376" i="9"/>
  <c r="V376" i="9"/>
  <c r="C379" i="9" l="1"/>
  <c r="B378" i="9"/>
  <c r="X377" i="9"/>
  <c r="F377" i="9"/>
  <c r="R377" i="9"/>
  <c r="L377" i="9"/>
  <c r="V377" i="9"/>
  <c r="O377" i="9"/>
  <c r="S377" i="9"/>
  <c r="AA377" i="9"/>
  <c r="K377" i="9"/>
  <c r="P377" i="9"/>
  <c r="Q377" i="9"/>
  <c r="Z377" i="9"/>
  <c r="E377" i="9"/>
  <c r="H377" i="9"/>
  <c r="J377" i="9"/>
  <c r="I377" i="9"/>
  <c r="U377" i="9"/>
  <c r="G377" i="9"/>
  <c r="M377" i="9"/>
  <c r="W377" i="9"/>
  <c r="N377" i="9"/>
  <c r="Y377" i="9"/>
  <c r="D377" i="9"/>
  <c r="T377" i="9"/>
  <c r="R378" i="9" l="1"/>
  <c r="F378" i="9"/>
  <c r="L378" i="9"/>
  <c r="X378" i="9"/>
  <c r="Q378" i="9"/>
  <c r="W378" i="9"/>
  <c r="D378" i="9"/>
  <c r="P378" i="9"/>
  <c r="T378" i="9"/>
  <c r="V378" i="9"/>
  <c r="K378" i="9"/>
  <c r="O378" i="9"/>
  <c r="S378" i="9"/>
  <c r="Y378" i="9"/>
  <c r="Z378" i="9"/>
  <c r="H378" i="9"/>
  <c r="N378" i="9"/>
  <c r="E378" i="9"/>
  <c r="M378" i="9"/>
  <c r="AA378" i="9"/>
  <c r="I378" i="9"/>
  <c r="U378" i="9"/>
  <c r="J378" i="9"/>
  <c r="G378" i="9"/>
  <c r="B379" i="9"/>
  <c r="C380" i="9"/>
  <c r="C381" i="9" l="1"/>
  <c r="B380" i="9"/>
  <c r="R379" i="9"/>
  <c r="L379" i="9"/>
  <c r="F379" i="9"/>
  <c r="X379" i="9"/>
  <c r="Z379" i="9"/>
  <c r="P379" i="9"/>
  <c r="U379" i="9"/>
  <c r="S379" i="9"/>
  <c r="I379" i="9"/>
  <c r="N379" i="9"/>
  <c r="E379" i="9"/>
  <c r="Q379" i="9"/>
  <c r="J379" i="9"/>
  <c r="D379" i="9"/>
  <c r="W379" i="9"/>
  <c r="H379" i="9"/>
  <c r="Y379" i="9"/>
  <c r="G379" i="9"/>
  <c r="V379" i="9"/>
  <c r="K379" i="9"/>
  <c r="O379" i="9"/>
  <c r="AA379" i="9"/>
  <c r="M379" i="9"/>
  <c r="T379" i="9"/>
  <c r="X380" i="9" l="1"/>
  <c r="L380" i="9"/>
  <c r="F380" i="9"/>
  <c r="R380" i="9"/>
  <c r="N380" i="9"/>
  <c r="O380" i="9"/>
  <c r="J380" i="9"/>
  <c r="D380" i="9"/>
  <c r="Z380" i="9"/>
  <c r="K380" i="9"/>
  <c r="M380" i="9"/>
  <c r="W380" i="9"/>
  <c r="Q380" i="9"/>
  <c r="V380" i="9"/>
  <c r="U380" i="9"/>
  <c r="E380" i="9"/>
  <c r="G380" i="9"/>
  <c r="I380" i="9"/>
  <c r="T380" i="9"/>
  <c r="AA380" i="9"/>
  <c r="Y380" i="9"/>
  <c r="S380" i="9"/>
  <c r="H380" i="9"/>
  <c r="P380" i="9"/>
  <c r="C382" i="9"/>
  <c r="B381" i="9"/>
  <c r="L381" i="9" l="1"/>
  <c r="R381" i="9"/>
  <c r="X381" i="9"/>
  <c r="F381" i="9"/>
  <c r="K381" i="9"/>
  <c r="Z381" i="9"/>
  <c r="W381" i="9"/>
  <c r="N381" i="9"/>
  <c r="Y381" i="9"/>
  <c r="D381" i="9"/>
  <c r="H381" i="9"/>
  <c r="I381" i="9"/>
  <c r="J381" i="9"/>
  <c r="Q381" i="9"/>
  <c r="M381" i="9"/>
  <c r="G381" i="9"/>
  <c r="V381" i="9"/>
  <c r="P381" i="9"/>
  <c r="E381" i="9"/>
  <c r="T381" i="9"/>
  <c r="O381" i="9"/>
  <c r="S381" i="9"/>
  <c r="AA381" i="9"/>
  <c r="U381" i="9"/>
  <c r="C383" i="9"/>
  <c r="B382" i="9"/>
  <c r="R382" i="9" l="1"/>
  <c r="F382" i="9"/>
  <c r="X382" i="9"/>
  <c r="L382" i="9"/>
  <c r="V382" i="9"/>
  <c r="K382" i="9"/>
  <c r="W382" i="9"/>
  <c r="Z382" i="9"/>
  <c r="AA382" i="9"/>
  <c r="M382" i="9"/>
  <c r="N382" i="9"/>
  <c r="U382" i="9"/>
  <c r="E382" i="9"/>
  <c r="J382" i="9"/>
  <c r="G382" i="9"/>
  <c r="T382" i="9"/>
  <c r="H382" i="9"/>
  <c r="Q382" i="9"/>
  <c r="P382" i="9"/>
  <c r="O382" i="9"/>
  <c r="Y382" i="9"/>
  <c r="I382" i="9"/>
  <c r="D382" i="9"/>
  <c r="S382" i="9"/>
  <c r="B383" i="9"/>
  <c r="C384" i="9"/>
  <c r="B384" i="9" l="1"/>
  <c r="C385" i="9"/>
  <c r="F383" i="9"/>
  <c r="X383" i="9"/>
  <c r="R383" i="9"/>
  <c r="L383" i="9"/>
  <c r="Y383" i="9"/>
  <c r="K383" i="9"/>
  <c r="G383" i="9"/>
  <c r="S383" i="9"/>
  <c r="V383" i="9"/>
  <c r="M383" i="9"/>
  <c r="E383" i="9"/>
  <c r="J383" i="9"/>
  <c r="N383" i="9"/>
  <c r="Z383" i="9"/>
  <c r="AA383" i="9"/>
  <c r="T383" i="9"/>
  <c r="W383" i="9"/>
  <c r="D383" i="9"/>
  <c r="Q383" i="9"/>
  <c r="P383" i="9"/>
  <c r="U383" i="9"/>
  <c r="H383" i="9"/>
  <c r="O383" i="9"/>
  <c r="I383" i="9"/>
  <c r="C386" i="9" l="1"/>
  <c r="B385" i="9"/>
  <c r="X384" i="9"/>
  <c r="L384" i="9"/>
  <c r="R384" i="9"/>
  <c r="F384" i="9"/>
  <c r="V384" i="9"/>
  <c r="E384" i="9"/>
  <c r="N384" i="9"/>
  <c r="Z384" i="9"/>
  <c r="Q384" i="9"/>
  <c r="O384" i="9"/>
  <c r="T384" i="9"/>
  <c r="G384" i="9"/>
  <c r="Y384" i="9"/>
  <c r="P384" i="9"/>
  <c r="AA384" i="9"/>
  <c r="J384" i="9"/>
  <c r="M384" i="9"/>
  <c r="U384" i="9"/>
  <c r="S384" i="9"/>
  <c r="D384" i="9"/>
  <c r="H384" i="9"/>
  <c r="K384" i="9"/>
  <c r="W384" i="9"/>
  <c r="I384" i="9"/>
  <c r="X385" i="9" l="1"/>
  <c r="R385" i="9"/>
  <c r="L385" i="9"/>
  <c r="F385" i="9"/>
  <c r="I385" i="9"/>
  <c r="W385" i="9"/>
  <c r="N385" i="9"/>
  <c r="K385" i="9"/>
  <c r="O385" i="9"/>
  <c r="M385" i="9"/>
  <c r="U385" i="9"/>
  <c r="G385" i="9"/>
  <c r="V385" i="9"/>
  <c r="D385" i="9"/>
  <c r="Y385" i="9"/>
  <c r="AA385" i="9"/>
  <c r="Q385" i="9"/>
  <c r="S385" i="9"/>
  <c r="Z385" i="9"/>
  <c r="P385" i="9"/>
  <c r="E385" i="9"/>
  <c r="T385" i="9"/>
  <c r="H385" i="9"/>
  <c r="J385" i="9"/>
  <c r="C387" i="9"/>
  <c r="B386" i="9"/>
  <c r="R386" i="9" l="1"/>
  <c r="F386" i="9"/>
  <c r="X386" i="9"/>
  <c r="L386" i="9"/>
  <c r="E386" i="9"/>
  <c r="J386" i="9"/>
  <c r="W386" i="9"/>
  <c r="P386" i="9"/>
  <c r="Q386" i="9"/>
  <c r="M386" i="9"/>
  <c r="AA386" i="9"/>
  <c r="G386" i="9"/>
  <c r="K386" i="9"/>
  <c r="S386" i="9"/>
  <c r="I386" i="9"/>
  <c r="H386" i="9"/>
  <c r="O386" i="9"/>
  <c r="U386" i="9"/>
  <c r="N386" i="9"/>
  <c r="T386" i="9"/>
  <c r="Y386" i="9"/>
  <c r="D386" i="9"/>
  <c r="Z386" i="9"/>
  <c r="V386" i="9"/>
  <c r="C388" i="9"/>
  <c r="B387" i="9"/>
  <c r="X387" i="9" l="1"/>
  <c r="R387" i="9"/>
  <c r="L387" i="9"/>
  <c r="F387" i="9"/>
  <c r="I387" i="9"/>
  <c r="K387" i="9"/>
  <c r="Z387" i="9"/>
  <c r="S387" i="9"/>
  <c r="T387" i="9"/>
  <c r="W387" i="9"/>
  <c r="H387" i="9"/>
  <c r="M387" i="9"/>
  <c r="E387" i="9"/>
  <c r="D387" i="9"/>
  <c r="O387" i="9"/>
  <c r="V387" i="9"/>
  <c r="G387" i="9"/>
  <c r="P387" i="9"/>
  <c r="N387" i="9"/>
  <c r="U387" i="9"/>
  <c r="AA387" i="9"/>
  <c r="Y387" i="9"/>
  <c r="Q387" i="9"/>
  <c r="J387" i="9"/>
  <c r="C389" i="9"/>
  <c r="B388" i="9"/>
  <c r="X388" i="9" l="1"/>
  <c r="L388" i="9"/>
  <c r="R388" i="9"/>
  <c r="F388" i="9"/>
  <c r="M388" i="9"/>
  <c r="W388" i="9"/>
  <c r="Y388" i="9"/>
  <c r="N388" i="9"/>
  <c r="U388" i="9"/>
  <c r="H388" i="9"/>
  <c r="Z388" i="9"/>
  <c r="I388" i="9"/>
  <c r="Q388" i="9"/>
  <c r="P388" i="9"/>
  <c r="J388" i="9"/>
  <c r="T388" i="9"/>
  <c r="AA388" i="9"/>
  <c r="K388" i="9"/>
  <c r="E388" i="9"/>
  <c r="G388" i="9"/>
  <c r="D388" i="9"/>
  <c r="O388" i="9"/>
  <c r="V388" i="9"/>
  <c r="S388" i="9"/>
  <c r="C390" i="9"/>
  <c r="B389" i="9"/>
  <c r="X389" i="9" l="1"/>
  <c r="R389" i="9"/>
  <c r="L389" i="9"/>
  <c r="F389" i="9"/>
  <c r="U389" i="9"/>
  <c r="D389" i="9"/>
  <c r="Z389" i="9"/>
  <c r="K389" i="9"/>
  <c r="I389" i="9"/>
  <c r="G389" i="9"/>
  <c r="J389" i="9"/>
  <c r="Y389" i="9"/>
  <c r="M389" i="9"/>
  <c r="N389" i="9"/>
  <c r="O389" i="9"/>
  <c r="S389" i="9"/>
  <c r="V389" i="9"/>
  <c r="P389" i="9"/>
  <c r="AA389" i="9"/>
  <c r="Q389" i="9"/>
  <c r="E389" i="9"/>
  <c r="T389" i="9"/>
  <c r="W389" i="9"/>
  <c r="H389" i="9"/>
  <c r="C391" i="9"/>
  <c r="B390" i="9"/>
  <c r="R390" i="9" l="1"/>
  <c r="F390" i="9"/>
  <c r="L390" i="9"/>
  <c r="X390" i="9"/>
  <c r="D390" i="9"/>
  <c r="J390" i="9"/>
  <c r="Z390" i="9"/>
  <c r="AA390" i="9"/>
  <c r="M390" i="9"/>
  <c r="N390" i="9"/>
  <c r="Y390" i="9"/>
  <c r="G390" i="9"/>
  <c r="Q390" i="9"/>
  <c r="O390" i="9"/>
  <c r="H390" i="9"/>
  <c r="U390" i="9"/>
  <c r="S390" i="9"/>
  <c r="W390" i="9"/>
  <c r="P390" i="9"/>
  <c r="T390" i="9"/>
  <c r="V390" i="9"/>
  <c r="K390" i="9"/>
  <c r="E390" i="9"/>
  <c r="I390" i="9"/>
  <c r="B391" i="9"/>
  <c r="C392" i="9"/>
  <c r="B392" i="9" l="1"/>
  <c r="C393" i="9"/>
  <c r="X391" i="9"/>
  <c r="L391" i="9"/>
  <c r="R391" i="9"/>
  <c r="F391" i="9"/>
  <c r="I391" i="9"/>
  <c r="G391" i="9"/>
  <c r="N391" i="9"/>
  <c r="J391" i="9"/>
  <c r="K391" i="9"/>
  <c r="W391" i="9"/>
  <c r="V391" i="9"/>
  <c r="Y391" i="9"/>
  <c r="P391" i="9"/>
  <c r="E391" i="9"/>
  <c r="S391" i="9"/>
  <c r="T391" i="9"/>
  <c r="Z391" i="9"/>
  <c r="D391" i="9"/>
  <c r="O391" i="9"/>
  <c r="AA391" i="9"/>
  <c r="H391" i="9"/>
  <c r="U391" i="9"/>
  <c r="M391" i="9"/>
  <c r="Q391" i="9"/>
  <c r="C394" i="9" l="1"/>
  <c r="B393" i="9"/>
  <c r="X392" i="9"/>
  <c r="L392" i="9"/>
  <c r="R392" i="9"/>
  <c r="F392" i="9"/>
  <c r="E392" i="9"/>
  <c r="K392" i="9"/>
  <c r="N392" i="9"/>
  <c r="P392" i="9"/>
  <c r="O392" i="9"/>
  <c r="V392" i="9"/>
  <c r="I392" i="9"/>
  <c r="Z392" i="9"/>
  <c r="H392" i="9"/>
  <c r="S392" i="9"/>
  <c r="Q392" i="9"/>
  <c r="D392" i="9"/>
  <c r="T392" i="9"/>
  <c r="Y392" i="9"/>
  <c r="AA392" i="9"/>
  <c r="J392" i="9"/>
  <c r="G392" i="9"/>
  <c r="W392" i="9"/>
  <c r="M392" i="9"/>
  <c r="U392" i="9"/>
  <c r="R393" i="9" l="1"/>
  <c r="F393" i="9"/>
  <c r="X393" i="9"/>
  <c r="L393" i="9"/>
  <c r="J393" i="9"/>
  <c r="N393" i="9"/>
  <c r="D393" i="9"/>
  <c r="W393" i="9"/>
  <c r="Q393" i="9"/>
  <c r="U393" i="9"/>
  <c r="V393" i="9"/>
  <c r="H393" i="9"/>
  <c r="Y393" i="9"/>
  <c r="P393" i="9"/>
  <c r="T393" i="9"/>
  <c r="E393" i="9"/>
  <c r="AA393" i="9"/>
  <c r="M393" i="9"/>
  <c r="Z393" i="9"/>
  <c r="S393" i="9"/>
  <c r="O393" i="9"/>
  <c r="K393" i="9"/>
  <c r="I393" i="9"/>
  <c r="G393" i="9"/>
  <c r="C395" i="9"/>
  <c r="B394" i="9"/>
  <c r="R394" i="9" l="1"/>
  <c r="F394" i="9"/>
  <c r="L394" i="9"/>
  <c r="X394" i="9"/>
  <c r="W394" i="9"/>
  <c r="P394" i="9"/>
  <c r="O394" i="9"/>
  <c r="E394" i="9"/>
  <c r="M394" i="9"/>
  <c r="U394" i="9"/>
  <c r="Q394" i="9"/>
  <c r="T394" i="9"/>
  <c r="K394" i="9"/>
  <c r="Y394" i="9"/>
  <c r="J394" i="9"/>
  <c r="D394" i="9"/>
  <c r="AA394" i="9"/>
  <c r="V394" i="9"/>
  <c r="Z394" i="9"/>
  <c r="I394" i="9"/>
  <c r="N394" i="9"/>
  <c r="S394" i="9"/>
  <c r="G394" i="9"/>
  <c r="H394" i="9"/>
  <c r="B395" i="9"/>
  <c r="C396" i="9"/>
  <c r="B396" i="9" l="1"/>
  <c r="C397" i="9"/>
  <c r="X395" i="9"/>
  <c r="L395" i="9"/>
  <c r="F395" i="9"/>
  <c r="R395" i="9"/>
  <c r="M395" i="9"/>
  <c r="Y395" i="9"/>
  <c r="W395" i="9"/>
  <c r="I395" i="9"/>
  <c r="E395" i="9"/>
  <c r="D395" i="9"/>
  <c r="H395" i="9"/>
  <c r="V395" i="9"/>
  <c r="O395" i="9"/>
  <c r="Z395" i="9"/>
  <c r="S395" i="9"/>
  <c r="Q395" i="9"/>
  <c r="P395" i="9"/>
  <c r="J395" i="9"/>
  <c r="K395" i="9"/>
  <c r="N395" i="9"/>
  <c r="AA395" i="9"/>
  <c r="U395" i="9"/>
  <c r="G395" i="9"/>
  <c r="T395" i="9"/>
  <c r="B397" i="9" l="1"/>
  <c r="C398" i="9"/>
  <c r="X396" i="9"/>
  <c r="L396" i="9"/>
  <c r="R396" i="9"/>
  <c r="F396" i="9"/>
  <c r="Y396" i="9"/>
  <c r="V396" i="9"/>
  <c r="U396" i="9"/>
  <c r="W396" i="9"/>
  <c r="P396" i="9"/>
  <c r="AA396" i="9"/>
  <c r="J396" i="9"/>
  <c r="D396" i="9"/>
  <c r="K396" i="9"/>
  <c r="N396" i="9"/>
  <c r="G396" i="9"/>
  <c r="Q396" i="9"/>
  <c r="S396" i="9"/>
  <c r="O396" i="9"/>
  <c r="M396" i="9"/>
  <c r="Z396" i="9"/>
  <c r="I396" i="9"/>
  <c r="H396" i="9"/>
  <c r="T396" i="9"/>
  <c r="E396" i="9"/>
  <c r="C399" i="9" l="1"/>
  <c r="B398" i="9"/>
  <c r="X397" i="9"/>
  <c r="L397" i="9"/>
  <c r="F397" i="9"/>
  <c r="R397" i="9"/>
  <c r="I397" i="9"/>
  <c r="G397" i="9"/>
  <c r="Q397" i="9"/>
  <c r="H397" i="9"/>
  <c r="J397" i="9"/>
  <c r="M397" i="9"/>
  <c r="Y397" i="9"/>
  <c r="W397" i="9"/>
  <c r="N397" i="9"/>
  <c r="AA397" i="9"/>
  <c r="T397" i="9"/>
  <c r="K397" i="9"/>
  <c r="O397" i="9"/>
  <c r="P397" i="9"/>
  <c r="S397" i="9"/>
  <c r="E397" i="9"/>
  <c r="V397" i="9"/>
  <c r="D397" i="9"/>
  <c r="U397" i="9"/>
  <c r="Z397" i="9"/>
  <c r="L398" i="9" l="1"/>
  <c r="X398" i="9"/>
  <c r="F398" i="9"/>
  <c r="R398" i="9"/>
  <c r="K398" i="9"/>
  <c r="E398" i="9"/>
  <c r="AA398" i="9"/>
  <c r="Y398" i="9"/>
  <c r="G398" i="9"/>
  <c r="D398" i="9"/>
  <c r="P398" i="9"/>
  <c r="M398" i="9"/>
  <c r="I398" i="9"/>
  <c r="Q398" i="9"/>
  <c r="N398" i="9"/>
  <c r="T398" i="9"/>
  <c r="O398" i="9"/>
  <c r="W398" i="9"/>
  <c r="Z398" i="9"/>
  <c r="S398" i="9"/>
  <c r="J398" i="9"/>
  <c r="H398" i="9"/>
  <c r="V398" i="9"/>
  <c r="U398" i="9"/>
  <c r="C400" i="9"/>
  <c r="B399" i="9"/>
  <c r="R399" i="9" l="1"/>
  <c r="F399" i="9"/>
  <c r="L399" i="9"/>
  <c r="X399" i="9"/>
  <c r="Z399" i="9"/>
  <c r="D399" i="9"/>
  <c r="Q399" i="9"/>
  <c r="J399" i="9"/>
  <c r="AA399" i="9"/>
  <c r="V399" i="9"/>
  <c r="S399" i="9"/>
  <c r="P399" i="9"/>
  <c r="K399" i="9"/>
  <c r="W399" i="9"/>
  <c r="M399" i="9"/>
  <c r="H399" i="9"/>
  <c r="N399" i="9"/>
  <c r="I399" i="9"/>
  <c r="O399" i="9"/>
  <c r="Y399" i="9"/>
  <c r="E399" i="9"/>
  <c r="T399" i="9"/>
  <c r="U399" i="9"/>
  <c r="G399" i="9"/>
  <c r="B400" i="9"/>
  <c r="C401" i="9"/>
  <c r="C402" i="9" l="1"/>
  <c r="B401" i="9"/>
  <c r="L400" i="9"/>
  <c r="F400" i="9"/>
  <c r="X400" i="9"/>
  <c r="R400" i="9"/>
  <c r="Q400" i="9"/>
  <c r="K400" i="9"/>
  <c r="U400" i="9"/>
  <c r="Y400" i="9"/>
  <c r="N400" i="9"/>
  <c r="D400" i="9"/>
  <c r="Z400" i="9"/>
  <c r="M400" i="9"/>
  <c r="I400" i="9"/>
  <c r="O400" i="9"/>
  <c r="W400" i="9"/>
  <c r="J400" i="9"/>
  <c r="E400" i="9"/>
  <c r="H400" i="9"/>
  <c r="V400" i="9"/>
  <c r="G400" i="9"/>
  <c r="T400" i="9"/>
  <c r="P400" i="9"/>
  <c r="S400" i="9"/>
  <c r="AA400" i="9"/>
  <c r="X401" i="9" l="1"/>
  <c r="L401" i="9"/>
  <c r="R401" i="9"/>
  <c r="F401" i="9"/>
  <c r="M401" i="9"/>
  <c r="J401" i="9"/>
  <c r="G401" i="9"/>
  <c r="D401" i="9"/>
  <c r="V401" i="9"/>
  <c r="O401" i="9"/>
  <c r="S401" i="9"/>
  <c r="E401" i="9"/>
  <c r="T401" i="9"/>
  <c r="Y401" i="9"/>
  <c r="Z401" i="9"/>
  <c r="H401" i="9"/>
  <c r="N401" i="9"/>
  <c r="I401" i="9"/>
  <c r="U401" i="9"/>
  <c r="Q401" i="9"/>
  <c r="AA401" i="9"/>
  <c r="K401" i="9"/>
  <c r="W401" i="9"/>
  <c r="P401" i="9"/>
  <c r="C403" i="9"/>
  <c r="B402" i="9"/>
  <c r="R402" i="9" l="1"/>
  <c r="F402" i="9"/>
  <c r="X402" i="9"/>
  <c r="L402" i="9"/>
  <c r="V402" i="9"/>
  <c r="K402" i="9"/>
  <c r="S402" i="9"/>
  <c r="T402" i="9"/>
  <c r="N402" i="9"/>
  <c r="O402" i="9"/>
  <c r="H402" i="9"/>
  <c r="J402" i="9"/>
  <c r="AA402" i="9"/>
  <c r="W402" i="9"/>
  <c r="Y402" i="9"/>
  <c r="Q402" i="9"/>
  <c r="M402" i="9"/>
  <c r="P402" i="9"/>
  <c r="G402" i="9"/>
  <c r="U402" i="9"/>
  <c r="D402" i="9"/>
  <c r="I402" i="9"/>
  <c r="E402" i="9"/>
  <c r="Z402" i="9"/>
  <c r="C404" i="9"/>
  <c r="B403" i="9"/>
  <c r="R403" i="9" l="1"/>
  <c r="F403" i="9"/>
  <c r="X403" i="9"/>
  <c r="L403" i="9"/>
  <c r="K403" i="9"/>
  <c r="I403" i="9"/>
  <c r="V403" i="9"/>
  <c r="G403" i="9"/>
  <c r="J403" i="9"/>
  <c r="W403" i="9"/>
  <c r="O403" i="9"/>
  <c r="N403" i="9"/>
  <c r="Q403" i="9"/>
  <c r="AA403" i="9"/>
  <c r="Y403" i="9"/>
  <c r="U403" i="9"/>
  <c r="S403" i="9"/>
  <c r="H403" i="9"/>
  <c r="E403" i="9"/>
  <c r="M403" i="9"/>
  <c r="P403" i="9"/>
  <c r="D403" i="9"/>
  <c r="Z403" i="9"/>
  <c r="T403" i="9"/>
  <c r="C405" i="9"/>
  <c r="B404" i="9"/>
  <c r="F404" i="9" l="1"/>
  <c r="X404" i="9"/>
  <c r="R404" i="9"/>
  <c r="L404" i="9"/>
  <c r="D404" i="9"/>
  <c r="M404" i="9"/>
  <c r="H404" i="9"/>
  <c r="AA404" i="9"/>
  <c r="U404" i="9"/>
  <c r="T404" i="9"/>
  <c r="V404" i="9"/>
  <c r="S404" i="9"/>
  <c r="E404" i="9"/>
  <c r="G404" i="9"/>
  <c r="K404" i="9"/>
  <c r="P404" i="9"/>
  <c r="I404" i="9"/>
  <c r="Y404" i="9"/>
  <c r="O404" i="9"/>
  <c r="Z404" i="9"/>
  <c r="J404" i="9"/>
  <c r="W404" i="9"/>
  <c r="Q404" i="9"/>
  <c r="N404" i="9"/>
  <c r="C406" i="9"/>
  <c r="B405" i="9"/>
  <c r="X405" i="9" l="1"/>
  <c r="L405" i="9"/>
  <c r="F405" i="9"/>
  <c r="R405" i="9"/>
  <c r="W405" i="9"/>
  <c r="Y405" i="9"/>
  <c r="M405" i="9"/>
  <c r="S405" i="9"/>
  <c r="Z405" i="9"/>
  <c r="J405" i="9"/>
  <c r="V405" i="9"/>
  <c r="O405" i="9"/>
  <c r="Q405" i="9"/>
  <c r="E405" i="9"/>
  <c r="D405" i="9"/>
  <c r="T405" i="9"/>
  <c r="U405" i="9"/>
  <c r="N405" i="9"/>
  <c r="I405" i="9"/>
  <c r="G405" i="9"/>
  <c r="K405" i="9"/>
  <c r="H405" i="9"/>
  <c r="P405" i="9"/>
  <c r="AA405" i="9"/>
  <c r="B406" i="9"/>
  <c r="C407" i="9"/>
  <c r="C408" i="9" l="1"/>
  <c r="B407" i="9"/>
  <c r="L406" i="9"/>
  <c r="X406" i="9"/>
  <c r="R406" i="9"/>
  <c r="F406" i="9"/>
  <c r="V406" i="9"/>
  <c r="I406" i="9"/>
  <c r="Q406" i="9"/>
  <c r="U406" i="9"/>
  <c r="K406" i="9"/>
  <c r="D406" i="9"/>
  <c r="G406" i="9"/>
  <c r="H406" i="9"/>
  <c r="J406" i="9"/>
  <c r="Z406" i="9"/>
  <c r="T406" i="9"/>
  <c r="W406" i="9"/>
  <c r="N406" i="9"/>
  <c r="O406" i="9"/>
  <c r="Y406" i="9"/>
  <c r="M406" i="9"/>
  <c r="P406" i="9"/>
  <c r="E406" i="9"/>
  <c r="S406" i="9"/>
  <c r="AA406" i="9"/>
  <c r="R407" i="9" l="1"/>
  <c r="F407" i="9"/>
  <c r="L407" i="9"/>
  <c r="X407" i="9"/>
  <c r="I407" i="9"/>
  <c r="D407" i="9"/>
  <c r="E407" i="9"/>
  <c r="O407" i="9"/>
  <c r="T407" i="9"/>
  <c r="W407" i="9"/>
  <c r="AA407" i="9"/>
  <c r="P407" i="9"/>
  <c r="Y407" i="9"/>
  <c r="N407" i="9"/>
  <c r="Q407" i="9"/>
  <c r="S407" i="9"/>
  <c r="U407" i="9"/>
  <c r="G407" i="9"/>
  <c r="K407" i="9"/>
  <c r="V407" i="9"/>
  <c r="M407" i="9"/>
  <c r="J407" i="9"/>
  <c r="H407" i="9"/>
  <c r="Z407" i="9"/>
  <c r="B408" i="9"/>
  <c r="C409" i="9"/>
  <c r="C410" i="9" l="1"/>
  <c r="B409" i="9"/>
  <c r="L408" i="9"/>
  <c r="R408" i="9"/>
  <c r="F408" i="9"/>
  <c r="X408" i="9"/>
  <c r="Z408" i="9"/>
  <c r="D408" i="9"/>
  <c r="Y408" i="9"/>
  <c r="I408" i="9"/>
  <c r="S408" i="9"/>
  <c r="H408" i="9"/>
  <c r="O408" i="9"/>
  <c r="G408" i="9"/>
  <c r="V408" i="9"/>
  <c r="E408" i="9"/>
  <c r="W408" i="9"/>
  <c r="P408" i="9"/>
  <c r="N408" i="9"/>
  <c r="U408" i="9"/>
  <c r="M408" i="9"/>
  <c r="J408" i="9"/>
  <c r="AA408" i="9"/>
  <c r="K408" i="9"/>
  <c r="T408" i="9"/>
  <c r="Q408" i="9"/>
  <c r="X409" i="9" l="1"/>
  <c r="L409" i="9"/>
  <c r="R409" i="9"/>
  <c r="F409" i="9"/>
  <c r="N409" i="9"/>
  <c r="Z409" i="9"/>
  <c r="H409" i="9"/>
  <c r="Y409" i="9"/>
  <c r="P409" i="9"/>
  <c r="E409" i="9"/>
  <c r="T409" i="9"/>
  <c r="K409" i="9"/>
  <c r="M409" i="9"/>
  <c r="U409" i="9"/>
  <c r="G409" i="9"/>
  <c r="S409" i="9"/>
  <c r="AA409" i="9"/>
  <c r="J409" i="9"/>
  <c r="V409" i="9"/>
  <c r="W409" i="9"/>
  <c r="I409" i="9"/>
  <c r="Q409" i="9"/>
  <c r="O409" i="9"/>
  <c r="D409" i="9"/>
  <c r="C411" i="9"/>
  <c r="B410" i="9"/>
  <c r="R410" i="9" l="1"/>
  <c r="F410" i="9"/>
  <c r="X410" i="9"/>
  <c r="L410" i="9"/>
  <c r="E410" i="9"/>
  <c r="S410" i="9"/>
  <c r="Q410" i="9"/>
  <c r="Z410" i="9"/>
  <c r="D410" i="9"/>
  <c r="J410" i="9"/>
  <c r="M410" i="9"/>
  <c r="I410" i="9"/>
  <c r="P410" i="9"/>
  <c r="O410" i="9"/>
  <c r="G410" i="9"/>
  <c r="AA410" i="9"/>
  <c r="Y410" i="9"/>
  <c r="T410" i="9"/>
  <c r="N410" i="9"/>
  <c r="H410" i="9"/>
  <c r="V410" i="9"/>
  <c r="K410" i="9"/>
  <c r="W410" i="9"/>
  <c r="U410" i="9"/>
  <c r="C412" i="9"/>
  <c r="B411" i="9"/>
  <c r="R411" i="9" l="1"/>
  <c r="F411" i="9"/>
  <c r="X411" i="9"/>
  <c r="L411" i="9"/>
  <c r="Z411" i="9"/>
  <c r="W411" i="9"/>
  <c r="Y411" i="9"/>
  <c r="D411" i="9"/>
  <c r="I411" i="9"/>
  <c r="N411" i="9"/>
  <c r="U411" i="9"/>
  <c r="J411" i="9"/>
  <c r="P411" i="9"/>
  <c r="H411" i="9"/>
  <c r="O411" i="9"/>
  <c r="S411" i="9"/>
  <c r="Q411" i="9"/>
  <c r="M411" i="9"/>
  <c r="G411" i="9"/>
  <c r="T411" i="9"/>
  <c r="K411" i="9"/>
  <c r="E411" i="9"/>
  <c r="AA411" i="9"/>
  <c r="V411" i="9"/>
  <c r="C413" i="9"/>
  <c r="B412" i="9"/>
  <c r="F412" i="9" l="1"/>
  <c r="X412" i="9"/>
  <c r="L412" i="9"/>
  <c r="R412" i="9"/>
  <c r="Q412" i="9"/>
  <c r="U412" i="9"/>
  <c r="AA412" i="9"/>
  <c r="J412" i="9"/>
  <c r="Z412" i="9"/>
  <c r="P412" i="9"/>
  <c r="V412" i="9"/>
  <c r="O412" i="9"/>
  <c r="S412" i="9"/>
  <c r="T412" i="9"/>
  <c r="M412" i="9"/>
  <c r="W412" i="9"/>
  <c r="I412" i="9"/>
  <c r="Y412" i="9"/>
  <c r="D412" i="9"/>
  <c r="K412" i="9"/>
  <c r="E412" i="9"/>
  <c r="N412" i="9"/>
  <c r="H412" i="9"/>
  <c r="G412" i="9"/>
  <c r="B413" i="9"/>
  <c r="C414" i="9"/>
  <c r="B414" i="9" l="1"/>
  <c r="C415" i="9"/>
  <c r="X413" i="9"/>
  <c r="L413" i="9"/>
  <c r="F413" i="9"/>
  <c r="R413" i="9"/>
  <c r="V413" i="9"/>
  <c r="O413" i="9"/>
  <c r="W413" i="9"/>
  <c r="Y413" i="9"/>
  <c r="P413" i="9"/>
  <c r="I413" i="9"/>
  <c r="E413" i="9"/>
  <c r="G413" i="9"/>
  <c r="S413" i="9"/>
  <c r="AA413" i="9"/>
  <c r="J413" i="9"/>
  <c r="H413" i="9"/>
  <c r="D413" i="9"/>
  <c r="Q413" i="9"/>
  <c r="U413" i="9"/>
  <c r="M413" i="9"/>
  <c r="K413" i="9"/>
  <c r="T413" i="9"/>
  <c r="Z413" i="9"/>
  <c r="N413" i="9"/>
  <c r="C416" i="9" l="1"/>
  <c r="B415" i="9"/>
  <c r="L414" i="9"/>
  <c r="X414" i="9"/>
  <c r="R414" i="9"/>
  <c r="F414" i="9"/>
  <c r="P414" i="9"/>
  <c r="W414" i="9"/>
  <c r="G414" i="9"/>
  <c r="Y414" i="9"/>
  <c r="Q414" i="9"/>
  <c r="J414" i="9"/>
  <c r="Z414" i="9"/>
  <c r="D414" i="9"/>
  <c r="V414" i="9"/>
  <c r="E414" i="9"/>
  <c r="O414" i="9"/>
  <c r="U414" i="9"/>
  <c r="M414" i="9"/>
  <c r="N414" i="9"/>
  <c r="T414" i="9"/>
  <c r="H414" i="9"/>
  <c r="I414" i="9"/>
  <c r="S414" i="9"/>
  <c r="AA414" i="9"/>
  <c r="K414" i="9"/>
  <c r="R415" i="9" l="1"/>
  <c r="F415" i="9"/>
  <c r="L415" i="9"/>
  <c r="X415" i="9"/>
  <c r="J415" i="9"/>
  <c r="W415" i="9"/>
  <c r="G415" i="9"/>
  <c r="V415" i="9"/>
  <c r="I415" i="9"/>
  <c r="E415" i="9"/>
  <c r="T415" i="9"/>
  <c r="K415" i="9"/>
  <c r="M415" i="9"/>
  <c r="Z415" i="9"/>
  <c r="O415" i="9"/>
  <c r="AA415" i="9"/>
  <c r="U415" i="9"/>
  <c r="Y415" i="9"/>
  <c r="D415" i="9"/>
  <c r="P415" i="9"/>
  <c r="Q415" i="9"/>
  <c r="S415" i="9"/>
  <c r="H415" i="9"/>
  <c r="N415" i="9"/>
  <c r="B416" i="9"/>
  <c r="C417" i="9"/>
  <c r="C418" i="9" l="1"/>
  <c r="B417" i="9"/>
  <c r="L416" i="9"/>
  <c r="R416" i="9"/>
  <c r="X416" i="9"/>
  <c r="F416" i="9"/>
  <c r="N416" i="9"/>
  <c r="U416" i="9"/>
  <c r="K416" i="9"/>
  <c r="D416" i="9"/>
  <c r="H416" i="9"/>
  <c r="T416" i="9"/>
  <c r="M416" i="9"/>
  <c r="Z416" i="9"/>
  <c r="Q416" i="9"/>
  <c r="P416" i="9"/>
  <c r="J416" i="9"/>
  <c r="O416" i="9"/>
  <c r="I416" i="9"/>
  <c r="V416" i="9"/>
  <c r="E416" i="9"/>
  <c r="S416" i="9"/>
  <c r="G416" i="9"/>
  <c r="AA416" i="9"/>
  <c r="Y416" i="9"/>
  <c r="W416" i="9"/>
  <c r="X417" i="9" l="1"/>
  <c r="L417" i="9"/>
  <c r="R417" i="9"/>
  <c r="F417" i="9"/>
  <c r="Y417" i="9"/>
  <c r="I417" i="9"/>
  <c r="H417" i="9"/>
  <c r="V417" i="9"/>
  <c r="D417" i="9"/>
  <c r="T417" i="9"/>
  <c r="U417" i="9"/>
  <c r="O417" i="9"/>
  <c r="K417" i="9"/>
  <c r="Q417" i="9"/>
  <c r="M417" i="9"/>
  <c r="G417" i="9"/>
  <c r="W417" i="9"/>
  <c r="P417" i="9"/>
  <c r="E417" i="9"/>
  <c r="S417" i="9"/>
  <c r="Z417" i="9"/>
  <c r="J417" i="9"/>
  <c r="AA417" i="9"/>
  <c r="N417" i="9"/>
  <c r="C419" i="9"/>
  <c r="B418" i="9"/>
  <c r="R418" i="9" l="1"/>
  <c r="X418" i="9"/>
  <c r="L418" i="9"/>
  <c r="F418" i="9"/>
  <c r="V418" i="9"/>
  <c r="K418" i="9"/>
  <c r="W418" i="9"/>
  <c r="M418" i="9"/>
  <c r="Z418" i="9"/>
  <c r="T418" i="9"/>
  <c r="J418" i="9"/>
  <c r="O418" i="9"/>
  <c r="N418" i="9"/>
  <c r="D418" i="9"/>
  <c r="U418" i="9"/>
  <c r="AA418" i="9"/>
  <c r="H418" i="9"/>
  <c r="I418" i="9"/>
  <c r="E418" i="9"/>
  <c r="G418" i="9"/>
  <c r="P418" i="9"/>
  <c r="Y418" i="9"/>
  <c r="S418" i="9"/>
  <c r="Q418" i="9"/>
  <c r="C420" i="9"/>
  <c r="B419" i="9"/>
  <c r="R419" i="9" l="1"/>
  <c r="F419" i="9"/>
  <c r="L419" i="9"/>
  <c r="X419" i="9"/>
  <c r="M419" i="9"/>
  <c r="P419" i="9"/>
  <c r="N419" i="9"/>
  <c r="D419" i="9"/>
  <c r="V419" i="9"/>
  <c r="G419" i="9"/>
  <c r="AA419" i="9"/>
  <c r="K419" i="9"/>
  <c r="Y419" i="9"/>
  <c r="I419" i="9"/>
  <c r="H419" i="9"/>
  <c r="S419" i="9"/>
  <c r="Q419" i="9"/>
  <c r="O419" i="9"/>
  <c r="E419" i="9"/>
  <c r="J419" i="9"/>
  <c r="W419" i="9"/>
  <c r="Z419" i="9"/>
  <c r="T419" i="9"/>
  <c r="U419" i="9"/>
  <c r="C421" i="9"/>
  <c r="B420" i="9"/>
  <c r="F420" i="9" l="1"/>
  <c r="L420" i="9"/>
  <c r="R420" i="9"/>
  <c r="X420" i="9"/>
  <c r="Q420" i="9"/>
  <c r="O420" i="9"/>
  <c r="Z420" i="9"/>
  <c r="D420" i="9"/>
  <c r="E420" i="9"/>
  <c r="Y420" i="9"/>
  <c r="G420" i="9"/>
  <c r="P420" i="9"/>
  <c r="AA420" i="9"/>
  <c r="M420" i="9"/>
  <c r="W420" i="9"/>
  <c r="N420" i="9"/>
  <c r="K420" i="9"/>
  <c r="V420" i="9"/>
  <c r="U420" i="9"/>
  <c r="I420" i="9"/>
  <c r="S420" i="9"/>
  <c r="H420" i="9"/>
  <c r="J420" i="9"/>
  <c r="T420" i="9"/>
  <c r="B421" i="9"/>
  <c r="C422" i="9"/>
  <c r="C423" i="9" l="1"/>
  <c r="B422" i="9"/>
  <c r="X421" i="9"/>
  <c r="L421" i="9"/>
  <c r="F421" i="9"/>
  <c r="R421" i="9"/>
  <c r="M421" i="9"/>
  <c r="Z421" i="9"/>
  <c r="J421" i="9"/>
  <c r="N421" i="9"/>
  <c r="AA421" i="9"/>
  <c r="P421" i="9"/>
  <c r="Y421" i="9"/>
  <c r="S421" i="9"/>
  <c r="W421" i="9"/>
  <c r="O421" i="9"/>
  <c r="Q421" i="9"/>
  <c r="E421" i="9"/>
  <c r="D421" i="9"/>
  <c r="V421" i="9"/>
  <c r="K421" i="9"/>
  <c r="U421" i="9"/>
  <c r="T421" i="9"/>
  <c r="I421" i="9"/>
  <c r="G421" i="9"/>
  <c r="H421" i="9"/>
  <c r="L422" i="9" l="1"/>
  <c r="X422" i="9"/>
  <c r="R422" i="9"/>
  <c r="F422" i="9"/>
  <c r="J422" i="9"/>
  <c r="K422" i="9"/>
  <c r="O422" i="9"/>
  <c r="W422" i="9"/>
  <c r="V422" i="9"/>
  <c r="N422" i="9"/>
  <c r="M422" i="9"/>
  <c r="E422" i="9"/>
  <c r="Q422" i="9"/>
  <c r="I422" i="9"/>
  <c r="D422" i="9"/>
  <c r="Y422" i="9"/>
  <c r="P422" i="9"/>
  <c r="Z422" i="9"/>
  <c r="S422" i="9"/>
  <c r="AA422" i="9"/>
  <c r="U422" i="9"/>
  <c r="T422" i="9"/>
  <c r="H422" i="9"/>
  <c r="G422" i="9"/>
  <c r="B423" i="9"/>
  <c r="C424" i="9"/>
  <c r="C425" i="9" l="1"/>
  <c r="B424" i="9"/>
  <c r="F423" i="9"/>
  <c r="X423" i="9"/>
  <c r="R423" i="9"/>
  <c r="L423" i="9"/>
  <c r="J423" i="9"/>
  <c r="E423" i="9"/>
  <c r="N423" i="9"/>
  <c r="Z423" i="9"/>
  <c r="O423" i="9"/>
  <c r="T423" i="9"/>
  <c r="Y423" i="9"/>
  <c r="U423" i="9"/>
  <c r="P423" i="9"/>
  <c r="AA423" i="9"/>
  <c r="S423" i="9"/>
  <c r="H423" i="9"/>
  <c r="I423" i="9"/>
  <c r="W423" i="9"/>
  <c r="V423" i="9"/>
  <c r="K423" i="9"/>
  <c r="D423" i="9"/>
  <c r="G423" i="9"/>
  <c r="M423" i="9"/>
  <c r="Q423" i="9"/>
  <c r="F424" i="9" l="1"/>
  <c r="L424" i="9"/>
  <c r="X424" i="9"/>
  <c r="R424" i="9"/>
  <c r="E424" i="9"/>
  <c r="O424" i="9"/>
  <c r="V424" i="9"/>
  <c r="Y424" i="9"/>
  <c r="S424" i="9"/>
  <c r="H424" i="9"/>
  <c r="Q424" i="9"/>
  <c r="U424" i="9"/>
  <c r="Z424" i="9"/>
  <c r="T424" i="9"/>
  <c r="G424" i="9"/>
  <c r="AA424" i="9"/>
  <c r="M424" i="9"/>
  <c r="N424" i="9"/>
  <c r="D424" i="9"/>
  <c r="W424" i="9"/>
  <c r="P424" i="9"/>
  <c r="J424" i="9"/>
  <c r="K424" i="9"/>
  <c r="I424" i="9"/>
  <c r="C426" i="9"/>
  <c r="B425" i="9"/>
  <c r="X425" i="9" l="1"/>
  <c r="L425" i="9"/>
  <c r="F425" i="9"/>
  <c r="R425" i="9"/>
  <c r="M425" i="9"/>
  <c r="P425" i="9"/>
  <c r="Y425" i="9"/>
  <c r="Q425" i="9"/>
  <c r="H425" i="9"/>
  <c r="AA425" i="9"/>
  <c r="K425" i="9"/>
  <c r="G425" i="9"/>
  <c r="W425" i="9"/>
  <c r="O425" i="9"/>
  <c r="Z425" i="9"/>
  <c r="E425" i="9"/>
  <c r="N425" i="9"/>
  <c r="V425" i="9"/>
  <c r="D425" i="9"/>
  <c r="J425" i="9"/>
  <c r="U425" i="9"/>
  <c r="T425" i="9"/>
  <c r="I425" i="9"/>
  <c r="S425" i="9"/>
  <c r="B426" i="9"/>
  <c r="C427" i="9"/>
  <c r="B427" i="9" l="1"/>
  <c r="C428" i="9"/>
  <c r="L426" i="9"/>
  <c r="X426" i="9"/>
  <c r="R426" i="9"/>
  <c r="F426" i="9"/>
  <c r="W426" i="9"/>
  <c r="Y426" i="9"/>
  <c r="M426" i="9"/>
  <c r="U426" i="9"/>
  <c r="V426" i="9"/>
  <c r="D426" i="9"/>
  <c r="AA426" i="9"/>
  <c r="E426" i="9"/>
  <c r="T426" i="9"/>
  <c r="P426" i="9"/>
  <c r="O426" i="9"/>
  <c r="N426" i="9"/>
  <c r="I426" i="9"/>
  <c r="J426" i="9"/>
  <c r="K426" i="9"/>
  <c r="Z426" i="9"/>
  <c r="S426" i="9"/>
  <c r="Q426" i="9"/>
  <c r="G426" i="9"/>
  <c r="H426" i="9"/>
  <c r="C429" i="9" l="1"/>
  <c r="B428" i="9"/>
  <c r="L427" i="9"/>
  <c r="X427" i="9"/>
  <c r="F427" i="9"/>
  <c r="R427" i="9"/>
  <c r="K427" i="9"/>
  <c r="D427" i="9"/>
  <c r="P427" i="9"/>
  <c r="M427" i="9"/>
  <c r="J427" i="9"/>
  <c r="E427" i="9"/>
  <c r="O427" i="9"/>
  <c r="W427" i="9"/>
  <c r="G427" i="9"/>
  <c r="S427" i="9"/>
  <c r="N427" i="9"/>
  <c r="T427" i="9"/>
  <c r="Z427" i="9"/>
  <c r="H427" i="9"/>
  <c r="U427" i="9"/>
  <c r="AA427" i="9"/>
  <c r="I427" i="9"/>
  <c r="Y427" i="9"/>
  <c r="Q427" i="9"/>
  <c r="V427" i="9"/>
  <c r="X428" i="9" l="1"/>
  <c r="F428" i="9"/>
  <c r="R428" i="9"/>
  <c r="L428" i="9"/>
  <c r="J428" i="9"/>
  <c r="W428" i="9"/>
  <c r="N428" i="9"/>
  <c r="V428" i="9"/>
  <c r="U428" i="9"/>
  <c r="G428" i="9"/>
  <c r="S428" i="9"/>
  <c r="T428" i="9"/>
  <c r="D428" i="9"/>
  <c r="E428" i="9"/>
  <c r="K428" i="9"/>
  <c r="M428" i="9"/>
  <c r="I428" i="9"/>
  <c r="Y428" i="9"/>
  <c r="P428" i="9"/>
  <c r="AA428" i="9"/>
  <c r="H428" i="9"/>
  <c r="Z428" i="9"/>
  <c r="O428" i="9"/>
  <c r="Q428" i="9"/>
  <c r="C430" i="9"/>
  <c r="B429" i="9"/>
  <c r="R429" i="9" l="1"/>
  <c r="L429" i="9"/>
  <c r="X429" i="9"/>
  <c r="F429" i="9"/>
  <c r="E429" i="9"/>
  <c r="V429" i="9"/>
  <c r="D429" i="9"/>
  <c r="Q429" i="9"/>
  <c r="O429" i="9"/>
  <c r="G429" i="9"/>
  <c r="AA429" i="9"/>
  <c r="H429" i="9"/>
  <c r="J429" i="9"/>
  <c r="Z429" i="9"/>
  <c r="W429" i="9"/>
  <c r="S429" i="9"/>
  <c r="T429" i="9"/>
  <c r="I429" i="9"/>
  <c r="P429" i="9"/>
  <c r="K429" i="9"/>
  <c r="M429" i="9"/>
  <c r="Y429" i="9"/>
  <c r="N429" i="9"/>
  <c r="U429" i="9"/>
  <c r="B430" i="9"/>
  <c r="C431" i="9"/>
  <c r="B431" i="9" l="1"/>
  <c r="C432" i="9"/>
  <c r="R430" i="9"/>
  <c r="F430" i="9"/>
  <c r="X430" i="9"/>
  <c r="L430" i="9"/>
  <c r="U430" i="9"/>
  <c r="I430" i="9"/>
  <c r="S430" i="9"/>
  <c r="Y430" i="9"/>
  <c r="N430" i="9"/>
  <c r="Z430" i="9"/>
  <c r="P430" i="9"/>
  <c r="W430" i="9"/>
  <c r="M430" i="9"/>
  <c r="AA430" i="9"/>
  <c r="T430" i="9"/>
  <c r="V430" i="9"/>
  <c r="O430" i="9"/>
  <c r="Q430" i="9"/>
  <c r="G430" i="9"/>
  <c r="H430" i="9"/>
  <c r="J430" i="9"/>
  <c r="D430" i="9"/>
  <c r="E430" i="9"/>
  <c r="K430" i="9"/>
  <c r="C433" i="9" l="1"/>
  <c r="B432" i="9"/>
  <c r="F431" i="9"/>
  <c r="R431" i="9"/>
  <c r="X431" i="9"/>
  <c r="L431" i="9"/>
  <c r="Z431" i="9"/>
  <c r="J431" i="9"/>
  <c r="M431" i="9"/>
  <c r="K431" i="9"/>
  <c r="G431" i="9"/>
  <c r="H431" i="9"/>
  <c r="P431" i="9"/>
  <c r="I431" i="9"/>
  <c r="D431" i="9"/>
  <c r="O431" i="9"/>
  <c r="AA431" i="9"/>
  <c r="Y431" i="9"/>
  <c r="E431" i="9"/>
  <c r="Q431" i="9"/>
  <c r="S431" i="9"/>
  <c r="U431" i="9"/>
  <c r="T431" i="9"/>
  <c r="W431" i="9"/>
  <c r="V431" i="9"/>
  <c r="N431" i="9"/>
  <c r="F432" i="9" l="1"/>
  <c r="X432" i="9"/>
  <c r="R432" i="9"/>
  <c r="L432" i="9"/>
  <c r="K432" i="9"/>
  <c r="Y432" i="9"/>
  <c r="N432" i="9"/>
  <c r="J432" i="9"/>
  <c r="V432" i="9"/>
  <c r="Q432" i="9"/>
  <c r="O432" i="9"/>
  <c r="AA432" i="9"/>
  <c r="U432" i="9"/>
  <c r="G432" i="9"/>
  <c r="P432" i="9"/>
  <c r="T432" i="9"/>
  <c r="E432" i="9"/>
  <c r="M432" i="9"/>
  <c r="S432" i="9"/>
  <c r="H432" i="9"/>
  <c r="W432" i="9"/>
  <c r="I432" i="9"/>
  <c r="Z432" i="9"/>
  <c r="D432" i="9"/>
  <c r="C434" i="9"/>
  <c r="B433" i="9"/>
  <c r="X433" i="9" l="1"/>
  <c r="F433" i="9"/>
  <c r="L433" i="9"/>
  <c r="R433" i="9"/>
  <c r="K433" i="9"/>
  <c r="W433" i="9"/>
  <c r="AA433" i="9"/>
  <c r="I433" i="9"/>
  <c r="J433" i="9"/>
  <c r="T433" i="9"/>
  <c r="N433" i="9"/>
  <c r="P433" i="9"/>
  <c r="H433" i="9"/>
  <c r="S433" i="9"/>
  <c r="D433" i="9"/>
  <c r="O433" i="9"/>
  <c r="Y433" i="9"/>
  <c r="V433" i="9"/>
  <c r="Z433" i="9"/>
  <c r="U433" i="9"/>
  <c r="E433" i="9"/>
  <c r="M433" i="9"/>
  <c r="G433" i="9"/>
  <c r="Q433" i="9"/>
  <c r="C435" i="9"/>
  <c r="B434" i="9"/>
  <c r="L434" i="9" l="1"/>
  <c r="X434" i="9"/>
  <c r="F434" i="9"/>
  <c r="R434" i="9"/>
  <c r="W434" i="9"/>
  <c r="Q434" i="9"/>
  <c r="O434" i="9"/>
  <c r="V434" i="9"/>
  <c r="D434" i="9"/>
  <c r="E434" i="9"/>
  <c r="T434" i="9"/>
  <c r="N434" i="9"/>
  <c r="Z434" i="9"/>
  <c r="U434" i="9"/>
  <c r="K434" i="9"/>
  <c r="H434" i="9"/>
  <c r="J434" i="9"/>
  <c r="I434" i="9"/>
  <c r="AA434" i="9"/>
  <c r="S434" i="9"/>
  <c r="P434" i="9"/>
  <c r="G434" i="9"/>
  <c r="M434" i="9"/>
  <c r="Y434" i="9"/>
  <c r="B435" i="9"/>
  <c r="C436" i="9"/>
  <c r="C437" i="9" l="1"/>
  <c r="B436" i="9"/>
  <c r="L435" i="9"/>
  <c r="X435" i="9"/>
  <c r="R435" i="9"/>
  <c r="F435" i="9"/>
  <c r="T435" i="9"/>
  <c r="K435" i="9"/>
  <c r="E435" i="9"/>
  <c r="Y435" i="9"/>
  <c r="N435" i="9"/>
  <c r="AA435" i="9"/>
  <c r="Z435" i="9"/>
  <c r="O435" i="9"/>
  <c r="W435" i="9"/>
  <c r="Q435" i="9"/>
  <c r="H435" i="9"/>
  <c r="G435" i="9"/>
  <c r="D435" i="9"/>
  <c r="P435" i="9"/>
  <c r="I435" i="9"/>
  <c r="J435" i="9"/>
  <c r="V435" i="9"/>
  <c r="S435" i="9"/>
  <c r="M435" i="9"/>
  <c r="U435" i="9"/>
  <c r="L436" i="9" l="1"/>
  <c r="F436" i="9"/>
  <c r="X436" i="9"/>
  <c r="R436" i="9"/>
  <c r="V436" i="9"/>
  <c r="Z436" i="9"/>
  <c r="E436" i="9"/>
  <c r="O436" i="9"/>
  <c r="AA436" i="9"/>
  <c r="Q436" i="9"/>
  <c r="P436" i="9"/>
  <c r="M436" i="9"/>
  <c r="I436" i="9"/>
  <c r="N436" i="9"/>
  <c r="S436" i="9"/>
  <c r="K436" i="9"/>
  <c r="W436" i="9"/>
  <c r="T436" i="9"/>
  <c r="H436" i="9"/>
  <c r="G436" i="9"/>
  <c r="D436" i="9"/>
  <c r="J436" i="9"/>
  <c r="U436" i="9"/>
  <c r="Y436" i="9"/>
  <c r="C438" i="9"/>
  <c r="B437" i="9"/>
  <c r="F437" i="9" l="1"/>
  <c r="L437" i="9"/>
  <c r="X437" i="9"/>
  <c r="R437" i="9"/>
  <c r="E437" i="9"/>
  <c r="D437" i="9"/>
  <c r="V437" i="9"/>
  <c r="K437" i="9"/>
  <c r="W437" i="9"/>
  <c r="S437" i="9"/>
  <c r="H437" i="9"/>
  <c r="T437" i="9"/>
  <c r="P437" i="9"/>
  <c r="Q437" i="9"/>
  <c r="G437" i="9"/>
  <c r="Z437" i="9"/>
  <c r="M437" i="9"/>
  <c r="Y437" i="9"/>
  <c r="I437" i="9"/>
  <c r="J437" i="9"/>
  <c r="N437" i="9"/>
  <c r="O437" i="9"/>
  <c r="U437" i="9"/>
  <c r="AA437" i="9"/>
  <c r="B438" i="9"/>
  <c r="C439" i="9"/>
  <c r="B439" i="9" l="1"/>
  <c r="C440" i="9"/>
  <c r="R438" i="9"/>
  <c r="L438" i="9"/>
  <c r="X438" i="9"/>
  <c r="F438" i="9"/>
  <c r="N438" i="9"/>
  <c r="I438" i="9"/>
  <c r="K438" i="9"/>
  <c r="Y438" i="9"/>
  <c r="H438" i="9"/>
  <c r="W438" i="9"/>
  <c r="T438" i="9"/>
  <c r="M438" i="9"/>
  <c r="U438" i="9"/>
  <c r="D438" i="9"/>
  <c r="Z438" i="9"/>
  <c r="O438" i="9"/>
  <c r="V438" i="9"/>
  <c r="J438" i="9"/>
  <c r="Q438" i="9"/>
  <c r="P438" i="9"/>
  <c r="E438" i="9"/>
  <c r="S438" i="9"/>
  <c r="AA438" i="9"/>
  <c r="G438" i="9"/>
  <c r="C441" i="9" l="1"/>
  <c r="B440" i="9"/>
  <c r="F439" i="9"/>
  <c r="R439" i="9"/>
  <c r="X439" i="9"/>
  <c r="L439" i="9"/>
  <c r="D439" i="9"/>
  <c r="V439" i="9"/>
  <c r="U439" i="9"/>
  <c r="P439" i="9"/>
  <c r="J439" i="9"/>
  <c r="I439" i="9"/>
  <c r="E439" i="9"/>
  <c r="Z439" i="9"/>
  <c r="T439" i="9"/>
  <c r="K439" i="9"/>
  <c r="O439" i="9"/>
  <c r="M439" i="9"/>
  <c r="G439" i="9"/>
  <c r="Y439" i="9"/>
  <c r="W439" i="9"/>
  <c r="Q439" i="9"/>
  <c r="S439" i="9"/>
  <c r="N439" i="9"/>
  <c r="AA439" i="9"/>
  <c r="H439" i="9"/>
  <c r="F440" i="9" l="1"/>
  <c r="R440" i="9"/>
  <c r="L440" i="9"/>
  <c r="X440" i="9"/>
  <c r="I440" i="9"/>
  <c r="J440" i="9"/>
  <c r="Z440" i="9"/>
  <c r="G440" i="9"/>
  <c r="O440" i="9"/>
  <c r="K440" i="9"/>
  <c r="N440" i="9"/>
  <c r="P440" i="9"/>
  <c r="E440" i="9"/>
  <c r="W440" i="9"/>
  <c r="Y440" i="9"/>
  <c r="M440" i="9"/>
  <c r="S440" i="9"/>
  <c r="V440" i="9"/>
  <c r="U440" i="9"/>
  <c r="Q440" i="9"/>
  <c r="D440" i="9"/>
  <c r="H440" i="9"/>
  <c r="AA440" i="9"/>
  <c r="T440" i="9"/>
  <c r="B441" i="9"/>
  <c r="C442" i="9"/>
  <c r="C443" i="9" l="1"/>
  <c r="B442" i="9"/>
  <c r="X441" i="9"/>
  <c r="F441" i="9"/>
  <c r="R441" i="9"/>
  <c r="L441" i="9"/>
  <c r="U441" i="9"/>
  <c r="W441" i="9"/>
  <c r="P441" i="9"/>
  <c r="J441" i="9"/>
  <c r="Y441" i="9"/>
  <c r="D441" i="9"/>
  <c r="Z441" i="9"/>
  <c r="H441" i="9"/>
  <c r="Q441" i="9"/>
  <c r="I441" i="9"/>
  <c r="K441" i="9"/>
  <c r="V441" i="9"/>
  <c r="E441" i="9"/>
  <c r="AA441" i="9"/>
  <c r="N441" i="9"/>
  <c r="O441" i="9"/>
  <c r="S441" i="9"/>
  <c r="T441" i="9"/>
  <c r="M441" i="9"/>
  <c r="G441" i="9"/>
  <c r="L442" i="9" l="1"/>
  <c r="X442" i="9"/>
  <c r="R442" i="9"/>
  <c r="F442" i="9"/>
  <c r="E442" i="9"/>
  <c r="AA442" i="9"/>
  <c r="W442" i="9"/>
  <c r="M442" i="9"/>
  <c r="Z442" i="9"/>
  <c r="Y442" i="9"/>
  <c r="P442" i="9"/>
  <c r="I442" i="9"/>
  <c r="Q442" i="9"/>
  <c r="J442" i="9"/>
  <c r="N442" i="9"/>
  <c r="S442" i="9"/>
  <c r="H442" i="9"/>
  <c r="O442" i="9"/>
  <c r="G442" i="9"/>
  <c r="U442" i="9"/>
  <c r="K442" i="9"/>
  <c r="T442" i="9"/>
  <c r="D442" i="9"/>
  <c r="V442" i="9"/>
  <c r="B443" i="9"/>
  <c r="C444" i="9"/>
  <c r="B444" i="9" l="1"/>
  <c r="C445" i="9"/>
  <c r="L443" i="9"/>
  <c r="X443" i="9"/>
  <c r="R443" i="9"/>
  <c r="F443" i="9"/>
  <c r="M443" i="9"/>
  <c r="Q443" i="9"/>
  <c r="I443" i="9"/>
  <c r="D443" i="9"/>
  <c r="O443" i="9"/>
  <c r="S443" i="9"/>
  <c r="AA443" i="9"/>
  <c r="W443" i="9"/>
  <c r="N443" i="9"/>
  <c r="J443" i="9"/>
  <c r="G443" i="9"/>
  <c r="Y443" i="9"/>
  <c r="H443" i="9"/>
  <c r="V443" i="9"/>
  <c r="P443" i="9"/>
  <c r="E443" i="9"/>
  <c r="U443" i="9"/>
  <c r="K443" i="9"/>
  <c r="Z443" i="9"/>
  <c r="T443" i="9"/>
  <c r="B445" i="9" l="1"/>
  <c r="C446" i="9"/>
  <c r="X444" i="9"/>
  <c r="L444" i="9"/>
  <c r="R444" i="9"/>
  <c r="F444" i="9"/>
  <c r="K444" i="9"/>
  <c r="Y444" i="9"/>
  <c r="I444" i="9"/>
  <c r="H444" i="9"/>
  <c r="M444" i="9"/>
  <c r="Q444" i="9"/>
  <c r="U444" i="9"/>
  <c r="T444" i="9"/>
  <c r="G444" i="9"/>
  <c r="AA444" i="9"/>
  <c r="D444" i="9"/>
  <c r="Z444" i="9"/>
  <c r="W444" i="9"/>
  <c r="S444" i="9"/>
  <c r="E444" i="9"/>
  <c r="V444" i="9"/>
  <c r="P444" i="9"/>
  <c r="N444" i="9"/>
  <c r="J444" i="9"/>
  <c r="O444" i="9"/>
  <c r="C447" i="9" l="1"/>
  <c r="B446" i="9"/>
  <c r="X445" i="9"/>
  <c r="F445" i="9"/>
  <c r="R445" i="9"/>
  <c r="L445" i="9"/>
  <c r="P445" i="9"/>
  <c r="M445" i="9"/>
  <c r="Q445" i="9"/>
  <c r="O445" i="9"/>
  <c r="G445" i="9"/>
  <c r="H445" i="9"/>
  <c r="T445" i="9"/>
  <c r="E445" i="9"/>
  <c r="D445" i="9"/>
  <c r="I445" i="9"/>
  <c r="S445" i="9"/>
  <c r="AA445" i="9"/>
  <c r="U445" i="9"/>
  <c r="V445" i="9"/>
  <c r="J445" i="9"/>
  <c r="Z445" i="9"/>
  <c r="K445" i="9"/>
  <c r="Y445" i="9"/>
  <c r="N445" i="9"/>
  <c r="W445" i="9"/>
  <c r="R446" i="9" l="1"/>
  <c r="F446" i="9"/>
  <c r="L446" i="9"/>
  <c r="X446" i="9"/>
  <c r="K446" i="9"/>
  <c r="W446" i="9"/>
  <c r="U446" i="9"/>
  <c r="H446" i="9"/>
  <c r="V446" i="9"/>
  <c r="Y446" i="9"/>
  <c r="P446" i="9"/>
  <c r="O446" i="9"/>
  <c r="G446" i="9"/>
  <c r="J446" i="9"/>
  <c r="M446" i="9"/>
  <c r="Z446" i="9"/>
  <c r="AA446" i="9"/>
  <c r="T446" i="9"/>
  <c r="N446" i="9"/>
  <c r="I446" i="9"/>
  <c r="E446" i="9"/>
  <c r="S446" i="9"/>
  <c r="D446" i="9"/>
  <c r="Q446" i="9"/>
  <c r="B447" i="9"/>
  <c r="C448" i="9"/>
  <c r="B448" i="9" l="1"/>
  <c r="C449" i="9"/>
  <c r="R447" i="9"/>
  <c r="L447" i="9"/>
  <c r="F447" i="9"/>
  <c r="X447" i="9"/>
  <c r="V447" i="9"/>
  <c r="N447" i="9"/>
  <c r="J447" i="9"/>
  <c r="P447" i="9"/>
  <c r="G447" i="9"/>
  <c r="S447" i="9"/>
  <c r="D447" i="9"/>
  <c r="O447" i="9"/>
  <c r="AA447" i="9"/>
  <c r="K447" i="9"/>
  <c r="Z447" i="9"/>
  <c r="Y447" i="9"/>
  <c r="U447" i="9"/>
  <c r="H447" i="9"/>
  <c r="I447" i="9"/>
  <c r="Q447" i="9"/>
  <c r="T447" i="9"/>
  <c r="M447" i="9"/>
  <c r="E447" i="9"/>
  <c r="W447" i="9"/>
  <c r="B449" i="9" l="1"/>
  <c r="C450" i="9"/>
  <c r="X448" i="9"/>
  <c r="L448" i="9"/>
  <c r="F448" i="9"/>
  <c r="R448" i="9"/>
  <c r="Q448" i="9"/>
  <c r="U448" i="9"/>
  <c r="M448" i="9"/>
  <c r="I448" i="9"/>
  <c r="O448" i="9"/>
  <c r="AA448" i="9"/>
  <c r="W448" i="9"/>
  <c r="Z448" i="9"/>
  <c r="E448" i="9"/>
  <c r="J448" i="9"/>
  <c r="Y448" i="9"/>
  <c r="S448" i="9"/>
  <c r="V448" i="9"/>
  <c r="N448" i="9"/>
  <c r="D448" i="9"/>
  <c r="P448" i="9"/>
  <c r="H448" i="9"/>
  <c r="G448" i="9"/>
  <c r="K448" i="9"/>
  <c r="T448" i="9"/>
  <c r="C451" i="9" l="1"/>
  <c r="B450" i="9"/>
  <c r="L449" i="9"/>
  <c r="X449" i="9"/>
  <c r="F449" i="9"/>
  <c r="R449" i="9"/>
  <c r="J449" i="9"/>
  <c r="Y449" i="9"/>
  <c r="I449" i="9"/>
  <c r="K449" i="9"/>
  <c r="N449" i="9"/>
  <c r="P449" i="9"/>
  <c r="S449" i="9"/>
  <c r="V449" i="9"/>
  <c r="M449" i="9"/>
  <c r="Z449" i="9"/>
  <c r="E449" i="9"/>
  <c r="Q449" i="9"/>
  <c r="AA449" i="9"/>
  <c r="W449" i="9"/>
  <c r="D449" i="9"/>
  <c r="T449" i="9"/>
  <c r="G449" i="9"/>
  <c r="H449" i="9"/>
  <c r="U449" i="9"/>
  <c r="O449" i="9"/>
  <c r="R450" i="9" l="1"/>
  <c r="F450" i="9"/>
  <c r="L450" i="9"/>
  <c r="X450" i="9"/>
  <c r="D450" i="9"/>
  <c r="J450" i="9"/>
  <c r="Y450" i="9"/>
  <c r="V450" i="9"/>
  <c r="Z450" i="9"/>
  <c r="T450" i="9"/>
  <c r="K450" i="9"/>
  <c r="P450" i="9"/>
  <c r="G450" i="9"/>
  <c r="H450" i="9"/>
  <c r="W450" i="9"/>
  <c r="Q450" i="9"/>
  <c r="AA450" i="9"/>
  <c r="I450" i="9"/>
  <c r="E450" i="9"/>
  <c r="S450" i="9"/>
  <c r="U450" i="9"/>
  <c r="M450" i="9"/>
  <c r="N450" i="9"/>
  <c r="O450" i="9"/>
  <c r="B451" i="9"/>
  <c r="C452" i="9"/>
  <c r="B452" i="9" l="1"/>
  <c r="C453" i="9"/>
  <c r="F451" i="9"/>
  <c r="R451" i="9"/>
  <c r="X451" i="9"/>
  <c r="L451" i="9"/>
  <c r="J451" i="9"/>
  <c r="E451" i="9"/>
  <c r="T451" i="9"/>
  <c r="I451" i="9"/>
  <c r="V451" i="9"/>
  <c r="W451" i="9"/>
  <c r="S451" i="9"/>
  <c r="H451" i="9"/>
  <c r="M451" i="9"/>
  <c r="U451" i="9"/>
  <c r="P451" i="9"/>
  <c r="Q451" i="9"/>
  <c r="G451" i="9"/>
  <c r="AA451" i="9"/>
  <c r="K451" i="9"/>
  <c r="D451" i="9"/>
  <c r="Z451" i="9"/>
  <c r="Y451" i="9"/>
  <c r="O451" i="9"/>
  <c r="N451" i="9"/>
  <c r="C454" i="9" l="1"/>
  <c r="B453" i="9"/>
  <c r="X452" i="9"/>
  <c r="L452" i="9"/>
  <c r="F452" i="9"/>
  <c r="R452" i="9"/>
  <c r="W452" i="9"/>
  <c r="J452" i="9"/>
  <c r="Z452" i="9"/>
  <c r="I452" i="9"/>
  <c r="D452" i="9"/>
  <c r="O452" i="9"/>
  <c r="E452" i="9"/>
  <c r="H452" i="9"/>
  <c r="K452" i="9"/>
  <c r="Y452" i="9"/>
  <c r="V452" i="9"/>
  <c r="U452" i="9"/>
  <c r="AA452" i="9"/>
  <c r="T452" i="9"/>
  <c r="M452" i="9"/>
  <c r="N452" i="9"/>
  <c r="Q452" i="9"/>
  <c r="G452" i="9"/>
  <c r="S452" i="9"/>
  <c r="P452" i="9"/>
  <c r="L453" i="9" l="1"/>
  <c r="F453" i="9"/>
  <c r="X453" i="9"/>
  <c r="R453" i="9"/>
  <c r="V453" i="9"/>
  <c r="W453" i="9"/>
  <c r="P453" i="9"/>
  <c r="Y453" i="9"/>
  <c r="J453" i="9"/>
  <c r="G453" i="9"/>
  <c r="T453" i="9"/>
  <c r="Q453" i="9"/>
  <c r="S453" i="9"/>
  <c r="AA453" i="9"/>
  <c r="M453" i="9"/>
  <c r="N453" i="9"/>
  <c r="U453" i="9"/>
  <c r="Z453" i="9"/>
  <c r="E453" i="9"/>
  <c r="D453" i="9"/>
  <c r="I453" i="9"/>
  <c r="O453" i="9"/>
  <c r="K453" i="9"/>
  <c r="H453" i="9"/>
  <c r="C455" i="9"/>
  <c r="B454" i="9"/>
  <c r="R454" i="9" l="1"/>
  <c r="F454" i="9"/>
  <c r="L454" i="9"/>
  <c r="X454" i="9"/>
  <c r="I454" i="9"/>
  <c r="Y454" i="9"/>
  <c r="P454" i="9"/>
  <c r="U454" i="9"/>
  <c r="J454" i="9"/>
  <c r="Q454" i="9"/>
  <c r="T454" i="9"/>
  <c r="H454" i="9"/>
  <c r="K454" i="9"/>
  <c r="M454" i="9"/>
  <c r="N454" i="9"/>
  <c r="Z454" i="9"/>
  <c r="D454" i="9"/>
  <c r="E454" i="9"/>
  <c r="AA454" i="9"/>
  <c r="V454" i="9"/>
  <c r="S454" i="9"/>
  <c r="O454" i="9"/>
  <c r="G454" i="9"/>
  <c r="W454" i="9"/>
  <c r="B455" i="9"/>
  <c r="C456" i="9"/>
  <c r="C457" i="9" l="1"/>
  <c r="B456" i="9"/>
  <c r="X455" i="9"/>
  <c r="F455" i="9"/>
  <c r="R455" i="9"/>
  <c r="L455" i="9"/>
  <c r="Q455" i="9"/>
  <c r="Y455" i="9"/>
  <c r="D455" i="9"/>
  <c r="O455" i="9"/>
  <c r="AA455" i="9"/>
  <c r="M455" i="9"/>
  <c r="H455" i="9"/>
  <c r="K455" i="9"/>
  <c r="N455" i="9"/>
  <c r="Z455" i="9"/>
  <c r="S455" i="9"/>
  <c r="W455" i="9"/>
  <c r="J455" i="9"/>
  <c r="P455" i="9"/>
  <c r="T455" i="9"/>
  <c r="G455" i="9"/>
  <c r="U455" i="9"/>
  <c r="V455" i="9"/>
  <c r="I455" i="9"/>
  <c r="E455" i="9"/>
  <c r="X456" i="9" l="1"/>
  <c r="L456" i="9"/>
  <c r="R456" i="9"/>
  <c r="F456" i="9"/>
  <c r="M456" i="9"/>
  <c r="Q456" i="9"/>
  <c r="V456" i="9"/>
  <c r="D456" i="9"/>
  <c r="I456" i="9"/>
  <c r="U456" i="9"/>
  <c r="T456" i="9"/>
  <c r="K456" i="9"/>
  <c r="H456" i="9"/>
  <c r="O456" i="9"/>
  <c r="W456" i="9"/>
  <c r="E456" i="9"/>
  <c r="G456" i="9"/>
  <c r="N456" i="9"/>
  <c r="AA456" i="9"/>
  <c r="S456" i="9"/>
  <c r="J456" i="9"/>
  <c r="Z456" i="9"/>
  <c r="Y456" i="9"/>
  <c r="P456" i="9"/>
  <c r="B457" i="9"/>
  <c r="C458" i="9"/>
  <c r="C459" i="9" l="1"/>
  <c r="B458" i="9"/>
  <c r="R457" i="9"/>
  <c r="X457" i="9"/>
  <c r="L457" i="9"/>
  <c r="F457" i="9"/>
  <c r="K457" i="9"/>
  <c r="Q457" i="9"/>
  <c r="U457" i="9"/>
  <c r="Y457" i="9"/>
  <c r="Z457" i="9"/>
  <c r="AA457" i="9"/>
  <c r="I457" i="9"/>
  <c r="O457" i="9"/>
  <c r="H457" i="9"/>
  <c r="N457" i="9"/>
  <c r="D457" i="9"/>
  <c r="V457" i="9"/>
  <c r="W457" i="9"/>
  <c r="S457" i="9"/>
  <c r="E457" i="9"/>
  <c r="J457" i="9"/>
  <c r="T457" i="9"/>
  <c r="G457" i="9"/>
  <c r="P457" i="9"/>
  <c r="M457" i="9"/>
  <c r="R458" i="9" l="1"/>
  <c r="F458" i="9"/>
  <c r="X458" i="9"/>
  <c r="L458" i="9"/>
  <c r="E458" i="9"/>
  <c r="K458" i="9"/>
  <c r="N458" i="9"/>
  <c r="P458" i="9"/>
  <c r="G458" i="9"/>
  <c r="Z458" i="9"/>
  <c r="J458" i="9"/>
  <c r="D458" i="9"/>
  <c r="S458" i="9"/>
  <c r="V458" i="9"/>
  <c r="O458" i="9"/>
  <c r="W458" i="9"/>
  <c r="Y458" i="9"/>
  <c r="I458" i="9"/>
  <c r="Q458" i="9"/>
  <c r="H458" i="9"/>
  <c r="U458" i="9"/>
  <c r="M458" i="9"/>
  <c r="T458" i="9"/>
  <c r="AA458" i="9"/>
  <c r="B459" i="9"/>
  <c r="C460" i="9"/>
  <c r="B460" i="9" l="1"/>
  <c r="C461" i="9"/>
  <c r="L459" i="9"/>
  <c r="X459" i="9"/>
  <c r="F459" i="9"/>
  <c r="R459" i="9"/>
  <c r="M459" i="9"/>
  <c r="N459" i="9"/>
  <c r="E459" i="9"/>
  <c r="S459" i="9"/>
  <c r="Y459" i="9"/>
  <c r="Z459" i="9"/>
  <c r="J459" i="9"/>
  <c r="P459" i="9"/>
  <c r="T459" i="9"/>
  <c r="V459" i="9"/>
  <c r="H459" i="9"/>
  <c r="U459" i="9"/>
  <c r="G459" i="9"/>
  <c r="I459" i="9"/>
  <c r="AA459" i="9"/>
  <c r="D459" i="9"/>
  <c r="Q459" i="9"/>
  <c r="O459" i="9"/>
  <c r="K459" i="9"/>
  <c r="W459" i="9"/>
  <c r="C462" i="9" l="1"/>
  <c r="B461" i="9"/>
  <c r="X460" i="9"/>
  <c r="L460" i="9"/>
  <c r="R460" i="9"/>
  <c r="F460" i="9"/>
  <c r="Z460" i="9"/>
  <c r="D460" i="9"/>
  <c r="J460" i="9"/>
  <c r="E460" i="9"/>
  <c r="S460" i="9"/>
  <c r="M460" i="9"/>
  <c r="AA460" i="9"/>
  <c r="N460" i="9"/>
  <c r="W460" i="9"/>
  <c r="Y460" i="9"/>
  <c r="Q460" i="9"/>
  <c r="I460" i="9"/>
  <c r="U460" i="9"/>
  <c r="H460" i="9"/>
  <c r="P460" i="9"/>
  <c r="G460" i="9"/>
  <c r="K460" i="9"/>
  <c r="T460" i="9"/>
  <c r="V460" i="9"/>
  <c r="O460" i="9"/>
  <c r="X461" i="9" l="1"/>
  <c r="F461" i="9"/>
  <c r="R461" i="9"/>
  <c r="L461" i="9"/>
  <c r="J461" i="9"/>
  <c r="M461" i="9"/>
  <c r="D461" i="9"/>
  <c r="N461" i="9"/>
  <c r="P461" i="9"/>
  <c r="V461" i="9"/>
  <c r="K461" i="9"/>
  <c r="G461" i="9"/>
  <c r="I461" i="9"/>
  <c r="AA461" i="9"/>
  <c r="T461" i="9"/>
  <c r="Y461" i="9"/>
  <c r="Q461" i="9"/>
  <c r="U461" i="9"/>
  <c r="Z461" i="9"/>
  <c r="O461" i="9"/>
  <c r="W461" i="9"/>
  <c r="H461" i="9"/>
  <c r="S461" i="9"/>
  <c r="E461" i="9"/>
  <c r="C463" i="9"/>
  <c r="B462" i="9"/>
  <c r="R462" i="9" l="1"/>
  <c r="F462" i="9"/>
  <c r="L462" i="9"/>
  <c r="X462" i="9"/>
  <c r="J462" i="9"/>
  <c r="K462" i="9"/>
  <c r="P462" i="9"/>
  <c r="Q462" i="9"/>
  <c r="S462" i="9"/>
  <c r="W462" i="9"/>
  <c r="AA462" i="9"/>
  <c r="O462" i="9"/>
  <c r="Y462" i="9"/>
  <c r="I462" i="9"/>
  <c r="E462" i="9"/>
  <c r="H462" i="9"/>
  <c r="V462" i="9"/>
  <c r="U462" i="9"/>
  <c r="N462" i="9"/>
  <c r="D462" i="9"/>
  <c r="G462" i="9"/>
  <c r="Z462" i="9"/>
  <c r="M462" i="9"/>
  <c r="T462" i="9"/>
  <c r="B463" i="9"/>
  <c r="C464" i="9"/>
  <c r="C465" i="9" l="1"/>
  <c r="B464" i="9"/>
  <c r="X463" i="9"/>
  <c r="L463" i="9"/>
  <c r="R463" i="9"/>
  <c r="F463" i="9"/>
  <c r="V463" i="9"/>
  <c r="D463" i="9"/>
  <c r="O463" i="9"/>
  <c r="AA463" i="9"/>
  <c r="J463" i="9"/>
  <c r="N463" i="9"/>
  <c r="S463" i="9"/>
  <c r="K463" i="9"/>
  <c r="T463" i="9"/>
  <c r="H463" i="9"/>
  <c r="U463" i="9"/>
  <c r="P463" i="9"/>
  <c r="Q463" i="9"/>
  <c r="Y463" i="9"/>
  <c r="G463" i="9"/>
  <c r="M463" i="9"/>
  <c r="E463" i="9"/>
  <c r="I463" i="9"/>
  <c r="W463" i="9"/>
  <c r="Z463" i="9"/>
  <c r="L464" i="9" l="1"/>
  <c r="X464" i="9"/>
  <c r="F464" i="9"/>
  <c r="R464" i="9"/>
  <c r="V464" i="9"/>
  <c r="T464" i="9"/>
  <c r="K464" i="9"/>
  <c r="AA464" i="9"/>
  <c r="H464" i="9"/>
  <c r="N464" i="9"/>
  <c r="P464" i="9"/>
  <c r="G464" i="9"/>
  <c r="J464" i="9"/>
  <c r="Q464" i="9"/>
  <c r="M464" i="9"/>
  <c r="Y464" i="9"/>
  <c r="O464" i="9"/>
  <c r="Z464" i="9"/>
  <c r="S464" i="9"/>
  <c r="W464" i="9"/>
  <c r="D464" i="9"/>
  <c r="E464" i="9"/>
  <c r="I464" i="9"/>
  <c r="U464" i="9"/>
  <c r="B465" i="9"/>
  <c r="C466" i="9"/>
  <c r="C467" i="9" l="1"/>
  <c r="B466" i="9"/>
  <c r="L465" i="9"/>
  <c r="X465" i="9"/>
  <c r="R465" i="9"/>
  <c r="F465" i="9"/>
  <c r="J465" i="9"/>
  <c r="W465" i="9"/>
  <c r="M465" i="9"/>
  <c r="K465" i="9"/>
  <c r="Q465" i="9"/>
  <c r="O465" i="9"/>
  <c r="Y465" i="9"/>
  <c r="P465" i="9"/>
  <c r="Z465" i="9"/>
  <c r="I465" i="9"/>
  <c r="S465" i="9"/>
  <c r="AA465" i="9"/>
  <c r="U465" i="9"/>
  <c r="G465" i="9"/>
  <c r="D465" i="9"/>
  <c r="H465" i="9"/>
  <c r="N465" i="9"/>
  <c r="V465" i="9"/>
  <c r="E465" i="9"/>
  <c r="T465" i="9"/>
  <c r="L466" i="9" l="1"/>
  <c r="X466" i="9"/>
  <c r="R466" i="9"/>
  <c r="F466" i="9"/>
  <c r="O466" i="9"/>
  <c r="D466" i="9"/>
  <c r="N466" i="9"/>
  <c r="M466" i="9"/>
  <c r="P466" i="9"/>
  <c r="E466" i="9"/>
  <c r="J466" i="9"/>
  <c r="Y466" i="9"/>
  <c r="Q466" i="9"/>
  <c r="G466" i="9"/>
  <c r="S466" i="9"/>
  <c r="T466" i="9"/>
  <c r="K466" i="9"/>
  <c r="U466" i="9"/>
  <c r="H466" i="9"/>
  <c r="W466" i="9"/>
  <c r="I466" i="9"/>
  <c r="Z466" i="9"/>
  <c r="V466" i="9"/>
  <c r="AA466" i="9"/>
  <c r="B467" i="9"/>
  <c r="C468" i="9"/>
  <c r="C469" i="9" l="1"/>
  <c r="B468" i="9"/>
  <c r="X467" i="9"/>
  <c r="F467" i="9"/>
  <c r="L467" i="9"/>
  <c r="R467" i="9"/>
  <c r="M467" i="9"/>
  <c r="O467" i="9"/>
  <c r="D467" i="9"/>
  <c r="I467" i="9"/>
  <c r="Q467" i="9"/>
  <c r="H467" i="9"/>
  <c r="Z467" i="9"/>
  <c r="P467" i="9"/>
  <c r="E467" i="9"/>
  <c r="W467" i="9"/>
  <c r="G467" i="9"/>
  <c r="U467" i="9"/>
  <c r="S467" i="9"/>
  <c r="V467" i="9"/>
  <c r="N467" i="9"/>
  <c r="J467" i="9"/>
  <c r="T467" i="9"/>
  <c r="AA467" i="9"/>
  <c r="K467" i="9"/>
  <c r="Y467" i="9"/>
  <c r="F468" i="9" l="1"/>
  <c r="L468" i="9"/>
  <c r="X468" i="9"/>
  <c r="R468" i="9"/>
  <c r="M468" i="9"/>
  <c r="U468" i="9"/>
  <c r="S468" i="9"/>
  <c r="V468" i="9"/>
  <c r="K468" i="9"/>
  <c r="P468" i="9"/>
  <c r="I468" i="9"/>
  <c r="Y468" i="9"/>
  <c r="D468" i="9"/>
  <c r="T468" i="9"/>
  <c r="J468" i="9"/>
  <c r="E468" i="9"/>
  <c r="O468" i="9"/>
  <c r="G468" i="9"/>
  <c r="H468" i="9"/>
  <c r="W468" i="9"/>
  <c r="Z468" i="9"/>
  <c r="Q468" i="9"/>
  <c r="N468" i="9"/>
  <c r="AA468" i="9"/>
  <c r="B469" i="9"/>
  <c r="C470" i="9"/>
  <c r="C471" i="9" l="1"/>
  <c r="B470" i="9"/>
  <c r="X469" i="9"/>
  <c r="L469" i="9"/>
  <c r="F469" i="9"/>
  <c r="R469" i="9"/>
  <c r="Z469" i="9"/>
  <c r="E469" i="9"/>
  <c r="V469" i="9"/>
  <c r="W469" i="9"/>
  <c r="I469" i="9"/>
  <c r="H469" i="9"/>
  <c r="K469" i="9"/>
  <c r="Y469" i="9"/>
  <c r="M469" i="9"/>
  <c r="S469" i="9"/>
  <c r="U469" i="9"/>
  <c r="J469" i="9"/>
  <c r="O469" i="9"/>
  <c r="Q469" i="9"/>
  <c r="N469" i="9"/>
  <c r="P469" i="9"/>
  <c r="D469" i="9"/>
  <c r="AA469" i="9"/>
  <c r="T469" i="9"/>
  <c r="G469" i="9"/>
  <c r="L470" i="9" l="1"/>
  <c r="X470" i="9"/>
  <c r="F470" i="9"/>
  <c r="R470" i="9"/>
  <c r="N470" i="9"/>
  <c r="J470" i="9"/>
  <c r="Z470" i="9"/>
  <c r="D470" i="9"/>
  <c r="T470" i="9"/>
  <c r="Q470" i="9"/>
  <c r="O470" i="9"/>
  <c r="G470" i="9"/>
  <c r="Y470" i="9"/>
  <c r="K470" i="9"/>
  <c r="U470" i="9"/>
  <c r="V470" i="9"/>
  <c r="W470" i="9"/>
  <c r="E470" i="9"/>
  <c r="P470" i="9"/>
  <c r="M470" i="9"/>
  <c r="AA470" i="9"/>
  <c r="I470" i="9"/>
  <c r="S470" i="9"/>
  <c r="H470" i="9"/>
  <c r="C472" i="9"/>
  <c r="B471" i="9"/>
  <c r="R471" i="9" l="1"/>
  <c r="F471" i="9"/>
  <c r="L471" i="9"/>
  <c r="X471" i="9"/>
  <c r="W471" i="9"/>
  <c r="D471" i="9"/>
  <c r="M471" i="9"/>
  <c r="Y471" i="9"/>
  <c r="N471" i="9"/>
  <c r="P471" i="9"/>
  <c r="O471" i="9"/>
  <c r="Z471" i="9"/>
  <c r="I471" i="9"/>
  <c r="U471" i="9"/>
  <c r="T471" i="9"/>
  <c r="Q471" i="9"/>
  <c r="V471" i="9"/>
  <c r="G471" i="9"/>
  <c r="AA471" i="9"/>
  <c r="S471" i="9"/>
  <c r="J471" i="9"/>
  <c r="H471" i="9"/>
  <c r="K471" i="9"/>
  <c r="E471" i="9"/>
  <c r="C473" i="9"/>
  <c r="B472" i="9"/>
  <c r="L472" i="9" l="1"/>
  <c r="X472" i="9"/>
  <c r="R472" i="9"/>
  <c r="F472" i="9"/>
  <c r="Z472" i="9"/>
  <c r="M472" i="9"/>
  <c r="K472" i="9"/>
  <c r="D472" i="9"/>
  <c r="E472" i="9"/>
  <c r="S472" i="9"/>
  <c r="Q472" i="9"/>
  <c r="W472" i="9"/>
  <c r="Y472" i="9"/>
  <c r="I472" i="9"/>
  <c r="G472" i="9"/>
  <c r="AA472" i="9"/>
  <c r="H472" i="9"/>
  <c r="N472" i="9"/>
  <c r="V472" i="9"/>
  <c r="O472" i="9"/>
  <c r="U472" i="9"/>
  <c r="T472" i="9"/>
  <c r="P472" i="9"/>
  <c r="J472" i="9"/>
  <c r="B473" i="9"/>
  <c r="C474" i="9"/>
  <c r="C475" i="9" l="1"/>
  <c r="B474" i="9"/>
  <c r="X473" i="9"/>
  <c r="L473" i="9"/>
  <c r="R473" i="9"/>
  <c r="F473" i="9"/>
  <c r="J473" i="9"/>
  <c r="Q473" i="9"/>
  <c r="T473" i="9"/>
  <c r="K473" i="9"/>
  <c r="Z473" i="9"/>
  <c r="G473" i="9"/>
  <c r="V473" i="9"/>
  <c r="N473" i="9"/>
  <c r="P473" i="9"/>
  <c r="E473" i="9"/>
  <c r="O473" i="9"/>
  <c r="S473" i="9"/>
  <c r="U473" i="9"/>
  <c r="M473" i="9"/>
  <c r="Y473" i="9"/>
  <c r="I473" i="9"/>
  <c r="AA473" i="9"/>
  <c r="H473" i="9"/>
  <c r="W473" i="9"/>
  <c r="D473" i="9"/>
  <c r="R474" i="9" l="1"/>
  <c r="F474" i="9"/>
  <c r="X474" i="9"/>
  <c r="L474" i="9"/>
  <c r="W474" i="9"/>
  <c r="O474" i="9"/>
  <c r="Y474" i="9"/>
  <c r="N474" i="9"/>
  <c r="J474" i="9"/>
  <c r="M474" i="9"/>
  <c r="I474" i="9"/>
  <c r="S474" i="9"/>
  <c r="V474" i="9"/>
  <c r="AA474" i="9"/>
  <c r="H474" i="9"/>
  <c r="P474" i="9"/>
  <c r="K474" i="9"/>
  <c r="T474" i="9"/>
  <c r="Z474" i="9"/>
  <c r="D474" i="9"/>
  <c r="G474" i="9"/>
  <c r="E474" i="9"/>
  <c r="Q474" i="9"/>
  <c r="U474" i="9"/>
  <c r="C476" i="9"/>
  <c r="B475" i="9"/>
  <c r="R475" i="9" l="1"/>
  <c r="F475" i="9"/>
  <c r="L475" i="9"/>
  <c r="X475" i="9"/>
  <c r="Y475" i="9"/>
  <c r="K475" i="9"/>
  <c r="N475" i="9"/>
  <c r="M475" i="9"/>
  <c r="P475" i="9"/>
  <c r="Q475" i="9"/>
  <c r="U475" i="9"/>
  <c r="G475" i="9"/>
  <c r="S475" i="9"/>
  <c r="J475" i="9"/>
  <c r="V475" i="9"/>
  <c r="T475" i="9"/>
  <c r="O475" i="9"/>
  <c r="E475" i="9"/>
  <c r="W475" i="9"/>
  <c r="D475" i="9"/>
  <c r="Z475" i="9"/>
  <c r="H475" i="9"/>
  <c r="I475" i="9"/>
  <c r="AA475" i="9"/>
  <c r="B476" i="9"/>
  <c r="C477" i="9"/>
  <c r="B477" i="9" l="1"/>
  <c r="C478" i="9"/>
  <c r="X476" i="9"/>
  <c r="L476" i="9"/>
  <c r="F476" i="9"/>
  <c r="R476" i="9"/>
  <c r="K476" i="9"/>
  <c r="O476" i="9"/>
  <c r="Z476" i="9"/>
  <c r="V476" i="9"/>
  <c r="U476" i="9"/>
  <c r="W476" i="9"/>
  <c r="Y476" i="9"/>
  <c r="N476" i="9"/>
  <c r="Q476" i="9"/>
  <c r="S476" i="9"/>
  <c r="G476" i="9"/>
  <c r="M476" i="9"/>
  <c r="P476" i="9"/>
  <c r="T476" i="9"/>
  <c r="D476" i="9"/>
  <c r="H476" i="9"/>
  <c r="I476" i="9"/>
  <c r="J476" i="9"/>
  <c r="E476" i="9"/>
  <c r="AA476" i="9"/>
  <c r="B478" i="9" l="1"/>
  <c r="C479" i="9"/>
  <c r="X477" i="9"/>
  <c r="L477" i="9"/>
  <c r="R477" i="9"/>
  <c r="F477" i="9"/>
  <c r="N477" i="9"/>
  <c r="I477" i="9"/>
  <c r="J477" i="9"/>
  <c r="M477" i="9"/>
  <c r="W477" i="9"/>
  <c r="Y477" i="9"/>
  <c r="T477" i="9"/>
  <c r="D477" i="9"/>
  <c r="V477" i="9"/>
  <c r="U477" i="9"/>
  <c r="K477" i="9"/>
  <c r="Z477" i="9"/>
  <c r="E477" i="9"/>
  <c r="Q477" i="9"/>
  <c r="P477" i="9"/>
  <c r="G477" i="9"/>
  <c r="O477" i="9"/>
  <c r="AA477" i="9"/>
  <c r="S477" i="9"/>
  <c r="H477" i="9"/>
  <c r="C480" i="9" l="1"/>
  <c r="B479" i="9"/>
  <c r="R478" i="9"/>
  <c r="X478" i="9"/>
  <c r="F478" i="9"/>
  <c r="L478" i="9"/>
  <c r="Z478" i="9"/>
  <c r="V478" i="9"/>
  <c r="O478" i="9"/>
  <c r="S478" i="9"/>
  <c r="K478" i="9"/>
  <c r="U478" i="9"/>
  <c r="J478" i="9"/>
  <c r="N478" i="9"/>
  <c r="D478" i="9"/>
  <c r="H478" i="9"/>
  <c r="T478" i="9"/>
  <c r="E478" i="9"/>
  <c r="G478" i="9"/>
  <c r="M478" i="9"/>
  <c r="Y478" i="9"/>
  <c r="AA478" i="9"/>
  <c r="Q478" i="9"/>
  <c r="W478" i="9"/>
  <c r="P478" i="9"/>
  <c r="I478" i="9"/>
  <c r="R479" i="9" l="1"/>
  <c r="F479" i="9"/>
  <c r="X479" i="9"/>
  <c r="L479" i="9"/>
  <c r="P479" i="9"/>
  <c r="AA479" i="9"/>
  <c r="J479" i="9"/>
  <c r="E479" i="9"/>
  <c r="H479" i="9"/>
  <c r="U479" i="9"/>
  <c r="T479" i="9"/>
  <c r="V479" i="9"/>
  <c r="Y479" i="9"/>
  <c r="N479" i="9"/>
  <c r="I479" i="9"/>
  <c r="K479" i="9"/>
  <c r="Q479" i="9"/>
  <c r="G479" i="9"/>
  <c r="O479" i="9"/>
  <c r="W479" i="9"/>
  <c r="Z479" i="9"/>
  <c r="M479" i="9"/>
  <c r="S479" i="9"/>
  <c r="D479" i="9"/>
  <c r="B480" i="9"/>
  <c r="C481" i="9"/>
  <c r="B481" i="9" l="1"/>
  <c r="C482" i="9"/>
  <c r="R480" i="9"/>
  <c r="L480" i="9"/>
  <c r="F480" i="9"/>
  <c r="X480" i="9"/>
  <c r="J480" i="9"/>
  <c r="V480" i="9"/>
  <c r="M480" i="9"/>
  <c r="D480" i="9"/>
  <c r="E480" i="9"/>
  <c r="N480" i="9"/>
  <c r="U480" i="9"/>
  <c r="K480" i="9"/>
  <c r="P480" i="9"/>
  <c r="I480" i="9"/>
  <c r="Q480" i="9"/>
  <c r="G480" i="9"/>
  <c r="AA480" i="9"/>
  <c r="S480" i="9"/>
  <c r="T480" i="9"/>
  <c r="O480" i="9"/>
  <c r="Z480" i="9"/>
  <c r="Y480" i="9"/>
  <c r="W480" i="9"/>
  <c r="H480" i="9"/>
  <c r="C483" i="9" l="1"/>
  <c r="B482" i="9"/>
  <c r="X481" i="9"/>
  <c r="L481" i="9"/>
  <c r="F481" i="9"/>
  <c r="R481" i="9"/>
  <c r="V481" i="9"/>
  <c r="P481" i="9"/>
  <c r="Z481" i="9"/>
  <c r="W481" i="9"/>
  <c r="G481" i="9"/>
  <c r="S481" i="9"/>
  <c r="D481" i="9"/>
  <c r="I481" i="9"/>
  <c r="U481" i="9"/>
  <c r="H481" i="9"/>
  <c r="Q481" i="9"/>
  <c r="K481" i="9"/>
  <c r="J481" i="9"/>
  <c r="T481" i="9"/>
  <c r="AA481" i="9"/>
  <c r="N481" i="9"/>
  <c r="Y481" i="9"/>
  <c r="E481" i="9"/>
  <c r="O481" i="9"/>
  <c r="M481" i="9"/>
  <c r="X482" i="9" l="1"/>
  <c r="F482" i="9"/>
  <c r="R482" i="9"/>
  <c r="L482" i="9"/>
  <c r="E482" i="9"/>
  <c r="N482" i="9"/>
  <c r="H482" i="9"/>
  <c r="K482" i="9"/>
  <c r="D482" i="9"/>
  <c r="U482" i="9"/>
  <c r="W482" i="9"/>
  <c r="P482" i="9"/>
  <c r="O482" i="9"/>
  <c r="V482" i="9"/>
  <c r="I482" i="9"/>
  <c r="S482" i="9"/>
  <c r="AA482" i="9"/>
  <c r="J482" i="9"/>
  <c r="Q482" i="9"/>
  <c r="G482" i="9"/>
  <c r="T482" i="9"/>
  <c r="Y482" i="9"/>
  <c r="Z482" i="9"/>
  <c r="M482" i="9"/>
  <c r="C484" i="9"/>
  <c r="B483" i="9"/>
  <c r="R483" i="9" l="1"/>
  <c r="F483" i="9"/>
  <c r="X483" i="9"/>
  <c r="L483" i="9"/>
  <c r="W483" i="9"/>
  <c r="V483" i="9"/>
  <c r="D483" i="9"/>
  <c r="Y483" i="9"/>
  <c r="N483" i="9"/>
  <c r="T483" i="9"/>
  <c r="I483" i="9"/>
  <c r="M483" i="9"/>
  <c r="E483" i="9"/>
  <c r="O483" i="9"/>
  <c r="J483" i="9"/>
  <c r="Q483" i="9"/>
  <c r="U483" i="9"/>
  <c r="AA483" i="9"/>
  <c r="K483" i="9"/>
  <c r="G483" i="9"/>
  <c r="H483" i="9"/>
  <c r="Z483" i="9"/>
  <c r="P483" i="9"/>
  <c r="S483" i="9"/>
  <c r="B484" i="9"/>
  <c r="C485" i="9"/>
  <c r="B485" i="9" l="1"/>
  <c r="C486" i="9"/>
  <c r="R484" i="9"/>
  <c r="L484" i="9"/>
  <c r="F484" i="9"/>
  <c r="X484" i="9"/>
  <c r="J484" i="9"/>
  <c r="P484" i="9"/>
  <c r="W484" i="9"/>
  <c r="M484" i="9"/>
  <c r="K484" i="9"/>
  <c r="Q484" i="9"/>
  <c r="S484" i="9"/>
  <c r="V484" i="9"/>
  <c r="I484" i="9"/>
  <c r="AA484" i="9"/>
  <c r="T484" i="9"/>
  <c r="Y484" i="9"/>
  <c r="Z484" i="9"/>
  <c r="D484" i="9"/>
  <c r="O484" i="9"/>
  <c r="E484" i="9"/>
  <c r="H484" i="9"/>
  <c r="U484" i="9"/>
  <c r="G484" i="9"/>
  <c r="N484" i="9"/>
  <c r="C487" i="9" l="1"/>
  <c r="B486" i="9"/>
  <c r="X485" i="9"/>
  <c r="L485" i="9"/>
  <c r="F485" i="9"/>
  <c r="R485" i="9"/>
  <c r="Y485" i="9"/>
  <c r="K485" i="9"/>
  <c r="J485" i="9"/>
  <c r="Z485" i="9"/>
  <c r="S485" i="9"/>
  <c r="I485" i="9"/>
  <c r="E485" i="9"/>
  <c r="N485" i="9"/>
  <c r="P485" i="9"/>
  <c r="H485" i="9"/>
  <c r="AA485" i="9"/>
  <c r="U485" i="9"/>
  <c r="M485" i="9"/>
  <c r="D485" i="9"/>
  <c r="G485" i="9"/>
  <c r="V485" i="9"/>
  <c r="O485" i="9"/>
  <c r="Q485" i="9"/>
  <c r="W485" i="9"/>
  <c r="T485" i="9"/>
  <c r="X486" i="9" l="1"/>
  <c r="R486" i="9"/>
  <c r="F486" i="9"/>
  <c r="L486" i="9"/>
  <c r="I486" i="9"/>
  <c r="Q486" i="9"/>
  <c r="W486" i="9"/>
  <c r="Y486" i="9"/>
  <c r="D486" i="9"/>
  <c r="M486" i="9"/>
  <c r="AA486" i="9"/>
  <c r="J486" i="9"/>
  <c r="V486" i="9"/>
  <c r="Z486" i="9"/>
  <c r="K486" i="9"/>
  <c r="N486" i="9"/>
  <c r="E486" i="9"/>
  <c r="T486" i="9"/>
  <c r="O486" i="9"/>
  <c r="U486" i="9"/>
  <c r="P486" i="9"/>
  <c r="H486" i="9"/>
  <c r="G486" i="9"/>
  <c r="S486" i="9"/>
  <c r="C488" i="9"/>
  <c r="B488" i="9" s="1"/>
  <c r="B487" i="9"/>
  <c r="R487" i="9" l="1"/>
  <c r="F487" i="9"/>
  <c r="X487" i="9"/>
  <c r="L487" i="9"/>
  <c r="N487" i="9"/>
  <c r="O487" i="9"/>
  <c r="W487" i="9"/>
  <c r="M487" i="9"/>
  <c r="P487" i="9"/>
  <c r="E487" i="9"/>
  <c r="Z487" i="9"/>
  <c r="G487" i="9"/>
  <c r="S487" i="9"/>
  <c r="AA487" i="9"/>
  <c r="H487" i="9"/>
  <c r="Y487" i="9"/>
  <c r="K487" i="9"/>
  <c r="Q487" i="9"/>
  <c r="U487" i="9"/>
  <c r="J487" i="9"/>
  <c r="V487" i="9"/>
  <c r="D487" i="9"/>
  <c r="I487" i="9"/>
  <c r="T487" i="9"/>
  <c r="R488" i="9"/>
  <c r="L488" i="9"/>
  <c r="F488" i="9"/>
  <c r="X488" i="9"/>
  <c r="U488" i="9"/>
  <c r="N488" i="9"/>
  <c r="G488" i="9"/>
  <c r="Y488" i="9"/>
  <c r="AA488" i="9"/>
  <c r="W488" i="9"/>
  <c r="P488" i="9"/>
  <c r="I488" i="9"/>
  <c r="S488" i="9"/>
  <c r="D488" i="9"/>
  <c r="J488" i="9"/>
  <c r="O488" i="9"/>
  <c r="T488" i="9"/>
  <c r="Z488" i="9"/>
  <c r="M488" i="9"/>
  <c r="E488" i="9"/>
  <c r="H488" i="9"/>
  <c r="Q488" i="9"/>
  <c r="K488" i="9"/>
  <c r="V488" i="9"/>
</calcChain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Unknown Author</author>
    <author>Aida van Riel</author>
  </authors>
  <commentList>
    <comment ref="AD5" authorId="0" shapeId="3101" xr:uid="{00000000-0006-0000-0400-000001000000}">
      <text>
        <r>
          <rPr>
            <sz val="10"/>
            <rFont val="Arial"/>
            <family val="2"/>
          </rPr>
          <t>End-of-life cost is chosen on the Parameters sheet (base case Polder; sensitivity bounds Schneider lower / Van Dijk upper). The chosen raw value is indexed to 2025 with its own CPI factor.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990600</xdr:colOff>
                <xdr:row>0</xdr:row>
                <xdr:rowOff>25400</xdr:rowOff>
              </from>
              <to>
                <xdr:col>0</xdr:col>
                <xdr:colOff>2819400</xdr:colOff>
                <xdr:row>1</xdr:row>
                <xdr:rowOff>609600</xdr:rowOff>
              </to>
            </anchor>
          </commentPr>
        </mc:Fallback>
      </mc:AlternateContent>
    </comment>
    <comment ref="O6" authorId="0" shapeId="3100" xr:uid="{00000000-0006-0000-0400-000002000000}">
      <text>
        <r>
          <rPr>
            <sz val="10"/>
            <rFont val="Arial"/>
            <family val="2"/>
          </rPr>
          <t>Second-line chemotherapy is approximated by capecitabine: 1250 mg/m² twice daily (2 tablets × 2 doses) on days 1–14 of a 21-day cycle, for 6 cycles.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990600</xdr:colOff>
                <xdr:row>0</xdr:row>
                <xdr:rowOff>25400</xdr:rowOff>
              </from>
              <to>
                <xdr:col>1</xdr:col>
                <xdr:colOff>1244600</xdr:colOff>
                <xdr:row>4</xdr:row>
                <xdr:rowOff>457200</xdr:rowOff>
              </to>
            </anchor>
          </commentPr>
        </mc:Fallback>
      </mc:AlternateContent>
    </comment>
    <comment ref="T7" authorId="0" shapeId="3099" xr:uid="{00000000-0006-0000-0400-000003000000}">
      <text>
        <r>
          <rPr>
            <sz val="10"/>
            <rFont val="Arial"/>
            <family val="2"/>
          </rPr>
          <t>The number of 21 day capecitabine 21-day cycles a patient does back to back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990600</xdr:colOff>
                <xdr:row>0</xdr:row>
                <xdr:rowOff>25400</xdr:rowOff>
              </from>
              <to>
                <xdr:col>0</xdr:col>
                <xdr:colOff>2819400</xdr:colOff>
                <xdr:row>1</xdr:row>
                <xdr:rowOff>609600</xdr:rowOff>
              </to>
            </anchor>
          </commentPr>
        </mc:Fallback>
      </mc:AlternateContent>
    </comment>
    <comment ref="B8" authorId="0" shapeId="3098" xr:uid="{00000000-0006-0000-0400-000004000000}">
      <text>
        <r>
          <rPr>
            <sz val="10"/>
            <rFont val="Arial"/>
            <family val="2"/>
          </rPr>
          <t>List price per 9 mg tablet (vergoedingsprijs, Z-Index / Medicijnkosten 2025). Inavolisib is 9 mg once daily, one tablet per treatment day.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3098800</xdr:colOff>
                <xdr:row>1</xdr:row>
                <xdr:rowOff>457200</xdr:rowOff>
              </from>
              <to>
                <xdr:col>3</xdr:col>
                <xdr:colOff>304800</xdr:colOff>
                <xdr:row>3</xdr:row>
                <xdr:rowOff>203200</xdr:rowOff>
              </to>
            </anchor>
          </commentPr>
        </mc:Fallback>
      </mc:AlternateContent>
    </comment>
    <comment ref="U8" authorId="0" shapeId="3097" xr:uid="{00000000-0006-0000-0400-000005000000}">
      <text>
        <r>
          <rPr>
            <sz val="10"/>
            <rFont val="Arial"/>
            <family val="2"/>
          </rPr>
          <t>Only a proportion of patients receive second-line chemotherapy, so the full course is weighted by 2L-chemo uptake in each arm. The comparator has higher uptake.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990600</xdr:colOff>
                <xdr:row>0</xdr:row>
                <xdr:rowOff>25400</xdr:rowOff>
              </from>
              <to>
                <xdr:col>0</xdr:col>
                <xdr:colOff>2819400</xdr:colOff>
                <xdr:row>1</xdr:row>
                <xdr:rowOff>609600</xdr:rowOff>
              </to>
            </anchor>
          </commentPr>
        </mc:Fallback>
      </mc:AlternateContent>
    </comment>
    <comment ref="B9" authorId="0" shapeId="3096" xr:uid="{00000000-0006-0000-0400-000006000000}">
      <text>
        <r>
          <rPr>
            <sz val="10"/>
            <rFont val="Arial"/>
            <family val="2"/>
          </rPr>
          <t>List price per 125 mg tablet (vergoedingsprijs 2025). Palbociclib 125 mg once daily on 21 of every 28 days.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990600</xdr:colOff>
                <xdr:row>0</xdr:row>
                <xdr:rowOff>25400</xdr:rowOff>
              </from>
              <to>
                <xdr:col>0</xdr:col>
                <xdr:colOff>2819400</xdr:colOff>
                <xdr:row>1</xdr:row>
                <xdr:rowOff>609600</xdr:rowOff>
              </to>
            </anchor>
          </commentPr>
        </mc:Fallback>
      </mc:AlternateContent>
    </comment>
    <comment ref="C10" authorId="0" shapeId="3095" xr:uid="{00000000-0006-0000-0400-000007000000}">
      <text>
        <r>
          <rPr>
            <sz val="10"/>
            <rFont val="Arial"/>
            <family val="2"/>
          </rPr>
          <t>Fulvestrant 500 mg per administration is supplied as 2 × 250 mg/5 ml pre-filled syringes, so syringes per administration = 500 / 250 = 2.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990600</xdr:colOff>
                <xdr:row>0</xdr:row>
                <xdr:rowOff>25400</xdr:rowOff>
              </from>
              <to>
                <xdr:col>0</xdr:col>
                <xdr:colOff>2819400</xdr:colOff>
                <xdr:row>1</xdr:row>
                <xdr:rowOff>609600</xdr:rowOff>
              </to>
            </anchor>
          </commentPr>
        </mc:Fallback>
      </mc:AlternateContent>
    </comment>
    <comment ref="F11" authorId="0" shapeId="3094" xr:uid="{00000000-0006-0000-0400-000008000000}">
      <text>
        <r>
          <rPr>
            <sz val="10"/>
            <rFont val="Arial"/>
            <family val="2"/>
          </rPr>
          <t>Cycle 1 uses the loading schedule: injections on day 1 and day 15 (2 administrations). From cycle 2 onwards fulvestrant is given once per 28-day cycle.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990600</xdr:colOff>
                <xdr:row>0</xdr:row>
                <xdr:rowOff>25400</xdr:rowOff>
              </from>
              <to>
                <xdr:col>0</xdr:col>
                <xdr:colOff>2819400</xdr:colOff>
                <xdr:row>1</xdr:row>
                <xdr:rowOff>609600</xdr:rowOff>
              </to>
            </anchor>
          </commentPr>
        </mc:Fallback>
      </mc:AlternateContent>
    </comment>
    <comment ref="H12" authorId="0" shapeId="3093" xr:uid="{00000000-0006-0000-0400-000009000000}">
      <text>
        <r>
          <rPr>
            <sz val="10"/>
            <rFont val="Arial"/>
            <family val="2"/>
          </rPr>
          <t>Goserelin (LHRH agonist) is only given to premenopausal women, so its cost is weighted by the premenopausal proportion in each arm (INAVO120 baseline).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990600</xdr:colOff>
                <xdr:row>0</xdr:row>
                <xdr:rowOff>25400</xdr:rowOff>
              </from>
              <to>
                <xdr:col>0</xdr:col>
                <xdr:colOff>2819400</xdr:colOff>
                <xdr:row>1</xdr:row>
                <xdr:rowOff>609600</xdr:rowOff>
              </to>
            </anchor>
          </commentPr>
        </mc:Fallback>
      </mc:AlternateContent>
    </comment>
    <comment ref="T12" authorId="0" shapeId="3092" xr:uid="{00000000-0006-0000-0400-00000A000000}">
      <text>
        <r>
          <rPr>
            <sz val="10"/>
            <rFont val="Arial"/>
            <family val="2"/>
          </rPr>
          <t>The number of 21 day capecitabine 21-day cycles a patient does back to back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990600</xdr:colOff>
                <xdr:row>0</xdr:row>
                <xdr:rowOff>25400</xdr:rowOff>
              </from>
              <to>
                <xdr:col>0</xdr:col>
                <xdr:colOff>2819400</xdr:colOff>
                <xdr:row>1</xdr:row>
                <xdr:rowOff>609600</xdr:rowOff>
              </to>
            </anchor>
          </commentPr>
        </mc:Fallback>
      </mc:AlternateContent>
    </comment>
    <comment ref="I13" authorId="0" shapeId="3091" xr:uid="{00000000-0006-0000-0400-00000B000000}">
      <text>
        <r>
          <rPr>
            <sz val="10"/>
            <rFont val="Arial"/>
            <family val="2"/>
          </rPr>
          <t>Cycle 1 includes the fulvestrant loading dose (2 injections); from cycle 2 the maintenance schedule applies.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990600</xdr:colOff>
                <xdr:row>0</xdr:row>
                <xdr:rowOff>25400</xdr:rowOff>
              </from>
              <to>
                <xdr:col>0</xdr:col>
                <xdr:colOff>2819400</xdr:colOff>
                <xdr:row>1</xdr:row>
                <xdr:rowOff>609600</xdr:rowOff>
              </to>
            </anchor>
          </commentPr>
        </mc:Fallback>
      </mc:AlternateContent>
    </comment>
    <comment ref="T13" authorId="0" shapeId="3090" xr:uid="{00000000-0006-0000-0400-00000C000000}">
      <text>
        <r>
          <rPr>
            <sz val="10"/>
            <rFont val="Arial"/>
            <family val="2"/>
          </rPr>
          <t>The number of 21 day capecitabine 21-day cycles a patient does back to back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990600</xdr:colOff>
                <xdr:row>0</xdr:row>
                <xdr:rowOff>25400</xdr:rowOff>
              </from>
              <to>
                <xdr:col>0</xdr:col>
                <xdr:colOff>2819400</xdr:colOff>
                <xdr:row>1</xdr:row>
                <xdr:rowOff>609600</xdr:rowOff>
              </to>
            </anchor>
          </commentPr>
        </mc:Fallback>
      </mc:AlternateContent>
    </comment>
    <comment ref="O15" authorId="0" shapeId="3089" xr:uid="{00000000-0006-0000-0400-00000D000000}">
      <text>
        <r>
          <rPr>
            <sz val="10"/>
            <rFont val="Arial"/>
            <family val="2"/>
          </rPr>
          <t>Applied once, as a lump sum, to patients at the moment of progression (the newly-progressed count in the trace).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990600</xdr:colOff>
                <xdr:row>0</xdr:row>
                <xdr:rowOff>25400</xdr:rowOff>
              </from>
              <to>
                <xdr:col>0</xdr:col>
                <xdr:colOff>2819400</xdr:colOff>
                <xdr:row>1</xdr:row>
                <xdr:rowOff>609600</xdr:rowOff>
              </to>
            </anchor>
          </commentPr>
        </mc:Fallback>
      </mc:AlternateContent>
    </comment>
    <comment ref="B19" authorId="0" shapeId="3088" xr:uid="{00000000-0006-0000-0400-00000E000000}">
      <text>
        <r>
          <rPr>
            <sz val="10"/>
            <rFont val="Arial"/>
            <family val="2"/>
          </rPr>
          <t>Unit cost of one subcutaneous/IM injection administration, 2022 price (Kostenhandleiding), indexed to 2025 with the CPI factor 1.1076.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990600</xdr:colOff>
                <xdr:row>0</xdr:row>
                <xdr:rowOff>25400</xdr:rowOff>
              </from>
              <to>
                <xdr:col>0</xdr:col>
                <xdr:colOff>2819400</xdr:colOff>
                <xdr:row>1</xdr:row>
                <xdr:rowOff>609600</xdr:rowOff>
              </to>
            </anchor>
          </commentPr>
        </mc:Fallback>
      </mc:AlternateContent>
    </comment>
    <comment ref="E19" authorId="0" shapeId="3087" xr:uid="{00000000-0006-0000-0400-00000F000000}">
      <text>
        <r>
          <rPr>
            <sz val="10"/>
            <rFont val="Arial"/>
            <family val="2"/>
          </rPr>
          <t>Administration frequency is the number of injection visits, not the number of syringes: in cycle 1 there are 2 visits (day 1 + day 15) and both 250 mg syringes given at a visit count as one administration.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990600</xdr:colOff>
                <xdr:row>0</xdr:row>
                <xdr:rowOff>25400</xdr:rowOff>
              </from>
              <to>
                <xdr:col>0</xdr:col>
                <xdr:colOff>2819400</xdr:colOff>
                <xdr:row>1</xdr:row>
                <xdr:rowOff>609600</xdr:rowOff>
              </to>
            </anchor>
          </commentPr>
        </mc:Fallback>
      </mc:AlternateContent>
    </comment>
    <comment ref="P25" authorId="0" shapeId="3082" xr:uid="{00000000-0006-0000-0400-000014000000}">
      <text>
        <r>
          <rPr>
            <sz val="10"/>
            <rFont val="Arial"/>
            <family val="2"/>
          </rPr>
          <t>Liver function tests are the sum of four NZa codes (ALT, AST, bilirubin, alkaline phosphatase). NZa tariffs are 2025 prices, so no indexation is applied.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16</xdr:col>
                <xdr:colOff>127000</xdr:colOff>
                <xdr:row>23</xdr:row>
                <xdr:rowOff>254000</xdr:rowOff>
              </from>
              <to>
                <xdr:col>17</xdr:col>
                <xdr:colOff>152400</xdr:colOff>
                <xdr:row>26</xdr:row>
                <xdr:rowOff>152400</xdr:rowOff>
              </to>
            </anchor>
          </commentPr>
        </mc:Fallback>
      </mc:AlternateContent>
    </comment>
    <comment ref="Q33" authorId="0" shapeId="3080" xr:uid="{00000000-0006-0000-0400-000016000000}">
      <text>
        <r>
          <rPr>
            <sz val="10"/>
            <rFont val="Arial"/>
            <family val="2"/>
          </rPr>
          <t>The progressed-disease monitoring bundle is costed per 21-day chemotherapy cycle and rescaled to the 28-day model cycle (× 28/21).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17</xdr:col>
                <xdr:colOff>127000</xdr:colOff>
                <xdr:row>31</xdr:row>
                <xdr:rowOff>254000</xdr:rowOff>
              </from>
              <to>
                <xdr:col>19</xdr:col>
                <xdr:colOff>101600</xdr:colOff>
                <xdr:row>34</xdr:row>
                <xdr:rowOff>101600</xdr:rowOff>
              </to>
            </anchor>
          </commentPr>
        </mc:Fallback>
      </mc:AlternateContent>
    </comment>
    <comment ref="Q38" authorId="0" shapeId="3078" xr:uid="{00000000-0006-0000-0400-000018000000}">
      <text>
        <r>
          <rPr>
            <sz val="10"/>
            <rFont val="Arial"/>
            <family val="2"/>
          </rPr>
          <t>A palliative-care outpatient contact every 3 cycles, averaged to a per-cycle cost (÷ 3). Broadened from best supportive care to a full palliative basket.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17</xdr:col>
                <xdr:colOff>127000</xdr:colOff>
                <xdr:row>36</xdr:row>
                <xdr:rowOff>127000</xdr:rowOff>
              </from>
              <to>
                <xdr:col>18</xdr:col>
                <xdr:colOff>330200</xdr:colOff>
                <xdr:row>37</xdr:row>
                <xdr:rowOff>914400</xdr:rowOff>
              </to>
            </anchor>
          </commentPr>
        </mc:Fallback>
      </mc:AlternateContent>
    </comment>
    <comment ref="S39" authorId="0" shapeId="3077" xr:uid="{00000000-0006-0000-0400-000019000000}">
      <text>
        <r>
          <rPr>
            <sz val="10"/>
            <rFont val="Arial"/>
            <family val="2"/>
          </rPr>
          <t>Bone-targeted therapy (zoledronic acid + visit) is given once per 3 cycles and weighted by the proportion of patients with bone metastases in each arm.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19</xdr:col>
                <xdr:colOff>127000</xdr:colOff>
                <xdr:row>37</xdr:row>
                <xdr:rowOff>838200</xdr:rowOff>
              </from>
              <to>
                <xdr:col>20</xdr:col>
                <xdr:colOff>457200</xdr:colOff>
                <xdr:row>40</xdr:row>
                <xdr:rowOff>203200</xdr:rowOff>
              </to>
            </anchor>
          </commentPr>
        </mc:Fallback>
      </mc:AlternateContent>
    </comment>
    <comment ref="O40" authorId="0" shapeId="3076" xr:uid="{00000000-0006-0000-0400-00001A000000}">
      <text>
        <r>
          <rPr>
            <sz val="10"/>
            <rFont val="Arial"/>
            <family val="2"/>
          </rPr>
          <t>Ongoing PD cost is half-cycle corrected in the trace (applied to mid-cycle occupancy), unlike the one-off lump sums.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15</xdr:col>
                <xdr:colOff>127000</xdr:colOff>
                <xdr:row>38</xdr:row>
                <xdr:rowOff>355600</xdr:rowOff>
              </from>
              <to>
                <xdr:col>16</xdr:col>
                <xdr:colOff>457200</xdr:colOff>
                <xdr:row>42</xdr:row>
                <xdr:rowOff>203200</xdr:rowOff>
              </to>
            </anchor>
          </commentPr>
        </mc:Fallback>
      </mc:AlternateContent>
    </comment>
    <comment ref="A41" authorId="0" shapeId="3086" xr:uid="{00000000-0006-0000-0400-000010000000}">
      <text>
        <r>
          <rPr>
            <sz val="10"/>
            <rFont val="Arial"/>
            <family val="2"/>
          </rPr>
          <t>A complete blood count is not a single test it is assembled from four types of NZA codes (erythrocytes, leukocytes, differential, platelets). NZa tariffs are already 2025 prices, so no indexation is applied.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4</xdr:col>
                <xdr:colOff>635000</xdr:colOff>
                <xdr:row>37</xdr:row>
                <xdr:rowOff>533400</xdr:rowOff>
              </from>
              <to>
                <xdr:col>6</xdr:col>
                <xdr:colOff>609600</xdr:colOff>
                <xdr:row>42</xdr:row>
                <xdr:rowOff>25400</xdr:rowOff>
              </to>
            </anchor>
          </commentPr>
        </mc:Fallback>
      </mc:AlternateContent>
    </comment>
    <comment ref="B42" authorId="0" shapeId="3085" xr:uid="{00000000-0006-0000-0400-000011000000}">
      <text>
        <r>
          <rPr>
            <sz val="10"/>
            <rFont val="Arial"/>
            <family val="2"/>
          </rPr>
          <t>Outpatient oncology visit, 2022 price (Kostenhandleiding), indexed to 2025 (× 1.1076).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990600</xdr:colOff>
                <xdr:row>0</xdr:row>
                <xdr:rowOff>25400</xdr:rowOff>
              </from>
              <to>
                <xdr:col>0</xdr:col>
                <xdr:colOff>2819400</xdr:colOff>
                <xdr:row>1</xdr:row>
                <xdr:rowOff>609600</xdr:rowOff>
              </to>
            </anchor>
          </commentPr>
        </mc:Fallback>
      </mc:AlternateContent>
    </comment>
    <comment ref="A49" authorId="1" shapeId="3102" xr:uid="{22338EED-8F7C-4C40-8DC1-2D8D7DE44016}">
      <text>
        <r>
          <rPr>
            <b/>
            <sz val="9"/>
            <color indexed="81"/>
            <rFont val="Tahoma"/>
            <family val="2"/>
          </rPr>
          <t>HbA1c is a single NZa tariff (74065). It is monitored only in the inavolisib arm, because hyperglycaemia is a PI3K-inhibitor-specific effect; the comparator frequency is zero.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</xdr:col>
                <xdr:colOff>101600</xdr:colOff>
                <xdr:row>47</xdr:row>
                <xdr:rowOff>127000</xdr:rowOff>
              </from>
              <to>
                <xdr:col>2</xdr:col>
                <xdr:colOff>406400</xdr:colOff>
                <xdr:row>51</xdr:row>
                <xdr:rowOff>254000</xdr:rowOff>
              </to>
            </anchor>
          </commentPr>
        </mc:Fallback>
      </mc:AlternateContent>
    </comment>
    <comment ref="C49" authorId="0" shapeId="3083" xr:uid="{00000000-0006-0000-0400-000013000000}">
      <text>
        <r>
          <rPr>
            <sz val="10"/>
            <rFont val="Arial"/>
            <family val="2"/>
          </rPr>
          <t>HbA1c is checked once every three cycles, so the per-cycle frequency is 1 / 3 ≈ 0.33.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990600</xdr:colOff>
                <xdr:row>0</xdr:row>
                <xdr:rowOff>25400</xdr:rowOff>
              </from>
              <to>
                <xdr:col>0</xdr:col>
                <xdr:colOff>2819400</xdr:colOff>
                <xdr:row>1</xdr:row>
                <xdr:rowOff>609600</xdr:rowOff>
              </to>
            </anchor>
          </commentPr>
        </mc:Fallback>
      </mc:AlternateContent>
    </comment>
    <comment ref="A53" authorId="0" shapeId="3081" xr:uid="{00000000-0006-0000-0400-000015000000}">
      <text>
        <r>
          <rPr>
            <sz val="10"/>
            <rFont val="Arial"/>
            <family val="2"/>
          </rPr>
          <t>Cycle 1 has 2 outpatient visits and 2 CBC panels (closer monitoring at treatment start); from cycle 3 the CBC drops to once per cycle.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990600</xdr:colOff>
                <xdr:row>0</xdr:row>
                <xdr:rowOff>25400</xdr:rowOff>
              </from>
              <to>
                <xdr:col>0</xdr:col>
                <xdr:colOff>2819400</xdr:colOff>
                <xdr:row>1</xdr:row>
                <xdr:rowOff>609600</xdr:rowOff>
              </to>
            </anchor>
          </commentPr>
        </mc:Fallback>
      </mc:AlternateContent>
    </comment>
    <comment ref="A63" authorId="1" shapeId="3103" xr:uid="{D02A5B47-A759-43C4-BB91-A008331A4CBD}">
      <text>
        <r>
          <rPr>
            <b/>
            <sz val="9"/>
            <color indexed="81"/>
            <rFont val="Tahoma"/>
            <family val="2"/>
          </rPr>
          <t>Cost per neutropenia episode = a weighted average of two outcomes: 99% managed at the clinic (outpatient visit + blood count), 1% hospitalised for febrile neutropenia. The hospital price is from an earlier year, adjusted to 2025 with the inflation factor.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</xdr:col>
                <xdr:colOff>101600</xdr:colOff>
                <xdr:row>61</xdr:row>
                <xdr:rowOff>889000</xdr:rowOff>
              </from>
              <to>
                <xdr:col>2</xdr:col>
                <xdr:colOff>406400</xdr:colOff>
                <xdr:row>65</xdr:row>
                <xdr:rowOff>127000</xdr:rowOff>
              </to>
            </anchor>
          </commentPr>
        </mc:Fallback>
      </mc:AlternateContent>
    </comment>
    <comment ref="A76" authorId="1" shapeId="3104" xr:uid="{3A586B0F-10E0-4395-BE1F-9C1BCC35FD29}">
      <text>
        <r>
          <rPr>
            <b/>
            <sz val="9"/>
            <color indexed="81"/>
            <rFont val="Tahoma"/>
            <family val="2"/>
          </rPr>
          <t>Grade ≥3 AE management is applied once per patient as a lump sum at model entry (cycle 0), weighted by the grade ≥3 incidence of each event in each arm (INAVO120).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4</xdr:col>
                <xdr:colOff>101600</xdr:colOff>
                <xdr:row>74</xdr:row>
                <xdr:rowOff>863600</xdr:rowOff>
              </from>
              <to>
                <xdr:col>6</xdr:col>
                <xdr:colOff>635000</xdr:colOff>
                <xdr:row>79</xdr:row>
                <xdr:rowOff>50800</xdr:rowOff>
              </to>
            </anchor>
          </commentPr>
        </mc:Fallback>
      </mc:AlternateContent>
    </comment>
    <comment ref="H81" authorId="1" shapeId="3105" xr:uid="{CD1C4B47-CC25-460A-A402-3007AD9D781F}">
      <text>
        <r>
          <rPr>
            <b/>
            <sz val="9"/>
            <color indexed="81"/>
            <rFont val="Tahoma"/>
            <family val="2"/>
          </rPr>
          <t>Societal components are identical per unit in both arms; the difference between arms comes only from time spent in each health state. Rates are indexed to 2025.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101600</xdr:colOff>
                <xdr:row>79</xdr:row>
                <xdr:rowOff>127000</xdr:rowOff>
              </from>
              <to>
                <xdr:col>8</xdr:col>
                <xdr:colOff>1879600</xdr:colOff>
                <xdr:row>81</xdr:row>
                <xdr:rowOff>203200</xdr:rowOff>
              </to>
            </anchor>
          </commentPr>
        </mc:Fallback>
      </mc:AlternateContent>
    </comment>
    <comment ref="I81" authorId="1" shapeId="3106" xr:uid="{21AD8A49-7A08-4BE6-ABA9-44C89D5AFF3D}">
      <text>
        <r>
          <rPr>
            <b/>
            <sz val="9"/>
            <color indexed="81"/>
            <rFont val="Tahoma"/>
            <family val="2"/>
          </rPr>
          <t>Societal components are identical per unit in both arms; the difference between arms comes only from time spent in each health state. Rates are indexed to 2025.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9</xdr:col>
                <xdr:colOff>101600</xdr:colOff>
                <xdr:row>79</xdr:row>
                <xdr:rowOff>127000</xdr:rowOff>
              </from>
              <to>
                <xdr:col>9</xdr:col>
                <xdr:colOff>1879600</xdr:colOff>
                <xdr:row>81</xdr:row>
                <xdr:rowOff>203200</xdr:rowOff>
              </to>
            </anchor>
          </commentPr>
        </mc:Fallback>
      </mc:AlternateContent>
    </comment>
    <comment ref="A84" authorId="1" shapeId="3107" xr:uid="{9DAAEEAB-DCC5-41A0-87EB-975B12062831}">
      <text>
        <r>
          <rPr>
            <b/>
            <sz val="9"/>
            <color indexed="81"/>
            <rFont val="Tahoma"/>
            <family val="2"/>
          </rPr>
          <t>Productivity loss uses the friction-cost method (85-day friction period), applied once at model entry and only to the working-age proportion.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</xdr:col>
                <xdr:colOff>101600</xdr:colOff>
                <xdr:row>82</xdr:row>
                <xdr:rowOff>330200</xdr:rowOff>
              </from>
              <to>
                <xdr:col>2</xdr:col>
                <xdr:colOff>406400</xdr:colOff>
                <xdr:row>83</xdr:row>
                <xdr:rowOff>939800</xdr:rowOff>
              </to>
            </anchor>
          </commentPr>
        </mc:Fallback>
      </mc:AlternateContent>
    </comment>
  </commentList>
</comments>
</file>

<file path=xl/comments2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Unknown Author</author>
  </authors>
  <commentList>
    <comment ref="U4" authorId="0" shapeId="4097" xr:uid="{00000000-0006-0000-0600-000001000000}">
      <text>
        <r>
          <rPr>
            <sz val="10"/>
            <rFont val="Arial"/>
            <family val="2"/>
          </rPr>
          <t xml:space="preserve">Green colored columns are half-cycle corrected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</xdr:col>
                <xdr:colOff>177800</xdr:colOff>
                <xdr:row>0</xdr:row>
                <xdr:rowOff>25400</xdr:rowOff>
              </from>
              <to>
                <xdr:col>3</xdr:col>
                <xdr:colOff>177800</xdr:colOff>
                <xdr:row>2</xdr:row>
                <xdr:rowOff>381000</xdr:rowOff>
              </to>
            </anchor>
          </commentPr>
        </mc:Fallback>
      </mc:AlternateContent>
    </comment>
  </commentList>
</comments>
</file>

<file path=xl/comments3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Unknown Author</author>
  </authors>
  <commentList>
    <comment ref="U4" authorId="0" shapeId="5121" xr:uid="{00000000-0006-0000-0700-000001000000}">
      <text>
        <r>
          <rPr>
            <sz val="10"/>
            <rFont val="Arial"/>
            <family val="2"/>
          </rPr>
          <t>Green colored columns are half-cycle corrected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</xdr:col>
                <xdr:colOff>177800</xdr:colOff>
                <xdr:row>0</xdr:row>
                <xdr:rowOff>25400</xdr:rowOff>
              </from>
              <to>
                <xdr:col>3</xdr:col>
                <xdr:colOff>177800</xdr:colOff>
                <xdr:row>2</xdr:row>
                <xdr:rowOff>381000</xdr:rowOff>
              </to>
            </anchor>
          </commentPr>
        </mc:Fallback>
      </mc:AlternateContent>
    </comment>
  </commentList>
</comments>
</file>

<file path=xl/comments4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Unknown Author</author>
  </authors>
  <commentList>
    <comment ref="E7" authorId="0" shapeId="6148" xr:uid="{00000000-0006-0000-0800-000001000000}">
      <text>
        <r>
          <rPr>
            <sz val="10"/>
            <rFont val="Arial"/>
            <family val="2"/>
          </rPr>
          <t xml:space="preserve">Maiwenn Al:
The exact value that is used here depends on whether it is a deterministic or probabilistic analysis. It is the same =if statement as used on the 'parameter sheet'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</xdr:col>
                <xdr:colOff>25400</xdr:colOff>
                <xdr:row>0</xdr:row>
                <xdr:rowOff>25400</xdr:rowOff>
              </from>
              <to>
                <xdr:col>3</xdr:col>
                <xdr:colOff>101600</xdr:colOff>
                <xdr:row>3</xdr:row>
                <xdr:rowOff>25400</xdr:rowOff>
              </to>
            </anchor>
          </commentPr>
        </mc:Fallback>
      </mc:AlternateContent>
    </comment>
    <comment ref="I7" authorId="0" shapeId="6147" xr:uid="{00000000-0006-0000-0800-000002000000}">
      <text>
        <r>
          <rPr>
            <sz val="10"/>
            <rFont val="Arial"/>
            <family val="2"/>
          </rPr>
          <t xml:space="preserve">Mu/intercept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</xdr:col>
                <xdr:colOff>25400</xdr:colOff>
                <xdr:row>0</xdr:row>
                <xdr:rowOff>25400</xdr:rowOff>
              </from>
              <to>
                <xdr:col>3</xdr:col>
                <xdr:colOff>101600</xdr:colOff>
                <xdr:row>3</xdr:row>
                <xdr:rowOff>25400</xdr:rowOff>
              </to>
            </anchor>
          </commentPr>
        </mc:Fallback>
      </mc:AlternateContent>
    </comment>
    <comment ref="I8" authorId="0" shapeId="6146" xr:uid="{00000000-0006-0000-0800-000003000000}">
      <text>
        <r>
          <rPr>
            <sz val="10"/>
            <rFont val="Arial"/>
            <family val="2"/>
          </rPr>
          <t>Sigma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</xdr:col>
                <xdr:colOff>25400</xdr:colOff>
                <xdr:row>0</xdr:row>
                <xdr:rowOff>25400</xdr:rowOff>
              </from>
              <to>
                <xdr:col>3</xdr:col>
                <xdr:colOff>101600</xdr:colOff>
                <xdr:row>3</xdr:row>
                <xdr:rowOff>25400</xdr:rowOff>
              </to>
            </anchor>
          </commentPr>
        </mc:Fallback>
      </mc:AlternateContent>
    </comment>
    <comment ref="I9" authorId="0" shapeId="6145" xr:uid="{00000000-0006-0000-0800-000004000000}">
      <text>
        <r>
          <rPr>
            <sz val="10"/>
            <rFont val="Arial"/>
            <family val="2"/>
          </rPr>
          <t>Q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</xdr:col>
                <xdr:colOff>25400</xdr:colOff>
                <xdr:row>0</xdr:row>
                <xdr:rowOff>25400</xdr:rowOff>
              </from>
              <to>
                <xdr:col>3</xdr:col>
                <xdr:colOff>101600</xdr:colOff>
                <xdr:row>3</xdr:row>
                <xdr:rowOff>25400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<sst xmlns="http://purl.oclc.org/ooxml/spreadsheetml/main" count="1352" uniqueCount="736">
  <si>
    <t>Cost-effectiveness of Inavolisib + Palbociclib + Fulvestrant vs Placebo + Palbociclib + Fulvestrant in PIK3CA-mutated HR+/HER2- Advanced Breast Cancer (INAVO120)</t>
  </si>
  <si>
    <t>Treatment outcome (discounted)</t>
  </si>
  <si>
    <t>Incremental outcomes (discounted)</t>
  </si>
  <si>
    <t>CostInavo+</t>
  </si>
  <si>
    <t>CostPlacebo+</t>
  </si>
  <si>
    <t>LYInavo+</t>
  </si>
  <si>
    <t>LYPlacebo+</t>
  </si>
  <si>
    <t>QALYInavo+</t>
  </si>
  <si>
    <t>QALYPlacebo+</t>
  </si>
  <si>
    <t>Cost</t>
  </si>
  <si>
    <t>LY</t>
  </si>
  <si>
    <t>QALY</t>
  </si>
  <si>
    <t>Mean</t>
  </si>
  <si>
    <t>Min</t>
  </si>
  <si>
    <t>Max</t>
  </si>
  <si>
    <t>Stdev</t>
  </si>
  <si>
    <t>2.5th percentile</t>
  </si>
  <si>
    <t>97.5th percentile</t>
  </si>
  <si>
    <t>Cost-effectiveness of Inavolisib + Palbociclib + Fulvestrant vs Palbociclib + Fulvestrant in PIK3CA-mutated HR+/HER2- Advanced Breast Cancer</t>
  </si>
  <si>
    <t>Research question:</t>
  </si>
  <si>
    <t>To assess the cost-effectiveness of inavolisib (in combination with palbociclib and fulvestrant) versus comparator (plus palbociclib and fulvestrant) for the first-line treatment of PIK3CA-mutated, hormone receptor-positive, HER2-negative locally advanced or metastatic breast cancer in patients with disease recurrence during or within 12 months of adjuvant endocrine therapy.</t>
  </si>
  <si>
    <t>Adult women (any menopausal status) and men with PIK3CA-mutated, HR+/HER2- locally advanced or metastatic breast cancer with disease recurrence during or within 12 months after adjuvant endocrine therapy.</t>
  </si>
  <si>
    <t>Patient population:</t>
  </si>
  <si>
    <t>Adult women (any menopausal status) and men with PIK3CA-mutated, hormone receptor-positive (HR+), HER2-negative locally advanced or metastatic breast cancer with disease recurrence or progression during or within 12 months after completion of adjuvant endocrine therapy. N=325 (inavolisib n=161; comparator n=164). Source: INAVO120 trial (Jhaveri et al., NEJM 2025).</t>
  </si>
  <si>
    <t>Alternative (treatment) options:</t>
  </si>
  <si>
    <t>Inavolisib 9mg OD (days 1-28) + Palbociclib 125mg OD (days 1-21) + Fulvestrant 500mg IM (day 1 &amp; 15 cycle 1, then every ~4 weeks)</t>
  </si>
  <si>
    <t>comparator OD + Palbociclib 125mg OD (days 1-21) + Fulvestrant 500mg IM (day 1 &amp; 15 cycle 1, then every ~4 weeks)</t>
  </si>
  <si>
    <t>Perspective</t>
  </si>
  <si>
    <t>Dutch healthcare perspective (Zorginstituut Nederland)</t>
  </si>
  <si>
    <t>Costs considered in the model:</t>
  </si>
  <si>
    <t>costs of treatment (inavolisib+ and comparator+)</t>
  </si>
  <si>
    <t>costs of care after progression</t>
  </si>
  <si>
    <t>costs of follow up during progression free survival</t>
  </si>
  <si>
    <t>costs of adverse events</t>
  </si>
  <si>
    <t>Health outcomes considered in the model:</t>
  </si>
  <si>
    <t xml:space="preserve">survival </t>
  </si>
  <si>
    <t>quality of life</t>
  </si>
  <si>
    <t>Health states in the model:</t>
  </si>
  <si>
    <t>Stable disease / progression free</t>
  </si>
  <si>
    <t>Progressive disease</t>
  </si>
  <si>
    <t>Dead</t>
  </si>
  <si>
    <t>Time horizon of the model:</t>
  </si>
  <si>
    <t>Lifetime horizon (suggested: 30 years; to be determined based on clinical plausibility)</t>
  </si>
  <si>
    <t>Cycle duration</t>
  </si>
  <si>
    <t>4 weeks (28-day treatment cycle, consistent with INAVO120 protocol)</t>
  </si>
  <si>
    <t>MODEL STRUCTURE — Partitioned Survival Analysis</t>
  </si>
  <si>
    <t>Three health states (SD, PD, Dead) + adverse events occurring from SD</t>
  </si>
  <si>
    <t>SAEs= Serious Adverse Events</t>
  </si>
  <si>
    <t>Health state transitions</t>
  </si>
  <si>
    <t>Stable Disease (SD)</t>
  </si>
  <si>
    <t>Patients enter the model in SD on inavolisib + palbociclib + fulvestrant (intervention) or palbociclib + fulvestrant (comparator). State occupancy is determined by the PFS curve from R-fitted survival models.</t>
  </si>
  <si>
    <t>Adverse Events (AEs)</t>
  </si>
  <si>
    <t>Gr3/4 AEs occur from the SD state. Modelled as a lump-sum QALY loss and one-off management cost applied at cycle 0 to the full cohort. Incidence rates from Jhaveri 2025 NEJM Table 1; durations from Gambardella 2025 ESMO Open; disutilities from Lloyd 2006 (most events) and Wu 2023 (PI3K-specific events).</t>
  </si>
  <si>
    <t>Progressed Disease (PD)</t>
  </si>
  <si>
    <t>Patients enter PD when they leave SD. State occupancy = OS − PFS (cohort-level). Per-cycle PD costs include HCRU (outpatient, CBC, LFT, creatinine), palliative care, and bone-targeted therapy for the bone-mets subgroup. Transition one-off: capecitabine course + DPYD genotyping (weighted by prop_2L_chemo).</t>
  </si>
  <si>
    <t>Absorbing state. Patients transition from PD to Dead per the OS curve. EoL one-off cost (Schneider 2020 hospital perspective; Van Dijk 2025 societal scenario via toggle on Parameters!B144) applied per newly deceased patient.</t>
  </si>
  <si>
    <t>Key modelling assumptions</t>
  </si>
  <si>
    <t>Cycle length</t>
  </si>
  <si>
    <t>28 days (matches palbociclib day-1-to-day-28 cycle).</t>
  </si>
  <si>
    <t>Horizon</t>
  </si>
  <si>
    <t>20 years (261 cycles) — effectively lifetime for advanced breast cancer.</t>
  </si>
  <si>
    <t>Transitions</t>
  </si>
  <si>
    <t>No direct SD → Dead transition. All deaths assumed to pass through PD (standard partitioned survival assumption per NICE DSU TSD 19; Woods 2017; Latimer 2013). Capecitabine + DPYD applied to all PFS-leavers (K_t = MAX(0, G_{t-1} − G_t)), even those dying within the same cycle.</t>
  </si>
  <si>
    <t>Half-cycle correction</t>
  </si>
  <si>
    <t>Applied to state membership for cost/effect accrual within each cycle (M_t = (G_{t-1}+G_t)/2).</t>
  </si>
  <si>
    <t>Discounting</t>
  </si>
  <si>
    <t>Annual: 3% costs, 1.5% effects (Dutch ZIN Richtlijn 2024).</t>
  </si>
  <si>
    <t>Base case: Dutch societal (Richtlijn 2024 default). Scenario: healthcare payer. Societal adds: informal care (Kostenhandleiding §5.3.2), productivity loss with friction-cost method (§6.1.2), patient time (§5.2), unrelated medical costs via PAID 3.0 (Kellerborg 2020).</t>
  </si>
  <si>
    <t>Survival extrapolation</t>
  </si>
  <si>
    <t>Independent parametric fits per arm using IPD reconstruction (Guyot 2012) from Jhaveri 2025 NEJM. PFS = generalised gamma; OS = log-logistic (selected by AIC + visual inspection).</t>
  </si>
  <si>
    <t>Hazard ratios</t>
  </si>
  <si>
    <t>Reference: PFS HR 0.43 (95%CI 0.32–0.59); OS HR 0.64 (95%CI 0.47–0.88). Not directly applied to trace — only used as sense-check for the independently fitted curves.</t>
  </si>
  <si>
    <t>ANALYSIS — Deterministic base case (Societal) + Healthcare payer scenario</t>
  </si>
  <si>
    <t>Probabilistic analysis?</t>
  </si>
  <si>
    <t>0 = deterministic, 1 = probabilistic</t>
  </si>
  <si>
    <t>BASE CASE — Societal perspective (Dutch standard per ZIN Richtlijn 2024)</t>
  </si>
  <si>
    <t>Includes informal care, productivity loss (friction-cost), patient time, PAID 3.0 unrelated medical costs</t>
  </si>
  <si>
    <t>Treatment</t>
  </si>
  <si>
    <t>Total cost (€)</t>
  </si>
  <si>
    <t>QALYs</t>
  </si>
  <si>
    <t>LYs</t>
  </si>
  <si>
    <t>Inavolisib + Palbo + Fulv</t>
  </si>
  <si>
    <t>Palbociclib + Fulvestrant</t>
  </si>
  <si>
    <t>Increment (Δ)</t>
  </si>
  <si>
    <t>ICER per QALY</t>
  </si>
  <si>
    <t>€/QALY</t>
  </si>
  <si>
    <t>ICER per LY</t>
  </si>
  <si>
    <t>€/LY</t>
  </si>
  <si>
    <t>INMB at WTP €80k</t>
  </si>
  <si>
    <t>€ (negative = not cost-effective)</t>
  </si>
  <si>
    <t>WTP threshold (€/QALY)</t>
  </si>
  <si>
    <t>SCENARIO — Healthcare payer perspective (excludes societal costs)</t>
  </si>
  <si>
    <t>Removes informal care, productivity, patient time, and PAID 3.0 — for pricing-application comparison</t>
  </si>
  <si>
    <t>Disaggregated cost components (per-patient, discounted)</t>
  </si>
  <si>
    <t>Component</t>
  </si>
  <si>
    <t>Inavolisib €</t>
  </si>
  <si>
    <t>Placebo €</t>
  </si>
  <si>
    <t>Increment €</t>
  </si>
  <si>
    <t>Drug acquisition — SD</t>
  </si>
  <si>
    <t>Administration — SD</t>
  </si>
  <si>
    <t>HCRU / monitoring — SD</t>
  </si>
  <si>
    <t>AE management lump-sum</t>
  </si>
  <si>
    <t>PD lump-sum (2L chemo)</t>
  </si>
  <si>
    <t>PD ongoing (HCRU in PD)</t>
  </si>
  <si>
    <t>End-of-life</t>
  </si>
  <si>
    <t>— HEALTHCARE PAYER SUBTOTAL —</t>
  </si>
  <si>
    <t>Productivity loss (lump-sum)</t>
  </si>
  <si>
    <t>Informal care SD</t>
  </si>
  <si>
    <t>Informal care PD</t>
  </si>
  <si>
    <t>Patient time (SD + PD)</t>
  </si>
  <si>
    <t>PAID 3.0 unrelated medical (×LY)</t>
  </si>
  <si>
    <t>— SOCIETAL TOTAL —</t>
  </si>
  <si>
    <t>PARAMETERS — CEA of inavolisib + palbociclib + fulvestrant vs palbociclib + fulvestrant</t>
  </si>
  <si>
    <t>PIK3CA-mutated HR+/HER2− advanced breast cancer · Dutch societal perspective (base case) · 2025 EUR</t>
  </si>
  <si>
    <t>1. Global model controls</t>
  </si>
  <si>
    <t>Name</t>
  </si>
  <si>
    <t>Value</t>
  </si>
  <si>
    <t>Description</t>
  </si>
  <si>
    <t>Ind_PSA</t>
  </si>
  <si>
    <t>PSA toggle (0 = deterministic, 1 = probabilistic)</t>
  </si>
  <si>
    <t>Distribution_OS</t>
  </si>
  <si>
    <t>OS distribution: 1=exp 2=Weibull 3=lognormal 4=loglogistic 5=Gompertz 6=Gen.gamma</t>
  </si>
  <si>
    <t>Distribution_PFS</t>
  </si>
  <si>
    <t>PFS distribution: same coding</t>
  </si>
  <si>
    <t>cDR</t>
  </si>
  <si>
    <t>Annual discount rate — costs</t>
  </si>
  <si>
    <t>oDR</t>
  </si>
  <si>
    <t>Annual discount rate — effects</t>
  </si>
  <si>
    <t>cohort_size</t>
  </si>
  <si>
    <t>Hypothetical cohort at model entry</t>
  </si>
  <si>
    <t>cycle_length_days</t>
  </si>
  <si>
    <t>Cycle length (matches palbociclib schedule)</t>
  </si>
  <si>
    <t>cycle_length_weeksyear</t>
  </si>
  <si>
    <t>Cycle length as fraction of year (for QALY/LY)</t>
  </si>
  <si>
    <t>n_days_week</t>
  </si>
  <si>
    <t>Number of days in a week</t>
  </si>
  <si>
    <t>n_cycles</t>
  </si>
  <si>
    <t>t=0..260; 20-year horizon</t>
  </si>
  <si>
    <t>WTP_threshold</t>
  </si>
  <si>
    <t>Dutch WTP threshold high burden of disease</t>
  </si>
  <si>
    <t>n_days_year</t>
  </si>
  <si>
    <t>Number of days in a year</t>
  </si>
  <si>
    <t>2. Global SE percentages — for scenario analysis (override individual SE columns)</t>
  </si>
  <si>
    <t>perc_SE_utilities</t>
  </si>
  <si>
    <t>% of mean used for utility SE when CI not reported</t>
  </si>
  <si>
    <t>perc_SE_AE_costs</t>
  </si>
  <si>
    <t>% of mean used for AE management cost SE</t>
  </si>
  <si>
    <t>perc_SE_admin_costs</t>
  </si>
  <si>
    <t>% of mean used for administration cost SE</t>
  </si>
  <si>
    <t>perc_SE_HCRU_costs</t>
  </si>
  <si>
    <t>% of mean used for HCRU cost SE</t>
  </si>
  <si>
    <t>perc_SE_PD_ongoing</t>
  </si>
  <si>
    <t>% of mean used for PD ongoing cost SE</t>
  </si>
  <si>
    <t>perc_SE_EoL_default</t>
  </si>
  <si>
    <t>% of mean used for EoL cost SE (overridden by Schneider SD where available)</t>
  </si>
  <si>
    <t>perc_SE_societal</t>
  </si>
  <si>
    <t>% of mean used for societal parameter SE</t>
  </si>
  <si>
    <t>3. CPI indexation factors — cumulative from raw year to 2025</t>
  </si>
  <si>
    <t>Factor</t>
  </si>
  <si>
    <t>cpi_2017_to_2025</t>
  </si>
  <si>
    <t>Cumulative CPI 2017→2025 (CBS StatLine 71905ned)</t>
  </si>
  <si>
    <t>cpi_2018_to_2025</t>
  </si>
  <si>
    <t>Cumulative CPI 2018→2025</t>
  </si>
  <si>
    <t>cpi_2019_to_2025</t>
  </si>
  <si>
    <t>Cumulative CPI 2019→2025 (CBS StatLine 71905ned)</t>
  </si>
  <si>
    <t>cpi_2020_to_2025</t>
  </si>
  <si>
    <t>Cumulative CPI 2020→2025</t>
  </si>
  <si>
    <t>cpi_2021_to_2025</t>
  </si>
  <si>
    <t>Cumulative CPI 2021→2025</t>
  </si>
  <si>
    <t>cpi_2022_to_2025</t>
  </si>
  <si>
    <t>Cumulative CPI 2022→2025 (CBS StatLine 71905ned; 3755.3/3388.9=1.108)</t>
  </si>
  <si>
    <t>cpi_2023_to_2025</t>
  </si>
  <si>
    <t>Cumulative CPI 2023→2025</t>
  </si>
  <si>
    <t>cpi_2024_to_2025</t>
  </si>
  <si>
    <t>Cumulative CPI 2024→2025</t>
  </si>
  <si>
    <t>CPI sources</t>
  </si>
  <si>
    <t>2012–2022: Kostenhandleiding 2024 (Hakkaart-van Roijen et al.), Tabel 2-3, citing CBS Prijsindexcijzers consumentenprijzen. 2022–2025: CBS StatLine dataset 71905ned (Consumentenprijzen; prijsindex 1900=100), accessed 6 April 2026.</t>
  </si>
  <si>
    <t>Parameter name</t>
  </si>
  <si>
    <t>Value (used by model)</t>
  </si>
  <si>
    <t>Probabilistic</t>
  </si>
  <si>
    <t>Deterministic</t>
  </si>
  <si>
    <t>Standard error</t>
  </si>
  <si>
    <t>Distribution</t>
  </si>
  <si>
    <t>Alpha</t>
  </si>
  <si>
    <t>Beta</t>
  </si>
  <si>
    <t>Source</t>
  </si>
  <si>
    <t>Indexing note</t>
  </si>
  <si>
    <t>TREATMENT EFFECT — hazard ratios (log-normal; SE from 95% CI)</t>
  </si>
  <si>
    <t>hr_pfs</t>
  </si>
  <si>
    <t>log-normal</t>
  </si>
  <si>
    <t>PFS HR inavolisib vs comparator; 95% CI 0.32-0.59; alpha=ln(HR), beta=SE(lnHR)</t>
  </si>
  <si>
    <t>Jhaveri 2025</t>
  </si>
  <si>
    <t>hr_os</t>
  </si>
  <si>
    <t>OS HR inavolisib vs comparator; 95% CI 0.47-0.88; alpha=ln(HR), beta=SE(lnHR)</t>
  </si>
  <si>
    <t>UTILITIES — health-state utilities (beta; SE assumed 10%)</t>
  </si>
  <si>
    <t>utility_pfs</t>
  </si>
  <si>
    <t>beta</t>
  </si>
  <si>
    <t>PFS state utility; SG vignette, UK general public; both arms</t>
  </si>
  <si>
    <t>Lloyd 2006</t>
  </si>
  <si>
    <t>utility_pd</t>
  </si>
  <si>
    <t>PD state utility = PFS minus 0.277 Lloyd decrement; both arms</t>
  </si>
  <si>
    <t>utility_death</t>
  </si>
  <si>
    <t>fixed</t>
  </si>
  <si>
    <t>Death state utility (convention)</t>
  </si>
  <si>
    <t>Convention</t>
  </si>
  <si>
    <t>AE DISUTILITIES — Gr3/4 (beta on ABSOLUTE value; stored positive; subtracted in model; SE 10%)</t>
  </si>
  <si>
    <t>disutil_neutropenia</t>
  </si>
  <si>
    <t>Gr3/4 neutropenia disutility; stored positive, subtracted in model</t>
  </si>
  <si>
    <t>disutil_thrombocytopenia</t>
  </si>
  <si>
    <t>Gr3/4 thrombocytopenia disutility; stored positive, subtracted in model</t>
  </si>
  <si>
    <t>Wu 2023</t>
  </si>
  <si>
    <t>disutil_anaemia</t>
  </si>
  <si>
    <t>Gr3/4 anaemia disutility; stored positive, subtracted in model</t>
  </si>
  <si>
    <t>disutil_hyperglycaemia</t>
  </si>
  <si>
    <t>Gr3/4 hyperglycaemia disutility (PI3K-class); stored positive, subtracted in model</t>
  </si>
  <si>
    <t>disutil_stomatitis</t>
  </si>
  <si>
    <t>Gr3/4 stomatitis disutility; stored positive, subtracted in model</t>
  </si>
  <si>
    <t>AE INCIDENCE — Gr3/4 per arm (beta; SE binomial = SQRT(D*(1-D)/N))</t>
  </si>
  <si>
    <t>number of comparator patients in AE trial</t>
  </si>
  <si>
    <t>Jhaveri 2025 T1</t>
  </si>
  <si>
    <t>number of inavo patients in AE trial</t>
  </si>
  <si>
    <t>ae_neutropenia_inav</t>
  </si>
  <si>
    <t>Gr3/4 neutropenia inav 133/161</t>
  </si>
  <si>
    <t>ae_neutropenia_comp</t>
  </si>
  <si>
    <t>Gr3/4 neutropenia comp 131/163</t>
  </si>
  <si>
    <t>ae_thrombocytopenia_inav</t>
  </si>
  <si>
    <t>Gr3/4 thrombocytopenia inav 22/161</t>
  </si>
  <si>
    <t>ae_thrombocytopenia_comp</t>
  </si>
  <si>
    <t>Gr3/4 thrombocytopenia comp 8/163</t>
  </si>
  <si>
    <t>ae_anaemia_inav</t>
  </si>
  <si>
    <t>Gr3/4 anaemia inav 11/161</t>
  </si>
  <si>
    <t>ae_anaemia_comp</t>
  </si>
  <si>
    <t>Gr3/4 anaemia comp 3/163</t>
  </si>
  <si>
    <t>ae_hyperglycaemia_inav</t>
  </si>
  <si>
    <t>Gr3/4 hyperglycaemia inav 11/161</t>
  </si>
  <si>
    <t>ae_stomatitis_inav</t>
  </si>
  <si>
    <t>Gr3/4 stomatitis inav 9/161</t>
  </si>
  <si>
    <t>ae_hyperglycaemia_comp</t>
  </si>
  <si>
    <t>Gr3/4 hyperglycaemia comp 0/163</t>
  </si>
  <si>
    <t>ae_stomatitis_comp</t>
  </si>
  <si>
    <t>Gr3/4 stomatitis comp 0/163</t>
  </si>
  <si>
    <t>AE DURATIONS — days per Gr3/4 episode (fixed)</t>
  </si>
  <si>
    <t>ae_dur_neutropenia</t>
  </si>
  <si>
    <t>Median days per Gr3/4 neutropenia episode</t>
  </si>
  <si>
    <t>Gambardella 2025</t>
  </si>
  <si>
    <t>ae_dur_thrombocytopenia</t>
  </si>
  <si>
    <t>Median days per Gr3/4 thrombocytopenia episode</t>
  </si>
  <si>
    <t>ae_dur_anaemia</t>
  </si>
  <si>
    <t>Median days per Gr3/4 anaemia episode</t>
  </si>
  <si>
    <t>ae_dur_hyperglycaemia</t>
  </si>
  <si>
    <t>Median days per Gr3/4 hyperglycaemia episode</t>
  </si>
  <si>
    <t>ae_dur_stomatitis</t>
  </si>
  <si>
    <t>Median days per Gr3/4 stomatitis episode</t>
  </si>
  <si>
    <t>PATIENT SUBGROUP PROPORTIONS (beta; SE binomial)</t>
  </si>
  <si>
    <t>prop_premeno_inav</t>
  </si>
  <si>
    <t>Premenopausal proportion inav 65/161; weights goserelin</t>
  </si>
  <si>
    <t>Turner 2024</t>
  </si>
  <si>
    <t>prop_premeno_comp</t>
  </si>
  <si>
    <t>Premenopausal proportion comp 59/163; weights goserelin</t>
  </si>
  <si>
    <t>prop_bone_inav</t>
  </si>
  <si>
    <t>Bone metastases proportion inav 5/161</t>
  </si>
  <si>
    <t>prop_bone_comp</t>
  </si>
  <si>
    <t>Bone metastases proportion comp 6/163</t>
  </si>
  <si>
    <t>prop_2L_chemo_inav</t>
  </si>
  <si>
    <t>2L chemo receipt inav (post-progression); weights capecitabine</t>
  </si>
  <si>
    <t>prop_2L_chemo_comp</t>
  </si>
  <si>
    <t>2L chemo receipt comp (post-progression)</t>
  </si>
  <si>
    <t>&gt;&gt;&gt; STABLE DISEASE — drug list prices &amp; cycle counts  &lt;&lt;&lt;</t>
  </si>
  <si>
    <t>price_inavolisib_tab</t>
  </si>
  <si>
    <t>Inavolisib 9 mg per tablet</t>
  </si>
  <si>
    <t>FK; medicijnkosten 2025</t>
  </si>
  <si>
    <t>n_inavolisib_per_cycle</t>
  </si>
  <si>
    <t>Inavolisib tablets per 28-day cycle</t>
  </si>
  <si>
    <t>INAVO120</t>
  </si>
  <si>
    <t>dose_inavolisib_mg_day</t>
  </si>
  <si>
    <t>Inavolisib dose: 9 mg once daily (label dose)</t>
  </si>
  <si>
    <t>dose_inavolisib_mg_tab</t>
  </si>
  <si>
    <t>Inavolisib tablet strength used: 9 mg (→ 1 tablet/day)</t>
  </si>
  <si>
    <t>price_palbociclib_tab</t>
  </si>
  <si>
    <t>Palbociclib 125 mg per tablet</t>
  </si>
  <si>
    <t>dose_palbociclib_mg_day</t>
  </si>
  <si>
    <t>Palbociclib dose: 125 mg once daily (days 1-21)</t>
  </si>
  <si>
    <t>dose_palbociclib_mg_tab</t>
  </si>
  <si>
    <t>Palbociclib tablet strength used: 125 mg (→ 1 tablet/day)</t>
  </si>
  <si>
    <t>n_palbociclib_per_cycle</t>
  </si>
  <si>
    <t>Palbociclib tablets days 1-21 per cycle</t>
  </si>
  <si>
    <t>price_fulvestrant_syr</t>
  </si>
  <si>
    <t>Fulvestrant 250 mg/5 mL syringe (Mylan)</t>
  </si>
  <si>
    <t>Dose_fulvestrant</t>
  </si>
  <si>
    <t>Fulvestrant dose per syringe</t>
  </si>
  <si>
    <t>Dosage_fulvestrant_per_injection</t>
  </si>
  <si>
    <t>Fulvestrant dosage per injection</t>
  </si>
  <si>
    <t>n_fulvestrant_c1</t>
  </si>
  <si>
    <t>Number of Fulvestrant injections in cycle 1 (loading dose)</t>
  </si>
  <si>
    <t>n_fulvestrant_c2plus</t>
  </si>
  <si>
    <t>Number of Fulvestrant injections in cycles 2+</t>
  </si>
  <si>
    <t>price_goserelin_implant</t>
  </si>
  <si>
    <t>Goserelin 3.6 mg implant</t>
  </si>
  <si>
    <t>Dose_goserelin</t>
  </si>
  <si>
    <t>Dose per Goserelin injections</t>
  </si>
  <si>
    <t>Dosage_gosereline_per_injection</t>
  </si>
  <si>
    <t>Dosage per Gosereline injection</t>
  </si>
  <si>
    <t>n_goserelin_per_cycle</t>
  </si>
  <si>
    <t>Number of injections per cycle</t>
  </si>
  <si>
    <t>STABLE DISEASE — administration &amp; HCRU frequencies (fixed counts)</t>
  </si>
  <si>
    <t>n_admin_c1</t>
  </si>
  <si>
    <t>Fulvestrant admin occasions cycle 1 (day 1 + day 15)</t>
  </si>
  <si>
    <t>n_admin_c2plus</t>
  </si>
  <si>
    <t>Fulvestrant admin occasions cycle 2+</t>
  </si>
  <si>
    <t>n_outpatient_c1</t>
  </si>
  <si>
    <t>Outpatient visits cycle 1</t>
  </si>
  <si>
    <t>Assumption</t>
  </si>
  <si>
    <t>n_outpatient_c2plus</t>
  </si>
  <si>
    <t>Outpatient visits cycle 2+</t>
  </si>
  <si>
    <t>n_cbc_c1c2</t>
  </si>
  <si>
    <t>CBC panels per cycle, cycles 1-2</t>
  </si>
  <si>
    <t>SmPC</t>
  </si>
  <si>
    <t>n_cbc_c3plus</t>
  </si>
  <si>
    <t>CBC panels per cycle, cycles 3+</t>
  </si>
  <si>
    <t>cycles_per_hba1c</t>
  </si>
  <si>
    <t>HbA1c every 3 cycles (inav arm only)</t>
  </si>
  <si>
    <t>Genentech PI</t>
  </si>
  <si>
    <t>disp_fee_repeat_raw</t>
  </si>
  <si>
    <t>gamma</t>
  </si>
  <si>
    <t>Community-pharmacy repeat dispensing fee (standaardterhandstelling) for extramural oral/depot agents (palbociclib, goserelin); RAW 2020 value, applied once per 28-day cycle</t>
  </si>
  <si>
    <t>SFK (Stichting Farmaceutische Kengetallen), Pharmaceutisch Weekblad 2020</t>
  </si>
  <si>
    <t>raw 2020; apply cpi_2020_to_2025 (×1.2536)</t>
  </si>
  <si>
    <t>disp_fee_first_raw</t>
  </si>
  <si>
    <t>Community-pharmacy first-dispensing fee (eerste uitgifte met begeleidingsgesprek) for a new medicine; RAW 2020 value, applied once in cycle 1 per extramural agent</t>
  </si>
  <si>
    <t>NZa DIAGNOSTIC TARIFFS</t>
  </si>
  <si>
    <t>nza_70101_erythrocytes</t>
  </si>
  <si>
    <t>Erythrocytes + haematocrit + indices. NZA tariff code is 70101</t>
  </si>
  <si>
    <t>NZa/Starlet-DC 2025</t>
  </si>
  <si>
    <t>nza_70107_leukocytes</t>
  </si>
  <si>
    <t>Leukocyte count.  NZA tariff code is 70107</t>
  </si>
  <si>
    <t>nza_70718_differential</t>
  </si>
  <si>
    <t>Automated differential. NZA tariff code is 70718</t>
  </si>
  <si>
    <t>nza_70103_platelets</t>
  </si>
  <si>
    <t>Platelet count.  NZA tariff code is 70103</t>
  </si>
  <si>
    <t>nza_74891_alt</t>
  </si>
  <si>
    <t>ALT.  NZA tariff code is 74891</t>
  </si>
  <si>
    <t>nza_70489_ast</t>
  </si>
  <si>
    <t>AST.  NZA tariff code is 70489</t>
  </si>
  <si>
    <t>nza_70303_bilirubin</t>
  </si>
  <si>
    <t>Total bilirubin.  NZA tariff code is 70303</t>
  </si>
  <si>
    <t>nza_70102_alkphos</t>
  </si>
  <si>
    <t>Alkaline phosphatase.  NZA tariff code is 70102</t>
  </si>
  <si>
    <t>nza_70419_creatinine</t>
  </si>
  <si>
    <t>Creatinine + eGFR.  NZA tariff code is 70419</t>
  </si>
  <si>
    <t>nza_74065_hba1c</t>
  </si>
  <si>
    <t>HbA1c.  NZA tariff code is 74065</t>
  </si>
  <si>
    <t>AE MANAGEMENT — unit cost components</t>
  </si>
  <si>
    <t>unit_outpatient_visit</t>
  </si>
  <si>
    <t>Outpatient oncology visit; RAW 2022 value, indexed on Costs sheet; SE assumed 25%</t>
  </si>
  <si>
    <t>KH2024 §4.3</t>
  </si>
  <si>
    <t>raw 2022; apply cpi_2022_to_2025 (×1.1076) on Costs sheet</t>
  </si>
  <si>
    <t>unit_fn_hospital</t>
  </si>
  <si>
    <t>Febrile neutropenia 5-day hospital + IV antibiotics + G-CSF; RAW 2022, indexed on Costs sheet</t>
  </si>
  <si>
    <t>KH2024 §3; medicijnkosten 2025</t>
  </si>
  <si>
    <t>unit_rbc_transfusion</t>
  </si>
  <si>
    <t>RBC transfusion day-treatment + blood products + visit; RAW 2022, indexed on Costs sheet</t>
  </si>
  <si>
    <t>KH2024 §3</t>
  </si>
  <si>
    <t>unit_metformin_30d</t>
  </si>
  <si>
    <t>Metformin 500 mg 30-day course</t>
  </si>
  <si>
    <t>medicijnkosten 2025</t>
  </si>
  <si>
    <t>unit_dexa_mouthwash</t>
  </si>
  <si>
    <t>Dexamethasone mouthwash 0.1mg/ml, 1 pack (300ml) per Gr3/4 stomatitis episode</t>
  </si>
  <si>
    <t>prob_fn_given_neutropenia</t>
  </si>
  <si>
    <t>Probability of febrile neutropenia given Gr3/4 neutropenia (&lt;1% on CDK4/6i)</t>
  </si>
  <si>
    <t>n_visits_hyperglycaemia</t>
  </si>
  <si>
    <t>Extra outpatient visits for Gr3/4 hyperglycaemia (diagnosis + metformin titration)</t>
  </si>
  <si>
    <t>Gambardella 2025; SmPC</t>
  </si>
  <si>
    <t>unit_sc_admin</t>
  </si>
  <si>
    <t>SC oncology drug admin (proxy for IM home injection); RAW 2022, indexed on Costs sheet; SE assumed 25%</t>
  </si>
  <si>
    <t>KH2024 §4.2; Blommestein 2018</t>
  </si>
  <si>
    <t>&gt;&gt;&gt; PROGRESSED DISEASE — capecitabine 2L course + DPYD (one-off at transition) &lt;&lt;&lt;</t>
  </si>
  <si>
    <t>price_capecitabine_tab</t>
  </si>
  <si>
    <t>Capecitabine 500 mg tablet (Accord)</t>
  </si>
  <si>
    <t>bsa_dutch_female</t>
  </si>
  <si>
    <t>Mean BSA Dutch female</t>
  </si>
  <si>
    <t>RIVM</t>
  </si>
  <si>
    <t>n_cap_tabs_per_day</t>
  </si>
  <si>
    <t>Capecitabine tabs per single dose (BSA 1.72 × 1250 mg/m² rounded to tab size)</t>
  </si>
  <si>
    <t>derived</t>
  </si>
  <si>
    <t>n_cap_doses_per_day</t>
  </si>
  <si>
    <t>BID dosing</t>
  </si>
  <si>
    <t>n_cap_treat_days</t>
  </si>
  <si>
    <t>Treatment days per cycle (days 1-14 of 21-day cycle)</t>
  </si>
  <si>
    <t>n_cap_cycles</t>
  </si>
  <si>
    <t>Capecitabine cycles per treated patient (standard course)</t>
  </si>
  <si>
    <t>NABON/NIV 2020</t>
  </si>
  <si>
    <t>cost_dpyd</t>
  </si>
  <si>
    <t>DPYD genotyping one-off at PD transition (both arms); already 2025</t>
  </si>
  <si>
    <t>Henricks 2019</t>
  </si>
  <si>
    <t>PROGRESSED DISEASE — per-cycle ongoing (palliative + zoledronic)</t>
  </si>
  <si>
    <t>cap_cycle_days</t>
  </si>
  <si>
    <t>Capecitabine cycle length (scales 21-day HCRU rate to 28-day model cycle)</t>
  </si>
  <si>
    <t>cycles_per_palliative</t>
  </si>
  <si>
    <t>Palliative consult every 3 cycles (quarterly)</t>
  </si>
  <si>
    <t>price_zoledronic</t>
  </si>
  <si>
    <t>Zoledronic acid 4 mg per dose; already 2025</t>
  </si>
  <si>
    <t>cycles_per_bone_dose</t>
  </si>
  <si>
    <t>Zoledronic dosing every 12 weeks ≈ 3 cycles</t>
  </si>
  <si>
    <t>Coleman 2020</t>
  </si>
  <si>
    <t>&gt;&gt;&gt; DEATH — end-of-life one-off (gamma; raw value here, indexed on Costs sheet) &lt;&lt;&lt;</t>
  </si>
  <si>
    <t>eol_schneider_raw</t>
  </si>
  <si>
    <t>Schneider 2020</t>
  </si>
  <si>
    <t>raw 2017; apply cpi_2017_to_2025 (×1.3239) on Costs sheet</t>
  </si>
  <si>
    <t>eol_vandijk_raw</t>
  </si>
  <si>
    <t>EoL cost incl. Wlz long-term care (societal scenario S5); RAW 2019, indexed on Costs sheet</t>
  </si>
  <si>
    <t>Van Dijk 2025</t>
  </si>
  <si>
    <t>raw 2019; apply cpi_2019_to_2025 (×1.2676) on Costs sheet</t>
  </si>
  <si>
    <t>EoL_chosen</t>
  </si>
  <si>
    <t>Active EoL value (toggle: change to =eol_vandijk_raw for scenario S5)</t>
  </si>
  <si>
    <t>Toggle parameter</t>
  </si>
  <si>
    <t>indexed on Costs sheet via EoL_chosen * EoL_chosen_cpi</t>
  </si>
  <si>
    <t>EoL_chosen_cpi</t>
  </si>
  <si>
    <t>CPI factor matching the chosen EoL scenario (=cpi_2017_to_2025 Schneider, =cpi_2019_to_2025 Van Dijk S5)</t>
  </si>
  <si>
    <t>Companion to EoL_chosen</t>
  </si>
  <si>
    <t>multiplies EoL_chosen on the Costs sheet</t>
  </si>
  <si>
    <t>SOCIETAL (base case) — informal care · productivity · patient time · PAID 3.0</t>
  </si>
  <si>
    <t>informal_care_rate</t>
  </si>
  <si>
    <t>Proxy-good rate for informal care (EUR/hour); RAW 2022, indexed on Costs sheet</t>
  </si>
  <si>
    <t>KH2024 §5.3.2</t>
  </si>
  <si>
    <t>informal_hours_pfs_week</t>
  </si>
  <si>
    <t>Informal care hours/week — PFS state. DATA GAP; OWSA ±100% (0-15 h/wk)</t>
  </si>
  <si>
    <t>informal_hours_pd_week</t>
  </si>
  <si>
    <t>Informal care hours/week — PD state. DATA GAP; OWSA ±50% (5-40 h/wk)</t>
  </si>
  <si>
    <t>productivity_rate_hour</t>
  </si>
  <si>
    <t>Productivity loss rate, friction-cost method (EUR/hour); RAW 2022, indexed on Costs sheet</t>
  </si>
  <si>
    <t>KH2024 §6.1.2</t>
  </si>
  <si>
    <t>friction_period_days</t>
  </si>
  <si>
    <t>Friction period working days</t>
  </si>
  <si>
    <t>KH2024 FCM</t>
  </si>
  <si>
    <t>hours_per_workday</t>
  </si>
  <si>
    <t>Working hours per day (for friction-cost lump-sum)</t>
  </si>
  <si>
    <t>KH2024</t>
  </si>
  <si>
    <t>prop_working_age</t>
  </si>
  <si>
    <t>Proportion working-age &amp; employed; SE assumed 0.10 (sensitivity 0.21-0.70)</t>
  </si>
  <si>
    <t>CBS 2025; Kias 2025</t>
  </si>
  <si>
    <t>patient_time_rate</t>
  </si>
  <si>
    <t>Patient time proxy-good rate (EUR/hour); RAW 2022, indexed on Costs sheet</t>
  </si>
  <si>
    <t>KH2024 §5.2</t>
  </si>
  <si>
    <t>patient_hours_per_visit</t>
  </si>
  <si>
    <t>Patient time per outpatient visit (travel + wait + visit)</t>
  </si>
  <si>
    <t>paid_unrelated_medical</t>
  </si>
  <si>
    <t>PAID 3.0 future unrelated medical cost per LY gained; indicative for ~54y woman; already 2025</t>
  </si>
  <si>
    <t>Kellerborg 2020</t>
  </si>
  <si>
    <t>Cost overview — inavolisib + palbociclib + fulvestrant  vs  palbociclib + fulvestrant</t>
  </si>
  <si>
    <t>STATE 2 · PROGRESSED DISEASE  (one-off at transition + per-cycle ongoing)</t>
  </si>
  <si>
    <t>STATE 3 · END OF LIFE  (one-off at death)</t>
  </si>
  <si>
    <t xml:space="preserve">All figures are per patient per 28-day cycle, except one-off lump-sums (whole course already included). </t>
  </si>
  <si>
    <t>2.1  One-off second-line transition cost   —   capecitabine course + DPYD genotyping + dispensing fee</t>
  </si>
  <si>
    <t xml:space="preserve">3.1  End-of-life cost </t>
  </si>
  <si>
    <t>STATE 1 · STABLE DISEASE  (progression-free, per 28-day cycle)</t>
  </si>
  <si>
    <t>Step 1 — second-line chemotherapy costs</t>
  </si>
  <si>
    <t>Raw value, source year (€)</t>
  </si>
  <si>
    <t>CPI index to 2025</t>
  </si>
  <si>
    <t>Indexed cost (€)</t>
  </si>
  <si>
    <t>EoL one-off — Inavolisib (€)</t>
  </si>
  <si>
    <t>EoL one-off — Comparator (€)</t>
  </si>
  <si>
    <t>Cost per tablet (€)</t>
  </si>
  <si>
    <t>Tablets per dose</t>
  </si>
  <si>
    <t>Doses per day</t>
  </si>
  <si>
    <t>Treatment days per 21-day cycle</t>
  </si>
  <si>
    <t>Median number of chemo-cycles</t>
  </si>
  <si>
    <t>2L-chemo uptake — Inavolisib</t>
  </si>
  <si>
    <t>2L-chemo uptake — Comparator</t>
  </si>
  <si>
    <t>One-off transition — Inavolisib (€)</t>
  </si>
  <si>
    <t>One-off transition — Comparator (€)</t>
  </si>
  <si>
    <t>End-of-life care (active scenario on Parameters)</t>
  </si>
  <si>
    <t>1.1  Drug acquisition  costs</t>
  </si>
  <si>
    <t>Capecitabine — cost per 21-day capecitabine-cycle</t>
  </si>
  <si>
    <t>—</t>
  </si>
  <si>
    <t>Drug</t>
  </si>
  <si>
    <t>Cost per tablet / syringe / implant (€)</t>
  </si>
  <si>
    <t>Dose per administration (mg)</t>
  </si>
  <si>
    <t>Strength per tablet / syringe (mg)</t>
  </si>
  <si>
    <t>Tablets / syringes per administration</t>
  </si>
  <si>
    <t>Administrations (days / doses) per cycle</t>
  </si>
  <si>
    <t>Premenopausal proportion — Inavolisib</t>
  </si>
  <si>
    <t>Premenopausal proportion — Comparator</t>
  </si>
  <si>
    <t>Drug acquisition cost per cycle — Inavolisib (€)</t>
  </si>
  <si>
    <t>Drug acquisition cost per cycle — Comparator (€)</t>
  </si>
  <si>
    <t>Capecitabine — full course (× cap-cycles)</t>
  </si>
  <si>
    <t>Inavolisib</t>
  </si>
  <si>
    <t>Capecitabine — weighted by second line-chemo uptake</t>
  </si>
  <si>
    <t>Palbociclib</t>
  </si>
  <si>
    <t>DPYD genotyping (one-off, both arms)</t>
  </si>
  <si>
    <t>one-off per patient</t>
  </si>
  <si>
    <t>Fulvestrant (cycle 2+ maintenance)</t>
  </si>
  <si>
    <t>Step 2 — dispensing fee</t>
  </si>
  <si>
    <t>Fulvestrant (cycle 1 loading dose)</t>
  </si>
  <si>
    <t>Repeat fee 2020 (€)</t>
  </si>
  <si>
    <t>CPI 2020→25</t>
  </si>
  <si>
    <t>Indexed repeat fee (€)</t>
  </si>
  <si>
    <t xml:space="preserve">2L-chemo uptake </t>
  </si>
  <si>
    <t>Total dispensing costs</t>
  </si>
  <si>
    <t>Goserelin LHRH depot  (× premenopausal %)</t>
  </si>
  <si>
    <t>TOTAL drug acquisition — cycle 1 (fulvestrant loading)</t>
  </si>
  <si>
    <t>Comparator</t>
  </si>
  <si>
    <t>TOTAL drug acquisition — cycle 2+ (maintenance)</t>
  </si>
  <si>
    <t>TOTAL one-off second-line transition (applied to newly-progressed patients)</t>
  </si>
  <si>
    <t>1.2  Administration costs</t>
  </si>
  <si>
    <t>Step 1 — assemble the administration costs of Fulvestrant</t>
  </si>
  <si>
    <t>Unit injection-admin cost, 2022 (€)</t>
  </si>
  <si>
    <t>CPI 2022→2025 index</t>
  </si>
  <si>
    <t>Indexed cost per injection (€)</t>
  </si>
  <si>
    <t>Injections per cycle — Inavolisib</t>
  </si>
  <si>
    <t>Injections per cycle — Comparator</t>
  </si>
  <si>
    <t>Administration cost per cycle — Inavolisib (€)</t>
  </si>
  <si>
    <t>Administration cost per cycle — Comparator (€)</t>
  </si>
  <si>
    <t>Fulvestrant injection — cycle 1 (day 1 + day 15)</t>
  </si>
  <si>
    <t>Fulvestrant injection — cycle 2+ (day 1 only)</t>
  </si>
  <si>
    <t>Step 2— assemble the pharmacy dispensing costs of extramural agents (palbociclib, goserelin)</t>
  </si>
  <si>
    <t>Agent</t>
  </si>
  <si>
    <t>First fee 2020 (€)</t>
  </si>
  <si>
    <t>Indexed first fee (€)</t>
  </si>
  <si>
    <t>Dispensing costs/cycle — Inavo (€)</t>
  </si>
  <si>
    <t>Dispensing costs/cycle — Comparator (€)</t>
  </si>
  <si>
    <t>Goserelin (× premeno %)</t>
  </si>
  <si>
    <t xml:space="preserve">TOTAL dispensing costs — cycle 1 </t>
  </si>
  <si>
    <t xml:space="preserve">TOTAL dispensing costs — cycle 2+ </t>
  </si>
  <si>
    <t>Step 3 — assemble total administration costs</t>
  </si>
  <si>
    <t>Inavolisib (€)</t>
  </si>
  <si>
    <t>Comparator (€)</t>
  </si>
  <si>
    <t>TOTAL administration costs — cycle 1</t>
  </si>
  <si>
    <t xml:space="preserve">TOTAL administration costs — cycle 2+ </t>
  </si>
  <si>
    <t>1.3  Healthcare resource use / monitoring costs</t>
  </si>
  <si>
    <t>Step 1 — assemble the unit costs</t>
  </si>
  <si>
    <t>Unit cost component</t>
  </si>
  <si>
    <t>Tariff (€)</t>
  </si>
  <si>
    <t>CPI index</t>
  </si>
  <si>
    <t>Indexed unit cost (€)</t>
  </si>
  <si>
    <t>Erythrocyte count</t>
  </si>
  <si>
    <t>Leukocyte count</t>
  </si>
  <si>
    <t>Leukocyte differential</t>
  </si>
  <si>
    <t>Platelet count</t>
  </si>
  <si>
    <t>Outpatient oncology visit</t>
  </si>
  <si>
    <t>HbA1c test  (single test cost)</t>
  </si>
  <si>
    <t>2.2  Ongoing progressed-disease cost per cycle   —   PD HCRU + palliative + bone-targeted therapy</t>
  </si>
  <si>
    <t>Step 1 — assemble the LFT panel (the CBC panel and creatinine are single items pulled by name)</t>
  </si>
  <si>
    <t>Step 2 — cost per cycle = unit cost × number of times per cycle  (the only difference between arms is HbA1c, which is inavolisib-only)</t>
  </si>
  <si>
    <t>HCRU component</t>
  </si>
  <si>
    <t>Times per cycle — cycle 1</t>
  </si>
  <si>
    <t>Times per cycle — cycle 2</t>
  </si>
  <si>
    <t>Times per cycle — cycle 3+</t>
  </si>
  <si>
    <t>Applies to inavolisib?</t>
  </si>
  <si>
    <t>Applies to comparator?</t>
  </si>
  <si>
    <t>ALT (alanine aminotransferase)</t>
  </si>
  <si>
    <t>yes</t>
  </si>
  <si>
    <t>AST (aspartate aminotransferase)</t>
  </si>
  <si>
    <t>CBC panel</t>
  </si>
  <si>
    <t>Bilirubin</t>
  </si>
  <si>
    <t>HbA1c monitoring  (1 test every 3 cycles)</t>
  </si>
  <si>
    <t>no</t>
  </si>
  <si>
    <t>Alkaline phosphatase</t>
  </si>
  <si>
    <t>LFT panel — total (sum of 4 codes)</t>
  </si>
  <si>
    <t>Step 3 — HCRU total per cycle  =  outpatient + CBC + HbA1c (inavolisib only)</t>
  </si>
  <si>
    <t>Step 2 — PD HCRU bundle per 21-day cap-cycle, then scaled to the 28-day model cycle</t>
  </si>
  <si>
    <t>Cycle band</t>
  </si>
  <si>
    <t>Outpatient (unit × times) (€)</t>
  </si>
  <si>
    <t>CBC (unit × times) (€)</t>
  </si>
  <si>
    <t>HbA1c (inav only) (€)</t>
  </si>
  <si>
    <t>HCRU per cycle — Inavolisib (€)</t>
  </si>
  <si>
    <t>HCRU per cycle — Comparator (€)</t>
  </si>
  <si>
    <t>PD HCRU component</t>
  </si>
  <si>
    <t>Unit cost (€)</t>
  </si>
  <si>
    <t>Value (€)</t>
  </si>
  <si>
    <t>Cycle 1  (2 visits, 2 CBC, HbA1c)</t>
  </si>
  <si>
    <t>Outpatient oncology visit (indexed)</t>
  </si>
  <si>
    <t>Cycle 2  (1 visit, 2 CBC, HbA1c)</t>
  </si>
  <si>
    <t>CBC panel  (from §1.3)</t>
  </si>
  <si>
    <t>Cycle 3+  (1 visit, 1 CBC, HbA1c)</t>
  </si>
  <si>
    <t>LFT panel  (from Step 1 above)</t>
  </si>
  <si>
    <t>Creatinine</t>
  </si>
  <si>
    <t>PD HCRU per 21-day cap-cycle (sum)</t>
  </si>
  <si>
    <t>STATE 1 add-on · ADVERSE EVENTS  (one-off lump-sum at cycle 0)</t>
  </si>
  <si>
    <t>PD HCRU per 28-day model cycle (scale ×28/21)</t>
  </si>
  <si>
    <t xml:space="preserve">4.1  Adverse-event management cost </t>
  </si>
  <si>
    <t>Step 3 — add palliative care and bone-targeted therapy, then total ongoing PD per cycle</t>
  </si>
  <si>
    <t>Step 1 — cost of treating one episode of each event  (neutropenia can need hospitalisation, so it is a weighted average of two paths)</t>
  </si>
  <si>
    <t>Per how many cycles</t>
  </si>
  <si>
    <t>Per-cycle value (€)</t>
  </si>
  <si>
    <t>Bone-mets % — Inavolisib</t>
  </si>
  <si>
    <t>Bone-mets % — Comparator</t>
  </si>
  <si>
    <t>PD ongoing — Inavolisib (€)</t>
  </si>
  <si>
    <t>PD ongoing — Comparator (€)</t>
  </si>
  <si>
    <t>Adverse event (grade ≥3)</t>
  </si>
  <si>
    <t>Cost component 1 (€)</t>
  </si>
  <si>
    <t>Cost component 2 (€)</t>
  </si>
  <si>
    <t>Outpatient management = comp 1 + comp 2 (€)</t>
  </si>
  <si>
    <t>Hospitalisation cost (€)</t>
  </si>
  <si>
    <t>Probability of hospitalisation</t>
  </si>
  <si>
    <t>Cost per episode (€)</t>
  </si>
  <si>
    <t>How the per-episode cost is built</t>
  </si>
  <si>
    <t>PD HCRU per cycle  (from Step 2)</t>
  </si>
  <si>
    <t>Neutropenia</t>
  </si>
  <si>
    <t>(1−P)×outpatient + P×hospitalisation</t>
  </si>
  <si>
    <t>Palliative care (1 visit every 3 cycles)</t>
  </si>
  <si>
    <t>Thrombocytopenia</t>
  </si>
  <si>
    <t>outpatient visit + CBC panel</t>
  </si>
  <si>
    <t>Bone-targeted therapy (zoledronic + visit)/3, × bone-mets %</t>
  </si>
  <si>
    <t>Anaemia</t>
  </si>
  <si>
    <t>RBC transfusion (indexed)</t>
  </si>
  <si>
    <t>TOTAL ongoing PD per cycle  (HCC applied in trace)</t>
  </si>
  <si>
    <t>Hyperglycaemia (PI3K-specific)</t>
  </si>
  <si>
    <t>2 outpatient visits + metformin 30 days</t>
  </si>
  <si>
    <t>Stomatitis</t>
  </si>
  <si>
    <t>outpatient visit + dexamethasone mouthwash</t>
  </si>
  <si>
    <t>Step 2 — expected cost per patient = cost per episode × probability the event occurs  (applied once, as a lump sum, at cycle 0)</t>
  </si>
  <si>
    <t>Incidence — Inavolisib</t>
  </si>
  <si>
    <t>Incidence — Comparator</t>
  </si>
  <si>
    <t>Lump-sum — Inavolisib (€)</t>
  </si>
  <si>
    <t>Lump-sum — Comparator (€)</t>
  </si>
  <si>
    <t>TOTAL adverse-event lump-sum per patient (applied once at cycle 0)</t>
  </si>
  <si>
    <t>SOCIETAL ADD-ONS (base case) · informal care · productivity · patient time · PAID 3.0</t>
  </si>
  <si>
    <t>5.1  Societal component costs</t>
  </si>
  <si>
    <t>Rate (€) (2022)</t>
  </si>
  <si>
    <t>Indexed rate (€) (2025)</t>
  </si>
  <si>
    <t>Quantity</t>
  </si>
  <si>
    <t>Scaling factor to per cycle</t>
  </si>
  <si>
    <t>What the quantity/scaling mean</t>
  </si>
  <si>
    <t>Value — Inavolisib (€)</t>
  </si>
  <si>
    <t>Value — Comparator (€)</t>
  </si>
  <si>
    <t>Informal care — SD per cycle</t>
  </si>
  <si>
    <t>quantity is hours per week we need hours per cycle</t>
  </si>
  <si>
    <t>Informal care — PD per cycle</t>
  </si>
  <si>
    <t>Productivity loss (friction; one-off at entry)</t>
  </si>
  <si>
    <t>the scaling here menas that not everyone has  productivity loss, only those who are working age.</t>
  </si>
  <si>
    <t>Patient time — per outpatient visit</t>
  </si>
  <si>
    <t>This is per visit</t>
  </si>
  <si>
    <t>Patient time — SD cycle 1 (× 2 visits)</t>
  </si>
  <si>
    <t>per-visit × visits</t>
  </si>
  <si>
    <t>cycle 1 has 2 visits</t>
  </si>
  <si>
    <t>Patient time — SD cycle 2+ / PD (× 1 visit)</t>
  </si>
  <si>
    <t>cycles 2+ have 1 visit</t>
  </si>
  <si>
    <t>PAID 3.0 unrelated medical cost per life-year gained</t>
  </si>
  <si>
    <t>applied in Analysis × total LY</t>
  </si>
  <si>
    <t>UTILITIES — health state utilities + AE disutility losses</t>
  </si>
  <si>
    <t xml:space="preserve">Adverse event </t>
  </si>
  <si>
    <t>Incidence Inavolisib (%)</t>
  </si>
  <si>
    <t>Disutility</t>
  </si>
  <si>
    <t>Duration (days)</t>
  </si>
  <si>
    <t>Duration (years)</t>
  </si>
  <si>
    <t>Total disutility by incidence</t>
  </si>
  <si>
    <t>Total QALY lost</t>
  </si>
  <si>
    <t>%(n/N)</t>
  </si>
  <si>
    <t>Hyperglycaemia</t>
  </si>
  <si>
    <t>Applied at cycle 0 × cohort_size in trace</t>
  </si>
  <si>
    <t>Incidence comparator (%)</t>
  </si>
  <si>
    <t>Model for Inavolisib + Palbociclib + Fulvestrant</t>
  </si>
  <si>
    <t>Not discounted - with half cycle correction - Display costs WITHOUT decimals</t>
  </si>
  <si>
    <t>Discounted - with half cycle correction - Display costs WITHOUT decimals</t>
  </si>
  <si>
    <t>Number of patients in health states at start cycle</t>
  </si>
  <si>
    <t>Compared to previous cycle</t>
  </si>
  <si>
    <t>Number of patients in health state during cycle (half-cycle corrected)</t>
  </si>
  <si>
    <t>Costs SD</t>
  </si>
  <si>
    <t>Costs PD</t>
  </si>
  <si>
    <t xml:space="preserve">QALYs  </t>
  </si>
  <si>
    <t>Discount factors</t>
  </si>
  <si>
    <t>Cycle</t>
  </si>
  <si>
    <t>Time in weeks</t>
  </si>
  <si>
    <t>Time in months</t>
  </si>
  <si>
    <t>OS</t>
  </si>
  <si>
    <t>PFS</t>
  </si>
  <si>
    <t>Progression free (or stable disease)</t>
  </si>
  <si>
    <t>Progression</t>
  </si>
  <si>
    <t>Death</t>
  </si>
  <si>
    <t>Check</t>
  </si>
  <si>
    <t>Newly progressed</t>
  </si>
  <si>
    <t>Newly died</t>
  </si>
  <si>
    <t>Drug acquisition costs - SD</t>
  </si>
  <si>
    <t>Administration costs - SD</t>
  </si>
  <si>
    <t>Healthcare resource use - SD</t>
  </si>
  <si>
    <t>Productivity loss SD (societal)</t>
  </si>
  <si>
    <t>Informal care SD (societal)</t>
  </si>
  <si>
    <t>Patient time SD (societal)</t>
  </si>
  <si>
    <t>AE costs SD</t>
  </si>
  <si>
    <t>Total costs SD</t>
  </si>
  <si>
    <t>Drug acquisition costs post-progression chemo - PD</t>
  </si>
  <si>
    <t>HCRU PD</t>
  </si>
  <si>
    <t>Informal care PD (societal)</t>
  </si>
  <si>
    <t>Patient time PD (societal)</t>
  </si>
  <si>
    <t xml:space="preserve">End of life costs </t>
  </si>
  <si>
    <t>Total costs PD</t>
  </si>
  <si>
    <t>Total Costs</t>
  </si>
  <si>
    <t>Years accrued in stable disease (SD)</t>
  </si>
  <si>
    <t>Years accrued in progressed disease (PD)</t>
  </si>
  <si>
    <t>Total Life-years</t>
  </si>
  <si>
    <t>QALYs accrued in stable disease (SD)</t>
  </si>
  <si>
    <t>QALYs accrued in progressed disease (PD)</t>
  </si>
  <si>
    <t>QALYs lost due to adverse events</t>
  </si>
  <si>
    <t>Total QALYs</t>
  </si>
  <si>
    <t>Year</t>
  </si>
  <si>
    <t>Benefit</t>
  </si>
  <si>
    <t>Average outcomes per patient over 15 years</t>
  </si>
  <si>
    <t>Model for Placebo + Palbociclib + Fulvestrant</t>
  </si>
  <si>
    <t>Not discounted - with half cycle correction</t>
  </si>
  <si>
    <t>Discounted - with half cycle correction</t>
  </si>
  <si>
    <t>Live values curve fitting</t>
  </si>
  <si>
    <t>Placebo</t>
  </si>
  <si>
    <t>Observed KM data</t>
  </si>
  <si>
    <t>exponential</t>
  </si>
  <si>
    <t>Weibull</t>
  </si>
  <si>
    <t>lognormal</t>
  </si>
  <si>
    <t>loglogistic</t>
  </si>
  <si>
    <t>Gompertz</t>
  </si>
  <si>
    <t>Generalised gamma</t>
  </si>
  <si>
    <t>AIC</t>
  </si>
  <si>
    <t>placebo</t>
  </si>
  <si>
    <t>intercept</t>
  </si>
  <si>
    <t>Time (months)</t>
  </si>
  <si>
    <t>KM</t>
  </si>
  <si>
    <t>log(scale)</t>
  </si>
  <si>
    <t>Months</t>
  </si>
  <si>
    <t>Weeks</t>
  </si>
  <si>
    <t xml:space="preserve">Deterministic </t>
  </si>
  <si>
    <t xml:space="preserve">mu </t>
  </si>
  <si>
    <t xml:space="preserve">sigma </t>
  </si>
  <si>
    <t>Q</t>
  </si>
  <si>
    <t>Random Values N(0, 1)</t>
  </si>
  <si>
    <t>PSA</t>
  </si>
  <si>
    <t>Cholesky elements for PSA  for generalised gamma</t>
  </si>
  <si>
    <t>mu</t>
  </si>
  <si>
    <t>sigma</t>
  </si>
  <si>
    <t>PSA- generalised gamma</t>
  </si>
  <si>
    <t>pfs</t>
  </si>
  <si>
    <t>os</t>
  </si>
  <si>
    <t>inavolisib</t>
  </si>
  <si>
    <t>Incremental QALYs</t>
  </si>
  <si>
    <t>Incremental Costs (€)</t>
  </si>
  <si>
    <t>WTP (€/QALY)</t>
  </si>
  <si>
    <t>Probability cost-effective</t>
  </si>
  <si>
    <t>Hospital-perspective EoL one-off at death; source reports SD=20147 (only such param); RAW 2017, indexed on Costs sheet</t>
  </si>
  <si>
    <t>CBC panel — total  (sum of 4 )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</si>
</sst>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&quot;€ &quot;#,##0_-"/>
    <numFmt numFmtId="165" formatCode="_ [$€-413]\ * #,##0_ ;_ [$€-413]\ * \-#,##0_ ;_ [$€-413]\ * \-??_ ;_ @_ "/>
    <numFmt numFmtId="166" formatCode="0.000"/>
    <numFmt numFmtId="167" formatCode="0.0000"/>
    <numFmt numFmtId="168" formatCode="_-&quot;€ &quot;* #,##0.00_-;&quot;-€ &quot;* #,##0.00_-;_-&quot;€ &quot;* \-??_-;_-@_-"/>
    <numFmt numFmtId="169" formatCode="#,##0.0000"/>
    <numFmt numFmtId="170" formatCode="#,##0.000"/>
    <numFmt numFmtId="171" formatCode="0.0000000"/>
    <numFmt numFmtId="172" formatCode="0.00000"/>
    <numFmt numFmtId="173" formatCode="0.0"/>
    <numFmt numFmtId="174" formatCode="_-* #,##0_-;_-* #,##0\-;_-* \-??_-;_-@_-"/>
    <numFmt numFmtId="175" formatCode="_-[$£-809]* #,##0_-;\-[$£-809]* #,##0_-;_-[$£-809]* \-??_-;_-@_-"/>
    <numFmt numFmtId="176" formatCode="_-* #,##0.0_-;_-* #,##0.0\-;_-* \-??_-;_-@_-"/>
    <numFmt numFmtId="177" formatCode="&quot;€ &quot;#,##0.00_-;&quot;€ &quot;#,##0.00\-"/>
    <numFmt numFmtId="178" formatCode="0.0%"/>
    <numFmt numFmtId="179" formatCode="_-* #,##0.00_-;_-* #,##0.00\-;_-* \-??_-;_-@_-"/>
    <numFmt numFmtId="180" formatCode="_-&quot;€ &quot;* #,##0.00_-;_-&quot;€ &quot;* #,##0.00\-;_-&quot;€ &quot;* \-??_-;_-@_-"/>
    <numFmt numFmtId="181" formatCode="_ [$€-413]\ * #,##0_ ;_ [$€-413]\ * \-#,##0_ ;_ [$€-413]\ * &quot;-&quot;??_ ;_ @_ "/>
  </numFmts>
  <fonts count="106" x14ac:knownFonts="1">
    <font>
      <sz val="10"/>
      <name val="Arial"/>
      <charset val="1"/>
    </font>
    <font>
      <sz val="11"/>
      <color theme="1"/>
      <name val="Calibri"/>
      <family val="2"/>
      <charset val="1"/>
    </font>
    <font>
      <sz val="11"/>
      <color theme="0"/>
      <name val="Calibri"/>
      <family val="2"/>
      <charset val="1"/>
    </font>
    <font>
      <sz val="10"/>
      <name val="Arial"/>
      <family val="2"/>
      <charset val="1"/>
    </font>
    <font>
      <b/>
      <sz val="15"/>
      <color theme="9" tint="-0.249977111117893"/>
      <name val="Calibri"/>
      <family val="2"/>
      <charset val="1"/>
    </font>
    <font>
      <sz val="12"/>
      <color rgb="FF000080"/>
      <name val="Arial"/>
      <family val="2"/>
      <charset val="1"/>
    </font>
    <font>
      <sz val="12"/>
      <color rgb="FF003366"/>
      <name val="Arial"/>
      <family val="2"/>
      <charset val="1"/>
    </font>
    <font>
      <b/>
      <sz val="18"/>
      <color rgb="FFFFFFFF"/>
      <name val="Arial"/>
      <family val="2"/>
      <charset val="1"/>
    </font>
    <font>
      <b/>
      <sz val="10"/>
      <color rgb="FF000080"/>
      <name val="Arial"/>
      <family val="2"/>
      <charset val="1"/>
    </font>
    <font>
      <sz val="10"/>
      <color rgb="FF003366"/>
      <name val="Arial"/>
      <family val="2"/>
      <charset val="1"/>
    </font>
    <font>
      <sz val="10"/>
      <color rgb="FF000080"/>
      <name val="Arial"/>
      <family val="2"/>
      <charset val="1"/>
    </font>
    <font>
      <b/>
      <sz val="11"/>
      <color rgb="FFFFFFFF"/>
      <name val="Arial"/>
      <family val="2"/>
      <charset val="1"/>
    </font>
    <font>
      <sz val="11"/>
      <color rgb="FF000080"/>
      <name val="Arial"/>
      <family val="2"/>
      <charset val="1"/>
    </font>
    <font>
      <sz val="11"/>
      <name val="Arial"/>
      <family val="2"/>
      <charset val="1"/>
    </font>
    <font>
      <b/>
      <sz val="11"/>
      <color rgb="FF000080"/>
      <name val="Arial"/>
      <family val="2"/>
      <charset val="1"/>
    </font>
    <font>
      <b/>
      <sz val="11"/>
      <name val="Arial"/>
      <family val="2"/>
      <charset val="1"/>
    </font>
    <font>
      <i/>
      <sz val="11"/>
      <name val="Arial"/>
      <family val="2"/>
      <charset val="1"/>
    </font>
    <font>
      <b/>
      <sz val="11"/>
      <color rgb="FF003366"/>
      <name val="Arial"/>
      <family val="2"/>
      <charset val="1"/>
    </font>
    <font>
      <sz val="11"/>
      <color rgb="FF003366"/>
      <name val="Arial"/>
      <family val="2"/>
      <charset val="1"/>
    </font>
    <font>
      <sz val="11"/>
      <color rgb="FFFFFFFF"/>
      <name val="Arial"/>
      <family val="2"/>
      <charset val="1"/>
    </font>
    <font>
      <i/>
      <sz val="10"/>
      <color rgb="FF000080"/>
      <name val="Arial"/>
      <family val="2"/>
      <charset val="1"/>
    </font>
    <font>
      <sz val="10"/>
      <color rgb="FF008000"/>
      <name val="Arial"/>
      <family val="2"/>
      <charset val="1"/>
    </font>
    <font>
      <sz val="10"/>
      <color rgb="FFFF0000"/>
      <name val="Arial"/>
      <family val="2"/>
      <charset val="1"/>
    </font>
    <font>
      <b/>
      <sz val="12"/>
      <name val="Times New Roman"/>
      <family val="1"/>
      <charset val="1"/>
    </font>
    <font>
      <i/>
      <sz val="11"/>
      <name val="Times New Roman"/>
      <family val="1"/>
      <charset val="1"/>
    </font>
    <font>
      <i/>
      <sz val="10"/>
      <color rgb="FF003366"/>
      <name val="Arial"/>
      <family val="2"/>
      <charset val="1"/>
    </font>
    <font>
      <b/>
      <sz val="10"/>
      <color rgb="FF003366"/>
      <name val="Arial"/>
      <family val="2"/>
      <charset val="1"/>
    </font>
    <font>
      <b/>
      <sz val="18"/>
      <color theme="0"/>
      <name val="Arial"/>
      <family val="2"/>
      <charset val="1"/>
    </font>
    <font>
      <i/>
      <sz val="8"/>
      <name val="Arial"/>
      <family val="2"/>
      <charset val="1"/>
    </font>
    <font>
      <b/>
      <sz val="12"/>
      <color theme="0"/>
      <name val="Arial"/>
      <family val="2"/>
      <charset val="1"/>
    </font>
    <font>
      <b/>
      <sz val="14"/>
      <color rgb="FFFFFFFF"/>
      <name val="Arial"/>
      <family val="2"/>
      <charset val="1"/>
    </font>
    <font>
      <sz val="14"/>
      <name val="Arial"/>
      <family val="2"/>
      <charset val="1"/>
    </font>
    <font>
      <b/>
      <sz val="14"/>
      <color theme="0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8"/>
      <name val="Arial"/>
      <family val="2"/>
      <charset val="1"/>
    </font>
    <font>
      <b/>
      <sz val="11"/>
      <color theme="0"/>
      <name val="Calibri"/>
      <family val="2"/>
      <charset val="1"/>
    </font>
    <font>
      <sz val="10"/>
      <name val="Calibri"/>
      <family val="2"/>
      <charset val="1"/>
    </font>
    <font>
      <i/>
      <sz val="9"/>
      <color rgb="FF595959"/>
      <name val="Calibri"/>
      <family val="2"/>
      <charset val="1"/>
    </font>
    <font>
      <sz val="12"/>
      <color rgb="FFFFFF00"/>
      <name val="Arial"/>
      <family val="2"/>
      <charset val="1"/>
    </font>
    <font>
      <b/>
      <sz val="10"/>
      <name val="Arial"/>
      <family val="2"/>
      <charset val="1"/>
    </font>
    <font>
      <sz val="11"/>
      <color theme="1"/>
      <name val="Arial"/>
      <family val="2"/>
      <charset val="1"/>
    </font>
    <font>
      <b/>
      <sz val="11"/>
      <color theme="4" tint="-0.249977111117893"/>
      <name val="Arial"/>
      <family val="2"/>
      <charset val="1"/>
    </font>
    <font>
      <b/>
      <sz val="10"/>
      <color rgb="FF0000FF"/>
      <name val="Arial"/>
      <family val="2"/>
      <charset val="1"/>
    </font>
    <font>
      <b/>
      <sz val="10"/>
      <color rgb="FF333399"/>
      <name val="Arial"/>
      <family val="2"/>
      <charset val="1"/>
    </font>
    <font>
      <i/>
      <sz val="10"/>
      <color rgb="FF595959"/>
      <name val="Calibri"/>
      <family val="2"/>
      <charset val="1"/>
    </font>
    <font>
      <b/>
      <sz val="14"/>
      <name val="Arial"/>
      <family val="2"/>
      <charset val="1"/>
    </font>
    <font>
      <b/>
      <i/>
      <sz val="14"/>
      <color theme="8" tint="-0.249977111117893"/>
      <name val="Arial"/>
      <family val="2"/>
      <charset val="1"/>
    </font>
    <font>
      <i/>
      <sz val="11"/>
      <color rgb="FF595959"/>
      <name val="Calibri"/>
      <family val="2"/>
      <charset val="1"/>
    </font>
    <font>
      <b/>
      <sz val="12"/>
      <color rgb="FF000080"/>
      <name val="Arial"/>
      <family val="2"/>
      <charset val="1"/>
    </font>
    <font>
      <sz val="11"/>
      <color theme="0"/>
      <name val="Arial"/>
      <family val="2"/>
      <charset val="1"/>
    </font>
    <font>
      <b/>
      <sz val="11"/>
      <color theme="8" tint="-0.249977111117893"/>
      <name val="Arial"/>
      <family val="2"/>
      <charset val="1"/>
    </font>
    <font>
      <b/>
      <sz val="16"/>
      <color theme="0"/>
      <name val="Arial"/>
      <family val="2"/>
      <charset val="1"/>
    </font>
    <font>
      <i/>
      <sz val="9"/>
      <color theme="3"/>
      <name val="Arial"/>
      <family val="2"/>
      <charset val="1"/>
    </font>
    <font>
      <b/>
      <sz val="10"/>
      <color theme="8" tint="-0.249977111117893"/>
      <name val="Arial"/>
      <family val="2"/>
      <charset val="1"/>
    </font>
    <font>
      <b/>
      <sz val="11"/>
      <color theme="5"/>
      <name val="Arial"/>
      <family val="2"/>
      <charset val="1"/>
    </font>
    <font>
      <sz val="11"/>
      <color rgb="FF008000"/>
      <name val="Arial"/>
      <family val="2"/>
      <charset val="1"/>
    </font>
    <font>
      <sz val="11"/>
      <color theme="3"/>
      <name val="Arial"/>
      <family val="2"/>
      <charset val="1"/>
    </font>
    <font>
      <b/>
      <sz val="11"/>
      <color theme="1"/>
      <name val="Arial"/>
      <family val="2"/>
      <charset val="1"/>
    </font>
    <font>
      <b/>
      <i/>
      <sz val="10"/>
      <color theme="3"/>
      <name val="Arial"/>
      <family val="2"/>
      <charset val="1"/>
    </font>
    <font>
      <sz val="11"/>
      <color theme="5"/>
      <name val="Arial"/>
      <family val="2"/>
      <charset val="1"/>
    </font>
    <font>
      <sz val="11"/>
      <name val="Calibri"/>
      <family val="2"/>
      <charset val="1"/>
    </font>
    <font>
      <b/>
      <sz val="10"/>
      <color theme="9" tint="-0.249977111117893"/>
      <name val="Arial"/>
      <family val="2"/>
      <charset val="1"/>
    </font>
    <font>
      <b/>
      <sz val="11"/>
      <color theme="9" tint="-0.249977111117893"/>
      <name val="Arial"/>
      <family val="2"/>
      <charset val="1"/>
    </font>
    <font>
      <sz val="11"/>
      <color rgb="FFFF0000"/>
      <name val="Arial"/>
      <family val="2"/>
      <charset val="1"/>
    </font>
    <font>
      <sz val="10"/>
      <color rgb="FF0000FF"/>
      <name val="Arial"/>
      <family val="2"/>
      <charset val="1"/>
    </font>
    <font>
      <b/>
      <sz val="12"/>
      <color theme="4" tint="-0.249977111117893"/>
      <name val="Arial"/>
      <family val="2"/>
      <charset val="1"/>
    </font>
    <font>
      <sz val="10"/>
      <color theme="4" tint="-0.249977111117893"/>
      <name val="Arial"/>
      <family val="2"/>
      <charset val="1"/>
    </font>
    <font>
      <b/>
      <sz val="12"/>
      <color theme="5" tint="-0.499984740745262"/>
      <name val="Arial"/>
      <family val="2"/>
      <charset val="1"/>
    </font>
    <font>
      <b/>
      <sz val="10"/>
      <color theme="4" tint="-0.249977111117893"/>
      <name val="Arial"/>
      <family val="2"/>
      <charset val="1"/>
    </font>
    <font>
      <b/>
      <sz val="8"/>
      <color theme="4" tint="-0.249977111117893"/>
      <name val="Arial"/>
      <family val="2"/>
      <charset val="1"/>
    </font>
    <font>
      <b/>
      <sz val="10"/>
      <color theme="5" tint="-0.499984740745262"/>
      <name val="Arial"/>
      <family val="2"/>
      <charset val="1"/>
    </font>
    <font>
      <i/>
      <sz val="9"/>
      <color rgb="FF006100"/>
      <name val="Arial"/>
      <family val="2"/>
      <charset val="1"/>
    </font>
    <font>
      <sz val="10"/>
      <color theme="5" tint="-0.249977111117893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theme="4" tint="-0.499984740745262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12"/>
      <color rgb="FFFF0000"/>
      <name val="Arial"/>
      <family val="2"/>
      <charset val="1"/>
    </font>
    <font>
      <b/>
      <sz val="15"/>
      <name val="Calibri"/>
      <family val="2"/>
      <charset val="1"/>
    </font>
    <font>
      <sz val="10"/>
      <color theme="0"/>
      <name val="Arial"/>
      <family val="2"/>
      <charset val="1"/>
    </font>
    <font>
      <b/>
      <sz val="1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5"/>
      <color theme="8" tint="-0.249977111117893"/>
      <name val="Calibri"/>
      <family val="2"/>
      <charset val="1"/>
    </font>
    <font>
      <i/>
      <sz val="11"/>
      <color theme="1"/>
      <name val="Calibri"/>
      <family val="2"/>
      <charset val="1"/>
    </font>
    <font>
      <i/>
      <sz val="1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6"/>
      <color theme="5"/>
      <name val="Arial"/>
      <family val="2"/>
      <charset val="1"/>
    </font>
    <font>
      <b/>
      <sz val="14"/>
      <color theme="7"/>
      <name val="Arial"/>
      <family val="2"/>
      <charset val="1"/>
    </font>
    <font>
      <b/>
      <sz val="14"/>
      <color rgb="FFFF0000"/>
      <name val="Arial"/>
      <family val="2"/>
      <charset val="1"/>
    </font>
    <font>
      <b/>
      <i/>
      <sz val="11"/>
      <name val="Calibri"/>
      <family val="2"/>
      <charset val="1"/>
    </font>
    <font>
      <sz val="10"/>
      <color rgb="FFC0C0C0"/>
      <name val="Arial"/>
      <family val="2"/>
      <charset val="1"/>
    </font>
    <font>
      <b/>
      <sz val="10"/>
      <color rgb="FF800000"/>
      <name val="Arial"/>
      <family val="2"/>
      <charset val="1"/>
    </font>
    <font>
      <sz val="10"/>
      <color rgb="FFFFFFFF"/>
      <name val="Arial"/>
      <family val="2"/>
      <charset val="1"/>
    </font>
    <font>
      <sz val="9"/>
      <name val="Arial"/>
      <family val="2"/>
      <charset val="1"/>
    </font>
    <font>
      <sz val="8"/>
      <color rgb="FF0000FF"/>
      <name val="Arial"/>
      <family val="2"/>
      <charset val="1"/>
    </font>
    <font>
      <b/>
      <sz val="14"/>
      <color rgb="FF800000"/>
      <name val="Arial"/>
      <family val="2"/>
      <charset val="1"/>
    </font>
    <font>
      <sz val="14"/>
      <color rgb="FFC0C0C0"/>
      <name val="Arial"/>
      <family val="2"/>
      <charset val="1"/>
    </font>
    <font>
      <sz val="10"/>
      <color theme="3" tint="-0.499984740745262"/>
      <name val="Arial"/>
      <family val="2"/>
      <charset val="1"/>
    </font>
    <font>
      <sz val="10"/>
      <color rgb="FF800000"/>
      <name val="Arial"/>
      <family val="2"/>
      <charset val="1"/>
    </font>
    <font>
      <b/>
      <sz val="10"/>
      <color theme="0"/>
      <name val="Arial"/>
      <family val="2"/>
      <charset val="1"/>
    </font>
    <font>
      <sz val="11"/>
      <color rgb="FF00000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i/>
      <sz val="8"/>
      <color rgb="FF555555"/>
      <name val="Arial"/>
      <family val="2"/>
    </font>
    <font>
      <b/>
      <sz val="9"/>
      <color indexed="81"/>
      <name val="Tahoma"/>
      <family val="2"/>
    </font>
  </fonts>
  <fills count="23">
    <fill>
      <patternFill patternType="none"/>
    </fill>
    <fill>
      <patternFill patternType="gray125"/>
    </fill>
    <fill>
      <patternFill patternType="solid">
        <fgColor theme="6" tint="0.79979857783745845"/>
        <bgColor rgb="FFE5EDEB"/>
      </patternFill>
    </fill>
    <fill>
      <patternFill patternType="solid">
        <fgColor theme="6" tint="0.59959715567491678"/>
        <bgColor rgb="FFD9D9D9"/>
      </patternFill>
    </fill>
    <fill>
      <patternFill patternType="solid">
        <fgColor theme="6" tint="0.39933469649342324"/>
        <bgColor rgb="FFC0C0C0"/>
      </patternFill>
    </fill>
    <fill>
      <patternFill patternType="solid">
        <fgColor theme="6"/>
        <bgColor rgb="FF968C8C"/>
      </patternFill>
    </fill>
    <fill>
      <patternFill patternType="solid">
        <fgColor rgb="FFFFFFFF"/>
        <bgColor rgb="FFF2F2F2"/>
      </patternFill>
    </fill>
    <fill>
      <patternFill patternType="solid">
        <fgColor theme="8" tint="-0.499984740745262"/>
        <bgColor rgb="FF355D7E"/>
      </patternFill>
    </fill>
    <fill>
      <patternFill patternType="solid">
        <fgColor theme="8" tint="-0.249977111117893"/>
        <bgColor rgb="FF827979"/>
      </patternFill>
    </fill>
    <fill>
      <patternFill patternType="solid">
        <fgColor theme="9" tint="0.79979857783745845"/>
        <bgColor rgb="FFE5EDEB"/>
      </patternFill>
    </fill>
    <fill>
      <patternFill patternType="solid">
        <fgColor theme="4"/>
        <bgColor rgb="FFB0CAC4"/>
      </patternFill>
    </fill>
    <fill>
      <patternFill patternType="solid">
        <fgColor rgb="FFF2F2F2"/>
        <bgColor rgb="FFEDEEE6"/>
      </patternFill>
    </fill>
    <fill>
      <patternFill patternType="solid">
        <fgColor theme="2"/>
        <bgColor rgb="FFEFE0BE"/>
      </patternFill>
    </fill>
    <fill>
      <patternFill patternType="solid">
        <fgColor theme="3" tint="-0.249977111117893"/>
        <bgColor rgb="FF595959"/>
      </patternFill>
    </fill>
    <fill>
      <patternFill patternType="solid">
        <fgColor rgb="FF92D050"/>
        <bgColor rgb="FFA5AB81"/>
      </patternFill>
    </fill>
    <fill>
      <patternFill patternType="solid">
        <fgColor rgb="FFDCE1E7"/>
        <bgColor rgb="FFD4E2ED"/>
      </patternFill>
    </fill>
    <fill>
      <patternFill patternType="solid">
        <fgColor theme="5" tint="0.79979857783745845"/>
        <bgColor rgb="FFF7F0DE"/>
      </patternFill>
    </fill>
    <fill>
      <patternFill patternType="solid">
        <fgColor theme="5" tint="0.59959715567491678"/>
        <bgColor rgb="FFE8D19D"/>
      </patternFill>
    </fill>
    <fill>
      <patternFill patternType="solid">
        <fgColor theme="8" tint="0.79979857783745845"/>
        <bgColor rgb="FFEDEEE6"/>
      </patternFill>
    </fill>
    <fill>
      <patternFill patternType="solid">
        <fgColor theme="5" tint="0.39933469649342324"/>
        <bgColor rgb="FFEBB391"/>
      </patternFill>
    </fill>
    <fill>
      <patternFill patternType="solid">
        <fgColor theme="9" tint="0.59959715567491678"/>
        <bgColor rgb="FFD9D9D9"/>
      </patternFill>
    </fill>
    <fill>
      <patternFill patternType="solid">
        <fgColor rgb="FF000080"/>
        <bgColor rgb="FF003366"/>
      </patternFill>
    </fill>
    <fill>
      <patternFill patternType="solid">
        <fgColor theme="0"/>
        <bgColor rgb="FFE5EDEB"/>
      </patternFill>
    </fill>
  </fills>
  <borders count="96">
    <border>
      <start/>
      <end/>
      <top/>
      <bottom/>
      <diagonal/>
    </border>
    <border>
      <start/>
      <end/>
      <top/>
      <bottom style="thin">
        <color theme="8" tint="-0.249977111117893"/>
      </bottom>
      <diagonal/>
    </border>
    <border>
      <start style="thin">
        <color rgb="FFBFBFBF"/>
      </start>
      <end style="thin">
        <color rgb="FFBFBFBF"/>
      </end>
      <top style="thin">
        <color rgb="FFBFBFBF"/>
      </top>
      <bottom style="thin">
        <color rgb="FFBFBFBF"/>
      </bottom>
      <diagonal/>
    </border>
    <border>
      <start style="thin">
        <color theme="8" tint="-0.249977111117893"/>
      </start>
      <end/>
      <top/>
      <bottom/>
      <diagonal/>
    </border>
    <border>
      <start/>
      <end style="thin">
        <color rgb="FFC0C0C0"/>
      </end>
      <top/>
      <bottom style="thin">
        <color rgb="FFC0C0C0"/>
      </bottom>
      <diagonal/>
    </border>
    <border>
      <start style="thin">
        <color rgb="FFC0C0C0"/>
      </start>
      <end style="thin">
        <color rgb="FFC0C0C0"/>
      </end>
      <top/>
      <bottom style="thin">
        <color rgb="FFC0C0C0"/>
      </bottom>
      <diagonal/>
    </border>
    <border>
      <start style="thin">
        <color rgb="FFD9D9D9"/>
      </start>
      <end style="thin">
        <color rgb="FFD9D9D9"/>
      </end>
      <top style="thin">
        <color rgb="FFD9D9D9"/>
      </top>
      <bottom style="thin">
        <color rgb="FFD9D9D9"/>
      </bottom>
      <diagonal/>
    </border>
    <border>
      <start style="thin">
        <color rgb="FFD9D9D9"/>
      </start>
      <end/>
      <top style="thin">
        <color rgb="FFD9D9D9"/>
      </top>
      <bottom style="thin">
        <color rgb="FFD9D9D9"/>
      </bottom>
      <diagonal/>
    </border>
    <border>
      <start style="thin">
        <color rgb="FFD9D9D9"/>
      </start>
      <end style="thin">
        <color auto="1"/>
      </end>
      <top style="thin">
        <color rgb="FFD9D9D9"/>
      </top>
      <bottom style="thin">
        <color rgb="FFD9D9D9"/>
      </bottom>
      <diagonal/>
    </border>
    <border>
      <start/>
      <end style="thin">
        <color rgb="FFD9D9D9"/>
      </end>
      <top style="thin">
        <color rgb="FFD9D9D9"/>
      </top>
      <bottom style="thin">
        <color rgb="FFD9D9D9"/>
      </bottom>
      <diagonal/>
    </border>
    <border>
      <start/>
      <end/>
      <top/>
      <bottom style="medium">
        <color auto="1"/>
      </bottom>
      <diagonal/>
    </border>
    <border>
      <start/>
      <end style="thin">
        <color theme="8" tint="-0.249977111117893"/>
      </end>
      <top/>
      <bottom/>
      <diagonal/>
    </border>
    <border>
      <start style="medium">
        <color auto="1"/>
      </start>
      <end style="thin">
        <color auto="1"/>
      </end>
      <top style="medium">
        <color auto="1"/>
      </top>
      <bottom style="medium">
        <color auto="1"/>
      </bottom>
      <diagonal/>
    </border>
    <border>
      <start style="thin">
        <color auto="1"/>
      </start>
      <end style="thin">
        <color auto="1"/>
      </end>
      <top style="medium">
        <color auto="1"/>
      </top>
      <bottom style="medium">
        <color auto="1"/>
      </bottom>
      <diagonal/>
    </border>
    <border>
      <start style="thin">
        <color auto="1"/>
      </start>
      <end/>
      <top style="medium">
        <color auto="1"/>
      </top>
      <bottom style="medium">
        <color auto="1"/>
      </bottom>
      <diagonal/>
    </border>
    <border>
      <start style="thin">
        <color auto="1"/>
      </start>
      <end style="medium">
        <color auto="1"/>
      </end>
      <top style="medium">
        <color auto="1"/>
      </top>
      <bottom style="medium">
        <color auto="1"/>
      </bottom>
      <diagonal/>
    </border>
    <border>
      <start style="medium">
        <color auto="1"/>
      </start>
      <end/>
      <top style="medium">
        <color auto="1"/>
      </top>
      <bottom/>
      <diagonal/>
    </border>
    <border>
      <start/>
      <end/>
      <top style="medium">
        <color auto="1"/>
      </top>
      <bottom/>
      <diagonal/>
    </border>
    <border>
      <start/>
      <end style="medium">
        <color auto="1"/>
      </end>
      <top style="medium">
        <color auto="1"/>
      </top>
      <bottom/>
      <diagonal/>
    </border>
    <border>
      <start/>
      <end style="medium">
        <color auto="1"/>
      </end>
      <top/>
      <bottom/>
      <diagonal/>
    </border>
    <border>
      <start style="medium">
        <color auto="1"/>
      </start>
      <end/>
      <top/>
      <bottom/>
      <diagonal/>
    </border>
    <border>
      <start style="medium">
        <color auto="1"/>
      </start>
      <end/>
      <top/>
      <bottom style="medium">
        <color auto="1"/>
      </bottom>
      <diagonal/>
    </border>
    <border>
      <start/>
      <end style="medium">
        <color auto="1"/>
      </end>
      <top/>
      <bottom style="medium">
        <color auto="1"/>
      </bottom>
      <diagonal/>
    </border>
    <border>
      <start/>
      <end style="thin">
        <color auto="1"/>
      </end>
      <top/>
      <bottom/>
      <diagonal/>
    </border>
    <border>
      <start/>
      <end/>
      <top/>
      <bottom style="medium">
        <color theme="8" tint="-0.249977111117893"/>
      </bottom>
      <diagonal/>
    </border>
    <border>
      <start style="medium">
        <color theme="8" tint="-0.249977111117893"/>
      </start>
      <end/>
      <top style="medium">
        <color theme="8" tint="-0.249977111117893"/>
      </top>
      <bottom/>
      <diagonal/>
    </border>
    <border>
      <start style="medium">
        <color theme="6" tint="-0.249977111117893"/>
      </start>
      <end style="medium">
        <color theme="6" tint="-0.249977111117893"/>
      </end>
      <top style="medium">
        <color theme="6" tint="-0.249977111117893"/>
      </top>
      <bottom style="medium">
        <color theme="6" tint="-0.249977111117893"/>
      </bottom>
      <diagonal/>
    </border>
    <border>
      <start style="medium">
        <color theme="8" tint="-0.249977111117893"/>
      </start>
      <end style="medium">
        <color theme="8" tint="-0.249977111117893"/>
      </end>
      <top/>
      <bottom/>
      <diagonal/>
    </border>
    <border>
      <start style="medium">
        <color theme="8" tint="-0.249977111117893"/>
      </start>
      <end style="medium">
        <color theme="8" tint="-0.249977111117893"/>
      </end>
      <top/>
      <bottom style="medium">
        <color theme="8" tint="-0.249977111117893"/>
      </bottom>
      <diagonal/>
    </border>
    <border>
      <start style="medium">
        <color theme="8" tint="-0.249977111117893"/>
      </start>
      <end/>
      <top/>
      <bottom style="medium">
        <color theme="8" tint="-0.249977111117893"/>
      </bottom>
      <diagonal/>
    </border>
    <border>
      <start/>
      <end style="medium">
        <color theme="8" tint="-0.249977111117893"/>
      </end>
      <top style="medium">
        <color theme="8" tint="-0.249977111117893"/>
      </top>
      <bottom style="medium">
        <color theme="8" tint="-0.249977111117893"/>
      </bottom>
      <diagonal/>
    </border>
    <border>
      <start style="medium">
        <color theme="8"/>
      </start>
      <end style="medium">
        <color theme="8"/>
      </end>
      <top style="medium">
        <color theme="8"/>
      </top>
      <bottom/>
      <diagonal/>
    </border>
    <border>
      <start/>
      <end style="medium">
        <color theme="8"/>
      </end>
      <top style="medium">
        <color theme="8"/>
      </top>
      <bottom/>
      <diagonal/>
    </border>
    <border>
      <start style="medium">
        <color theme="8"/>
      </start>
      <end style="medium">
        <color theme="8"/>
      </end>
      <top style="medium">
        <color theme="8"/>
      </top>
      <bottom style="medium">
        <color theme="8"/>
      </bottom>
      <diagonal/>
    </border>
    <border>
      <start style="medium">
        <color theme="8" tint="-0.249977111117893"/>
      </start>
      <end style="medium">
        <color theme="8" tint="-0.249977111117893"/>
      </end>
      <top style="medium">
        <color theme="8" tint="-0.249977111117893"/>
      </top>
      <bottom/>
      <diagonal/>
    </border>
    <border>
      <start/>
      <end/>
      <top style="medium">
        <color theme="8" tint="-0.249977111117893"/>
      </top>
      <bottom/>
      <diagonal/>
    </border>
    <border>
      <start style="medium">
        <color theme="8" tint="-0.249977111117893"/>
      </start>
      <end/>
      <top/>
      <bottom/>
      <diagonal/>
    </border>
    <border>
      <start style="medium">
        <color theme="8"/>
      </start>
      <end style="medium">
        <color theme="8"/>
      </end>
      <top/>
      <bottom style="medium">
        <color theme="8"/>
      </bottom>
      <diagonal/>
    </border>
    <border>
      <start/>
      <end style="medium">
        <color theme="8"/>
      </end>
      <top style="medium">
        <color theme="8"/>
      </top>
      <bottom style="medium">
        <color theme="8"/>
      </bottom>
      <diagonal/>
    </border>
    <border>
      <start/>
      <end/>
      <top/>
      <bottom style="medium">
        <color theme="8"/>
      </bottom>
      <diagonal/>
    </border>
    <border>
      <start/>
      <end style="medium">
        <color theme="8"/>
      </end>
      <top/>
      <bottom style="medium">
        <color theme="8"/>
      </bottom>
      <diagonal/>
    </border>
    <border>
      <start style="medium">
        <color theme="8"/>
      </start>
      <end/>
      <top style="medium">
        <color theme="8"/>
      </top>
      <bottom/>
      <diagonal/>
    </border>
    <border>
      <start/>
      <end/>
      <top style="medium">
        <color theme="8"/>
      </top>
      <bottom/>
      <diagonal/>
    </border>
    <border>
      <start style="medium">
        <color theme="8"/>
      </start>
      <end/>
      <top/>
      <bottom/>
      <diagonal/>
    </border>
    <border>
      <start/>
      <end style="medium">
        <color theme="8"/>
      </end>
      <top/>
      <bottom/>
      <diagonal/>
    </border>
    <border>
      <start style="medium">
        <color theme="9"/>
      </start>
      <end style="medium">
        <color theme="9"/>
      </end>
      <top/>
      <bottom/>
      <diagonal/>
    </border>
    <border>
      <start/>
      <end/>
      <top style="medium">
        <color theme="9"/>
      </top>
      <bottom style="medium">
        <color theme="9"/>
      </bottom>
      <diagonal/>
    </border>
    <border>
      <start style="medium">
        <color theme="9"/>
      </start>
      <end style="medium">
        <color theme="9"/>
      </end>
      <top style="medium">
        <color theme="9"/>
      </top>
      <bottom style="medium">
        <color theme="9"/>
      </bottom>
      <diagonal/>
    </border>
    <border>
      <start/>
      <end style="medium">
        <color theme="9"/>
      </end>
      <top style="medium">
        <color theme="9"/>
      </top>
      <bottom style="medium">
        <color theme="9"/>
      </bottom>
      <diagonal/>
    </border>
    <border>
      <start style="medium">
        <color theme="9"/>
      </start>
      <end/>
      <top style="medium">
        <color theme="9"/>
      </top>
      <bottom style="medium">
        <color theme="9"/>
      </bottom>
      <diagonal/>
    </border>
    <border>
      <start/>
      <end style="medium">
        <color theme="9"/>
      </end>
      <top/>
      <bottom/>
      <diagonal/>
    </border>
    <border>
      <start/>
      <end/>
      <top style="medium">
        <color theme="9"/>
      </top>
      <bottom/>
      <diagonal/>
    </border>
    <border>
      <start style="medium">
        <color theme="8"/>
      </start>
      <end/>
      <top/>
      <bottom style="medium">
        <color theme="6" tint="-0.249977111117893"/>
      </bottom>
      <diagonal/>
    </border>
    <border>
      <start/>
      <end/>
      <top/>
      <bottom style="medium">
        <color theme="6" tint="-0.249977111117893"/>
      </bottom>
      <diagonal/>
    </border>
    <border>
      <start/>
      <end style="medium">
        <color theme="8"/>
      </end>
      <top/>
      <bottom style="medium">
        <color theme="6" tint="-0.249977111117893"/>
      </bottom>
      <diagonal/>
    </border>
    <border>
      <start/>
      <end/>
      <top style="medium">
        <color theme="6"/>
      </top>
      <bottom/>
      <diagonal/>
    </border>
    <border>
      <start style="thick">
        <color theme="6" tint="-0.249977111117893"/>
      </start>
      <end style="thick">
        <color theme="6" tint="-0.249977111117893"/>
      </end>
      <top/>
      <bottom/>
      <diagonal/>
    </border>
    <border>
      <start/>
      <end/>
      <top/>
      <bottom style="medium">
        <color theme="6"/>
      </bottom>
      <diagonal/>
    </border>
    <border>
      <start style="thick">
        <color theme="6" tint="-0.249977111117893"/>
      </start>
      <end/>
      <top style="medium">
        <color theme="6"/>
      </top>
      <bottom style="medium">
        <color theme="6"/>
      </bottom>
      <diagonal/>
    </border>
    <border>
      <start/>
      <end/>
      <top style="medium">
        <color theme="6"/>
      </top>
      <bottom style="medium">
        <color theme="6"/>
      </bottom>
      <diagonal/>
    </border>
    <border>
      <start/>
      <end style="medium">
        <color theme="6"/>
      </end>
      <top style="medium">
        <color theme="6"/>
      </top>
      <bottom style="medium">
        <color theme="6"/>
      </bottom>
      <diagonal/>
    </border>
    <border>
      <start style="thick">
        <color theme="6" tint="-0.249977111117893"/>
      </start>
      <end/>
      <top style="medium">
        <color theme="6"/>
      </top>
      <bottom/>
      <diagonal/>
    </border>
    <border>
      <start/>
      <end style="medium">
        <color theme="6"/>
      </end>
      <top/>
      <bottom/>
      <diagonal/>
    </border>
    <border>
      <start style="thick">
        <color theme="6" tint="-0.249977111117893"/>
      </start>
      <end/>
      <top/>
      <bottom/>
      <diagonal/>
    </border>
    <border>
      <start style="thick">
        <color theme="6" tint="-0.249977111117893"/>
      </start>
      <end/>
      <top/>
      <bottom style="medium">
        <color theme="6"/>
      </bottom>
      <diagonal/>
    </border>
    <border>
      <start/>
      <end style="medium">
        <color theme="6"/>
      </end>
      <top/>
      <bottom style="medium">
        <color theme="6"/>
      </bottom>
      <diagonal/>
    </border>
    <border>
      <start style="medium">
        <color theme="6" tint="-0.249977111117893"/>
      </start>
      <end/>
      <top style="medium">
        <color theme="6" tint="-0.249977111117893"/>
      </top>
      <bottom style="medium">
        <color theme="6" tint="-0.249977111117893"/>
      </bottom>
      <diagonal/>
    </border>
    <border>
      <start/>
      <end style="medium">
        <color theme="6" tint="-0.249977111117893"/>
      </end>
      <top/>
      <bottom/>
      <diagonal/>
    </border>
    <border>
      <start/>
      <end/>
      <top/>
      <bottom style="thin">
        <color rgb="FFC0C0C0"/>
      </bottom>
      <diagonal/>
    </border>
    <border>
      <start/>
      <end/>
      <top style="thin">
        <color rgb="FFBFBFBF"/>
      </top>
      <bottom/>
      <diagonal/>
    </border>
    <border>
      <start/>
      <end style="thin">
        <color rgb="FFBFBFBF"/>
      </end>
      <top style="thin">
        <color rgb="FFBFBFBF"/>
      </top>
      <bottom/>
      <diagonal/>
    </border>
    <border>
      <start/>
      <end/>
      <top style="thin">
        <color rgb="FFBFBFBF"/>
      </top>
      <bottom style="thin">
        <color rgb="FFBFBFBF"/>
      </bottom>
      <diagonal/>
    </border>
    <border>
      <start/>
      <end style="thin">
        <color rgb="FFBFBFBF"/>
      </end>
      <top style="thin">
        <color rgb="FFBFBFBF"/>
      </top>
      <bottom style="thin">
        <color rgb="FFBFBFBF"/>
      </bottom>
      <diagonal/>
    </border>
    <border>
      <start/>
      <end style="thin">
        <color rgb="FFD9D9D9"/>
      </end>
      <top style="thin">
        <color rgb="FFD9D9D9"/>
      </top>
      <bottom/>
      <diagonal/>
    </border>
    <border>
      <start/>
      <end/>
      <top style="thin">
        <color rgb="FFD9D9D9"/>
      </top>
      <bottom style="thin">
        <color rgb="FFD9D9D9"/>
      </bottom>
      <diagonal/>
    </border>
    <border>
      <start/>
      <end style="thin">
        <color auto="1"/>
      </end>
      <top style="thin">
        <color rgb="FFD9D9D9"/>
      </top>
      <bottom style="thin">
        <color rgb="FFD9D9D9"/>
      </bottom>
      <diagonal/>
    </border>
    <border>
      <start style="thin">
        <color rgb="FFD9D9D9"/>
      </start>
      <end/>
      <top/>
      <bottom/>
      <diagonal/>
    </border>
    <border>
      <start/>
      <end style="thin">
        <color rgb="FFD9D9D9"/>
      </end>
      <top/>
      <bottom/>
      <diagonal/>
    </border>
    <border>
      <start style="thin">
        <color rgb="FFD9D9D9"/>
      </start>
      <end/>
      <top/>
      <bottom style="thin">
        <color rgb="FFD9D9D9"/>
      </bottom>
      <diagonal/>
    </border>
    <border>
      <start/>
      <end style="thin">
        <color rgb="FFD9D9D9"/>
      </end>
      <top/>
      <bottom style="thin">
        <color rgb="FFD9D9D9"/>
      </bottom>
      <diagonal/>
    </border>
    <border>
      <start/>
      <end/>
      <top style="medium">
        <color theme="6" tint="-0.249977111117893"/>
      </top>
      <bottom style="medium">
        <color theme="6" tint="-0.249977111117893"/>
      </bottom>
      <diagonal/>
    </border>
    <border>
      <start/>
      <end style="medium">
        <color theme="6" tint="-0.249977111117893"/>
      </end>
      <top style="medium">
        <color theme="6" tint="-0.249977111117893"/>
      </top>
      <bottom style="medium">
        <color theme="6" tint="-0.249977111117893"/>
      </bottom>
      <diagonal/>
    </border>
    <border>
      <start/>
      <end style="thick">
        <color theme="6" tint="-0.249977111117893"/>
      </end>
      <top/>
      <bottom/>
      <diagonal/>
    </border>
    <border>
      <start/>
      <end style="medium">
        <color theme="8" tint="-0.249977111117893"/>
      </end>
      <top/>
      <bottom style="medium">
        <color theme="8" tint="-0.249977111117893"/>
      </bottom>
      <diagonal/>
    </border>
    <border>
      <start style="thin">
        <color rgb="FFD9D9D9"/>
      </start>
      <end/>
      <top style="thin">
        <color rgb="FFD9D9D9"/>
      </top>
      <bottom/>
      <diagonal/>
    </border>
    <border>
      <start style="medium">
        <color indexed="64"/>
      </start>
      <end style="thin">
        <color theme="8" tint="-0.249977111117893"/>
      </end>
      <top/>
      <bottom/>
      <diagonal/>
    </border>
    <border>
      <start style="thin">
        <color theme="8" tint="-0.249977111117893"/>
      </start>
      <end style="medium">
        <color indexed="64"/>
      </end>
      <top/>
      <bottom/>
      <diagonal/>
    </border>
    <border>
      <start style="medium">
        <color theme="8"/>
      </start>
      <end/>
      <top/>
      <bottom style="medium">
        <color theme="8" tint="-0.249977111117893"/>
      </bottom>
      <diagonal/>
    </border>
    <border>
      <start style="medium">
        <color theme="8"/>
      </start>
      <end/>
      <top style="medium">
        <color theme="8" tint="-0.249977111117893"/>
      </top>
      <bottom/>
      <diagonal/>
    </border>
    <border>
      <start/>
      <end style="medium">
        <color theme="8"/>
      </end>
      <top style="medium">
        <color theme="8" tint="-0.249977111117893"/>
      </top>
      <bottom/>
      <diagonal/>
    </border>
    <border>
      <start style="medium">
        <color theme="8"/>
      </start>
      <end style="medium">
        <color theme="8"/>
      </end>
      <top style="medium">
        <color theme="8" tint="-0.249977111117893"/>
      </top>
      <bottom style="medium">
        <color theme="8" tint="-0.249977111117893"/>
      </bottom>
      <diagonal/>
    </border>
    <border>
      <start style="medium">
        <color theme="8"/>
      </start>
      <end style="medium">
        <color theme="8"/>
      </end>
      <top style="medium">
        <color theme="8" tint="-0.249977111117893"/>
      </top>
      <bottom/>
      <diagonal/>
    </border>
    <border>
      <start style="medium">
        <color theme="8"/>
      </start>
      <end style="medium">
        <color theme="8"/>
      </end>
      <top/>
      <bottom/>
      <diagonal/>
    </border>
    <border>
      <start style="medium">
        <color theme="8"/>
      </start>
      <end style="medium">
        <color theme="8"/>
      </end>
      <top/>
      <bottom style="medium">
        <color theme="8" tint="-0.249977111117893"/>
      </bottom>
      <diagonal/>
    </border>
    <border>
      <start/>
      <end/>
      <top style="thin">
        <color rgb="FFD9D9D9"/>
      </top>
      <bottom/>
      <diagonal/>
    </border>
    <border>
      <start style="thin">
        <color rgb="FFBFBFBF"/>
      </start>
      <end/>
      <top style="thin">
        <color rgb="FFBFBFBF"/>
      </top>
      <bottom style="thin">
        <color rgb="FFBFBFBF"/>
      </bottom>
      <diagonal/>
    </border>
  </borders>
  <cellStyleXfs count="26">
    <xf numFmtId="0" fontId="0" fillId="0" borderId="0"/>
    <xf numFmtId="0" fontId="1" fillId="2" borderId="0"/>
    <xf numFmtId="0" fontId="1" fillId="3" borderId="0"/>
    <xf numFmtId="0" fontId="2" fillId="4" borderId="0"/>
    <xf numFmtId="0" fontId="2" fillId="5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80" fontId="3" fillId="0" borderId="0"/>
    <xf numFmtId="180" fontId="3" fillId="0" borderId="0"/>
    <xf numFmtId="180" fontId="3" fillId="0" borderId="0"/>
    <xf numFmtId="180" fontId="3" fillId="0" borderId="0"/>
    <xf numFmtId="180" fontId="3" fillId="0" borderId="0"/>
    <xf numFmtId="0" fontId="3" fillId="0" borderId="0"/>
    <xf numFmtId="0" fontId="3" fillId="0" borderId="0"/>
    <xf numFmtId="0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0" fontId="4" fillId="0" borderId="0"/>
  </cellStyleXfs>
  <cellXfs count="604">
    <xf numFmtId="0" fontId="0" fillId="0" borderId="0" xfId="0"/>
    <xf numFmtId="0" fontId="49" fillId="11" borderId="2" xfId="0" applyFont="1" applyFill="1" applyBorder="1" applyAlignment="1">
      <alignment horizontal="left" vertical="center" wrapText="1"/>
    </xf>
    <xf numFmtId="0" fontId="27" fillId="7" borderId="0" xfId="0" applyFont="1" applyFill="1" applyAlignment="1">
      <alignment horizontal="center" vertical="center" wrapText="1"/>
    </xf>
    <xf numFmtId="164" fontId="33" fillId="8" borderId="0" xfId="0" applyNumberFormat="1" applyFont="1" applyFill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5" fillId="6" borderId="0" xfId="0" applyFont="1" applyFill="1"/>
    <xf numFmtId="0" fontId="8" fillId="6" borderId="0" xfId="0" applyFont="1" applyFill="1" applyAlignment="1">
      <alignment horizontal="center"/>
    </xf>
    <xf numFmtId="0" fontId="9" fillId="6" borderId="0" xfId="0" applyFont="1" applyFill="1"/>
    <xf numFmtId="0" fontId="10" fillId="6" borderId="0" xfId="0" applyFont="1" applyFill="1"/>
    <xf numFmtId="0" fontId="10" fillId="0" borderId="0" xfId="0" applyFont="1"/>
    <xf numFmtId="0" fontId="10" fillId="6" borderId="0" xfId="0" applyFont="1" applyFill="1" applyAlignment="1">
      <alignment horizontal="center"/>
    </xf>
    <xf numFmtId="0" fontId="12" fillId="9" borderId="0" xfId="0" applyFont="1" applyFill="1"/>
    <xf numFmtId="0" fontId="13" fillId="9" borderId="0" xfId="0" applyFont="1" applyFill="1"/>
    <xf numFmtId="0" fontId="13" fillId="9" borderId="0" xfId="0" applyFont="1" applyFill="1" applyAlignment="1">
      <alignment wrapText="1"/>
    </xf>
    <xf numFmtId="0" fontId="12" fillId="9" borderId="0" xfId="0" applyFont="1" applyFill="1" applyAlignment="1">
      <alignment horizontal="center"/>
    </xf>
    <xf numFmtId="0" fontId="14" fillId="6" borderId="0" xfId="0" applyFont="1" applyFill="1" applyAlignment="1">
      <alignment horizontal="center"/>
    </xf>
    <xf numFmtId="0" fontId="15" fillId="6" borderId="0" xfId="0" applyFont="1" applyFill="1"/>
    <xf numFmtId="0" fontId="13" fillId="6" borderId="0" xfId="0" applyFont="1" applyFill="1"/>
    <xf numFmtId="0" fontId="11" fillId="8" borderId="0" xfId="0" applyFont="1" applyFill="1"/>
    <xf numFmtId="0" fontId="15" fillId="8" borderId="0" xfId="0" applyFont="1" applyFill="1"/>
    <xf numFmtId="0" fontId="13" fillId="8" borderId="0" xfId="0" applyFont="1" applyFill="1"/>
    <xf numFmtId="49" fontId="12" fillId="9" borderId="0" xfId="0" applyNumberFormat="1" applyFont="1" applyFill="1"/>
    <xf numFmtId="0" fontId="13" fillId="9" borderId="0" xfId="0" applyFont="1" applyFill="1" applyAlignment="1">
      <alignment vertical="center"/>
    </xf>
    <xf numFmtId="49" fontId="13" fillId="9" borderId="0" xfId="0" applyNumberFormat="1" applyFont="1" applyFill="1"/>
    <xf numFmtId="49" fontId="10" fillId="6" borderId="0" xfId="0" applyNumberFormat="1" applyFont="1" applyFill="1"/>
    <xf numFmtId="49" fontId="10" fillId="0" borderId="0" xfId="0" applyNumberFormat="1" applyFont="1"/>
    <xf numFmtId="0" fontId="16" fillId="9" borderId="0" xfId="0" applyFont="1" applyFill="1"/>
    <xf numFmtId="0" fontId="13" fillId="9" borderId="0" xfId="0" applyFont="1" applyFill="1" applyAlignment="1">
      <alignment horizontal="center"/>
    </xf>
    <xf numFmtId="0" fontId="15" fillId="9" borderId="0" xfId="0" applyFont="1" applyFill="1"/>
    <xf numFmtId="0" fontId="13" fillId="9" borderId="0" xfId="0" applyFont="1" applyFill="1" applyAlignment="1">
      <alignment horizontal="left"/>
    </xf>
    <xf numFmtId="0" fontId="12" fillId="9" borderId="0" xfId="0" applyFont="1" applyFill="1" applyAlignment="1">
      <alignment horizontal="right"/>
    </xf>
    <xf numFmtId="0" fontId="17" fillId="6" borderId="0" xfId="0" applyFont="1" applyFill="1"/>
    <xf numFmtId="0" fontId="14" fillId="6" borderId="0" xfId="0" applyFont="1" applyFill="1"/>
    <xf numFmtId="0" fontId="12" fillId="6" borderId="0" xfId="0" applyFont="1" applyFill="1"/>
    <xf numFmtId="0" fontId="18" fillId="8" borderId="0" xfId="0" applyFont="1" applyFill="1"/>
    <xf numFmtId="0" fontId="19" fillId="8" borderId="0" xfId="0" applyFont="1" applyFill="1"/>
    <xf numFmtId="0" fontId="12" fillId="8" borderId="0" xfId="0" applyFont="1" applyFill="1"/>
    <xf numFmtId="0" fontId="20" fillId="9" borderId="0" xfId="0" applyFont="1" applyFill="1" applyAlignment="1">
      <alignment horizontal="center"/>
    </xf>
    <xf numFmtId="0" fontId="9" fillId="9" borderId="0" xfId="0" applyFont="1" applyFill="1"/>
    <xf numFmtId="0" fontId="10" fillId="9" borderId="0" xfId="0" applyFont="1" applyFill="1"/>
    <xf numFmtId="0" fontId="21" fillId="9" borderId="0" xfId="0" applyFont="1" applyFill="1"/>
    <xf numFmtId="0" fontId="10" fillId="9" borderId="0" xfId="0" applyFont="1" applyFill="1" applyAlignment="1">
      <alignment horizontal="center"/>
    </xf>
    <xf numFmtId="0" fontId="22" fillId="9" borderId="0" xfId="0" applyFont="1" applyFill="1"/>
    <xf numFmtId="0" fontId="10" fillId="9" borderId="0" xfId="0" applyFont="1" applyFill="1" applyAlignment="1">
      <alignment horizontal="right"/>
    </xf>
    <xf numFmtId="0" fontId="22" fillId="6" borderId="0" xfId="0" applyFont="1" applyFill="1"/>
    <xf numFmtId="0" fontId="21" fillId="9" borderId="0" xfId="0" applyFont="1" applyFill="1" applyAlignment="1">
      <alignment horizontal="center"/>
    </xf>
    <xf numFmtId="0" fontId="22" fillId="9" borderId="0" xfId="0" applyFont="1" applyFill="1" applyAlignment="1">
      <alignment horizontal="center"/>
    </xf>
    <xf numFmtId="0" fontId="23" fillId="9" borderId="0" xfId="0" applyFont="1" applyFill="1" applyAlignment="1">
      <alignment vertical="center"/>
    </xf>
    <xf numFmtId="0" fontId="10" fillId="9" borderId="0" xfId="0" applyFont="1" applyFill="1" applyAlignment="1">
      <alignment horizontal="left"/>
    </xf>
    <xf numFmtId="0" fontId="24" fillId="9" borderId="0" xfId="0" applyFont="1" applyFill="1" applyAlignment="1">
      <alignment vertical="center"/>
    </xf>
    <xf numFmtId="0" fontId="20" fillId="9" borderId="0" xfId="0" applyFont="1" applyFill="1"/>
    <xf numFmtId="0" fontId="25" fillId="9" borderId="0" xfId="0" applyFont="1" applyFill="1"/>
    <xf numFmtId="0" fontId="20" fillId="9" borderId="0" xfId="0" applyFont="1" applyFill="1" applyAlignment="1">
      <alignment horizontal="left"/>
    </xf>
    <xf numFmtId="0" fontId="20" fillId="6" borderId="0" xfId="0" applyFont="1" applyFill="1" applyAlignment="1">
      <alignment horizontal="left"/>
    </xf>
    <xf numFmtId="0" fontId="25" fillId="6" borderId="0" xfId="0" applyFont="1" applyFill="1"/>
    <xf numFmtId="0" fontId="20" fillId="6" borderId="0" xfId="0" applyFont="1" applyFill="1"/>
    <xf numFmtId="0" fontId="26" fillId="6" borderId="0" xfId="0" applyFont="1" applyFill="1"/>
    <xf numFmtId="1" fontId="26" fillId="6" borderId="0" xfId="0" applyNumberFormat="1" applyFont="1" applyFill="1"/>
    <xf numFmtId="2" fontId="10" fillId="6" borderId="0" xfId="0" applyNumberFormat="1" applyFont="1" applyFill="1"/>
    <xf numFmtId="1" fontId="9" fillId="6" borderId="0" xfId="0" applyNumberFormat="1" applyFont="1" applyFill="1"/>
    <xf numFmtId="0" fontId="10" fillId="0" borderId="0" xfId="0" applyFont="1" applyAlignment="1">
      <alignment horizontal="center"/>
    </xf>
    <xf numFmtId="1" fontId="9" fillId="0" borderId="0" xfId="0" applyNumberFormat="1" applyFont="1"/>
    <xf numFmtId="2" fontId="10" fillId="0" borderId="0" xfId="0" applyNumberFormat="1" applyFont="1"/>
    <xf numFmtId="0" fontId="9" fillId="0" borderId="0" xfId="0" applyFont="1"/>
    <xf numFmtId="0" fontId="28" fillId="9" borderId="0" xfId="0" applyFont="1" applyFill="1"/>
    <xf numFmtId="0" fontId="0" fillId="6" borderId="0" xfId="0" applyFill="1"/>
    <xf numFmtId="0" fontId="29" fillId="8" borderId="0" xfId="0" applyFont="1" applyFill="1"/>
    <xf numFmtId="0" fontId="30" fillId="6" borderId="0" xfId="0" applyFont="1" applyFill="1" applyAlignment="1">
      <alignment horizontal="center"/>
    </xf>
    <xf numFmtId="0" fontId="31" fillId="6" borderId="0" xfId="0" applyFont="1" applyFill="1"/>
    <xf numFmtId="0" fontId="33" fillId="8" borderId="0" xfId="0" applyFont="1" applyFill="1"/>
    <xf numFmtId="0" fontId="34" fillId="8" borderId="0" xfId="0" applyFont="1" applyFill="1"/>
    <xf numFmtId="0" fontId="35" fillId="8" borderId="0" xfId="0" applyFont="1" applyFill="1"/>
    <xf numFmtId="0" fontId="0" fillId="9" borderId="0" xfId="0" applyFill="1"/>
    <xf numFmtId="0" fontId="33" fillId="9" borderId="0" xfId="0" applyFont="1" applyFill="1"/>
    <xf numFmtId="0" fontId="35" fillId="9" borderId="1" xfId="0" applyFont="1" applyFill="1" applyBorder="1"/>
    <xf numFmtId="0" fontId="34" fillId="9" borderId="0" xfId="0" applyFont="1" applyFill="1"/>
    <xf numFmtId="0" fontId="36" fillId="9" borderId="0" xfId="0" applyFont="1" applyFill="1"/>
    <xf numFmtId="0" fontId="37" fillId="8" borderId="0" xfId="0" applyFont="1" applyFill="1" applyAlignment="1">
      <alignment horizontal="left" vertical="center" wrapText="1"/>
    </xf>
    <xf numFmtId="1" fontId="38" fillId="6" borderId="2" xfId="0" applyNumberFormat="1" applyFont="1" applyFill="1" applyBorder="1" applyAlignment="1">
      <alignment horizontal="right" vertical="center"/>
    </xf>
    <xf numFmtId="0" fontId="36" fillId="9" borderId="3" xfId="0" applyFont="1" applyFill="1" applyBorder="1"/>
    <xf numFmtId="0" fontId="39" fillId="9" borderId="0" xfId="0" applyFont="1" applyFill="1" applyAlignment="1">
      <alignment horizontal="left" vertical="center"/>
    </xf>
    <xf numFmtId="0" fontId="40" fillId="8" borderId="0" xfId="0" applyFont="1" applyFill="1"/>
    <xf numFmtId="0" fontId="15" fillId="9" borderId="0" xfId="0" applyFont="1" applyFill="1" applyAlignment="1">
      <alignment horizontal="left"/>
    </xf>
    <xf numFmtId="0" fontId="41" fillId="9" borderId="0" xfId="0" applyFont="1" applyFill="1" applyAlignment="1">
      <alignment horizontal="left"/>
    </xf>
    <xf numFmtId="165" fontId="42" fillId="0" borderId="0" xfId="0" applyNumberFormat="1" applyFont="1" applyAlignment="1">
      <alignment horizontal="right"/>
    </xf>
    <xf numFmtId="166" fontId="42" fillId="0" borderId="0" xfId="0" applyNumberFormat="1" applyFont="1" applyAlignment="1">
      <alignment horizontal="right"/>
    </xf>
    <xf numFmtId="166" fontId="0" fillId="9" borderId="0" xfId="0" applyNumberFormat="1" applyFill="1"/>
    <xf numFmtId="0" fontId="43" fillId="9" borderId="0" xfId="0" applyFont="1" applyFill="1"/>
    <xf numFmtId="165" fontId="43" fillId="0" borderId="0" xfId="0" applyNumberFormat="1" applyFont="1" applyAlignment="1">
      <alignment horizontal="right"/>
    </xf>
    <xf numFmtId="166" fontId="43" fillId="0" borderId="0" xfId="0" applyNumberFormat="1" applyFont="1" applyAlignment="1">
      <alignment horizontal="right"/>
    </xf>
    <xf numFmtId="1" fontId="43" fillId="0" borderId="0" xfId="0" applyNumberFormat="1" applyFont="1" applyAlignment="1">
      <alignment horizontal="right"/>
    </xf>
    <xf numFmtId="2" fontId="0" fillId="9" borderId="0" xfId="0" applyNumberFormat="1" applyFill="1"/>
    <xf numFmtId="2" fontId="41" fillId="9" borderId="0" xfId="0" applyNumberFormat="1" applyFont="1" applyFill="1"/>
    <xf numFmtId="0" fontId="44" fillId="9" borderId="0" xfId="0" applyFont="1" applyFill="1"/>
    <xf numFmtId="2" fontId="0" fillId="9" borderId="0" xfId="0" applyNumberFormat="1" applyFill="1" applyAlignment="1">
      <alignment horizontal="right"/>
    </xf>
    <xf numFmtId="0" fontId="45" fillId="9" borderId="0" xfId="0" applyFont="1" applyFill="1"/>
    <xf numFmtId="165" fontId="42" fillId="10" borderId="0" xfId="0" applyNumberFormat="1" applyFont="1" applyFill="1" applyAlignment="1">
      <alignment horizontal="right"/>
    </xf>
    <xf numFmtId="2" fontId="41" fillId="0" borderId="0" xfId="0" applyNumberFormat="1" applyFont="1"/>
    <xf numFmtId="2" fontId="41" fillId="6" borderId="0" xfId="0" applyNumberFormat="1" applyFont="1" applyFill="1"/>
    <xf numFmtId="0" fontId="47" fillId="6" borderId="0" xfId="0" applyFont="1" applyFill="1"/>
    <xf numFmtId="0" fontId="47" fillId="0" borderId="0" xfId="0" applyFont="1"/>
    <xf numFmtId="10" fontId="48" fillId="9" borderId="0" xfId="0" applyNumberFormat="1" applyFont="1" applyFill="1"/>
    <xf numFmtId="0" fontId="13" fillId="11" borderId="0" xfId="0" applyFont="1" applyFill="1"/>
    <xf numFmtId="166" fontId="15" fillId="6" borderId="0" xfId="0" applyNumberFormat="1" applyFont="1" applyFill="1"/>
    <xf numFmtId="0" fontId="0" fillId="11" borderId="0" xfId="0" applyFill="1"/>
    <xf numFmtId="0" fontId="50" fillId="6" borderId="0" xfId="0" applyFont="1" applyFill="1"/>
    <xf numFmtId="0" fontId="50" fillId="11" borderId="0" xfId="0" applyFont="1" applyFill="1"/>
    <xf numFmtId="0" fontId="50" fillId="11" borderId="4" xfId="0" applyFont="1" applyFill="1" applyBorder="1"/>
    <xf numFmtId="0" fontId="50" fillId="11" borderId="5" xfId="0" applyFont="1" applyFill="1" applyBorder="1"/>
    <xf numFmtId="0" fontId="42" fillId="6" borderId="0" xfId="0" applyFont="1" applyFill="1" applyAlignment="1">
      <alignment horizontal="center" vertical="center"/>
    </xf>
    <xf numFmtId="0" fontId="32" fillId="8" borderId="0" xfId="0" applyFont="1" applyFill="1"/>
    <xf numFmtId="2" fontId="32" fillId="8" borderId="0" xfId="0" applyNumberFormat="1" applyFont="1" applyFill="1" applyAlignment="1">
      <alignment horizontal="center"/>
    </xf>
    <xf numFmtId="167" fontId="32" fillId="8" borderId="0" xfId="0" applyNumberFormat="1" applyFont="1" applyFill="1" applyAlignment="1">
      <alignment horizontal="center"/>
    </xf>
    <xf numFmtId="2" fontId="29" fillId="8" borderId="0" xfId="0" applyNumberFormat="1" applyFont="1" applyFill="1" applyAlignment="1">
      <alignment horizontal="center"/>
    </xf>
    <xf numFmtId="167" fontId="29" fillId="8" borderId="0" xfId="0" applyNumberFormat="1" applyFont="1" applyFill="1" applyAlignment="1">
      <alignment horizontal="center"/>
    </xf>
    <xf numFmtId="0" fontId="51" fillId="0" borderId="0" xfId="0" applyFont="1"/>
    <xf numFmtId="0" fontId="51" fillId="6" borderId="0" xfId="0" applyFont="1" applyFill="1"/>
    <xf numFmtId="0" fontId="32" fillId="6" borderId="0" xfId="0" applyFont="1" applyFill="1"/>
    <xf numFmtId="0" fontId="32" fillId="0" borderId="0" xfId="0" applyFont="1"/>
    <xf numFmtId="0" fontId="13" fillId="0" borderId="0" xfId="0" applyFont="1"/>
    <xf numFmtId="2" fontId="13" fillId="6" borderId="0" xfId="0" applyNumberFormat="1" applyFont="1" applyFill="1"/>
    <xf numFmtId="0" fontId="16" fillId="6" borderId="0" xfId="0" applyFont="1" applyFill="1"/>
    <xf numFmtId="0" fontId="13" fillId="6" borderId="0" xfId="0" applyFont="1" applyFill="1" applyAlignment="1">
      <alignment vertical="top" wrapText="1"/>
    </xf>
    <xf numFmtId="166" fontId="42" fillId="6" borderId="0" xfId="0" applyNumberFormat="1" applyFont="1" applyFill="1"/>
    <xf numFmtId="166" fontId="13" fillId="6" borderId="0" xfId="0" applyNumberFormat="1" applyFont="1" applyFill="1"/>
    <xf numFmtId="2" fontId="0" fillId="6" borderId="0" xfId="0" applyNumberFormat="1" applyFill="1"/>
    <xf numFmtId="0" fontId="0" fillId="0" borderId="0" xfId="0" applyAlignment="1">
      <alignment vertical="top" wrapText="1"/>
    </xf>
    <xf numFmtId="10" fontId="48" fillId="6" borderId="0" xfId="0" applyNumberFormat="1" applyFont="1" applyFill="1"/>
    <xf numFmtId="167" fontId="15" fillId="6" borderId="0" xfId="0" applyNumberFormat="1" applyFont="1" applyFill="1"/>
    <xf numFmtId="167" fontId="13" fillId="6" borderId="0" xfId="0" applyNumberFormat="1" applyFont="1" applyFill="1"/>
    <xf numFmtId="1" fontId="15" fillId="6" borderId="0" xfId="0" applyNumberFormat="1" applyFont="1" applyFill="1"/>
    <xf numFmtId="1" fontId="42" fillId="6" borderId="0" xfId="0" applyNumberFormat="1" applyFont="1" applyFill="1"/>
    <xf numFmtId="1" fontId="13" fillId="6" borderId="0" xfId="0" applyNumberFormat="1" applyFont="1" applyFill="1"/>
    <xf numFmtId="0" fontId="0" fillId="6" borderId="0" xfId="0" applyFill="1" applyAlignment="1">
      <alignment vertical="top" wrapText="1"/>
    </xf>
    <xf numFmtId="0" fontId="52" fillId="0" borderId="0" xfId="0" applyFont="1"/>
    <xf numFmtId="0" fontId="53" fillId="8" borderId="0" xfId="0" applyFont="1" applyFill="1"/>
    <xf numFmtId="0" fontId="53" fillId="0" borderId="0" xfId="0" applyFont="1"/>
    <xf numFmtId="0" fontId="55" fillId="6" borderId="6" xfId="0" applyFont="1" applyFill="1" applyBorder="1" applyAlignment="1">
      <alignment horizontal="center" vertical="center" wrapText="1"/>
    </xf>
    <xf numFmtId="0" fontId="42" fillId="6" borderId="0" xfId="0" applyFont="1" applyFill="1" applyAlignment="1">
      <alignment vertical="center" wrapText="1"/>
    </xf>
    <xf numFmtId="0" fontId="56" fillId="0" borderId="6" xfId="0" applyFont="1" applyBorder="1"/>
    <xf numFmtId="4" fontId="57" fillId="0" borderId="6" xfId="0" applyNumberFormat="1" applyFont="1" applyBorder="1"/>
    <xf numFmtId="3" fontId="42" fillId="0" borderId="6" xfId="0" applyNumberFormat="1" applyFont="1" applyBorder="1"/>
    <xf numFmtId="0" fontId="58" fillId="0" borderId="6" xfId="0" applyFont="1" applyBorder="1" applyAlignment="1">
      <alignment horizontal="center" vertical="center"/>
    </xf>
    <xf numFmtId="168" fontId="59" fillId="0" borderId="6" xfId="0" applyNumberFormat="1" applyFont="1" applyBorder="1"/>
    <xf numFmtId="3" fontId="57" fillId="0" borderId="6" xfId="0" applyNumberFormat="1" applyFont="1" applyBorder="1"/>
    <xf numFmtId="169" fontId="42" fillId="0" borderId="6" xfId="0" applyNumberFormat="1" applyFont="1" applyBorder="1"/>
    <xf numFmtId="168" fontId="42" fillId="0" borderId="6" xfId="0" applyNumberFormat="1" applyFont="1" applyBorder="1"/>
    <xf numFmtId="0" fontId="42" fillId="0" borderId="0" xfId="0" applyFont="1"/>
    <xf numFmtId="168" fontId="59" fillId="12" borderId="6" xfId="0" applyNumberFormat="1" applyFont="1" applyFill="1" applyBorder="1"/>
    <xf numFmtId="0" fontId="59" fillId="0" borderId="6" xfId="0" applyFont="1" applyBorder="1"/>
    <xf numFmtId="0" fontId="54" fillId="0" borderId="6" xfId="0" applyFont="1" applyBorder="1"/>
    <xf numFmtId="170" fontId="42" fillId="0" borderId="6" xfId="0" applyNumberFormat="1" applyFont="1" applyBorder="1"/>
    <xf numFmtId="168" fontId="57" fillId="0" borderId="6" xfId="0" applyNumberFormat="1" applyFont="1" applyBorder="1"/>
    <xf numFmtId="4" fontId="42" fillId="0" borderId="6" xfId="0" applyNumberFormat="1" applyFont="1" applyBorder="1"/>
    <xf numFmtId="0" fontId="42" fillId="0" borderId="6" xfId="0" applyFont="1" applyBorder="1" applyAlignment="1">
      <alignment vertical="center" indent="1"/>
    </xf>
    <xf numFmtId="167" fontId="42" fillId="0" borderId="6" xfId="0" applyNumberFormat="1" applyFont="1" applyBorder="1"/>
    <xf numFmtId="168" fontId="59" fillId="11" borderId="6" xfId="0" applyNumberFormat="1" applyFont="1" applyFill="1" applyBorder="1"/>
    <xf numFmtId="0" fontId="61" fillId="0" borderId="6" xfId="0" applyFont="1" applyBorder="1" applyAlignment="1">
      <alignment vertical="center" indent="1"/>
    </xf>
    <xf numFmtId="0" fontId="42" fillId="11" borderId="6" xfId="0" applyFont="1" applyFill="1" applyBorder="1"/>
    <xf numFmtId="0" fontId="55" fillId="6" borderId="7" xfId="0" applyFont="1" applyFill="1" applyBorder="1" applyAlignment="1">
      <alignment horizontal="center" vertical="center" wrapText="1"/>
    </xf>
    <xf numFmtId="0" fontId="61" fillId="0" borderId="6" xfId="0" applyFont="1" applyBorder="1"/>
    <xf numFmtId="0" fontId="42" fillId="0" borderId="6" xfId="0" applyFont="1" applyBorder="1"/>
    <xf numFmtId="0" fontId="42" fillId="0" borderId="6" xfId="0" applyFont="1" applyBorder="1" applyAlignment="1">
      <alignment wrapText="1"/>
    </xf>
    <xf numFmtId="168" fontId="59" fillId="12" borderId="9" xfId="0" applyNumberFormat="1" applyFont="1" applyFill="1" applyBorder="1"/>
    <xf numFmtId="0" fontId="52" fillId="11" borderId="0" xfId="0" applyFont="1" applyFill="1"/>
    <xf numFmtId="0" fontId="52" fillId="6" borderId="0" xfId="0" applyFont="1" applyFill="1"/>
    <xf numFmtId="0" fontId="62" fillId="6" borderId="0" xfId="0" applyFont="1" applyFill="1"/>
    <xf numFmtId="0" fontId="62" fillId="6" borderId="0" xfId="0" applyFont="1" applyFill="1" applyAlignment="1">
      <alignment vertical="center" wrapText="1"/>
    </xf>
    <xf numFmtId="167" fontId="0" fillId="6" borderId="0" xfId="0" applyNumberFormat="1" applyFill="1" applyAlignment="1">
      <alignment horizontal="center" vertical="center"/>
    </xf>
    <xf numFmtId="167" fontId="0" fillId="6" borderId="0" xfId="0" applyNumberFormat="1" applyFill="1"/>
    <xf numFmtId="171" fontId="0" fillId="6" borderId="0" xfId="0" applyNumberFormat="1" applyFill="1"/>
    <xf numFmtId="0" fontId="52" fillId="6" borderId="0" xfId="0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166" fontId="13" fillId="6" borderId="0" xfId="0" applyNumberFormat="1" applyFont="1" applyFill="1" applyAlignment="1">
      <alignment horizontal="center" vertical="center"/>
    </xf>
    <xf numFmtId="172" fontId="13" fillId="6" borderId="0" xfId="0" applyNumberFormat="1" applyFont="1" applyFill="1"/>
    <xf numFmtId="173" fontId="13" fillId="6" borderId="0" xfId="0" applyNumberFormat="1" applyFont="1" applyFill="1"/>
    <xf numFmtId="172" fontId="15" fillId="9" borderId="0" xfId="0" applyNumberFormat="1" applyFont="1" applyFill="1"/>
    <xf numFmtId="166" fontId="13" fillId="6" borderId="0" xfId="0" applyNumberFormat="1" applyFont="1" applyFill="1" applyAlignment="1">
      <alignment horizontal="center"/>
    </xf>
    <xf numFmtId="0" fontId="65" fillId="6" borderId="0" xfId="0" applyFont="1" applyFill="1"/>
    <xf numFmtId="172" fontId="15" fillId="0" borderId="0" xfId="0" applyNumberFormat="1" applyFont="1"/>
    <xf numFmtId="0" fontId="66" fillId="0" borderId="0" xfId="0" applyFont="1" applyAlignment="1">
      <alignment horizontal="right"/>
    </xf>
    <xf numFmtId="0" fontId="0" fillId="7" borderId="0" xfId="0" applyFill="1" applyAlignment="1">
      <alignment horizontal="center"/>
    </xf>
    <xf numFmtId="0" fontId="0" fillId="7" borderId="0" xfId="0" applyFill="1"/>
    <xf numFmtId="0" fontId="0" fillId="13" borderId="0" xfId="0" applyFill="1"/>
    <xf numFmtId="0" fontId="66" fillId="6" borderId="0" xfId="0" applyFont="1" applyFill="1" applyAlignment="1">
      <alignment horizontal="right"/>
    </xf>
    <xf numFmtId="0" fontId="4" fillId="0" borderId="0" xfId="0" applyFont="1"/>
    <xf numFmtId="0" fontId="67" fillId="6" borderId="0" xfId="0" applyFont="1" applyFill="1"/>
    <xf numFmtId="0" fontId="68" fillId="11" borderId="0" xfId="0" applyFont="1" applyFill="1" applyAlignment="1">
      <alignment horizontal="center"/>
    </xf>
    <xf numFmtId="2" fontId="68" fillId="11" borderId="0" xfId="0" applyNumberFormat="1" applyFont="1" applyFill="1"/>
    <xf numFmtId="2" fontId="67" fillId="11" borderId="0" xfId="0" applyNumberFormat="1" applyFont="1" applyFill="1" applyAlignment="1">
      <alignment horizontal="center" vertical="center"/>
    </xf>
    <xf numFmtId="0" fontId="68" fillId="11" borderId="0" xfId="0" applyFont="1" applyFill="1" applyAlignment="1">
      <alignment horizontal="left"/>
    </xf>
    <xf numFmtId="0" fontId="68" fillId="11" borderId="0" xfId="0" applyFont="1" applyFill="1" applyAlignment="1">
      <alignment horizontal="right"/>
    </xf>
    <xf numFmtId="0" fontId="68" fillId="11" borderId="0" xfId="0" applyFont="1" applyFill="1"/>
    <xf numFmtId="0" fontId="70" fillId="11" borderId="0" xfId="0" applyFont="1" applyFill="1" applyAlignment="1">
      <alignment horizontal="center" vertical="center" wrapText="1"/>
    </xf>
    <xf numFmtId="0" fontId="43" fillId="11" borderId="0" xfId="0" applyFont="1" applyFill="1" applyAlignment="1">
      <alignment horizontal="center"/>
    </xf>
    <xf numFmtId="0" fontId="43" fillId="11" borderId="0" xfId="0" applyFont="1" applyFill="1" applyAlignment="1">
      <alignment horizontal="center" wrapText="1"/>
    </xf>
    <xf numFmtId="2" fontId="70" fillId="11" borderId="3" xfId="0" applyNumberFormat="1" applyFont="1" applyFill="1" applyBorder="1" applyAlignment="1">
      <alignment horizontal="center" vertical="center" wrapText="1"/>
    </xf>
    <xf numFmtId="2" fontId="70" fillId="11" borderId="0" xfId="0" applyNumberFormat="1" applyFont="1" applyFill="1" applyAlignment="1" applyProtection="1">
      <alignment vertical="center"/>
      <protection locked="0"/>
    </xf>
    <xf numFmtId="2" fontId="70" fillId="11" borderId="0" xfId="0" applyNumberFormat="1" applyFont="1" applyFill="1" applyAlignment="1">
      <alignment vertical="center"/>
    </xf>
    <xf numFmtId="0" fontId="68" fillId="11" borderId="11" xfId="0" applyFont="1" applyFill="1" applyBorder="1"/>
    <xf numFmtId="2" fontId="70" fillId="11" borderId="0" xfId="0" applyNumberFormat="1" applyFont="1" applyFill="1" applyAlignment="1">
      <alignment horizontal="center" vertical="center" wrapText="1"/>
    </xf>
    <xf numFmtId="2" fontId="70" fillId="11" borderId="11" xfId="0" applyNumberFormat="1" applyFont="1" applyFill="1" applyBorder="1" applyAlignment="1">
      <alignment horizontal="center" vertical="center"/>
    </xf>
    <xf numFmtId="2" fontId="70" fillId="11" borderId="0" xfId="0" applyNumberFormat="1" applyFont="1" applyFill="1" applyAlignment="1" applyProtection="1">
      <alignment horizontal="center" vertical="center"/>
      <protection locked="0"/>
    </xf>
    <xf numFmtId="2" fontId="71" fillId="11" borderId="12" xfId="0" applyNumberFormat="1" applyFont="1" applyFill="1" applyBorder="1" applyAlignment="1">
      <alignment horizontal="center" vertical="center" wrapText="1"/>
    </xf>
    <xf numFmtId="2" fontId="71" fillId="11" borderId="13" xfId="0" applyNumberFormat="1" applyFont="1" applyFill="1" applyBorder="1" applyAlignment="1">
      <alignment horizontal="center" vertical="center" wrapText="1"/>
    </xf>
    <xf numFmtId="2" fontId="71" fillId="14" borderId="14" xfId="0" applyNumberFormat="1" applyFont="1" applyFill="1" applyBorder="1" applyAlignment="1">
      <alignment horizontal="center" vertical="center" wrapText="1"/>
    </xf>
    <xf numFmtId="2" fontId="71" fillId="11" borderId="14" xfId="0" applyNumberFormat="1" applyFont="1" applyFill="1" applyBorder="1" applyAlignment="1">
      <alignment horizontal="center" vertical="center" wrapText="1"/>
    </xf>
    <xf numFmtId="2" fontId="70" fillId="11" borderId="14" xfId="0" applyNumberFormat="1" applyFont="1" applyFill="1" applyBorder="1" applyAlignment="1">
      <alignment horizontal="center" vertical="center" wrapText="1"/>
    </xf>
    <xf numFmtId="2" fontId="71" fillId="11" borderId="15" xfId="0" applyNumberFormat="1" applyFont="1" applyFill="1" applyBorder="1" applyAlignment="1">
      <alignment horizontal="center" vertical="center" wrapText="1"/>
    </xf>
    <xf numFmtId="2" fontId="70" fillId="11" borderId="13" xfId="0" applyNumberFormat="1" applyFont="1" applyFill="1" applyBorder="1" applyAlignment="1">
      <alignment horizontal="center" vertical="center" wrapText="1"/>
    </xf>
    <xf numFmtId="2" fontId="72" fillId="11" borderId="0" xfId="0" applyNumberFormat="1" applyFont="1" applyFill="1" applyAlignment="1">
      <alignment horizontal="right"/>
    </xf>
    <xf numFmtId="0" fontId="3" fillId="6" borderId="0" xfId="0" applyFont="1" applyFill="1" applyAlignment="1">
      <alignment horizontal="center"/>
    </xf>
    <xf numFmtId="0" fontId="3" fillId="6" borderId="0" xfId="0" applyFont="1" applyFill="1"/>
    <xf numFmtId="0" fontId="3" fillId="6" borderId="3" xfId="0" applyFont="1" applyFill="1" applyBorder="1"/>
    <xf numFmtId="174" fontId="66" fillId="6" borderId="11" xfId="0" applyNumberFormat="1" applyFont="1" applyFill="1" applyBorder="1" applyAlignment="1">
      <alignment horizontal="right"/>
    </xf>
    <xf numFmtId="174" fontId="66" fillId="6" borderId="0" xfId="0" applyNumberFormat="1" applyFont="1" applyFill="1" applyAlignment="1">
      <alignment horizontal="right"/>
    </xf>
    <xf numFmtId="0" fontId="0" fillId="6" borderId="16" xfId="0" applyFill="1" applyBorder="1"/>
    <xf numFmtId="0" fontId="0" fillId="6" borderId="17" xfId="0" applyFill="1" applyBorder="1"/>
    <xf numFmtId="0" fontId="0" fillId="6" borderId="18" xfId="0" applyFill="1" applyBorder="1"/>
    <xf numFmtId="2" fontId="0" fillId="6" borderId="17" xfId="0" applyNumberFormat="1" applyFill="1" applyBorder="1"/>
    <xf numFmtId="2" fontId="0" fillId="6" borderId="19" xfId="0" applyNumberFormat="1" applyFill="1" applyBorder="1"/>
    <xf numFmtId="0" fontId="73" fillId="6" borderId="0" xfId="0" applyFont="1" applyFill="1"/>
    <xf numFmtId="2" fontId="3" fillId="6" borderId="0" xfId="0" applyNumberFormat="1" applyFont="1" applyFill="1"/>
    <xf numFmtId="167" fontId="0" fillId="11" borderId="0" xfId="0" applyNumberFormat="1" applyFill="1"/>
    <xf numFmtId="2" fontId="3" fillId="6" borderId="3" xfId="0" applyNumberFormat="1" applyFont="1" applyFill="1" applyBorder="1"/>
    <xf numFmtId="174" fontId="74" fillId="6" borderId="11" xfId="0" applyNumberFormat="1" applyFont="1" applyFill="1" applyBorder="1" applyAlignment="1">
      <alignment horizontal="right"/>
    </xf>
    <xf numFmtId="175" fontId="3" fillId="15" borderId="11" xfId="0" applyNumberFormat="1" applyFont="1" applyFill="1" applyBorder="1" applyAlignment="1">
      <alignment horizontal="right"/>
    </xf>
    <xf numFmtId="2" fontId="0" fillId="0" borderId="0" xfId="0" applyNumberFormat="1"/>
    <xf numFmtId="165" fontId="0" fillId="6" borderId="20" xfId="0" applyNumberFormat="1" applyFill="1" applyBorder="1"/>
    <xf numFmtId="165" fontId="0" fillId="6" borderId="0" xfId="0" applyNumberFormat="1" applyFill="1"/>
    <xf numFmtId="165" fontId="3" fillId="6" borderId="19" xfId="0" applyNumberFormat="1" applyFont="1" applyFill="1" applyBorder="1"/>
    <xf numFmtId="166" fontId="3" fillId="0" borderId="11" xfId="0" applyNumberFormat="1" applyFont="1" applyBorder="1" applyAlignment="1">
      <alignment horizontal="right"/>
    </xf>
    <xf numFmtId="166" fontId="3" fillId="0" borderId="19" xfId="0" applyNumberFormat="1" applyFont="1" applyBorder="1" applyAlignment="1">
      <alignment horizontal="right"/>
    </xf>
    <xf numFmtId="2" fontId="75" fillId="16" borderId="0" xfId="0" applyNumberFormat="1" applyFont="1" applyFill="1"/>
    <xf numFmtId="176" fontId="76" fillId="6" borderId="0" xfId="0" applyNumberFormat="1" applyFont="1" applyFill="1" applyAlignment="1">
      <alignment horizontal="right"/>
    </xf>
    <xf numFmtId="176" fontId="76" fillId="6" borderId="11" xfId="0" applyNumberFormat="1" applyFont="1" applyFill="1" applyBorder="1" applyAlignment="1">
      <alignment horizontal="right"/>
    </xf>
    <xf numFmtId="174" fontId="76" fillId="6" borderId="0" xfId="0" applyNumberFormat="1" applyFont="1" applyFill="1" applyAlignment="1">
      <alignment horizontal="right"/>
    </xf>
    <xf numFmtId="174" fontId="76" fillId="6" borderId="11" xfId="0" applyNumberFormat="1" applyFont="1" applyFill="1" applyBorder="1" applyAlignment="1">
      <alignment horizontal="right"/>
    </xf>
    <xf numFmtId="166" fontId="0" fillId="6" borderId="20" xfId="0" applyNumberFormat="1" applyFill="1" applyBorder="1"/>
    <xf numFmtId="166" fontId="0" fillId="6" borderId="0" xfId="0" applyNumberFormat="1" applyFill="1"/>
    <xf numFmtId="166" fontId="3" fillId="6" borderId="19" xfId="0" applyNumberFormat="1" applyFont="1" applyFill="1" applyBorder="1"/>
    <xf numFmtId="166" fontId="3" fillId="6" borderId="0" xfId="0" applyNumberFormat="1" applyFont="1" applyFill="1"/>
    <xf numFmtId="166" fontId="3" fillId="6" borderId="20" xfId="0" applyNumberFormat="1" applyFont="1" applyFill="1" applyBorder="1"/>
    <xf numFmtId="165" fontId="0" fillId="6" borderId="10" xfId="0" applyNumberFormat="1" applyFill="1" applyBorder="1"/>
    <xf numFmtId="165" fontId="3" fillId="6" borderId="22" xfId="0" applyNumberFormat="1" applyFont="1" applyFill="1" applyBorder="1"/>
    <xf numFmtId="166" fontId="3" fillId="6" borderId="21" xfId="0" applyNumberFormat="1" applyFont="1" applyFill="1" applyBorder="1"/>
    <xf numFmtId="166" fontId="3" fillId="6" borderId="10" xfId="0" applyNumberFormat="1" applyFont="1" applyFill="1" applyBorder="1"/>
    <xf numFmtId="166" fontId="3" fillId="6" borderId="22" xfId="0" applyNumberFormat="1" applyFont="1" applyFill="1" applyBorder="1"/>
    <xf numFmtId="166" fontId="0" fillId="6" borderId="10" xfId="0" applyNumberFormat="1" applyFill="1" applyBorder="1"/>
    <xf numFmtId="177" fontId="0" fillId="6" borderId="0" xfId="0" applyNumberFormat="1" applyFill="1"/>
    <xf numFmtId="0" fontId="0" fillId="6" borderId="3" xfId="0" applyFill="1" applyBorder="1"/>
    <xf numFmtId="2" fontId="66" fillId="6" borderId="3" xfId="0" applyNumberFormat="1" applyFont="1" applyFill="1" applyBorder="1"/>
    <xf numFmtId="2" fontId="66" fillId="6" borderId="0" xfId="0" applyNumberFormat="1" applyFont="1" applyFill="1"/>
    <xf numFmtId="2" fontId="66" fillId="6" borderId="11" xfId="0" applyNumberFormat="1" applyFont="1" applyFill="1" applyBorder="1" applyAlignment="1">
      <alignment horizontal="right"/>
    </xf>
    <xf numFmtId="2" fontId="66" fillId="6" borderId="0" xfId="0" applyNumberFormat="1" applyFont="1" applyFill="1" applyAlignment="1">
      <alignment horizontal="right"/>
    </xf>
    <xf numFmtId="165" fontId="77" fillId="8" borderId="0" xfId="0" applyNumberFormat="1" applyFont="1" applyFill="1" applyAlignment="1">
      <alignment horizontal="right"/>
    </xf>
    <xf numFmtId="166" fontId="77" fillId="8" borderId="0" xfId="0" applyNumberFormat="1" applyFont="1" applyFill="1" applyAlignment="1">
      <alignment horizontal="right"/>
    </xf>
    <xf numFmtId="0" fontId="66" fillId="6" borderId="0" xfId="0" applyFont="1" applyFill="1"/>
    <xf numFmtId="0" fontId="3" fillId="16" borderId="0" xfId="0" applyFont="1" applyFill="1" applyAlignment="1">
      <alignment horizontal="center" vertical="center" wrapText="1"/>
    </xf>
    <xf numFmtId="0" fontId="41" fillId="17" borderId="0" xfId="0" applyFont="1" applyFill="1" applyAlignment="1">
      <alignment horizontal="center" vertical="center" wrapText="1"/>
    </xf>
    <xf numFmtId="2" fontId="67" fillId="11" borderId="0" xfId="0" applyNumberFormat="1" applyFont="1" applyFill="1"/>
    <xf numFmtId="2" fontId="67" fillId="11" borderId="0" xfId="0" applyNumberFormat="1" applyFont="1" applyFill="1" applyAlignment="1">
      <alignment vertical="center"/>
    </xf>
    <xf numFmtId="2" fontId="67" fillId="11" borderId="10" xfId="0" applyNumberFormat="1" applyFont="1" applyFill="1" applyBorder="1" applyAlignment="1">
      <alignment vertical="center"/>
    </xf>
    <xf numFmtId="2" fontId="67" fillId="11" borderId="10" xfId="0" applyNumberFormat="1" applyFont="1" applyFill="1" applyBorder="1" applyAlignment="1">
      <alignment vertical="center" wrapText="1"/>
    </xf>
    <xf numFmtId="2" fontId="68" fillId="11" borderId="0" xfId="0" applyNumberFormat="1" applyFont="1" applyFill="1" applyAlignment="1">
      <alignment horizontal="right"/>
    </xf>
    <xf numFmtId="2" fontId="67" fillId="11" borderId="23" xfId="0" applyNumberFormat="1" applyFont="1" applyFill="1" applyBorder="1" applyAlignment="1">
      <alignment horizontal="center" vertical="center"/>
    </xf>
    <xf numFmtId="2" fontId="77" fillId="8" borderId="0" xfId="0" applyNumberFormat="1" applyFont="1" applyFill="1" applyAlignment="1">
      <alignment vertical="center"/>
    </xf>
    <xf numFmtId="0" fontId="0" fillId="18" borderId="0" xfId="0" applyFill="1"/>
    <xf numFmtId="0" fontId="78" fillId="18" borderId="0" xfId="0" applyFont="1" applyFill="1"/>
    <xf numFmtId="0" fontId="3" fillId="18" borderId="24" xfId="0" applyFont="1" applyFill="1" applyBorder="1"/>
    <xf numFmtId="0" fontId="79" fillId="18" borderId="0" xfId="0" applyFont="1" applyFill="1" applyAlignment="1">
      <alignment horizontal="left"/>
    </xf>
    <xf numFmtId="0" fontId="3" fillId="18" borderId="0" xfId="0" applyFont="1" applyFill="1"/>
    <xf numFmtId="0" fontId="80" fillId="18" borderId="0" xfId="0" applyFont="1" applyFill="1"/>
    <xf numFmtId="0" fontId="3" fillId="18" borderId="25" xfId="0" applyFont="1" applyFill="1" applyBorder="1"/>
    <xf numFmtId="0" fontId="81" fillId="18" borderId="0" xfId="0" applyFont="1" applyFill="1" applyAlignment="1">
      <alignment horizontal="center"/>
    </xf>
    <xf numFmtId="0" fontId="68" fillId="18" borderId="0" xfId="0" applyFont="1" applyFill="1"/>
    <xf numFmtId="0" fontId="0" fillId="18" borderId="27" xfId="0" applyFill="1" applyBorder="1"/>
    <xf numFmtId="0" fontId="82" fillId="18" borderId="0" xfId="0" applyFont="1" applyFill="1" applyAlignment="1">
      <alignment horizontal="center"/>
    </xf>
    <xf numFmtId="0" fontId="83" fillId="18" borderId="0" xfId="0" applyFont="1" applyFill="1"/>
    <xf numFmtId="0" fontId="3" fillId="0" borderId="0" xfId="0" applyFont="1"/>
    <xf numFmtId="0" fontId="0" fillId="18" borderId="28" xfId="0" applyFill="1" applyBorder="1"/>
    <xf numFmtId="0" fontId="84" fillId="18" borderId="0" xfId="0" applyFont="1" applyFill="1"/>
    <xf numFmtId="0" fontId="85" fillId="18" borderId="30" xfId="0" applyFont="1" applyFill="1" applyBorder="1" applyAlignment="1">
      <alignment wrapText="1"/>
    </xf>
    <xf numFmtId="0" fontId="85" fillId="18" borderId="0" xfId="0" applyFont="1" applyFill="1" applyAlignment="1">
      <alignment wrapText="1"/>
    </xf>
    <xf numFmtId="0" fontId="3" fillId="18" borderId="31" xfId="0" applyFont="1" applyFill="1" applyBorder="1"/>
    <xf numFmtId="0" fontId="82" fillId="18" borderId="33" xfId="0" applyFont="1" applyFill="1" applyBorder="1"/>
    <xf numFmtId="0" fontId="0" fillId="18" borderId="34" xfId="0" applyFill="1" applyBorder="1"/>
    <xf numFmtId="0" fontId="0" fillId="18" borderId="25" xfId="0" applyFill="1" applyBorder="1"/>
    <xf numFmtId="0" fontId="1" fillId="18" borderId="35" xfId="0" applyFont="1" applyFill="1" applyBorder="1"/>
    <xf numFmtId="0" fontId="62" fillId="18" borderId="35" xfId="0" applyFont="1" applyFill="1" applyBorder="1"/>
    <xf numFmtId="167" fontId="62" fillId="18" borderId="35" xfId="0" applyNumberFormat="1" applyFont="1" applyFill="1" applyBorder="1"/>
    <xf numFmtId="0" fontId="0" fillId="18" borderId="36" xfId="0" applyFill="1" applyBorder="1"/>
    <xf numFmtId="0" fontId="3" fillId="18" borderId="37" xfId="0" applyFont="1" applyFill="1" applyBorder="1"/>
    <xf numFmtId="0" fontId="82" fillId="19" borderId="38" xfId="0" applyFont="1" applyFill="1" applyBorder="1"/>
    <xf numFmtId="0" fontId="82" fillId="20" borderId="38" xfId="0" applyFont="1" applyFill="1" applyBorder="1"/>
    <xf numFmtId="167" fontId="0" fillId="18" borderId="36" xfId="0" applyNumberFormat="1" applyFill="1" applyBorder="1"/>
    <xf numFmtId="167" fontId="0" fillId="18" borderId="0" xfId="0" applyNumberFormat="1" applyFill="1"/>
    <xf numFmtId="0" fontId="3" fillId="18" borderId="33" xfId="0" applyFont="1" applyFill="1" applyBorder="1" applyAlignment="1">
      <alignment wrapText="1"/>
    </xf>
    <xf numFmtId="0" fontId="84" fillId="18" borderId="39" xfId="0" applyFont="1" applyFill="1" applyBorder="1"/>
    <xf numFmtId="0" fontId="84" fillId="18" borderId="38" xfId="0" applyFont="1" applyFill="1" applyBorder="1"/>
    <xf numFmtId="0" fontId="84" fillId="18" borderId="40" xfId="0" applyFont="1" applyFill="1" applyBorder="1"/>
    <xf numFmtId="167" fontId="0" fillId="18" borderId="29" xfId="0" applyNumberFormat="1" applyFill="1" applyBorder="1"/>
    <xf numFmtId="167" fontId="0" fillId="18" borderId="24" xfId="0" applyNumberFormat="1" applyFill="1" applyBorder="1"/>
    <xf numFmtId="0" fontId="41" fillId="18" borderId="0" xfId="0" applyFont="1" applyFill="1"/>
    <xf numFmtId="2" fontId="3" fillId="18" borderId="41" xfId="0" applyNumberFormat="1" applyFont="1" applyFill="1" applyBorder="1"/>
    <xf numFmtId="167" fontId="3" fillId="18" borderId="42" xfId="0" applyNumberFormat="1" applyFont="1" applyFill="1" applyBorder="1" applyAlignment="1">
      <alignment horizontal="right"/>
    </xf>
    <xf numFmtId="167" fontId="3" fillId="18" borderId="32" xfId="0" applyNumberFormat="1" applyFont="1" applyFill="1" applyBorder="1" applyAlignment="1">
      <alignment horizontal="right"/>
    </xf>
    <xf numFmtId="0" fontId="80" fillId="18" borderId="35" xfId="0" applyFont="1" applyFill="1" applyBorder="1"/>
    <xf numFmtId="2" fontId="3" fillId="18" borderId="43" xfId="0" applyNumberFormat="1" applyFont="1" applyFill="1" applyBorder="1"/>
    <xf numFmtId="167" fontId="3" fillId="18" borderId="0" xfId="0" applyNumberFormat="1" applyFont="1" applyFill="1" applyAlignment="1">
      <alignment horizontal="right"/>
    </xf>
    <xf numFmtId="167" fontId="3" fillId="18" borderId="44" xfId="0" applyNumberFormat="1" applyFont="1" applyFill="1" applyBorder="1" applyAlignment="1">
      <alignment horizontal="right"/>
    </xf>
    <xf numFmtId="0" fontId="4" fillId="18" borderId="0" xfId="0" applyFont="1" applyFill="1"/>
    <xf numFmtId="0" fontId="3" fillId="18" borderId="0" xfId="0" applyFont="1" applyFill="1" applyAlignment="1">
      <alignment horizontal="right" vertical="center"/>
    </xf>
    <xf numFmtId="167" fontId="3" fillId="18" borderId="0" xfId="0" applyNumberFormat="1" applyFont="1" applyFill="1" applyAlignment="1">
      <alignment horizontal="right" vertical="center"/>
    </xf>
    <xf numFmtId="0" fontId="0" fillId="18" borderId="46" xfId="0" applyFill="1" applyBorder="1"/>
    <xf numFmtId="0" fontId="0" fillId="18" borderId="47" xfId="0" applyFill="1" applyBorder="1"/>
    <xf numFmtId="0" fontId="0" fillId="18" borderId="48" xfId="0" applyFill="1" applyBorder="1"/>
    <xf numFmtId="0" fontId="84" fillId="18" borderId="49" xfId="0" applyFont="1" applyFill="1" applyBorder="1"/>
    <xf numFmtId="0" fontId="84" fillId="18" borderId="46" xfId="0" applyFont="1" applyFill="1" applyBorder="1"/>
    <xf numFmtId="0" fontId="84" fillId="18" borderId="48" xfId="0" applyFont="1" applyFill="1" applyBorder="1" applyAlignment="1">
      <alignment wrapText="1"/>
    </xf>
    <xf numFmtId="0" fontId="0" fillId="18" borderId="45" xfId="0" applyFill="1" applyBorder="1"/>
    <xf numFmtId="0" fontId="0" fillId="18" borderId="50" xfId="0" applyFill="1" applyBorder="1"/>
    <xf numFmtId="9" fontId="0" fillId="18" borderId="0" xfId="0" applyNumberFormat="1" applyFill="1"/>
    <xf numFmtId="9" fontId="3" fillId="18" borderId="50" xfId="0" applyNumberFormat="1" applyFont="1" applyFill="1" applyBorder="1"/>
    <xf numFmtId="9" fontId="0" fillId="18" borderId="51" xfId="0" applyNumberFormat="1" applyFill="1" applyBorder="1"/>
    <xf numFmtId="178" fontId="0" fillId="18" borderId="0" xfId="0" applyNumberFormat="1" applyFill="1"/>
    <xf numFmtId="178" fontId="3" fillId="18" borderId="50" xfId="0" applyNumberFormat="1" applyFont="1" applyFill="1" applyBorder="1"/>
    <xf numFmtId="0" fontId="41" fillId="18" borderId="0" xfId="0" applyFont="1" applyFill="1" applyAlignment="1">
      <alignment horizontal="left"/>
    </xf>
    <xf numFmtId="0" fontId="87" fillId="18" borderId="0" xfId="0" applyFont="1" applyFill="1"/>
    <xf numFmtId="0" fontId="63" fillId="18" borderId="0" xfId="0" applyFont="1" applyFill="1"/>
    <xf numFmtId="0" fontId="88" fillId="18" borderId="0" xfId="0" applyFont="1" applyFill="1"/>
    <xf numFmtId="2" fontId="3" fillId="18" borderId="52" xfId="0" applyNumberFormat="1" applyFont="1" applyFill="1" applyBorder="1"/>
    <xf numFmtId="167" fontId="3" fillId="18" borderId="53" xfId="0" applyNumberFormat="1" applyFont="1" applyFill="1" applyBorder="1" applyAlignment="1">
      <alignment horizontal="right"/>
    </xf>
    <xf numFmtId="167" fontId="3" fillId="18" borderId="54" xfId="0" applyNumberFormat="1" applyFont="1" applyFill="1" applyBorder="1" applyAlignment="1">
      <alignment horizontal="right"/>
    </xf>
    <xf numFmtId="0" fontId="85" fillId="18" borderId="35" xfId="0" applyFont="1" applyFill="1" applyBorder="1" applyAlignment="1">
      <alignment wrapText="1"/>
    </xf>
    <xf numFmtId="0" fontId="0" fillId="18" borderId="35" xfId="0" applyFill="1" applyBorder="1"/>
    <xf numFmtId="0" fontId="89" fillId="18" borderId="0" xfId="0" applyFont="1" applyFill="1"/>
    <xf numFmtId="0" fontId="79" fillId="18" borderId="0" xfId="0" applyFont="1" applyFill="1"/>
    <xf numFmtId="0" fontId="41" fillId="18" borderId="55" xfId="0" applyFont="1" applyFill="1" applyBorder="1"/>
    <xf numFmtId="0" fontId="41" fillId="18" borderId="57" xfId="0" applyFont="1" applyFill="1" applyBorder="1"/>
    <xf numFmtId="0" fontId="90" fillId="18" borderId="58" xfId="0" applyFont="1" applyFill="1" applyBorder="1"/>
    <xf numFmtId="0" fontId="90" fillId="18" borderId="59" xfId="0" applyFont="1" applyFill="1" applyBorder="1"/>
    <xf numFmtId="0" fontId="90" fillId="18" borderId="60" xfId="0" applyFont="1" applyFill="1" applyBorder="1" applyAlignment="1">
      <alignment wrapText="1"/>
    </xf>
    <xf numFmtId="0" fontId="41" fillId="18" borderId="61" xfId="0" applyFont="1" applyFill="1" applyBorder="1"/>
    <xf numFmtId="0" fontId="81" fillId="18" borderId="0" xfId="0" applyFont="1" applyFill="1"/>
    <xf numFmtId="0" fontId="81" fillId="18" borderId="62" xfId="0" applyFont="1" applyFill="1" applyBorder="1"/>
    <xf numFmtId="167" fontId="41" fillId="18" borderId="63" xfId="0" applyNumberFormat="1" applyFont="1" applyFill="1" applyBorder="1"/>
    <xf numFmtId="167" fontId="41" fillId="18" borderId="0" xfId="0" applyNumberFormat="1" applyFont="1" applyFill="1"/>
    <xf numFmtId="167" fontId="41" fillId="18" borderId="62" xfId="0" applyNumberFormat="1" applyFont="1" applyFill="1" applyBorder="1"/>
    <xf numFmtId="167" fontId="41" fillId="18" borderId="64" xfId="0" applyNumberFormat="1" applyFont="1" applyFill="1" applyBorder="1"/>
    <xf numFmtId="167" fontId="41" fillId="18" borderId="57" xfId="0" applyNumberFormat="1" applyFont="1" applyFill="1" applyBorder="1"/>
    <xf numFmtId="167" fontId="41" fillId="18" borderId="65" xfId="0" applyNumberFormat="1" applyFont="1" applyFill="1" applyBorder="1"/>
    <xf numFmtId="0" fontId="41" fillId="18" borderId="67" xfId="0" applyFont="1" applyFill="1" applyBorder="1"/>
    <xf numFmtId="0" fontId="0" fillId="18" borderId="67" xfId="0" applyFill="1" applyBorder="1"/>
    <xf numFmtId="0" fontId="3" fillId="19" borderId="0" xfId="0" applyFont="1" applyFill="1"/>
    <xf numFmtId="2" fontId="3" fillId="18" borderId="42" xfId="0" applyNumberFormat="1" applyFont="1" applyFill="1" applyBorder="1"/>
    <xf numFmtId="0" fontId="0" fillId="8" borderId="0" xfId="0" applyFill="1"/>
    <xf numFmtId="1" fontId="0" fillId="8" borderId="0" xfId="0" applyNumberFormat="1" applyFill="1" applyAlignment="1">
      <alignment horizontal="center"/>
    </xf>
    <xf numFmtId="164" fontId="0" fillId="8" borderId="0" xfId="0" applyNumberFormat="1" applyFill="1"/>
    <xf numFmtId="164" fontId="0" fillId="6" borderId="0" xfId="0" applyNumberFormat="1" applyFill="1"/>
    <xf numFmtId="2" fontId="0" fillId="8" borderId="0" xfId="0" applyNumberFormat="1" applyFill="1"/>
    <xf numFmtId="1" fontId="0" fillId="8" borderId="0" xfId="0" applyNumberFormat="1" applyFill="1"/>
    <xf numFmtId="2" fontId="91" fillId="8" borderId="0" xfId="0" applyNumberFormat="1" applyFont="1" applyFill="1"/>
    <xf numFmtId="2" fontId="0" fillId="21" borderId="0" xfId="0" applyNumberFormat="1" applyFill="1"/>
    <xf numFmtId="164" fontId="0" fillId="21" borderId="0" xfId="0" applyNumberFormat="1" applyFill="1"/>
    <xf numFmtId="1" fontId="0" fillId="7" borderId="0" xfId="0" applyNumberFormat="1" applyFill="1" applyAlignment="1">
      <alignment horizontal="center"/>
    </xf>
    <xf numFmtId="164" fontId="0" fillId="7" borderId="0" xfId="0" applyNumberFormat="1" applyFill="1"/>
    <xf numFmtId="2" fontId="0" fillId="7" borderId="0" xfId="0" applyNumberFormat="1" applyFill="1"/>
    <xf numFmtId="2" fontId="0" fillId="7" borderId="0" xfId="0" applyNumberFormat="1" applyFill="1" applyAlignment="1">
      <alignment horizontal="center"/>
    </xf>
    <xf numFmtId="164" fontId="0" fillId="7" borderId="0" xfId="0" applyNumberFormat="1" applyFill="1" applyAlignment="1">
      <alignment horizontal="center"/>
    </xf>
    <xf numFmtId="164" fontId="77" fillId="7" borderId="0" xfId="0" applyNumberFormat="1" applyFont="1" applyFill="1" applyAlignment="1">
      <alignment horizontal="right"/>
    </xf>
    <xf numFmtId="2" fontId="30" fillId="7" borderId="0" xfId="0" applyNumberFormat="1" applyFont="1" applyFill="1" applyAlignment="1">
      <alignment horizontal="center"/>
    </xf>
    <xf numFmtId="2" fontId="33" fillId="7" borderId="0" xfId="0" applyNumberFormat="1" applyFont="1" applyFill="1"/>
    <xf numFmtId="164" fontId="0" fillId="8" borderId="0" xfId="0" applyNumberFormat="1" applyFill="1" applyAlignment="1">
      <alignment horizontal="center"/>
    </xf>
    <xf numFmtId="164" fontId="0" fillId="6" borderId="0" xfId="0" applyNumberFormat="1" applyFill="1" applyAlignment="1">
      <alignment horizontal="center"/>
    </xf>
    <xf numFmtId="2" fontId="0" fillId="6" borderId="0" xfId="0" applyNumberFormat="1" applyFill="1" applyAlignment="1">
      <alignment horizontal="center"/>
    </xf>
    <xf numFmtId="2" fontId="50" fillId="8" borderId="0" xfId="0" applyNumberFormat="1" applyFont="1" applyFill="1"/>
    <xf numFmtId="2" fontId="33" fillId="6" borderId="0" xfId="0" applyNumberFormat="1" applyFont="1" applyFill="1" applyAlignment="1">
      <alignment horizontal="center"/>
    </xf>
    <xf numFmtId="1" fontId="50" fillId="8" borderId="0" xfId="0" applyNumberFormat="1" applyFont="1" applyFill="1"/>
    <xf numFmtId="164" fontId="0" fillId="8" borderId="0" xfId="0" applyNumberFormat="1" applyFill="1" applyAlignment="1">
      <alignment vertical="top" wrapText="1"/>
    </xf>
    <xf numFmtId="0" fontId="0" fillId="8" borderId="0" xfId="0" applyFill="1" applyAlignment="1">
      <alignment vertical="top" wrapText="1"/>
    </xf>
    <xf numFmtId="164" fontId="77" fillId="8" borderId="0" xfId="0" applyNumberFormat="1" applyFont="1" applyFill="1" applyAlignment="1">
      <alignment horizontal="right"/>
    </xf>
    <xf numFmtId="2" fontId="50" fillId="8" borderId="68" xfId="0" applyNumberFormat="1" applyFont="1" applyFill="1" applyBorder="1"/>
    <xf numFmtId="2" fontId="50" fillId="0" borderId="5" xfId="0" applyNumberFormat="1" applyFont="1" applyBorder="1"/>
    <xf numFmtId="1" fontId="33" fillId="8" borderId="0" xfId="0" applyNumberFormat="1" applyFont="1" applyFill="1" applyAlignment="1">
      <alignment horizontal="center"/>
    </xf>
    <xf numFmtId="164" fontId="33" fillId="8" borderId="0" xfId="0" applyNumberFormat="1" applyFont="1" applyFill="1"/>
    <xf numFmtId="0" fontId="0" fillId="8" borderId="0" xfId="0" applyFill="1" applyAlignment="1">
      <alignment horizontal="center"/>
    </xf>
    <xf numFmtId="2" fontId="33" fillId="8" borderId="0" xfId="0" applyNumberFormat="1" applyFont="1" applyFill="1" applyAlignment="1">
      <alignment vertical="center"/>
    </xf>
    <xf numFmtId="2" fontId="33" fillId="8" borderId="0" xfId="0" applyNumberFormat="1" applyFont="1" applyFill="1"/>
    <xf numFmtId="2" fontId="50" fillId="0" borderId="0" xfId="0" applyNumberFormat="1" applyFont="1"/>
    <xf numFmtId="164" fontId="92" fillId="6" borderId="0" xfId="0" applyNumberFormat="1" applyFont="1" applyFill="1"/>
    <xf numFmtId="164" fontId="3" fillId="8" borderId="0" xfId="0" applyNumberFormat="1" applyFont="1" applyFill="1"/>
    <xf numFmtId="1" fontId="77" fillId="8" borderId="0" xfId="0" applyNumberFormat="1" applyFont="1" applyFill="1" applyAlignment="1">
      <alignment horizontal="center"/>
    </xf>
    <xf numFmtId="164" fontId="19" fillId="8" borderId="0" xfId="0" applyNumberFormat="1" applyFont="1" applyFill="1" applyAlignment="1">
      <alignment horizontal="left"/>
    </xf>
    <xf numFmtId="2" fontId="19" fillId="8" borderId="0" xfId="0" applyNumberFormat="1" applyFont="1" applyFill="1" applyAlignment="1">
      <alignment horizontal="left"/>
    </xf>
    <xf numFmtId="2" fontId="11" fillId="8" borderId="0" xfId="0" applyNumberFormat="1" applyFont="1" applyFill="1" applyAlignment="1">
      <alignment horizontal="right"/>
    </xf>
    <xf numFmtId="2" fontId="77" fillId="8" borderId="0" xfId="0" applyNumberFormat="1" applyFont="1" applyFill="1" applyAlignment="1">
      <alignment horizontal="right"/>
    </xf>
    <xf numFmtId="2" fontId="77" fillId="0" borderId="0" xfId="0" applyNumberFormat="1" applyFont="1" applyAlignment="1">
      <alignment horizontal="right"/>
    </xf>
    <xf numFmtId="1" fontId="77" fillId="8" borderId="0" xfId="0" applyNumberFormat="1" applyFont="1" applyFill="1" applyAlignment="1">
      <alignment horizontal="right"/>
    </xf>
    <xf numFmtId="164" fontId="93" fillId="8" borderId="0" xfId="0" applyNumberFormat="1" applyFont="1" applyFill="1"/>
    <xf numFmtId="2" fontId="93" fillId="8" borderId="0" xfId="0" applyNumberFormat="1" applyFont="1" applyFill="1"/>
    <xf numFmtId="179" fontId="93" fillId="8" borderId="0" xfId="0" applyNumberFormat="1" applyFont="1" applyFill="1"/>
    <xf numFmtId="2" fontId="93" fillId="8" borderId="0" xfId="0" applyNumberFormat="1" applyFont="1" applyFill="1" applyAlignment="1">
      <alignment horizontal="right"/>
    </xf>
    <xf numFmtId="164" fontId="77" fillId="8" borderId="0" xfId="0" applyNumberFormat="1" applyFont="1" applyFill="1"/>
    <xf numFmtId="1" fontId="77" fillId="8" borderId="0" xfId="0" applyNumberFormat="1" applyFont="1" applyFill="1"/>
    <xf numFmtId="2" fontId="93" fillId="0" borderId="0" xfId="0" applyNumberFormat="1" applyFont="1"/>
    <xf numFmtId="1" fontId="34" fillId="8" borderId="0" xfId="0" applyNumberFormat="1" applyFont="1" applyFill="1" applyAlignment="1">
      <alignment horizontal="center"/>
    </xf>
    <xf numFmtId="164" fontId="66" fillId="8" borderId="0" xfId="0" applyNumberFormat="1" applyFont="1" applyFill="1"/>
    <xf numFmtId="164" fontId="66" fillId="6" borderId="0" xfId="0" applyNumberFormat="1" applyFont="1" applyFill="1"/>
    <xf numFmtId="164" fontId="41" fillId="8" borderId="0" xfId="0" applyNumberFormat="1" applyFont="1" applyFill="1" applyAlignment="1">
      <alignment horizontal="center"/>
    </xf>
    <xf numFmtId="2" fontId="41" fillId="8" borderId="0" xfId="0" applyNumberFormat="1" applyFont="1" applyFill="1" applyAlignment="1">
      <alignment horizontal="center"/>
    </xf>
    <xf numFmtId="1" fontId="44" fillId="8" borderId="0" xfId="0" applyNumberFormat="1" applyFont="1" applyFill="1"/>
    <xf numFmtId="164" fontId="36" fillId="8" borderId="0" xfId="0" applyNumberFormat="1" applyFont="1" applyFill="1"/>
    <xf numFmtId="164" fontId="94" fillId="9" borderId="0" xfId="0" applyNumberFormat="1" applyFont="1" applyFill="1"/>
    <xf numFmtId="179" fontId="94" fillId="9" borderId="0" xfId="0" applyNumberFormat="1" applyFont="1" applyFill="1"/>
    <xf numFmtId="2" fontId="94" fillId="9" borderId="0" xfId="0" applyNumberFormat="1" applyFont="1" applyFill="1"/>
    <xf numFmtId="2" fontId="36" fillId="8" borderId="0" xfId="0" applyNumberFormat="1" applyFont="1" applyFill="1"/>
    <xf numFmtId="2" fontId="36" fillId="0" borderId="0" xfId="0" applyNumberFormat="1" applyFont="1"/>
    <xf numFmtId="1" fontId="36" fillId="8" borderId="0" xfId="0" applyNumberFormat="1" applyFont="1" applyFill="1" applyAlignment="1">
      <alignment horizontal="center"/>
    </xf>
    <xf numFmtId="2" fontId="3" fillId="8" borderId="0" xfId="0" applyNumberFormat="1" applyFont="1" applyFill="1"/>
    <xf numFmtId="164" fontId="80" fillId="8" borderId="0" xfId="0" applyNumberFormat="1" applyFont="1" applyFill="1"/>
    <xf numFmtId="2" fontId="80" fillId="8" borderId="0" xfId="0" applyNumberFormat="1" applyFont="1" applyFill="1"/>
    <xf numFmtId="2" fontId="66" fillId="8" borderId="0" xfId="0" applyNumberFormat="1" applyFont="1" applyFill="1"/>
    <xf numFmtId="2" fontId="95" fillId="8" borderId="0" xfId="0" applyNumberFormat="1" applyFont="1" applyFill="1"/>
    <xf numFmtId="164" fontId="95" fillId="8" borderId="0" xfId="0" applyNumberFormat="1" applyFont="1" applyFill="1"/>
    <xf numFmtId="180" fontId="3" fillId="8" borderId="0" xfId="0" applyNumberFormat="1" applyFont="1" applyFill="1"/>
    <xf numFmtId="164" fontId="3" fillId="6" borderId="0" xfId="0" applyNumberFormat="1" applyFont="1" applyFill="1"/>
    <xf numFmtId="2" fontId="3" fillId="8" borderId="0" xfId="0" applyNumberFormat="1" applyFont="1" applyFill="1" applyAlignment="1">
      <alignment horizontal="right"/>
    </xf>
    <xf numFmtId="2" fontId="3" fillId="0" borderId="0" xfId="0" applyNumberFormat="1" applyFont="1"/>
    <xf numFmtId="1" fontId="41" fillId="8" borderId="0" xfId="0" applyNumberFormat="1" applyFont="1" applyFill="1" applyAlignment="1">
      <alignment horizontal="center"/>
    </xf>
    <xf numFmtId="0" fontId="77" fillId="8" borderId="0" xfId="0" applyFont="1" applyFill="1"/>
    <xf numFmtId="179" fontId="3" fillId="6" borderId="0" xfId="0" applyNumberFormat="1" applyFont="1" applyFill="1" applyAlignment="1">
      <alignment horizontal="right"/>
    </xf>
    <xf numFmtId="164" fontId="31" fillId="8" borderId="0" xfId="0" applyNumberFormat="1" applyFont="1" applyFill="1"/>
    <xf numFmtId="164" fontId="31" fillId="6" borderId="0" xfId="0" applyNumberFormat="1" applyFont="1" applyFill="1"/>
    <xf numFmtId="2" fontId="31" fillId="6" borderId="0" xfId="0" applyNumberFormat="1" applyFont="1" applyFill="1"/>
    <xf numFmtId="2" fontId="31" fillId="8" borderId="0" xfId="0" applyNumberFormat="1" applyFont="1" applyFill="1"/>
    <xf numFmtId="164" fontId="96" fillId="6" borderId="0" xfId="0" applyNumberFormat="1" applyFont="1" applyFill="1"/>
    <xf numFmtId="1" fontId="31" fillId="8" borderId="0" xfId="0" applyNumberFormat="1" applyFont="1" applyFill="1"/>
    <xf numFmtId="2" fontId="97" fillId="8" borderId="0" xfId="0" applyNumberFormat="1" applyFont="1" applyFill="1"/>
    <xf numFmtId="2" fontId="31" fillId="0" borderId="0" xfId="0" applyNumberFormat="1" applyFont="1"/>
    <xf numFmtId="1" fontId="31" fillId="8" borderId="0" xfId="0" applyNumberFormat="1" applyFont="1" applyFill="1" applyAlignment="1">
      <alignment horizontal="center"/>
    </xf>
    <xf numFmtId="164" fontId="98" fillId="6" borderId="0" xfId="0" applyNumberFormat="1" applyFont="1" applyFill="1"/>
    <xf numFmtId="164" fontId="99" fillId="6" borderId="0" xfId="0" applyNumberFormat="1" applyFont="1" applyFill="1" applyAlignment="1">
      <alignment horizontal="right"/>
    </xf>
    <xf numFmtId="2" fontId="99" fillId="6" borderId="0" xfId="0" applyNumberFormat="1" applyFont="1" applyFill="1" applyAlignment="1">
      <alignment horizontal="right"/>
    </xf>
    <xf numFmtId="2" fontId="99" fillId="8" borderId="0" xfId="0" applyNumberFormat="1" applyFont="1" applyFill="1" applyAlignment="1">
      <alignment horizontal="right"/>
    </xf>
    <xf numFmtId="1" fontId="3" fillId="8" borderId="0" xfId="0" applyNumberFormat="1" applyFont="1" applyFill="1" applyAlignment="1">
      <alignment horizontal="center"/>
    </xf>
    <xf numFmtId="2" fontId="80" fillId="8" borderId="0" xfId="0" applyNumberFormat="1" applyFont="1" applyFill="1" applyAlignment="1">
      <alignment horizontal="right"/>
    </xf>
    <xf numFmtId="2" fontId="100" fillId="8" borderId="0" xfId="0" applyNumberFormat="1" applyFont="1" applyFill="1" applyAlignment="1">
      <alignment horizontal="right" wrapText="1"/>
    </xf>
    <xf numFmtId="2" fontId="100" fillId="8" borderId="0" xfId="0" applyNumberFormat="1" applyFont="1" applyFill="1" applyAlignment="1">
      <alignment horizontal="right"/>
    </xf>
    <xf numFmtId="0" fontId="0" fillId="22" borderId="0" xfId="0" applyFill="1"/>
    <xf numFmtId="0" fontId="103" fillId="0" borderId="0" xfId="0" applyFont="1"/>
    <xf numFmtId="0" fontId="102" fillId="11" borderId="0" xfId="0" applyFont="1" applyFill="1"/>
    <xf numFmtId="0" fontId="104" fillId="0" borderId="0" xfId="0" applyFont="1"/>
    <xf numFmtId="0" fontId="60" fillId="0" borderId="0" xfId="0" applyFont="1"/>
    <xf numFmtId="0" fontId="0" fillId="0" borderId="9" xfId="0" applyBorder="1"/>
    <xf numFmtId="0" fontId="0" fillId="0" borderId="74" xfId="0" applyBorder="1"/>
    <xf numFmtId="0" fontId="42" fillId="0" borderId="0" xfId="0" applyFont="1" applyAlignment="1">
      <alignment horizontal="center" vertical="center" wrapText="1"/>
    </xf>
    <xf numFmtId="181" fontId="42" fillId="6" borderId="0" xfId="0" applyNumberFormat="1" applyFont="1" applyFill="1" applyAlignment="1">
      <alignment horizontal="center" vertical="center"/>
    </xf>
    <xf numFmtId="181" fontId="0" fillId="6" borderId="0" xfId="0" applyNumberFormat="1" applyFill="1"/>
    <xf numFmtId="0" fontId="42" fillId="0" borderId="7" xfId="0" applyFont="1" applyBorder="1" applyAlignment="1">
      <alignment horizontal="center"/>
    </xf>
    <xf numFmtId="0" fontId="42" fillId="0" borderId="74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42" fillId="0" borderId="76" xfId="0" applyFont="1" applyBorder="1" applyAlignment="1">
      <alignment horizontal="center" vertical="center" wrapText="1"/>
    </xf>
    <xf numFmtId="0" fontId="42" fillId="0" borderId="84" xfId="0" applyFont="1" applyBorder="1" applyAlignment="1">
      <alignment horizontal="center"/>
    </xf>
    <xf numFmtId="0" fontId="42" fillId="0" borderId="73" xfId="0" applyFont="1" applyBorder="1" applyAlignment="1">
      <alignment horizontal="center"/>
    </xf>
    <xf numFmtId="0" fontId="42" fillId="0" borderId="76" xfId="0" applyFont="1" applyBorder="1" applyAlignment="1">
      <alignment horizontal="center"/>
    </xf>
    <xf numFmtId="0" fontId="42" fillId="0" borderId="77" xfId="0" applyFont="1" applyBorder="1" applyAlignment="1">
      <alignment horizontal="center"/>
    </xf>
    <xf numFmtId="0" fontId="42" fillId="0" borderId="78" xfId="0" applyFont="1" applyBorder="1" applyAlignment="1">
      <alignment horizontal="center"/>
    </xf>
    <xf numFmtId="0" fontId="42" fillId="0" borderId="79" xfId="0" applyFont="1" applyBorder="1" applyAlignment="1">
      <alignment horizontal="center"/>
    </xf>
    <xf numFmtId="0" fontId="56" fillId="0" borderId="0" xfId="0" applyFont="1"/>
    <xf numFmtId="4" fontId="57" fillId="0" borderId="0" xfId="0" applyNumberFormat="1" applyFont="1"/>
    <xf numFmtId="167" fontId="42" fillId="0" borderId="0" xfId="0" applyNumberFormat="1" applyFont="1"/>
    <xf numFmtId="168" fontId="42" fillId="0" borderId="0" xfId="0" applyNumberFormat="1" applyFont="1"/>
    <xf numFmtId="3" fontId="42" fillId="0" borderId="0" xfId="0" applyNumberFormat="1" applyFont="1"/>
    <xf numFmtId="168" fontId="59" fillId="0" borderId="0" xfId="0" applyNumberFormat="1" applyFont="1"/>
    <xf numFmtId="2" fontId="3" fillId="6" borderId="19" xfId="0" applyNumberFormat="1" applyFont="1" applyFill="1" applyBorder="1"/>
    <xf numFmtId="175" fontId="3" fillId="15" borderId="0" xfId="0" applyNumberFormat="1" applyFont="1" applyFill="1" applyAlignment="1">
      <alignment horizontal="right"/>
    </xf>
    <xf numFmtId="175" fontId="3" fillId="15" borderId="85" xfId="0" applyNumberFormat="1" applyFont="1" applyFill="1" applyBorder="1" applyAlignment="1">
      <alignment horizontal="right"/>
    </xf>
    <xf numFmtId="175" fontId="3" fillId="15" borderId="86" xfId="0" applyNumberFormat="1" applyFont="1" applyFill="1" applyBorder="1" applyAlignment="1">
      <alignment horizontal="right"/>
    </xf>
    <xf numFmtId="167" fontId="0" fillId="18" borderId="87" xfId="0" applyNumberFormat="1" applyFill="1" applyBorder="1"/>
    <xf numFmtId="0" fontId="80" fillId="18" borderId="88" xfId="0" applyFont="1" applyFill="1" applyBorder="1"/>
    <xf numFmtId="0" fontId="80" fillId="18" borderId="89" xfId="0" applyFont="1" applyFill="1" applyBorder="1"/>
    <xf numFmtId="0" fontId="0" fillId="18" borderId="89" xfId="0" applyFill="1" applyBorder="1"/>
    <xf numFmtId="0" fontId="0" fillId="18" borderId="44" xfId="0" applyFill="1" applyBorder="1"/>
    <xf numFmtId="0" fontId="0" fillId="18" borderId="91" xfId="0" applyFill="1" applyBorder="1"/>
    <xf numFmtId="0" fontId="3" fillId="18" borderId="92" xfId="0" applyFont="1" applyFill="1" applyBorder="1"/>
    <xf numFmtId="0" fontId="85" fillId="18" borderId="90" xfId="0" applyFont="1" applyFill="1" applyBorder="1" applyAlignment="1">
      <alignment wrapText="1"/>
    </xf>
    <xf numFmtId="167" fontId="0" fillId="18" borderId="92" xfId="0" applyNumberFormat="1" applyFill="1" applyBorder="1"/>
    <xf numFmtId="0" fontId="0" fillId="18" borderId="92" xfId="0" applyFill="1" applyBorder="1"/>
    <xf numFmtId="167" fontId="0" fillId="18" borderId="93" xfId="0" applyNumberFormat="1" applyFill="1" applyBorder="1"/>
    <xf numFmtId="0" fontId="3" fillId="18" borderId="44" xfId="0" applyFont="1" applyFill="1" applyBorder="1"/>
    <xf numFmtId="167" fontId="0" fillId="18" borderId="91" xfId="0" applyNumberFormat="1" applyFill="1" applyBorder="1"/>
    <xf numFmtId="0" fontId="56" fillId="0" borderId="7" xfId="0" applyFont="1" applyBorder="1"/>
    <xf numFmtId="0" fontId="56" fillId="0" borderId="74" xfId="0" applyFont="1" applyBorder="1"/>
    <xf numFmtId="3" fontId="58" fillId="0" borderId="6" xfId="0" applyNumberFormat="1" applyFont="1" applyBorder="1" applyAlignment="1">
      <alignment horizontal="center" vertical="center"/>
    </xf>
    <xf numFmtId="166" fontId="58" fillId="0" borderId="6" xfId="0" applyNumberFormat="1" applyFont="1" applyBorder="1" applyAlignment="1">
      <alignment horizontal="center" vertical="center"/>
    </xf>
    <xf numFmtId="166" fontId="42" fillId="0" borderId="6" xfId="0" applyNumberFormat="1" applyFont="1" applyBorder="1"/>
    <xf numFmtId="3" fontId="54" fillId="0" borderId="6" xfId="0" applyNumberFormat="1" applyFont="1" applyBorder="1"/>
    <xf numFmtId="167" fontId="58" fillId="0" borderId="6" xfId="0" applyNumberFormat="1" applyFont="1" applyBorder="1" applyAlignment="1">
      <alignment horizontal="center" vertical="center"/>
    </xf>
    <xf numFmtId="168" fontId="58" fillId="0" borderId="6" xfId="0" applyNumberFormat="1" applyFont="1" applyBorder="1" applyAlignment="1">
      <alignment horizontal="center" vertical="center"/>
    </xf>
    <xf numFmtId="168" fontId="54" fillId="0" borderId="6" xfId="0" applyNumberFormat="1" applyFont="1" applyBorder="1" applyAlignment="1">
      <alignment wrapText="1"/>
    </xf>
    <xf numFmtId="168" fontId="54" fillId="0" borderId="6" xfId="0" applyNumberFormat="1" applyFont="1" applyBorder="1"/>
    <xf numFmtId="3" fontId="15" fillId="6" borderId="0" xfId="0" applyNumberFormat="1" applyFont="1" applyFill="1"/>
    <xf numFmtId="168" fontId="15" fillId="6" borderId="0" xfId="0" applyNumberFormat="1" applyFont="1" applyFill="1"/>
    <xf numFmtId="3" fontId="42" fillId="6" borderId="0" xfId="0" applyNumberFormat="1" applyFont="1" applyFill="1"/>
    <xf numFmtId="3" fontId="13" fillId="6" borderId="0" xfId="0" applyNumberFormat="1" applyFont="1" applyFill="1"/>
    <xf numFmtId="168" fontId="42" fillId="6" borderId="0" xfId="0" applyNumberFormat="1" applyFont="1" applyFill="1"/>
    <xf numFmtId="168" fontId="13" fillId="6" borderId="0" xfId="0" applyNumberFormat="1" applyFont="1" applyFill="1"/>
    <xf numFmtId="168" fontId="0" fillId="6" borderId="0" xfId="0" applyNumberFormat="1" applyFill="1"/>
    <xf numFmtId="0" fontId="0" fillId="0" borderId="71" xfId="0" applyBorder="1"/>
    <xf numFmtId="0" fontId="0" fillId="0" borderId="72" xfId="0" applyBorder="1"/>
    <xf numFmtId="0" fontId="0" fillId="0" borderId="69" xfId="0" applyBorder="1"/>
    <xf numFmtId="0" fontId="0" fillId="0" borderId="70" xfId="0" applyBorder="1"/>
    <xf numFmtId="2" fontId="48" fillId="9" borderId="0" xfId="0" applyNumberFormat="1" applyFont="1" applyFill="1"/>
    <xf numFmtId="0" fontId="27" fillId="7" borderId="0" xfId="0" applyFont="1" applyFill="1" applyAlignment="1">
      <alignment horizontal="center" vertical="center" wrapText="1"/>
    </xf>
    <xf numFmtId="0" fontId="0" fillId="0" borderId="0" xfId="0"/>
    <xf numFmtId="0" fontId="7" fillId="7" borderId="0" xfId="0" applyFont="1" applyFill="1" applyAlignment="1">
      <alignment horizontal="center" vertical="center" wrapText="1"/>
    </xf>
    <xf numFmtId="0" fontId="6" fillId="0" borderId="0" xfId="0" applyFont="1"/>
    <xf numFmtId="0" fontId="5" fillId="0" borderId="0" xfId="0" applyFont="1"/>
    <xf numFmtId="0" fontId="11" fillId="8" borderId="0" xfId="0" applyFont="1" applyFill="1" applyAlignment="1">
      <alignment horizontal="left"/>
    </xf>
    <xf numFmtId="0" fontId="10" fillId="0" borderId="0" xfId="0" applyFont="1"/>
    <xf numFmtId="0" fontId="39" fillId="9" borderId="0" xfId="0" applyFont="1" applyFill="1" applyAlignment="1">
      <alignment horizontal="left" vertical="center" wrapText="1"/>
    </xf>
    <xf numFmtId="0" fontId="32" fillId="8" borderId="0" xfId="0" applyFont="1" applyFill="1" applyAlignment="1">
      <alignment horizontal="center"/>
    </xf>
    <xf numFmtId="0" fontId="39" fillId="6" borderId="0" xfId="0" applyFont="1" applyFill="1" applyAlignment="1">
      <alignment horizontal="left" vertical="center" wrapText="1"/>
    </xf>
    <xf numFmtId="167" fontId="49" fillId="6" borderId="95" xfId="0" applyNumberFormat="1" applyFont="1" applyFill="1" applyBorder="1" applyAlignment="1">
      <alignment horizontal="left" vertical="center" wrapText="1"/>
    </xf>
    <xf numFmtId="167" fontId="49" fillId="6" borderId="71" xfId="0" applyNumberFormat="1" applyFont="1" applyFill="1" applyBorder="1" applyAlignment="1">
      <alignment horizontal="left" vertical="center" wrapText="1"/>
    </xf>
    <xf numFmtId="0" fontId="49" fillId="6" borderId="0" xfId="0" applyFont="1" applyFill="1" applyAlignment="1">
      <alignment horizontal="left" vertical="center" wrapText="1"/>
    </xf>
    <xf numFmtId="0" fontId="0" fillId="6" borderId="0" xfId="0" applyFill="1"/>
    <xf numFmtId="3" fontId="49" fillId="11" borderId="2" xfId="0" applyNumberFormat="1" applyFont="1" applyFill="1" applyBorder="1" applyAlignment="1">
      <alignment horizontal="left" vertical="center" wrapText="1"/>
    </xf>
    <xf numFmtId="0" fontId="0" fillId="0" borderId="71" xfId="0" applyBorder="1"/>
    <xf numFmtId="0" fontId="0" fillId="0" borderId="72" xfId="0" applyBorder="1"/>
    <xf numFmtId="166" fontId="49" fillId="6" borderId="2" xfId="0" applyNumberFormat="1" applyFont="1" applyFill="1" applyBorder="1" applyAlignment="1">
      <alignment horizontal="left" vertical="center" wrapText="1"/>
    </xf>
    <xf numFmtId="0" fontId="49" fillId="11" borderId="2" xfId="0" applyFont="1" applyFill="1" applyBorder="1" applyAlignment="1">
      <alignment horizontal="left" vertical="center" wrapText="1"/>
    </xf>
    <xf numFmtId="166" fontId="49" fillId="0" borderId="2" xfId="0" applyNumberFormat="1" applyFont="1" applyBorder="1" applyAlignment="1">
      <alignment horizontal="left" vertical="center" wrapText="1"/>
    </xf>
    <xf numFmtId="168" fontId="49" fillId="6" borderId="2" xfId="0" applyNumberFormat="1" applyFont="1" applyFill="1" applyBorder="1" applyAlignment="1">
      <alignment horizontal="left" vertical="center" wrapText="1"/>
    </xf>
    <xf numFmtId="2" fontId="41" fillId="0" borderId="0" xfId="0" applyNumberFormat="1" applyFont="1"/>
    <xf numFmtId="0" fontId="46" fillId="0" borderId="0" xfId="0" applyFont="1" applyAlignment="1">
      <alignment horizontal="center" vertical="center" wrapText="1"/>
    </xf>
    <xf numFmtId="0" fontId="53" fillId="8" borderId="0" xfId="0" applyFont="1" applyFill="1" applyAlignment="1">
      <alignment horizontal="left"/>
    </xf>
    <xf numFmtId="0" fontId="59" fillId="0" borderId="6" xfId="0" applyFont="1" applyBorder="1"/>
    <xf numFmtId="0" fontId="0" fillId="0" borderId="74" xfId="0" applyBorder="1"/>
    <xf numFmtId="0" fontId="0" fillId="0" borderId="9" xfId="0" applyBorder="1"/>
    <xf numFmtId="0" fontId="60" fillId="0" borderId="0" xfId="0" applyFont="1"/>
    <xf numFmtId="0" fontId="53" fillId="8" borderId="0" xfId="0" applyFont="1" applyFill="1"/>
    <xf numFmtId="0" fontId="13" fillId="0" borderId="0" xfId="0" applyFont="1" applyAlignment="1">
      <alignment horizontal="center"/>
    </xf>
    <xf numFmtId="0" fontId="54" fillId="6" borderId="0" xfId="0" applyFont="1" applyFill="1" applyAlignment="1">
      <alignment vertical="center" wrapText="1"/>
    </xf>
    <xf numFmtId="0" fontId="60" fillId="0" borderId="94" xfId="0" applyFont="1" applyBorder="1" applyAlignment="1">
      <alignment horizontal="left"/>
    </xf>
    <xf numFmtId="0" fontId="0" fillId="0" borderId="94" xfId="0" applyBorder="1"/>
    <xf numFmtId="0" fontId="52" fillId="9" borderId="0" xfId="0" applyFont="1" applyFill="1" applyAlignment="1">
      <alignment horizontal="left"/>
    </xf>
    <xf numFmtId="0" fontId="15" fillId="0" borderId="6" xfId="0" applyFont="1" applyBorder="1" applyAlignment="1">
      <alignment horizontal="left"/>
    </xf>
    <xf numFmtId="0" fontId="52" fillId="9" borderId="0" xfId="0" applyFont="1" applyFill="1"/>
    <xf numFmtId="0" fontId="54" fillId="0" borderId="0" xfId="0" applyFont="1" applyAlignment="1">
      <alignment horizontal="center" vertical="center"/>
    </xf>
    <xf numFmtId="0" fontId="56" fillId="0" borderId="6" xfId="0" applyFont="1" applyBorder="1" applyAlignment="1">
      <alignment horizontal="center"/>
    </xf>
    <xf numFmtId="168" fontId="54" fillId="0" borderId="6" xfId="0" applyNumberFormat="1" applyFont="1" applyBorder="1"/>
    <xf numFmtId="167" fontId="54" fillId="0" borderId="8" xfId="0" applyNumberFormat="1" applyFont="1" applyBorder="1" applyAlignment="1">
      <alignment horizontal="center"/>
    </xf>
    <xf numFmtId="0" fontId="0" fillId="0" borderId="75" xfId="0" applyBorder="1"/>
    <xf numFmtId="0" fontId="27" fillId="8" borderId="0" xfId="0" applyFont="1" applyFill="1" applyAlignment="1">
      <alignment horizontal="center"/>
    </xf>
    <xf numFmtId="0" fontId="64" fillId="6" borderId="0" xfId="0" applyFont="1" applyFill="1" applyAlignment="1">
      <alignment horizontal="center" vertical="center"/>
    </xf>
    <xf numFmtId="0" fontId="0" fillId="7" borderId="0" xfId="0" applyFill="1" applyAlignment="1">
      <alignment horizontal="center"/>
    </xf>
    <xf numFmtId="0" fontId="0" fillId="13" borderId="0" xfId="0" applyFill="1"/>
    <xf numFmtId="2" fontId="69" fillId="11" borderId="0" xfId="0" applyNumberFormat="1" applyFont="1" applyFill="1" applyAlignment="1">
      <alignment horizontal="center"/>
    </xf>
    <xf numFmtId="0" fontId="68" fillId="11" borderId="0" xfId="0" applyFont="1" applyFill="1"/>
    <xf numFmtId="2" fontId="67" fillId="11" borderId="0" xfId="0" applyNumberFormat="1" applyFont="1" applyFill="1" applyAlignment="1">
      <alignment horizontal="center" vertical="center" wrapText="1"/>
    </xf>
    <xf numFmtId="0" fontId="30" fillId="7" borderId="0" xfId="0" applyFont="1" applyFill="1" applyAlignment="1">
      <alignment horizontal="center"/>
    </xf>
    <xf numFmtId="2" fontId="67" fillId="11" borderId="10" xfId="0" applyNumberFormat="1" applyFont="1" applyFill="1" applyBorder="1" applyAlignment="1">
      <alignment horizontal="center" vertical="center"/>
    </xf>
    <xf numFmtId="0" fontId="0" fillId="0" borderId="10" xfId="0" applyBorder="1"/>
    <xf numFmtId="2" fontId="67" fillId="11" borderId="10" xfId="0" applyNumberFormat="1" applyFont="1" applyFill="1" applyBorder="1" applyAlignment="1">
      <alignment horizontal="center" vertical="center" wrapText="1"/>
    </xf>
    <xf numFmtId="2" fontId="77" fillId="8" borderId="0" xfId="0" applyNumberFormat="1" applyFont="1" applyFill="1" applyAlignment="1">
      <alignment horizontal="center" vertical="center"/>
    </xf>
    <xf numFmtId="2" fontId="67" fillId="11" borderId="0" xfId="0" applyNumberFormat="1" applyFont="1" applyFill="1" applyAlignment="1">
      <alignment horizontal="center" vertical="center"/>
    </xf>
    <xf numFmtId="2" fontId="67" fillId="11" borderId="0" xfId="0" applyNumberFormat="1" applyFont="1" applyFill="1" applyAlignment="1">
      <alignment horizontal="center"/>
    </xf>
    <xf numFmtId="0" fontId="81" fillId="11" borderId="26" xfId="0" applyFont="1" applyFill="1" applyBorder="1" applyAlignment="1">
      <alignment horizontal="center"/>
    </xf>
    <xf numFmtId="0" fontId="0" fillId="0" borderId="80" xfId="0" applyBorder="1"/>
    <xf numFmtId="0" fontId="0" fillId="0" borderId="81" xfId="0" applyBorder="1"/>
    <xf numFmtId="0" fontId="86" fillId="11" borderId="26" xfId="0" applyFont="1" applyFill="1" applyBorder="1" applyAlignment="1">
      <alignment horizontal="center"/>
    </xf>
    <xf numFmtId="0" fontId="81" fillId="18" borderId="56" xfId="0" applyFont="1" applyFill="1" applyBorder="1" applyAlignment="1">
      <alignment horizontal="center"/>
    </xf>
    <xf numFmtId="0" fontId="0" fillId="18" borderId="0" xfId="0" applyFill="1"/>
    <xf numFmtId="0" fontId="0" fillId="0" borderId="82" xfId="0" applyBorder="1"/>
    <xf numFmtId="0" fontId="82" fillId="18" borderId="32" xfId="0" applyFont="1" applyFill="1" applyBorder="1" applyAlignment="1">
      <alignment horizontal="center"/>
    </xf>
    <xf numFmtId="0" fontId="0" fillId="0" borderId="32" xfId="0" applyBorder="1"/>
    <xf numFmtId="0" fontId="81" fillId="18" borderId="26" xfId="0" applyFont="1" applyFill="1" applyBorder="1" applyAlignment="1">
      <alignment horizontal="center"/>
    </xf>
    <xf numFmtId="0" fontId="81" fillId="19" borderId="56" xfId="0" applyFont="1" applyFill="1" applyBorder="1" applyAlignment="1">
      <alignment horizontal="center"/>
    </xf>
    <xf numFmtId="0" fontId="82" fillId="19" borderId="28" xfId="0" applyFont="1" applyFill="1" applyBorder="1" applyAlignment="1">
      <alignment horizontal="center"/>
    </xf>
    <xf numFmtId="0" fontId="0" fillId="0" borderId="24" xfId="0" applyBorder="1"/>
    <xf numFmtId="0" fontId="0" fillId="0" borderId="83" xfId="0" applyBorder="1"/>
    <xf numFmtId="0" fontId="82" fillId="20" borderId="29" xfId="0" applyFont="1" applyFill="1" applyBorder="1" applyAlignment="1">
      <alignment horizontal="center"/>
    </xf>
    <xf numFmtId="0" fontId="82" fillId="20" borderId="45" xfId="0" applyFont="1" applyFill="1" applyBorder="1" applyAlignment="1">
      <alignment horizontal="center"/>
    </xf>
    <xf numFmtId="0" fontId="0" fillId="0" borderId="50" xfId="0" applyBorder="1"/>
    <xf numFmtId="0" fontId="82" fillId="19" borderId="45" xfId="0" applyFont="1" applyFill="1" applyBorder="1" applyAlignment="1">
      <alignment horizontal="center"/>
    </xf>
    <xf numFmtId="0" fontId="41" fillId="19" borderId="0" xfId="0" applyFont="1" applyFill="1" applyAlignment="1">
      <alignment horizontal="center"/>
    </xf>
    <xf numFmtId="0" fontId="81" fillId="18" borderId="66" xfId="0" applyFont="1" applyFill="1" applyBorder="1" applyAlignment="1">
      <alignment horizontal="center"/>
    </xf>
    <xf numFmtId="0" fontId="41" fillId="18" borderId="0" xfId="0" applyFont="1" applyFill="1" applyAlignment="1">
      <alignment horizontal="center"/>
    </xf>
    <xf numFmtId="0" fontId="82" fillId="11" borderId="26" xfId="0" applyFont="1" applyFill="1" applyBorder="1" applyAlignment="1">
      <alignment horizontal="center"/>
    </xf>
    <xf numFmtId="0" fontId="82" fillId="6" borderId="26" xfId="0" applyFont="1" applyFill="1" applyBorder="1" applyAlignment="1">
      <alignment horizontal="center"/>
    </xf>
    <xf numFmtId="0" fontId="7" fillId="7" borderId="0" xfId="0" applyFont="1" applyFill="1" applyAlignment="1">
      <alignment horizontal="center" wrapText="1"/>
    </xf>
    <xf numFmtId="164" fontId="0" fillId="6" borderId="0" xfId="0" applyNumberFormat="1" applyFill="1"/>
    <xf numFmtId="2" fontId="0" fillId="6" borderId="0" xfId="0" applyNumberFormat="1" applyFill="1"/>
    <xf numFmtId="2" fontId="0" fillId="8" borderId="0" xfId="0" applyNumberFormat="1" applyFill="1"/>
    <xf numFmtId="2" fontId="33" fillId="8" borderId="0" xfId="0" applyNumberFormat="1" applyFont="1" applyFill="1" applyAlignment="1">
      <alignment horizontal="right" vertical="center"/>
    </xf>
    <xf numFmtId="2" fontId="50" fillId="0" borderId="0" xfId="0" applyNumberFormat="1" applyFont="1"/>
    <xf numFmtId="164" fontId="77" fillId="8" borderId="0" xfId="0" applyNumberFormat="1" applyFont="1" applyFill="1" applyAlignment="1">
      <alignment horizontal="center"/>
    </xf>
    <xf numFmtId="164" fontId="0" fillId="21" borderId="0" xfId="0" applyNumberFormat="1" applyFill="1"/>
    <xf numFmtId="2" fontId="77" fillId="8" borderId="0" xfId="0" applyNumberFormat="1" applyFont="1" applyFill="1" applyAlignment="1">
      <alignment horizontal="center"/>
    </xf>
    <xf numFmtId="164" fontId="33" fillId="8" borderId="0" xfId="0" applyNumberFormat="1" applyFont="1" applyFill="1" applyAlignment="1">
      <alignment horizontal="center" vertical="top" wrapText="1"/>
    </xf>
  </cellXfs>
  <cellStyles count="26">
    <cellStyle name="20% - Accent3 2" xfId="1" xr:uid="{00000000-0005-0000-0000-000001000000}"/>
    <cellStyle name="40% - Accent3 2" xfId="2" xr:uid="{00000000-0005-0000-0000-000002000000}"/>
    <cellStyle name="60% - Accent3 2" xfId="3" xr:uid="{00000000-0005-0000-0000-000003000000}"/>
    <cellStyle name="Accent3 2" xfId="4" xr:uid="{00000000-0005-0000-0000-000004000000}"/>
    <cellStyle name="Comma 2" xfId="5" xr:uid="{00000000-0005-0000-0000-000005000000}"/>
    <cellStyle name="Comma 2 2" xfId="6" xr:uid="{00000000-0005-0000-0000-000006000000}"/>
    <cellStyle name="Comma 2 2 2" xfId="7" xr:uid="{00000000-0005-0000-0000-000007000000}"/>
    <cellStyle name="Comma 2 3" xfId="8" xr:uid="{00000000-0005-0000-0000-000008000000}"/>
    <cellStyle name="Comma 3" xfId="9" xr:uid="{00000000-0005-0000-0000-000009000000}"/>
    <cellStyle name="Comma 3 2" xfId="10" xr:uid="{00000000-0005-0000-0000-00000A000000}"/>
    <cellStyle name="Comma 4" xfId="11" xr:uid="{00000000-0005-0000-0000-00000B000000}"/>
    <cellStyle name="Currency 2" xfId="12" xr:uid="{00000000-0005-0000-0000-00000C000000}"/>
    <cellStyle name="Currency 2 2" xfId="13" xr:uid="{00000000-0005-0000-0000-00000D000000}"/>
    <cellStyle name="Currency 3" xfId="14" xr:uid="{00000000-0005-0000-0000-00000E000000}"/>
    <cellStyle name="Currency 3 2" xfId="15" xr:uid="{00000000-0005-0000-0000-00000F000000}"/>
    <cellStyle name="Currency 4" xfId="16" xr:uid="{00000000-0005-0000-0000-000010000000}"/>
    <cellStyle name="Normal" xfId="0" builtinId="0"/>
    <cellStyle name="Normal 2" xfId="17" xr:uid="{00000000-0005-0000-0000-000011000000}"/>
    <cellStyle name="Normal 2 2" xfId="18" xr:uid="{00000000-0005-0000-0000-000012000000}"/>
    <cellStyle name="Normal 3" xfId="19" xr:uid="{00000000-0005-0000-0000-000013000000}"/>
    <cellStyle name="Per cent 2" xfId="20" xr:uid="{00000000-0005-0000-0000-000014000000}"/>
    <cellStyle name="Percent 2" xfId="21" xr:uid="{00000000-0005-0000-0000-000015000000}"/>
    <cellStyle name="Percent 2 2" xfId="22" xr:uid="{00000000-0005-0000-0000-000016000000}"/>
    <cellStyle name="Percent 3" xfId="23" xr:uid="{00000000-0005-0000-0000-000017000000}"/>
    <cellStyle name="Percent 3 2" xfId="24" xr:uid="{00000000-0005-0000-0000-000018000000}"/>
    <cellStyle name="Style 2" xfId="25" xr:uid="{00000000-0005-0000-0000-00001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C9CDB3"/>
      <rgbColor rgb="FF0000FF"/>
      <rgbColor rgb="FFFFFF00"/>
      <rgbColor rgb="FFD9D9D9"/>
      <rgbColor rgb="FFBFBFBF"/>
      <rgbColor rgb="FF800000"/>
      <rgbColor rgb="FF008000"/>
      <rgbColor rgb="FF000080"/>
      <rgbColor rgb="FF81875A"/>
      <rgbColor rgb="FFDBDDCD"/>
      <rgbColor rgb="FF3A5750"/>
      <rgbColor rgb="FFC0C0C0"/>
      <rgbColor rgb="FF827979"/>
      <rgbColor rgb="FF79A799"/>
      <rgbColor rgb="FFAB47BC"/>
      <rgbColor rgb="FFF7F0DE"/>
      <rgbColor rgb="FFE5EDEB"/>
      <rgbColor rgb="FFEAE8E8"/>
      <rgbColor rgb="FFDD8047"/>
      <rgbColor rgb="FF355D7E"/>
      <rgbColor rgb="FFD5D1D1"/>
      <rgbColor rgb="FFF2F2F2"/>
      <rgbColor rgb="FFEBDDC3"/>
      <rgbColor rgb="FFE8D19D"/>
      <rgbColor rgb="FFA5AB81"/>
      <rgbColor rgb="FFDCE1E7"/>
      <rgbColor rgb="FFB95B22"/>
      <rgbColor rgb="FF595959"/>
      <rgbColor rgb="FFF8E6DA"/>
      <rgbColor rgb="FF878787"/>
      <rgbColor rgb="FFD4E2ED"/>
      <rgbColor rgb="FFEDEEE6"/>
      <rgbColor rgb="FFEFE0BE"/>
      <rgbColor rgb="FF94B6D2"/>
      <rgbColor rgb="FFEBB391"/>
      <rgbColor rgb="FFC0BABA"/>
      <rgbColor rgb="FFF1CCB5"/>
      <rgbColor rgb="FF4B8CC6"/>
      <rgbColor rgb="FFB0CAC4"/>
      <rgbColor rgb="FF92D050"/>
      <rgbColor rgb="FFEBB390"/>
      <rgbColor rgb="FFD8B25C"/>
      <rgbColor rgb="FFFF6600"/>
      <rgbColor rgb="FF726868"/>
      <rgbColor rgb="FF968C8C"/>
      <rgbColor rgb="FF003366"/>
      <rgbColor rgb="FF578279"/>
      <rgbColor rgb="FF006100"/>
      <rgbColor rgb="FF594740"/>
      <rgbColor rgb="FF7B3D17"/>
      <rgbColor rgb="FF775F55"/>
      <rgbColor rgb="FF333399"/>
      <rgbColor rgb="FF3C2F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worksheet" Target="worksheets/sheet13.xml"/><Relationship Id="rId18" Type="http://purl.oclc.org/ooxml/officeDocument/relationships/styles" Target="styles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17" Type="http://purl.oclc.org/ooxml/officeDocument/relationships/theme" Target="theme/theme1.xml"/><Relationship Id="rId2" Type="http://purl.oclc.org/ooxml/officeDocument/relationships/worksheet" Target="worksheets/sheet2.xml"/><Relationship Id="rId16" Type="http://purl.oclc.org/ooxml/officeDocument/relationships/worksheet" Target="worksheets/sheet16.xml"/><Relationship Id="rId20" Type="http://purl.oclc.org/ooxml/officeDocument/relationships/calcChain" Target="calcChain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5" Type="http://purl.oclc.org/ooxml/officeDocument/relationships/worksheet" Target="worksheets/sheet5.xml"/><Relationship Id="rId15" Type="http://purl.oclc.org/ooxml/officeDocument/relationships/worksheet" Target="worksheets/sheet15.xml"/><Relationship Id="rId10" Type="http://purl.oclc.org/ooxml/officeDocument/relationships/worksheet" Target="worksheets/sheet10.xml"/><Relationship Id="rId19" Type="http://purl.oclc.org/ooxml/officeDocument/relationships/sharedStrings" Target="sharedStrings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worksheet" Target="worksheets/sheet14.xml"/></Relationships>
</file>

<file path=xl/charts/chart1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en-US"/>
  <c:roundedCorners val="1"/>
  <c:style val="2"/>
  <c:chart>
    <c:title>
      <c:tx>
        <c:rich>
          <a:bodyPr rot="0"/>
          <a:lstStyle/>
          <a:p>
            <a:pPr>
              <a:defRPr lang="nl-NL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nl-NL" sz="1800" b="1" strike="noStrike" spc="-1">
                <a:solidFill>
                  <a:srgbClr val="000000"/>
                </a:solidFill>
                <a:latin typeface="Calibri"/>
              </a:rPr>
              <a:t>PFS - Inavolisib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4628792769528704E-2"/>
          <c:y val="6.7932021797358494E-2"/>
          <c:w val="0.90990316333118104"/>
          <c:h val="0.84649487392629497"/>
        </c:manualLayout>
      </c:layout>
      <c:scatterChart>
        <c:scatterStyle val="lineMarker"/>
        <c:varyColors val="0"/>
        <c:ser>
          <c:idx val="0"/>
          <c:order val="0"/>
          <c:tx>
            <c:v>Exponential</c:v>
          </c:tx>
          <c:spPr>
            <a:ln w="28440">
              <a:solidFill>
                <a:srgbClr val="FF660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extrapolation!$D$15:$D$283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0.9671090298826015</c:v>
                </c:pt>
                <c:pt idx="2">
                  <c:v>0.93529987568046646</c:v>
                </c:pt>
                <c:pt idx="3">
                  <c:v>0.90453695541865375</c:v>
                </c:pt>
                <c:pt idx="4">
                  <c:v>0.87478585744789605</c:v>
                </c:pt>
                <c:pt idx="5">
                  <c:v>0.84601330195145452</c:v>
                </c:pt>
                <c:pt idx="6">
                  <c:v>0.81818710371804759</c:v>
                </c:pt>
                <c:pt idx="7">
                  <c:v>0.79127613613921632</c:v>
                </c:pt>
                <c:pt idx="8">
                  <c:v>0.76525029639085085</c:v>
                </c:pt>
                <c:pt idx="9">
                  <c:v>0.74008047175992897</c:v>
                </c:pt>
                <c:pt idx="10">
                  <c:v>0.71573850707880293</c:v>
                </c:pt>
                <c:pt idx="11">
                  <c:v>0.69219717323060259</c:v>
                </c:pt>
                <c:pt idx="12">
                  <c:v>0.66943013669052709</c:v>
                </c:pt>
                <c:pt idx="13">
                  <c:v>0.64741193006895292</c:v>
                </c:pt>
                <c:pt idx="14">
                  <c:v>0.62611792362340768</c:v>
                </c:pt>
                <c:pt idx="15">
                  <c:v>0.60552429770754257</c:v>
                </c:pt>
                <c:pt idx="16">
                  <c:v>0.58560801612628499</c:v>
                </c:pt>
                <c:pt idx="17">
                  <c:v>0.5663468003673664</c:v>
                </c:pt>
                <c:pt idx="18">
                  <c:v>0.54771910468039897</c:v>
                </c:pt>
                <c:pt idx="19">
                  <c:v>0.52970409197562773</c:v>
                </c:pt>
                <c:pt idx="20">
                  <c:v>0.51228161051539367</c:v>
                </c:pt>
                <c:pt idx="21">
                  <c:v>0.49543217137223905</c:v>
                </c:pt>
                <c:pt idx="22">
                  <c:v>0.47913692662843682</c:v>
                </c:pt>
                <c:pt idx="23">
                  <c:v>0.46337764829255879</c:v>
                </c:pt>
                <c:pt idx="24">
                  <c:v>0.44813670790949778</c:v>
                </c:pt>
                <c:pt idx="25">
                  <c:v>0.43339705684113711</c:v>
                </c:pt>
                <c:pt idx="26">
                  <c:v>0.4191422071956068</c:v>
                </c:pt>
                <c:pt idx="27">
                  <c:v>0.40535621338379563</c:v>
                </c:pt>
                <c:pt idx="28">
                  <c:v>0.39202365428248737</c:v>
                </c:pt>
                <c:pt idx="29">
                  <c:v>0.37912961598416867</c:v>
                </c:pt>
                <c:pt idx="30">
                  <c:v>0.3666596751142126</c:v>
                </c:pt>
                <c:pt idx="31">
                  <c:v>0.354599882696776</c:v>
                </c:pt>
                <c:pt idx="32">
                  <c:v>0.34293674855136325</c:v>
                </c:pt>
                <c:pt idx="33">
                  <c:v>0.33165722620260263</c:v>
                </c:pt>
                <c:pt idx="34">
                  <c:v>0.3207486982863535</c:v>
                </c:pt>
                <c:pt idx="35">
                  <c:v>0.31019896243582262</c:v>
                </c:pt>
                <c:pt idx="36">
                  <c:v>0.29999621763189788</c:v>
                </c:pt>
                <c:pt idx="37">
                  <c:v>0.29012905100243458</c:v>
                </c:pt>
                <c:pt idx="38">
                  <c:v>0.28058642505572429</c:v>
                </c:pt>
                <c:pt idx="39">
                  <c:v>0.27135766533386879</c:v>
                </c:pt>
                <c:pt idx="40">
                  <c:v>0.26243244847224551</c:v>
                </c:pt>
                <c:pt idx="41">
                  <c:v>0.25380079065170907</c:v>
                </c:pt>
                <c:pt idx="42">
                  <c:v>0.24545303643061162</c:v>
                </c:pt>
                <c:pt idx="43">
                  <c:v>0.2373798479441476</c:v>
                </c:pt>
                <c:pt idx="44">
                  <c:v>0.22957219445894406</c:v>
                </c:pt>
                <c:pt idx="45">
                  <c:v>0.22202134227120929</c:v>
                </c:pt>
                <c:pt idx="46">
                  <c:v>0.2147188449371423</c:v>
                </c:pt>
                <c:pt idx="47">
                  <c:v>0.20765653382467239</c:v>
                </c:pt>
                <c:pt idx="48">
                  <c:v>0.20082650897596255</c:v>
                </c:pt>
                <c:pt idx="49">
                  <c:v>0.19422113027045265</c:v>
                </c:pt>
                <c:pt idx="50">
                  <c:v>0.18783300887855986</c:v>
                </c:pt>
                <c:pt idx="51">
                  <c:v>0.18165499899647405</c:v>
                </c:pt>
                <c:pt idx="52">
                  <c:v>0.17568018985280498</c:v>
                </c:pt>
                <c:pt idx="53">
                  <c:v>0.16990189797813748</c:v>
                </c:pt>
                <c:pt idx="54">
                  <c:v>0.16431365972884926</c:v>
                </c:pt>
                <c:pt idx="55">
                  <c:v>0.15890922405682728</c:v>
                </c:pt>
                <c:pt idx="56">
                  <c:v>0.15368254551699517</c:v>
                </c:pt>
                <c:pt idx="57">
                  <c:v>0.14862777750482994</c:v>
                </c:pt>
                <c:pt idx="58">
                  <c:v>0.14373926571630322</c:v>
                </c:pt>
                <c:pt idx="59">
                  <c:v>0.13901154182293152</c:v>
                </c:pt>
                <c:pt idx="60">
                  <c:v>0.13443931735485992</c:v>
                </c:pt>
                <c:pt idx="61">
                  <c:v>0.13001747778513778</c:v>
                </c:pt>
                <c:pt idx="62">
                  <c:v>0.1257410768085673</c:v>
                </c:pt>
                <c:pt idx="63">
                  <c:v>0.12160533080872721</c:v>
                </c:pt>
                <c:pt idx="64">
                  <c:v>0.11760561350698095</c:v>
                </c:pt>
                <c:pt idx="65">
                  <c:v>0.11373745078748458</c:v>
                </c:pt>
                <c:pt idx="66">
                  <c:v>0.10999651569240435</c:v>
                </c:pt>
                <c:pt idx="67">
                  <c:v>0.10637862358174748</c:v>
                </c:pt>
                <c:pt idx="68">
                  <c:v>0.10287972745239024</c:v>
                </c:pt>
                <c:pt idx="69">
                  <c:v>9.9495913411067574E-2</c:v>
                </c:pt>
                <c:pt idx="70">
                  <c:v>9.622339629626088E-2</c:v>
                </c:pt>
                <c:pt idx="71">
                  <c:v>9.3058515444085985E-2</c:v>
                </c:pt>
                <c:pt idx="72">
                  <c:v>8.9997730593445041E-2</c:v>
                </c:pt>
                <c:pt idx="73">
                  <c:v>8.7037617925862371E-2</c:v>
                </c:pt>
                <c:pt idx="74">
                  <c:v>8.4174866235573284E-2</c:v>
                </c:pt>
                <c:pt idx="75">
                  <c:v>8.1406273225583026E-2</c:v>
                </c:pt>
                <c:pt idx="76">
                  <c:v>7.8728741925551571E-2</c:v>
                </c:pt>
                <c:pt idx="77">
                  <c:v>7.6139277227497873E-2</c:v>
                </c:pt>
                <c:pt idx="78">
                  <c:v>7.3634982535447924E-2</c:v>
                </c:pt>
                <c:pt idx="79">
                  <c:v>7.1213056525279345E-2</c:v>
                </c:pt>
                <c:pt idx="80">
                  <c:v>6.8870790011137786E-2</c:v>
                </c:pt>
                <c:pt idx="81">
                  <c:v>6.66055629149198E-2</c:v>
                </c:pt>
                <c:pt idx="82">
                  <c:v>6.4414841335432668E-2</c:v>
                </c:pt>
                <c:pt idx="83">
                  <c:v>6.2296174713951984E-2</c:v>
                </c:pt>
                <c:pt idx="84">
                  <c:v>6.0247193093007155E-2</c:v>
                </c:pt>
                <c:pt idx="85">
                  <c:v>5.8265604465327893E-2</c:v>
                </c:pt>
                <c:pt idx="86">
                  <c:v>5.6349192209986639E-2</c:v>
                </c:pt>
                <c:pt idx="87">
                  <c:v>5.4495812612868427E-2</c:v>
                </c:pt>
                <c:pt idx="88">
                  <c:v>5.2703392468695223E-2</c:v>
                </c:pt>
                <c:pt idx="89">
                  <c:v>5.0969926761921823E-2</c:v>
                </c:pt>
                <c:pt idx="90">
                  <c:v>4.9293476423909466E-2</c:v>
                </c:pt>
                <c:pt idx="91">
                  <c:v>4.767216616386797E-2</c:v>
                </c:pt>
                <c:pt idx="92">
                  <c:v>4.6104182371140556E-2</c:v>
                </c:pt>
                <c:pt idx="93">
                  <c:v>4.4587771086484283E-2</c:v>
                </c:pt>
                <c:pt idx="94">
                  <c:v>4.312123604007731E-2</c:v>
                </c:pt>
                <c:pt idx="95">
                  <c:v>4.170293675405784E-2</c:v>
                </c:pt>
                <c:pt idx="96">
                  <c:v>4.0331286707472366E-2</c:v>
                </c:pt>
                <c:pt idx="97">
                  <c:v>3.9004751561580661E-2</c:v>
                </c:pt>
                <c:pt idx="98">
                  <c:v>3.7721847443532144E-2</c:v>
                </c:pt>
                <c:pt idx="99">
                  <c:v>3.6481139286493866E-2</c:v>
                </c:pt>
                <c:pt idx="100">
                  <c:v>3.5281239224373144E-2</c:v>
                </c:pt>
                <c:pt idx="101">
                  <c:v>3.4120805039339501E-2</c:v>
                </c:pt>
                <c:pt idx="102">
                  <c:v>3.2998538660408992E-2</c:v>
                </c:pt>
                <c:pt idx="103">
                  <c:v>3.1913184711411663E-2</c:v>
                </c:pt>
                <c:pt idx="104">
                  <c:v>3.0863529106717604E-2</c:v>
                </c:pt>
                <c:pt idx="105">
                  <c:v>2.9848397693151098E-2</c:v>
                </c:pt>
                <c:pt idx="106">
                  <c:v>2.8866654936573439E-2</c:v>
                </c:pt>
                <c:pt idx="107">
                  <c:v>2.7917202651665335E-2</c:v>
                </c:pt>
                <c:pt idx="108">
                  <c:v>2.6998978773488055E-2</c:v>
                </c:pt>
                <c:pt idx="109">
                  <c:v>2.6110956169448984E-2</c:v>
                </c:pt>
                <c:pt idx="110">
                  <c:v>2.5252141490342935E-2</c:v>
                </c:pt>
                <c:pt idx="111">
                  <c:v>2.4421574059183739E-2</c:v>
                </c:pt>
                <c:pt idx="112">
                  <c:v>2.3618324796583292E-2</c:v>
                </c:pt>
                <c:pt idx="113">
                  <c:v>2.2841495181475859E-2</c:v>
                </c:pt>
                <c:pt idx="114">
                  <c:v>2.2090216246025238E-2</c:v>
                </c:pt>
                <c:pt idx="115">
                  <c:v>2.136364760359034E-2</c:v>
                </c:pt>
                <c:pt idx="116">
                  <c:v>2.066097650866202E-2</c:v>
                </c:pt>
                <c:pt idx="117">
                  <c:v>1.9981416947719353E-2</c:v>
                </c:pt>
                <c:pt idx="118">
                  <c:v>1.9324208759988637E-2</c:v>
                </c:pt>
                <c:pt idx="119">
                  <c:v>1.8688616787121481E-2</c:v>
                </c:pt>
                <c:pt idx="120">
                  <c:v>1.8073930050840743E-2</c:v>
                </c:pt>
                <c:pt idx="121">
                  <c:v>1.7479460957634588E-2</c:v>
                </c:pt>
                <c:pt idx="122">
                  <c:v>1.6904544529608798E-2</c:v>
                </c:pt>
                <c:pt idx="123">
                  <c:v>1.6348537660637201E-2</c:v>
                </c:pt>
                <c:pt idx="124">
                  <c:v>1.5810818396978021E-2</c:v>
                </c:pt>
                <c:pt idx="125">
                  <c:v>1.5290785241551403E-2</c:v>
                </c:pt>
                <c:pt idx="126">
                  <c:v>1.4787856481099978E-2</c:v>
                </c:pt>
                <c:pt idx="127">
                  <c:v>1.4301469535479741E-2</c:v>
                </c:pt>
                <c:pt idx="128">
                  <c:v>1.383108032835338E-2</c:v>
                </c:pt>
                <c:pt idx="129">
                  <c:v>1.3376162678582172E-2</c:v>
                </c:pt>
                <c:pt idx="130">
                  <c:v>1.2936207711635476E-2</c:v>
                </c:pt>
                <c:pt idx="131">
                  <c:v>1.2510723290359614E-2</c:v>
                </c:pt>
                <c:pt idx="132">
                  <c:v>1.2099233464469356E-2</c:v>
                </c:pt>
                <c:pt idx="133">
                  <c:v>1.1701277938146057E-2</c:v>
                </c:pt>
                <c:pt idx="134">
                  <c:v>1.1316411555147119E-2</c:v>
                </c:pt>
                <c:pt idx="135">
                  <c:v>1.0944203800850594E-2</c:v>
                </c:pt>
                <c:pt idx="136">
                  <c:v>1.0584238320678098E-2</c:v>
                </c:pt>
                <c:pt idx="137">
                  <c:v>1.0236112454357252E-2</c:v>
                </c:pt>
                <c:pt idx="138">
                  <c:v>9.899436785502657E-3</c:v>
                </c:pt>
                <c:pt idx="139">
                  <c:v>9.5738347060116049E-3</c:v>
                </c:pt>
                <c:pt idx="140">
                  <c:v>9.2589419947872731E-3</c:v>
                </c:pt>
                <c:pt idx="141">
                  <c:v>8.9544064103179912E-3</c:v>
                </c:pt>
                <c:pt idx="142">
                  <c:v>8.6598872966571882E-3</c:v>
                </c:pt>
                <c:pt idx="143">
                  <c:v>8.3750552023627908E-3</c:v>
                </c:pt>
                <c:pt idx="144">
                  <c:v>8.0995915119703148E-3</c:v>
                </c:pt>
                <c:pt idx="145">
                  <c:v>7.8331880895869642E-3</c:v>
                </c:pt>
                <c:pt idx="146">
                  <c:v>7.575546934208398E-3</c:v>
                </c:pt>
                <c:pt idx="147">
                  <c:v>7.3263798463724002E-3</c:v>
                </c:pt>
                <c:pt idx="148">
                  <c:v>7.0854081057766553E-3</c:v>
                </c:pt>
                <c:pt idx="149">
                  <c:v>6.8523621594999765E-3</c:v>
                </c:pt>
                <c:pt idx="150">
                  <c:v>6.6269813204782764E-3</c:v>
                </c:pt>
                <c:pt idx="151">
                  <c:v>6.4090134758978618E-3</c:v>
                </c:pt>
                <c:pt idx="152">
                  <c:v>6.198214805180101E-3</c:v>
                </c:pt>
                <c:pt idx="153">
                  <c:v>5.9943495072417056E-3</c:v>
                </c:pt>
                <c:pt idx="154">
                  <c:v>5.797189536725777E-3</c:v>
                </c:pt>
                <c:pt idx="155">
                  <c:v>5.6065143489084394E-3</c:v>
                </c:pt>
                <c:pt idx="156">
                  <c:v>5.4221106529957208E-3</c:v>
                </c:pt>
                <c:pt idx="157">
                  <c:v>5.2437721735348062E-3</c:v>
                </c:pt>
                <c:pt idx="158">
                  <c:v>5.0712994196726322E-3</c:v>
                </c:pt>
                <c:pt idx="159">
                  <c:v>4.9044994620037995E-3</c:v>
                </c:pt>
                <c:pt idx="160">
                  <c:v>4.7431857167582357E-3</c:v>
                </c:pt>
                <c:pt idx="161">
                  <c:v>4.5871777370870689E-3</c:v>
                </c:pt>
                <c:pt idx="162">
                  <c:v>4.4363010112133386E-3</c:v>
                </c:pt>
                <c:pt idx="163">
                  <c:v>4.2903867672217403E-3</c:v>
                </c:pt>
                <c:pt idx="164">
                  <c:v>4.1492717842689644E-3</c:v>
                </c:pt>
                <c:pt idx="165">
                  <c:v>4.0127982100036097E-3</c:v>
                </c:pt>
                <c:pt idx="166">
                  <c:v>3.8808133839912306E-3</c:v>
                </c:pt>
                <c:pt idx="167">
                  <c:v>3.7531696669471748E-3</c:v>
                </c:pt>
                <c:pt idx="168">
                  <c:v>3.6297242755860891E-3</c:v>
                </c:pt>
                <c:pt idx="169">
                  <c:v>3.5103391229033914E-3</c:v>
                </c:pt>
                <c:pt idx="170">
                  <c:v>3.3948806637100382E-3</c:v>
                </c:pt>
                <c:pt idx="171">
                  <c:v>3.2832197452478205E-3</c:v>
                </c:pt>
                <c:pt idx="172">
                  <c:v>3.175231462718019E-3</c:v>
                </c:pt>
                <c:pt idx="173">
                  <c:v>3.0707950195619396E-3</c:v>
                </c:pt>
                <c:pt idx="174">
                  <c:v>2.9697935923368693E-3</c:v>
                </c:pt>
                <c:pt idx="175">
                  <c:v>2.8721142000364759E-3</c:v>
                </c:pt>
                <c:pt idx="176">
                  <c:v>2.7776475777093203E-3</c:v>
                </c:pt>
                <c:pt idx="177">
                  <c:v>2.6862880542342189E-3</c:v>
                </c:pt>
                <c:pt idx="178">
                  <c:v>2.5979334341156746E-3</c:v>
                </c:pt>
                <c:pt idx="179">
                  <c:v>2.5124848831671875E-3</c:v>
                </c:pt>
                <c:pt idx="180">
                  <c:v>2.4298468179545182E-3</c:v>
                </c:pt>
                <c:pt idx="181">
                  <c:v>2.3499267988753227E-3</c:v>
                </c:pt>
                <c:pt idx="182">
                  <c:v>2.2726354267554386E-3</c:v>
                </c:pt>
                <c:pt idx="183">
                  <c:v>2.1978862428462843E-3</c:v>
                </c:pt>
                <c:pt idx="184">
                  <c:v>2.1255956321113876E-3</c:v>
                </c:pt>
                <c:pt idx="185">
                  <c:v>2.0556827296939377E-3</c:v>
                </c:pt>
                <c:pt idx="186">
                  <c:v>1.9880693304607237E-3</c:v>
                </c:pt>
                <c:pt idx="187">
                  <c:v>1.9226798015212223E-3</c:v>
                </c:pt>
                <c:pt idx="188">
                  <c:v>1.8594409976240621E-3</c:v>
                </c:pt>
                <c:pt idx="189">
                  <c:v>1.7982821793361434E-3</c:v>
                </c:pt>
                <c:pt idx="190">
                  <c:v>1.7391349339129481E-3</c:v>
                </c:pt>
                <c:pt idx="191">
                  <c:v>1.6819330987714921E-3</c:v>
                </c:pt>
                <c:pt idx="192">
                  <c:v>1.6266126874803371E-3</c:v>
                </c:pt>
                <c:pt idx="193">
                  <c:v>1.5731118181838387E-3</c:v>
                </c:pt>
                <c:pt idx="194">
                  <c:v>1.5213706443806291E-3</c:v>
                </c:pt>
                <c:pt idx="195">
                  <c:v>1.4713312879788172E-3</c:v>
                </c:pt>
                <c:pt idx="196">
                  <c:v>1.4229377745531126E-3</c:v>
                </c:pt>
                <c:pt idx="197">
                  <c:v>1.3761359707313687E-3</c:v>
                </c:pt>
                <c:pt idx="198">
                  <c:v>1.330873523640566E-3</c:v>
                </c:pt>
                <c:pt idx="199">
                  <c:v>1.2870998023444674E-3</c:v>
                </c:pt>
                <c:pt idx="200">
                  <c:v>1.244765841207446E-3</c:v>
                </c:pt>
                <c:pt idx="201">
                  <c:v>1.2038242851211325E-3</c:v>
                </c:pt>
                <c:pt idx="202">
                  <c:v>1.1642293365326159E-3</c:v>
                </c:pt>
                <c:pt idx="203">
                  <c:v>1.125936704214922E-3</c:v>
                </c:pt>
                <c:pt idx="204">
                  <c:v>1.0889035537225069E-3</c:v>
                </c:pt>
                <c:pt idx="205">
                  <c:v>1.0530884594762908E-3</c:v>
                </c:pt>
                <c:pt idx="206">
                  <c:v>1.0184513584246789E-3</c:v>
                </c:pt>
                <c:pt idx="207">
                  <c:v>9.8495350522870978E-4</c:v>
                </c:pt>
                <c:pt idx="208">
                  <c:v>9.5255742892120469E-4</c:v>
                </c:pt>
                <c:pt idx="209">
                  <c:v>9.2122689099145057E-4</c:v>
                </c:pt>
                <c:pt idx="210">
                  <c:v>8.9092684484850767E-4</c:v>
                </c:pt>
                <c:pt idx="211">
                  <c:v>8.6162339661780734E-4</c:v>
                </c:pt>
                <c:pt idx="212">
                  <c:v>8.3328376722719972E-4</c:v>
                </c:pt>
                <c:pt idx="213">
                  <c:v>8.0587625574001659E-4</c:v>
                </c:pt>
                <c:pt idx="214">
                  <c:v>7.7937020389415009E-4</c:v>
                </c:pt>
                <c:pt idx="215">
                  <c:v>7.5373596180747747E-4</c:v>
                </c:pt>
                <c:pt idx="216">
                  <c:v>7.2894485481125859E-4</c:v>
                </c:pt>
                <c:pt idx="217">
                  <c:v>7.0496915137443009E-4</c:v>
                </c:pt>
                <c:pt idx="218">
                  <c:v>6.8178203208288596E-4</c:v>
                </c:pt>
                <c:pt idx="219">
                  <c:v>6.5935755963906855E-4</c:v>
                </c:pt>
                <c:pt idx="220">
                  <c:v>6.3767064984829921E-4</c:v>
                </c:pt>
                <c:pt idx="221">
                  <c:v>6.1669704355939668E-4</c:v>
                </c:pt>
                <c:pt idx="222">
                  <c:v>5.9641327952819612E-4</c:v>
                </c:pt>
                <c:pt idx="223">
                  <c:v>5.7679666817361504E-4</c:v>
                </c:pt>
                <c:pt idx="224">
                  <c:v>5.5782526619690118E-4</c:v>
                </c:pt>
                <c:pt idx="225">
                  <c:v>5.3947785203568952E-4</c:v>
                </c:pt>
                <c:pt idx="226">
                  <c:v>5.2173390212538495E-4</c:v>
                </c:pt>
                <c:pt idx="227">
                  <c:v>5.0457356794134523E-4</c:v>
                </c:pt>
                <c:pt idx="228">
                  <c:v>4.879776537961573E-4</c:v>
                </c:pt>
                <c:pt idx="229">
                  <c:v>4.7192759536718965E-4</c:v>
                </c:pt>
                <c:pt idx="230">
                  <c:v>4.5640543893039133E-4</c:v>
                </c:pt>
                <c:pt idx="231">
                  <c:v>4.4139382127711407E-4</c:v>
                </c:pt>
                <c:pt idx="232">
                  <c:v>4.268759502914838E-4</c:v>
                </c:pt>
                <c:pt idx="233">
                  <c:v>4.1283558616661092E-4</c:v>
                </c:pt>
                <c:pt idx="234">
                  <c:v>3.9925702323860622E-4</c:v>
                </c:pt>
                <c:pt idx="235">
                  <c:v>3.8612507241810344E-4</c:v>
                </c:pt>
                <c:pt idx="236">
                  <c:v>3.7342504419962159E-4</c:v>
                </c:pt>
                <c:pt idx="237">
                  <c:v>3.6114273222976332E-4</c:v>
                </c:pt>
                <c:pt idx="238">
                  <c:v>3.4926439741587886E-4</c:v>
                </c:pt>
                <c:pt idx="239">
                  <c:v>3.3777675255740173E-4</c:v>
                </c:pt>
                <c:pt idx="240">
                  <c:v>3.2666694748268403E-4</c:v>
                </c:pt>
                <c:pt idx="241">
                  <c:v>3.1592255467468959E-4</c:v>
                </c:pt>
                <c:pt idx="242">
                  <c:v>3.0553155536947193E-4</c:v>
                </c:pt>
                <c:pt idx="243">
                  <c:v>2.954823261118926E-4</c:v>
                </c:pt>
                <c:pt idx="244">
                  <c:v>2.8576362575352671E-4</c:v>
                </c:pt>
                <c:pt idx="245">
                  <c:v>2.7636458287822824E-4</c:v>
                </c:pt>
                <c:pt idx="246">
                  <c:v>2.6727468364127295E-4</c:v>
                </c:pt>
                <c:pt idx="247">
                  <c:v>2.5848376000849093E-4</c:v>
                </c:pt>
                <c:pt idx="248">
                  <c:v>2.4998197838221864E-4</c:v>
                </c:pt>
                <c:pt idx="249">
                  <c:v>2.4175982860136114E-4</c:v>
                </c:pt>
                <c:pt idx="250">
                  <c:v>2.3380811330324619E-4</c:v>
                </c:pt>
                <c:pt idx="251">
                  <c:v>2.2611793763538401E-4</c:v>
                </c:pt>
                <c:pt idx="252">
                  <c:v>2.1868069930561064E-4</c:v>
                </c:pt>
                <c:pt idx="253">
                  <c:v>2.1148807895949781E-4</c:v>
                </c:pt>
                <c:pt idx="254">
                  <c:v>2.0453203087425514E-4</c:v>
                </c:pt>
                <c:pt idx="255">
                  <c:v>1.9780477395871902E-4</c:v>
                </c:pt>
                <c:pt idx="256">
                  <c:v>1.9129878304936386E-4</c:v>
                </c:pt>
                <c:pt idx="257">
                  <c:v>1.8500678049259271E-4</c:v>
                </c:pt>
                <c:pt idx="258">
                  <c:v>1.7892172800389457E-4</c:v>
                </c:pt>
                <c:pt idx="259">
                  <c:v>1.7303681879476533E-4</c:v>
                </c:pt>
                <c:pt idx="260">
                  <c:v>1.6734546995857719E-4</c:v>
                </c:pt>
                <c:pt idx="261">
                  <c:v>1.6184131510688747E-4</c:v>
                </c:pt>
                <c:pt idx="262">
                  <c:v>1.5651819724794651E-4</c:v>
                </c:pt>
                <c:pt idx="263">
                  <c:v>1.5137016189943508E-4</c:v>
                </c:pt>
                <c:pt idx="264">
                  <c:v>1.4639145042773512E-4</c:v>
                </c:pt>
                <c:pt idx="265">
                  <c:v>1.4157649360627375E-4</c:v>
                </c:pt>
                <c:pt idx="266">
                  <c:v>1.3691990538574361E-4</c:v>
                </c:pt>
                <c:pt idx="267">
                  <c:v>1.324164768692242E-4</c:v>
                </c:pt>
                <c:pt idx="268">
                  <c:v>1.2806117048546728E-4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6A-4B70-8150-8CECEF7E6BE7}"/>
            </c:ext>
          </c:extLst>
        </c:ser>
        <c:ser>
          <c:idx val="1"/>
          <c:order val="1"/>
          <c:tx>
            <c:v>Weibull</c:v>
          </c:tx>
          <c:spPr>
            <a:ln w="28440">
              <a:solidFill>
                <a:srgbClr val="2196F3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extrapolation!$E$15:$E$283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0.95916919841281578</c:v>
                </c:pt>
                <c:pt idx="2">
                  <c:v>0.92320990566951699</c:v>
                </c:pt>
                <c:pt idx="3">
                  <c:v>0.8896754099767723</c:v>
                </c:pt>
                <c:pt idx="4">
                  <c:v>0.85801520966256295</c:v>
                </c:pt>
                <c:pt idx="5">
                  <c:v>0.82794393606383898</c:v>
                </c:pt>
                <c:pt idx="6">
                  <c:v>0.79927725556792273</c:v>
                </c:pt>
                <c:pt idx="7">
                  <c:v>0.77188156915722028</c:v>
                </c:pt>
                <c:pt idx="8">
                  <c:v>0.74565296020026905</c:v>
                </c:pt>
                <c:pt idx="9">
                  <c:v>0.72050669627367681</c:v>
                </c:pt>
                <c:pt idx="10">
                  <c:v>0.69637135227466329</c:v>
                </c:pt>
                <c:pt idx="11">
                  <c:v>0.67318523563634958</c:v>
                </c:pt>
                <c:pt idx="12">
                  <c:v>0.65089407052531956</c:v>
                </c:pt>
                <c:pt idx="13">
                  <c:v>0.62944942133264481</c:v>
                </c:pt>
                <c:pt idx="14">
                  <c:v>0.60880757542306063</c:v>
                </c:pt>
                <c:pt idx="15">
                  <c:v>0.58892872454028067</c:v>
                </c:pt>
                <c:pt idx="16">
                  <c:v>0.56977634795566257</c:v>
                </c:pt>
                <c:pt idx="17">
                  <c:v>0.55131673634757861</c:v>
                </c:pt>
                <c:pt idx="18">
                  <c:v>0.53351861659551858</c:v>
                </c:pt>
                <c:pt idx="19">
                  <c:v>0.51635285069125658</c:v>
                </c:pt>
                <c:pt idx="20">
                  <c:v>0.49979219024085964</c:v>
                </c:pt>
                <c:pt idx="21">
                  <c:v>0.48381107344441665</c:v>
                </c:pt>
                <c:pt idx="22">
                  <c:v>0.46838545507619106</c:v>
                </c:pt>
                <c:pt idx="23">
                  <c:v>0.45349266248690756</c:v>
                </c:pt>
                <c:pt idx="24">
                  <c:v>0.4391112724032924</c:v>
                </c:pt>
                <c:pt idx="25">
                  <c:v>0.4252210045532126</c:v>
                </c:pt>
                <c:pt idx="26">
                  <c:v>0.41180262905563902</c:v>
                </c:pt>
                <c:pt idx="27">
                  <c:v>0.39883788518685159</c:v>
                </c:pt>
                <c:pt idx="28">
                  <c:v>0.38630940963729282</c:v>
                </c:pt>
                <c:pt idx="29">
                  <c:v>0.37420067275470381</c:v>
                </c:pt>
                <c:pt idx="30">
                  <c:v>0.36249592156151311</c:v>
                </c:pt>
                <c:pt idx="31">
                  <c:v>0.35118012856106556</c:v>
                </c:pt>
                <c:pt idx="32">
                  <c:v>0.34023894552474326</c:v>
                </c:pt>
                <c:pt idx="33">
                  <c:v>0.32965866159229001</c:v>
                </c:pt>
                <c:pt idx="34">
                  <c:v>0.31942616512948729</c:v>
                </c:pt>
                <c:pt idx="35">
                  <c:v>0.30952890887723133</c:v>
                </c:pt>
                <c:pt idx="36">
                  <c:v>0.29995487799888793</c:v>
                </c:pt>
                <c:pt idx="37">
                  <c:v>0.29069256069220667</c:v>
                </c:pt>
                <c:pt idx="38">
                  <c:v>0.28173092108089137</c:v>
                </c:pt>
                <c:pt idx="39">
                  <c:v>0.27305937414125503</c:v>
                </c:pt>
                <c:pt idx="40">
                  <c:v>0.26466776245295132</c:v>
                </c:pt>
                <c:pt idx="41">
                  <c:v>0.25654633459082921</c:v>
                </c:pt>
                <c:pt idx="42">
                  <c:v>0.2486857249985617</c:v>
                </c:pt>
                <c:pt idx="43">
                  <c:v>0.24107693520465109</c:v>
                </c:pt>
                <c:pt idx="44">
                  <c:v>0.23371131625835223</c:v>
                </c:pt>
                <c:pt idx="45">
                  <c:v>0.22658055227752269</c:v>
                </c:pt>
                <c:pt idx="46">
                  <c:v>0.21967664501280029</c:v>
                </c:pt>
                <c:pt idx="47">
                  <c:v>0.21299189934318011</c:v>
                </c:pt>
                <c:pt idx="48">
                  <c:v>0.20651890962728539</c:v>
                </c:pt>
                <c:pt idx="49">
                  <c:v>0.20025054684263238</c:v>
                </c:pt>
                <c:pt idx="50">
                  <c:v>0.19417994645214934</c:v>
                </c:pt>
                <c:pt idx="51">
                  <c:v>0.18830049694331183</c:v>
                </c:pt>
                <c:pt idx="52">
                  <c:v>0.18260582899058822</c:v>
                </c:pt>
                <c:pt idx="53">
                  <c:v>0.17708980519659531</c:v>
                </c:pt>
                <c:pt idx="54">
                  <c:v>0.17174651037150535</c:v>
                </c:pt>
                <c:pt idx="55">
                  <c:v>0.16657024231392625</c:v>
                </c:pt>
                <c:pt idx="56">
                  <c:v>0.16155550305972607</c:v>
                </c:pt>
                <c:pt idx="57">
                  <c:v>0.15669699056818526</c:v>
                </c:pt>
                <c:pt idx="58">
                  <c:v>0.15198959081744273</c:v>
                </c:pt>
                <c:pt idx="59">
                  <c:v>0.14742837028352765</c:v>
                </c:pt>
                <c:pt idx="60">
                  <c:v>0.1430085687793437</c:v>
                </c:pt>
                <c:pt idx="61">
                  <c:v>0.13872559263184941</c:v>
                </c:pt>
                <c:pt idx="62">
                  <c:v>0.13457500817735876</c:v>
                </c:pt>
                <c:pt idx="63">
                  <c:v>0.13055253555641716</c:v>
                </c:pt>
                <c:pt idx="64">
                  <c:v>0.12665404279108217</c:v>
                </c:pt>
                <c:pt idx="65">
                  <c:v>0.12287554012869509</c:v>
                </c:pt>
                <c:pt idx="66">
                  <c:v>0.11921317463736471</c:v>
                </c:pt>
                <c:pt idx="67">
                  <c:v>0.11566322503942293</c:v>
                </c:pt>
                <c:pt idx="68">
                  <c:v>0.11222209677005748</c:v>
                </c:pt>
                <c:pt idx="69">
                  <c:v>0.10888631724919474</c:v>
                </c:pt>
                <c:pt idx="70">
                  <c:v>0.10565253135549271</c:v>
                </c:pt>
                <c:pt idx="71">
                  <c:v>0.10251749709203847</c:v>
                </c:pt>
                <c:pt idx="72">
                  <c:v>9.9478081434004398E-2</c:v>
                </c:pt>
                <c:pt idx="73">
                  <c:v>9.6531256349139699E-2</c:v>
                </c:pt>
                <c:pt idx="74">
                  <c:v>9.3674094982534414E-2</c:v>
                </c:pt>
                <c:pt idx="75">
                  <c:v>9.0903767997619955E-2</c:v>
                </c:pt>
                <c:pt idx="76">
                  <c:v>8.8217540065851918E-2</c:v>
                </c:pt>
                <c:pt idx="77">
                  <c:v>8.5612766497969145E-2</c:v>
                </c:pt>
                <c:pt idx="78">
                  <c:v>8.3086890010137637E-2</c:v>
                </c:pt>
                <c:pt idx="79">
                  <c:v>8.0637437618671148E-2</c:v>
                </c:pt>
                <c:pt idx="80">
                  <c:v>7.8262017657384622E-2</c:v>
                </c:pt>
                <c:pt idx="81">
                  <c:v>7.5958316911956786E-2</c:v>
                </c:pt>
                <c:pt idx="82">
                  <c:v>7.3724097866005561E-2</c:v>
                </c:pt>
                <c:pt idx="83">
                  <c:v>7.1557196053848554E-2</c:v>
                </c:pt>
                <c:pt idx="84">
                  <c:v>6.9455517515212908E-2</c:v>
                </c:pt>
                <c:pt idx="85">
                  <c:v>6.7417036347388395E-2</c:v>
                </c:pt>
                <c:pt idx="86">
                  <c:v>6.5439792350574941E-2</c:v>
                </c:pt>
                <c:pt idx="87">
                  <c:v>6.3521888762376952E-2</c:v>
                </c:pt>
                <c:pt idx="88">
                  <c:v>6.1661490077621145E-2</c:v>
                </c:pt>
                <c:pt idx="89">
                  <c:v>5.9856819949853791E-2</c:v>
                </c:pt>
                <c:pt idx="90">
                  <c:v>5.810615917106636E-2</c:v>
                </c:pt>
                <c:pt idx="91">
                  <c:v>5.6407843726365647E-2</c:v>
                </c:pt>
                <c:pt idx="92">
                  <c:v>5.4760262920462328E-2</c:v>
                </c:pt>
                <c:pt idx="93">
                  <c:v>5.3161857573011582E-2</c:v>
                </c:pt>
                <c:pt idx="94">
                  <c:v>5.1611118279972112E-2</c:v>
                </c:pt>
                <c:pt idx="95">
                  <c:v>5.0106583738295671E-2</c:v>
                </c:pt>
                <c:pt idx="96">
                  <c:v>4.8646839131374631E-2</c:v>
                </c:pt>
                <c:pt idx="97">
                  <c:v>4.7230514572804402E-2</c:v>
                </c:pt>
                <c:pt idx="98">
                  <c:v>4.5856283606125862E-2</c:v>
                </c:pt>
                <c:pt idx="99">
                  <c:v>4.4522861758321278E-2</c:v>
                </c:pt>
                <c:pt idx="100">
                  <c:v>4.3229005144938007E-2</c:v>
                </c:pt>
                <c:pt idx="101">
                  <c:v>4.1973509124810814E-2</c:v>
                </c:pt>
                <c:pt idx="102">
                  <c:v>4.0755207002445615E-2</c:v>
                </c:pt>
                <c:pt idx="103">
                  <c:v>3.9572968776207397E-2</c:v>
                </c:pt>
                <c:pt idx="104">
                  <c:v>3.8425699930547334E-2</c:v>
                </c:pt>
                <c:pt idx="105">
                  <c:v>3.7312340270570052E-2</c:v>
                </c:pt>
                <c:pt idx="106">
                  <c:v>3.6231862797324391E-2</c:v>
                </c:pt>
                <c:pt idx="107">
                  <c:v>3.5183272622264061E-2</c:v>
                </c:pt>
                <c:pt idx="108">
                  <c:v>3.4165605919396561E-2</c:v>
                </c:pt>
                <c:pt idx="109">
                  <c:v>3.3177928913697662E-2</c:v>
                </c:pt>
                <c:pt idx="110">
                  <c:v>3.2219336904429151E-2</c:v>
                </c:pt>
                <c:pt idx="111">
                  <c:v>3.1288953322058964E-2</c:v>
                </c:pt>
                <c:pt idx="112">
                  <c:v>3.0385928817528093E-2</c:v>
                </c:pt>
                <c:pt idx="113">
                  <c:v>2.9509440382671583E-2</c:v>
                </c:pt>
                <c:pt idx="114">
                  <c:v>2.8658690500641199E-2</c:v>
                </c:pt>
                <c:pt idx="115">
                  <c:v>2.7832906325226652E-2</c:v>
                </c:pt>
                <c:pt idx="116">
                  <c:v>2.7031338888021797E-2</c:v>
                </c:pt>
                <c:pt idx="117">
                  <c:v>2.6253262332416278E-2</c:v>
                </c:pt>
                <c:pt idx="118">
                  <c:v>2.5497973173443159E-2</c:v>
                </c:pt>
                <c:pt idx="119">
                  <c:v>2.4764789582543096E-2</c:v>
                </c:pt>
                <c:pt idx="120">
                  <c:v>2.4053050696350043E-2</c:v>
                </c:pt>
                <c:pt idx="121">
                  <c:v>2.3362115948634767E-2</c:v>
                </c:pt>
                <c:pt idx="122">
                  <c:v>2.2691364424577733E-2</c:v>
                </c:pt>
                <c:pt idx="123">
                  <c:v>2.2040194236574318E-2</c:v>
                </c:pt>
                <c:pt idx="124">
                  <c:v>2.1408021920808287E-2</c:v>
                </c:pt>
                <c:pt idx="125">
                  <c:v>2.079428185385743E-2</c:v>
                </c:pt>
                <c:pt idx="126">
                  <c:v>2.0198425688622932E-2</c:v>
                </c:pt>
                <c:pt idx="127">
                  <c:v>1.9619921808904334E-2</c:v>
                </c:pt>
                <c:pt idx="128">
                  <c:v>1.9058254801963975E-2</c:v>
                </c:pt>
                <c:pt idx="129">
                  <c:v>1.8512924948452473E-2</c:v>
                </c:pt>
                <c:pt idx="130">
                  <c:v>1.798344772909008E-2</c:v>
                </c:pt>
                <c:pt idx="131">
                  <c:v>1.7469353347520204E-2</c:v>
                </c:pt>
                <c:pt idx="132">
                  <c:v>1.6970186268774588E-2</c:v>
                </c:pt>
                <c:pt idx="133">
                  <c:v>1.6485504772811219E-2</c:v>
                </c:pt>
                <c:pt idx="134">
                  <c:v>1.6014880522603948E-2</c:v>
                </c:pt>
                <c:pt idx="135">
                  <c:v>1.5557898146283359E-2</c:v>
                </c:pt>
                <c:pt idx="136">
                  <c:v>1.5114154832848522E-2</c:v>
                </c:pt>
                <c:pt idx="137">
                  <c:v>1.4683259940983146E-2</c:v>
                </c:pt>
                <c:pt idx="138">
                  <c:v>1.426483462053022E-2</c:v>
                </c:pt>
                <c:pt idx="139">
                  <c:v>1.3858511446194301E-2</c:v>
                </c:pt>
                <c:pt idx="140">
                  <c:v>1.3463934063055408E-2</c:v>
                </c:pt>
                <c:pt idx="141">
                  <c:v>1.3080756843495155E-2</c:v>
                </c:pt>
                <c:pt idx="142">
                  <c:v>1.2708644555149456E-2</c:v>
                </c:pt>
                <c:pt idx="143">
                  <c:v>1.2347272039514938E-2</c:v>
                </c:pt>
                <c:pt idx="144">
                  <c:v>1.1996323900852136E-2</c:v>
                </c:pt>
                <c:pt idx="145">
                  <c:v>1.1655494205039257E-2</c:v>
                </c:pt>
                <c:pt idx="146">
                  <c:v>1.1324486188042597E-2</c:v>
                </c:pt>
                <c:pt idx="147">
                  <c:v>1.1003011973683334E-2</c:v>
                </c:pt>
                <c:pt idx="148">
                  <c:v>1.0690792300390297E-2</c:v>
                </c:pt>
                <c:pt idx="149">
                  <c:v>1.0387556256639046E-2</c:v>
                </c:pt>
                <c:pt idx="150">
                  <c:v>1.0093041024790122E-2</c:v>
                </c:pt>
                <c:pt idx="151">
                  <c:v>9.8069916330464878E-3</c:v>
                </c:pt>
                <c:pt idx="152">
                  <c:v>9.5291607152631474E-3</c:v>
                </c:pt>
                <c:pt idx="153">
                  <c:v>9.2593082783489159E-3</c:v>
                </c:pt>
                <c:pt idx="154">
                  <c:v>8.9972014770098273E-3</c:v>
                </c:pt>
                <c:pt idx="155">
                  <c:v>8.7426143955942753E-3</c:v>
                </c:pt>
                <c:pt idx="156">
                  <c:v>8.4953278368045948E-3</c:v>
                </c:pt>
                <c:pt idx="157">
                  <c:v>8.2551291170523573E-3</c:v>
                </c:pt>
                <c:pt idx="158">
                  <c:v>8.0218118682384067E-3</c:v>
                </c:pt>
                <c:pt idx="159">
                  <c:v>7.7951758457488491E-3</c:v>
                </c:pt>
                <c:pt idx="160">
                  <c:v>7.5750267424639179E-3</c:v>
                </c:pt>
                <c:pt idx="161">
                  <c:v>7.3611760085845069E-3</c:v>
                </c:pt>
                <c:pt idx="162">
                  <c:v>7.1534406770873121E-3</c:v>
                </c:pt>
                <c:pt idx="163">
                  <c:v>6.9516431946257057E-3</c:v>
                </c:pt>
                <c:pt idx="164">
                  <c:v>6.7556112577005388E-3</c:v>
                </c:pt>
                <c:pt idx="165">
                  <c:v>6.5651776539307162E-3</c:v>
                </c:pt>
                <c:pt idx="166">
                  <c:v>6.380180108258156E-3</c:v>
                </c:pt>
                <c:pt idx="167">
                  <c:v>6.2004611339292661E-3</c:v>
                </c:pt>
                <c:pt idx="168">
                  <c:v>6.0258678880984193E-3</c:v>
                </c:pt>
                <c:pt idx="169">
                  <c:v>5.8562520319054229E-3</c:v>
                </c:pt>
                <c:pt idx="170">
                  <c:v>5.6914695948836582E-3</c:v>
                </c:pt>
                <c:pt idx="171">
                  <c:v>5.5313808435598017E-3</c:v>
                </c:pt>
                <c:pt idx="172">
                  <c:v>5.3758501541113597E-3</c:v>
                </c:pt>
                <c:pt idx="173">
                  <c:v>5.2247458889526852E-3</c:v>
                </c:pt>
                <c:pt idx="174">
                  <c:v>5.0779402771237844E-3</c:v>
                </c:pt>
                <c:pt idx="175">
                  <c:v>4.935309298361272E-3</c:v>
                </c:pt>
                <c:pt idx="176">
                  <c:v>4.7967325707340882E-3</c:v>
                </c:pt>
                <c:pt idx="177">
                  <c:v>4.6620932417311325E-3</c:v>
                </c:pt>
                <c:pt idx="178">
                  <c:v>4.5312778826911105E-3</c:v>
                </c:pt>
                <c:pt idx="179">
                  <c:v>4.4041763864689967E-3</c:v>
                </c:pt>
                <c:pt idx="180">
                  <c:v>4.280681868236662E-3</c:v>
                </c:pt>
                <c:pt idx="181">
                  <c:v>4.1606905693185557E-3</c:v>
                </c:pt>
                <c:pt idx="182">
                  <c:v>4.0441017639671426E-3</c:v>
                </c:pt>
                <c:pt idx="183">
                  <c:v>3.9308176689850085E-3</c:v>
                </c:pt>
                <c:pt idx="184">
                  <c:v>3.8207433561045895E-3</c:v>
                </c:pt>
                <c:pt idx="185">
                  <c:v>3.7137866670383054E-3</c:v>
                </c:pt>
                <c:pt idx="186">
                  <c:v>3.6098581311159749E-3</c:v>
                </c:pt>
                <c:pt idx="187">
                  <c:v>3.5088708854277774E-3</c:v>
                </c:pt>
                <c:pt idx="188">
                  <c:v>3.4107405973948491E-3</c:v>
                </c:pt>
                <c:pt idx="189">
                  <c:v>3.3153853896912069E-3</c:v>
                </c:pt>
                <c:pt idx="190">
                  <c:v>3.222725767443888E-3</c:v>
                </c:pt>
                <c:pt idx="191">
                  <c:v>3.1326845476400481E-3</c:v>
                </c:pt>
                <c:pt idx="192">
                  <c:v>3.0451867906722183E-3</c:v>
                </c:pt>
                <c:pt idx="193">
                  <c:v>2.9601597339554333E-3</c:v>
                </c:pt>
                <c:pt idx="194">
                  <c:v>2.8775327275514821E-3</c:v>
                </c:pt>
                <c:pt idx="195">
                  <c:v>2.7972371717381712E-3</c:v>
                </c:pt>
                <c:pt idx="196">
                  <c:v>2.7192064564631985E-3</c:v>
                </c:pt>
                <c:pt idx="197">
                  <c:v>2.643375902624224E-3</c:v>
                </c:pt>
                <c:pt idx="198">
                  <c:v>2.5696827051186872E-3</c:v>
                </c:pt>
                <c:pt idx="199">
                  <c:v>2.4980658776084766E-3</c:v>
                </c:pt>
                <c:pt idx="200">
                  <c:v>2.428466198946661E-3</c:v>
                </c:pt>
                <c:pt idx="201">
                  <c:v>2.3608261612148356E-3</c:v>
                </c:pt>
                <c:pt idx="202">
                  <c:v>2.2950899193216775E-3</c:v>
                </c:pt>
                <c:pt idx="203">
                  <c:v>2.2312032421142789E-3</c:v>
                </c:pt>
                <c:pt idx="204">
                  <c:v>2.1691134649559499E-3</c:v>
                </c:pt>
                <c:pt idx="205">
                  <c:v>2.1087694437254487E-3</c:v>
                </c:pt>
                <c:pt idx="206">
                  <c:v>2.0501215101938644E-3</c:v>
                </c:pt>
                <c:pt idx="207">
                  <c:v>1.9931214287368763E-3</c:v>
                </c:pt>
                <c:pt idx="208">
                  <c:v>1.9377223543416409E-3</c:v>
                </c:pt>
                <c:pt idx="209">
                  <c:v>1.8838787918684576E-3</c:v>
                </c:pt>
                <c:pt idx="210">
                  <c:v>1.8315465565290139E-3</c:v>
                </c:pt>
                <c:pt idx="211">
                  <c:v>1.7806827355438266E-3</c:v>
                </c:pt>
                <c:pt idx="212">
                  <c:v>1.731245650943116E-3</c:v>
                </c:pt>
                <c:pt idx="213">
                  <c:v>1.6831948234759667E-3</c:v>
                </c:pt>
                <c:pt idx="214">
                  <c:v>1.6364909375943138E-3</c:v>
                </c:pt>
                <c:pt idx="215">
                  <c:v>1.5910958074785684E-3</c:v>
                </c:pt>
                <c:pt idx="216">
                  <c:v>1.5469723440737981E-3</c:v>
                </c:pt>
                <c:pt idx="217">
                  <c:v>1.5040845231051151E-3</c:v>
                </c:pt>
                <c:pt idx="218">
                  <c:v>1.4623973540429877E-3</c:v>
                </c:pt>
                <c:pt idx="219">
                  <c:v>1.4218768499894155E-3</c:v>
                </c:pt>
                <c:pt idx="220">
                  <c:v>1.3824899984571839E-3</c:v>
                </c:pt>
                <c:pt idx="221">
                  <c:v>1.3442047330149566E-3</c:v>
                </c:pt>
                <c:pt idx="222">
                  <c:v>1.30698990577221E-3</c:v>
                </c:pt>
                <c:pt idx="223">
                  <c:v>1.2708152606784736E-3</c:v>
                </c:pt>
                <c:pt idx="224">
                  <c:v>1.2356514076123134E-3</c:v>
                </c:pt>
                <c:pt idx="225">
                  <c:v>1.201469797236116E-3</c:v>
                </c:pt>
                <c:pt idx="226">
                  <c:v>1.1682426965938092E-3</c:v>
                </c:pt>
                <c:pt idx="227">
                  <c:v>1.1359431654288028E-3</c:v>
                </c:pt>
                <c:pt idx="228">
                  <c:v>1.104545033200649E-3</c:v>
                </c:pt>
                <c:pt idx="229">
                  <c:v>1.0740228767794251E-3</c:v>
                </c:pt>
                <c:pt idx="230">
                  <c:v>1.0443519987972684E-3</c:v>
                </c:pt>
                <c:pt idx="231">
                  <c:v>1.0155084066374785E-3</c:v>
                </c:pt>
                <c:pt idx="232">
                  <c:v>9.8746879204192795E-4</c:v>
                </c:pt>
                <c:pt idx="233">
                  <c:v>9.6021051131834842E-4</c:v>
                </c:pt>
                <c:pt idx="234">
                  <c:v>9.3371156612935817E-4</c:v>
                </c:pt>
                <c:pt idx="235">
                  <c:v>9.0795058484589278E-4</c:v>
                </c:pt>
                <c:pt idx="236">
                  <c:v>8.8290680444808424E-4</c:v>
                </c:pt>
                <c:pt idx="237">
                  <c:v>8.5856005295729552E-4</c:v>
                </c:pt>
                <c:pt idx="238">
                  <c:v>8.3489073238328729E-4</c:v>
                </c:pt>
                <c:pt idx="239">
                  <c:v>8.1187980217125829E-4</c:v>
                </c:pt>
                <c:pt idx="240">
                  <c:v>7.8950876313374203E-4</c:v>
                </c:pt>
                <c:pt idx="241">
                  <c:v>7.6775964185292055E-4</c:v>
                </c:pt>
                <c:pt idx="242">
                  <c:v>7.4661497553936797E-4</c:v>
                </c:pt>
                <c:pt idx="243">
                  <c:v>7.2605779733356105E-4</c:v>
                </c:pt>
                <c:pt idx="244">
                  <c:v>7.0607162203697202E-4</c:v>
                </c:pt>
                <c:pt idx="245">
                  <c:v>6.8664043226003351E-4</c:v>
                </c:pt>
                <c:pt idx="246">
                  <c:v>6.6774866497449487E-4</c:v>
                </c:pt>
                <c:pt idx="247">
                  <c:v>6.4938119845818292E-4</c:v>
                </c:pt>
                <c:pt idx="248">
                  <c:v>6.3152333962055666E-4</c:v>
                </c:pt>
                <c:pt idx="249">
                  <c:v>6.1416081169764767E-4</c:v>
                </c:pt>
                <c:pt idx="250">
                  <c:v>5.9727974230553761E-4</c:v>
                </c:pt>
                <c:pt idx="251">
                  <c:v>5.8086665184169529E-4</c:v>
                </c:pt>
                <c:pt idx="252">
                  <c:v>5.6490844222387225E-4</c:v>
                </c:pt>
                <c:pt idx="253">
                  <c:v>5.4939238595656033E-4</c:v>
                </c:pt>
                <c:pt idx="254">
                  <c:v>5.3430611551531532E-4</c:v>
                </c:pt>
                <c:pt idx="255">
                  <c:v>5.1963761303958729E-4</c:v>
                </c:pt>
                <c:pt idx="256">
                  <c:v>5.053752003248785E-4</c:v>
                </c:pt>
                <c:pt idx="257">
                  <c:v>4.9150752910544757E-4</c:v>
                </c:pt>
                <c:pt idx="258">
                  <c:v>4.7802357161895296E-4</c:v>
                </c:pt>
                <c:pt idx="259">
                  <c:v>4.6491261144470883E-4</c:v>
                </c:pt>
                <c:pt idx="260">
                  <c:v>4.5216423460753106E-4</c:v>
                </c:pt>
                <c:pt idx="261">
                  <c:v>4.397683209393047E-4</c:v>
                </c:pt>
                <c:pt idx="262">
                  <c:v>4.2771503569071379E-4</c:v>
                </c:pt>
                <c:pt idx="263">
                  <c:v>4.1599482138573622E-4</c:v>
                </c:pt>
                <c:pt idx="264">
                  <c:v>4.0459838991184559E-4</c:v>
                </c:pt>
                <c:pt idx="265">
                  <c:v>3.9351671483885494E-4</c:v>
                </c:pt>
                <c:pt idx="266">
                  <c:v>3.8274102395983349E-4</c:v>
                </c:pt>
                <c:pt idx="267">
                  <c:v>3.7226279204748694E-4</c:v>
                </c:pt>
                <c:pt idx="268">
                  <c:v>3.6207373381968153E-4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6A-4B70-8150-8CECEF7E6BE7}"/>
            </c:ext>
          </c:extLst>
        </c:ser>
        <c:ser>
          <c:idx val="2"/>
          <c:order val="2"/>
          <c:tx>
            <c:v>Log-normal</c:v>
          </c:tx>
          <c:spPr>
            <a:ln w="28440">
              <a:solidFill>
                <a:srgbClr val="4CAF5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extrapolation!$F$15:$F$283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0.98909566854713415</c:v>
                </c:pt>
                <c:pt idx="2">
                  <c:v>0.9607344084051973</c:v>
                </c:pt>
                <c:pt idx="3">
                  <c:v>0.92600424480244814</c:v>
                </c:pt>
                <c:pt idx="4">
                  <c:v>0.88968633811184206</c:v>
                </c:pt>
                <c:pt idx="5">
                  <c:v>0.85378820192216076</c:v>
                </c:pt>
                <c:pt idx="6">
                  <c:v>0.8191817730842047</c:v>
                </c:pt>
                <c:pt idx="7">
                  <c:v>0.78622826663622536</c:v>
                </c:pt>
                <c:pt idx="8">
                  <c:v>0.75504458076130776</c:v>
                </c:pt>
                <c:pt idx="9">
                  <c:v>0.72562718818663408</c:v>
                </c:pt>
                <c:pt idx="10">
                  <c:v>0.69791342766572351</c:v>
                </c:pt>
                <c:pt idx="11">
                  <c:v>0.67181312896686529</c:v>
                </c:pt>
                <c:pt idx="12">
                  <c:v>0.64722534603078663</c:v>
                </c:pt>
                <c:pt idx="13">
                  <c:v>0.62404728307300661</c:v>
                </c:pt>
                <c:pt idx="14">
                  <c:v>0.60217899490952531</c:v>
                </c:pt>
                <c:pt idx="15">
                  <c:v>0.58152574943771951</c:v>
                </c:pt>
                <c:pt idx="16">
                  <c:v>0.56199908125772413</c:v>
                </c:pt>
                <c:pt idx="17">
                  <c:v>0.54351711203230868</c:v>
                </c:pt>
                <c:pt idx="18">
                  <c:v>0.52600446586433069</c:v>
                </c:pt>
                <c:pt idx="19">
                  <c:v>0.50939196935493736</c:v>
                </c:pt>
                <c:pt idx="20">
                  <c:v>0.49361624658408465</c:v>
                </c:pt>
                <c:pt idx="21">
                  <c:v>0.47861927295028894</c:v>
                </c:pt>
                <c:pt idx="22">
                  <c:v>0.46434792445846507</c:v>
                </c:pt>
                <c:pt idx="23">
                  <c:v>0.45075354275797275</c:v>
                </c:pt>
                <c:pt idx="24">
                  <c:v>0.43779152650351549</c:v>
                </c:pt>
                <c:pt idx="25">
                  <c:v>0.42542095381819545</c:v>
                </c:pt>
                <c:pt idx="26">
                  <c:v>0.41360423722934736</c:v>
                </c:pt>
                <c:pt idx="27">
                  <c:v>0.40230681049197203</c:v>
                </c:pt>
                <c:pt idx="28">
                  <c:v>0.39149684564531495</c:v>
                </c:pt>
                <c:pt idx="29">
                  <c:v>0.38114499811793368</c:v>
                </c:pt>
                <c:pt idx="30">
                  <c:v>0.3712241774907491</c:v>
                </c:pt>
                <c:pt idx="31">
                  <c:v>0.36170934151291712</c:v>
                </c:pt>
                <c:pt idx="32">
                  <c:v>0.3525773110592394</c:v>
                </c:pt>
                <c:pt idx="33">
                  <c:v>0.34380660386909578</c:v>
                </c:pt>
                <c:pt idx="34">
                  <c:v>0.33537728508419984</c:v>
                </c:pt>
                <c:pt idx="35">
                  <c:v>0.32727083278695757</c:v>
                </c:pt>
                <c:pt idx="36">
                  <c:v>0.31947001692180366</c:v>
                </c:pt>
                <c:pt idx="37">
                  <c:v>0.31195879015246941</c:v>
                </c:pt>
                <c:pt idx="38">
                  <c:v>0.30472218936564965</c:v>
                </c:pt>
                <c:pt idx="39">
                  <c:v>0.29774624667479599</c:v>
                </c:pt>
                <c:pt idx="40">
                  <c:v>0.29101790890672408</c:v>
                </c:pt>
                <c:pt idx="41">
                  <c:v>0.28452496466897526</c:v>
                </c:pt>
                <c:pt idx="42">
                  <c:v>0.27825597819835646</c:v>
                </c:pt>
                <c:pt idx="43">
                  <c:v>0.27220022928190601</c:v>
                </c:pt>
                <c:pt idx="44">
                  <c:v>0.2663476586218223</c:v>
                </c:pt>
                <c:pt idx="45">
                  <c:v>0.26068881808676958</c:v>
                </c:pt>
                <c:pt idx="46">
                  <c:v>0.25521482535449158</c:v>
                </c:pt>
                <c:pt idx="47">
                  <c:v>0.24991732250577736</c:v>
                </c:pt>
                <c:pt idx="48">
                  <c:v>0.24478843817841356</c:v>
                </c:pt>
                <c:pt idx="49">
                  <c:v>0.23982075293261418</c:v>
                </c:pt>
                <c:pt idx="50">
                  <c:v>0.23500726751722334</c:v>
                </c:pt>
                <c:pt idx="51">
                  <c:v>0.23034137375937047</c:v>
                </c:pt>
                <c:pt idx="52">
                  <c:v>0.22581682782975743</c:v>
                </c:pt>
                <c:pt idx="53">
                  <c:v>0.22142772566184266</c:v>
                </c:pt>
                <c:pt idx="54">
                  <c:v>0.21716848032628799</c:v>
                </c:pt>
                <c:pt idx="55">
                  <c:v>0.21303380118250526</c:v>
                </c:pt>
                <c:pt idx="56">
                  <c:v>0.20901867464729751</c:v>
                </c:pt>
                <c:pt idx="57">
                  <c:v>0.20511834643673366</c:v>
                </c:pt>
                <c:pt idx="58">
                  <c:v>0.2013283051517325</c:v>
                </c:pt>
                <c:pt idx="59">
                  <c:v>0.19764426709061556</c:v>
                </c:pt>
                <c:pt idx="60">
                  <c:v>0.19406216218327343</c:v>
                </c:pt>
                <c:pt idx="61">
                  <c:v>0.19057812095175586</c:v>
                </c:pt>
                <c:pt idx="62">
                  <c:v>0.18718846241117681</c:v>
                </c:pt>
                <c:pt idx="63">
                  <c:v>0.18388968283295681</c:v>
                </c:pt>
                <c:pt idx="64">
                  <c:v>0.18067844529969634</c:v>
                </c:pt>
                <c:pt idx="65">
                  <c:v>0.17755156998751143</c:v>
                </c:pt>
                <c:pt idx="66">
                  <c:v>0.17450602511751301</c:v>
                </c:pt>
                <c:pt idx="67">
                  <c:v>0.17153891852338854</c:v>
                </c:pt>
                <c:pt idx="68">
                  <c:v>0.16864748978678112</c:v>
                </c:pt>
                <c:pt idx="69">
                  <c:v>0.16582910289643304</c:v>
                </c:pt>
                <c:pt idx="70">
                  <c:v>0.16308123939091412</c:v>
                </c:pt>
                <c:pt idx="71">
                  <c:v>0.1604014919482335</c:v>
                </c:pt>
                <c:pt idx="72">
                  <c:v>0.15778755838877778</c:v>
                </c:pt>
                <c:pt idx="73">
                  <c:v>0.15523723606086504</c:v>
                </c:pt>
                <c:pt idx="74">
                  <c:v>0.15274841658077587</c:v>
                </c:pt>
                <c:pt idx="75">
                  <c:v>0.15031908090147006</c:v>
                </c:pt>
                <c:pt idx="76">
                  <c:v>0.14794729468630807</c:v>
                </c:pt>
                <c:pt idx="77">
                  <c:v>0.14563120396602935</c:v>
                </c:pt>
                <c:pt idx="78">
                  <c:v>0.14336903105899257</c:v>
                </c:pt>
                <c:pt idx="79">
                  <c:v>0.14115907073627554</c:v>
                </c:pt>
                <c:pt idx="80">
                  <c:v>0.13899968661469064</c:v>
                </c:pt>
                <c:pt idx="81">
                  <c:v>0.13688930776209263</c:v>
                </c:pt>
                <c:pt idx="82">
                  <c:v>0.13482642550057344</c:v>
                </c:pt>
                <c:pt idx="83">
                  <c:v>0.13280959039423512</c:v>
                </c:pt>
                <c:pt idx="84">
                  <c:v>0.1308374094092547</c:v>
                </c:pt>
                <c:pt idx="85">
                  <c:v>0.12890854323487133</c:v>
                </c:pt>
                <c:pt idx="86">
                  <c:v>0.12702170375478128</c:v>
                </c:pt>
                <c:pt idx="87">
                  <c:v>0.12517565165919742</c:v>
                </c:pt>
                <c:pt idx="88">
                  <c:v>0.12336919418855152</c:v>
                </c:pt>
                <c:pt idx="89">
                  <c:v>0.12160118300046496</c:v>
                </c:pt>
                <c:pt idx="90">
                  <c:v>0.11987051215222166</c:v>
                </c:pt>
                <c:pt idx="91">
                  <c:v>0.11817611619152923</c:v>
                </c:pt>
                <c:pt idx="92">
                  <c:v>0.11651696834886127</c:v>
                </c:pt>
                <c:pt idx="93">
                  <c:v>0.11489207882515196</c:v>
                </c:pt>
                <c:pt idx="94">
                  <c:v>0.11330049316903446</c:v>
                </c:pt>
                <c:pt idx="95">
                  <c:v>0.1117412907382288</c:v>
                </c:pt>
                <c:pt idx="96">
                  <c:v>0.11021358324003994</c:v>
                </c:pt>
                <c:pt idx="97">
                  <c:v>0.10871651334627874</c:v>
                </c:pt>
                <c:pt idx="98">
                  <c:v>0.10724925337822555</c:v>
                </c:pt>
                <c:pt idx="99">
                  <c:v>0.10581100405755373</c:v>
                </c:pt>
                <c:pt idx="100">
                  <c:v>0.10440099331939412</c:v>
                </c:pt>
                <c:pt idx="101">
                  <c:v>0.10301847518397766</c:v>
                </c:pt>
                <c:pt idx="102">
                  <c:v>0.10166272868352022</c:v>
                </c:pt>
                <c:pt idx="103">
                  <c:v>0.10033305684123039</c:v>
                </c:pt>
                <c:pt idx="104">
                  <c:v>9.9028785699521671E-2</c:v>
                </c:pt>
                <c:pt idx="105">
                  <c:v>9.7749263394693031E-2</c:v>
                </c:pt>
                <c:pt idx="106">
                  <c:v>9.6493859275515903E-2</c:v>
                </c:pt>
                <c:pt idx="107">
                  <c:v>9.526196306332535E-2</c:v>
                </c:pt>
                <c:pt idx="108">
                  <c:v>9.4052984051360644E-2</c:v>
                </c:pt>
                <c:pt idx="109">
                  <c:v>9.2866350341242243E-2</c:v>
                </c:pt>
                <c:pt idx="110">
                  <c:v>9.1701508114595875E-2</c:v>
                </c:pt>
                <c:pt idx="111">
                  <c:v>9.0557920937962444E-2</c:v>
                </c:pt>
                <c:pt idx="112">
                  <c:v>8.943506909923471E-2</c:v>
                </c:pt>
                <c:pt idx="113">
                  <c:v>8.8332448973977074E-2</c:v>
                </c:pt>
                <c:pt idx="114">
                  <c:v>8.7249572420073473E-2</c:v>
                </c:pt>
                <c:pt idx="115">
                  <c:v>8.6185966199244457E-2</c:v>
                </c:pt>
                <c:pt idx="116">
                  <c:v>8.5141171424059081E-2</c:v>
                </c:pt>
                <c:pt idx="117">
                  <c:v>8.4114743029145234E-2</c:v>
                </c:pt>
                <c:pt idx="118">
                  <c:v>8.3106249265378906E-2</c:v>
                </c:pt>
                <c:pt idx="119">
                  <c:v>8.2115271215900121E-2</c:v>
                </c:pt>
                <c:pt idx="120">
                  <c:v>8.1141402332870483E-2</c:v>
                </c:pt>
                <c:pt idx="121">
                  <c:v>8.0184247993947855E-2</c:v>
                </c:pt>
                <c:pt idx="122">
                  <c:v>7.9243425077511476E-2</c:v>
                </c:pt>
                <c:pt idx="123">
                  <c:v>7.8318561555721478E-2</c:v>
                </c:pt>
                <c:pt idx="124">
                  <c:v>7.7409296104552827E-2</c:v>
                </c:pt>
                <c:pt idx="125">
                  <c:v>7.6515277729986453E-2</c:v>
                </c:pt>
                <c:pt idx="126">
                  <c:v>7.5636165409585066E-2</c:v>
                </c:pt>
                <c:pt idx="127">
                  <c:v>7.4771627748726033E-2</c:v>
                </c:pt>
                <c:pt idx="128">
                  <c:v>7.3921342650798749E-2</c:v>
                </c:pt>
                <c:pt idx="129">
                  <c:v>7.3084997000715024E-2</c:v>
                </c:pt>
                <c:pt idx="130">
                  <c:v>7.2262286361110317E-2</c:v>
                </c:pt>
                <c:pt idx="131">
                  <c:v>7.1452914680652513E-2</c:v>
                </c:pt>
                <c:pt idx="132">
                  <c:v>7.0656594013900786E-2</c:v>
                </c:pt>
                <c:pt idx="133">
                  <c:v>6.9873044252187322E-2</c:v>
                </c:pt>
                <c:pt idx="134">
                  <c:v>6.9101992865023609E-2</c:v>
                </c:pt>
                <c:pt idx="135">
                  <c:v>6.8343174651555261E-2</c:v>
                </c:pt>
                <c:pt idx="136">
                  <c:v>6.7596331501618367E-2</c:v>
                </c:pt>
                <c:pt idx="137">
                  <c:v>6.686121216596641E-2</c:v>
                </c:pt>
                <c:pt idx="138">
                  <c:v>6.6137572035266379E-2</c:v>
                </c:pt>
                <c:pt idx="139">
                  <c:v>6.5425172927475295E-2</c:v>
                </c:pt>
                <c:pt idx="140">
                  <c:v>6.4723782883232883E-2</c:v>
                </c:pt>
                <c:pt idx="141">
                  <c:v>6.4033175968922329E-2</c:v>
                </c:pt>
                <c:pt idx="142">
                  <c:v>6.3353132087067943E-2</c:v>
                </c:pt>
                <c:pt idx="143">
                  <c:v>6.2683436793753544E-2</c:v>
                </c:pt>
                <c:pt idx="144">
                  <c:v>6.2023881122765467E-2</c:v>
                </c:pt>
                <c:pt idx="145">
                  <c:v>6.1374261416171416E-2</c:v>
                </c:pt>
                <c:pt idx="146">
                  <c:v>6.0734379161066943E-2</c:v>
                </c:pt>
                <c:pt idx="147">
                  <c:v>6.0104040832228756E-2</c:v>
                </c:pt>
                <c:pt idx="148">
                  <c:v>5.9483057740430278E-2</c:v>
                </c:pt>
                <c:pt idx="149">
                  <c:v>5.8871245886184642E-2</c:v>
                </c:pt>
                <c:pt idx="150">
                  <c:v>5.8268425818690406E-2</c:v>
                </c:pt>
                <c:pt idx="151">
                  <c:v>5.7674422499769284E-2</c:v>
                </c:pt>
                <c:pt idx="152">
                  <c:v>5.7089065172589604E-2</c:v>
                </c:pt>
                <c:pt idx="153">
                  <c:v>5.6512187234984412E-2</c:v>
                </c:pt>
                <c:pt idx="154">
                  <c:v>5.5943626117177181E-2</c:v>
                </c:pt>
                <c:pt idx="155">
                  <c:v>5.5383223163740447E-2</c:v>
                </c:pt>
                <c:pt idx="156">
                  <c:v>5.4830823519616434E-2</c:v>
                </c:pt>
                <c:pt idx="157">
                  <c:v>5.428627602004088E-2</c:v>
                </c:pt>
                <c:pt idx="158">
                  <c:v>5.3749433084215203E-2</c:v>
                </c:pt>
                <c:pt idx="159">
                  <c:v>5.3220150612581119E-2</c:v>
                </c:pt>
                <c:pt idx="160">
                  <c:v>5.269828788755504E-2</c:v>
                </c:pt>
                <c:pt idx="161">
                  <c:v>5.2183707477591157E-2</c:v>
                </c:pt>
                <c:pt idx="162">
                  <c:v>5.1676275144442285E-2</c:v>
                </c:pt>
                <c:pt idx="163">
                  <c:v>5.1175859753497921E-2</c:v>
                </c:pt>
                <c:pt idx="164">
                  <c:v>5.0682333187079487E-2</c:v>
                </c:pt>
                <c:pt idx="165">
                  <c:v>5.0195570260583744E-2</c:v>
                </c:pt>
                <c:pt idx="166">
                  <c:v>4.9715448641363569E-2</c:v>
                </c:pt>
                <c:pt idx="167">
                  <c:v>4.9241848770246066E-2</c:v>
                </c:pt>
                <c:pt idx="168">
                  <c:v>4.8774653785587652E-2</c:v>
                </c:pt>
                <c:pt idx="169">
                  <c:v>4.8313749449771293E-2</c:v>
                </c:pt>
                <c:pt idx="170">
                  <c:v>4.7859024078058532E-2</c:v>
                </c:pt>
                <c:pt idx="171">
                  <c:v>4.7410368469706032E-2</c:v>
                </c:pt>
                <c:pt idx="172">
                  <c:v>4.6967675841265155E-2</c:v>
                </c:pt>
                <c:pt idx="173">
                  <c:v>4.6530841761987074E-2</c:v>
                </c:pt>
                <c:pt idx="174">
                  <c:v>4.6099764091252382E-2</c:v>
                </c:pt>
                <c:pt idx="175">
                  <c:v>4.5674342917956912E-2</c:v>
                </c:pt>
                <c:pt idx="176">
                  <c:v>4.5254480501780714E-2</c:v>
                </c:pt>
                <c:pt idx="177">
                  <c:v>4.4840081216273253E-2</c:v>
                </c:pt>
                <c:pt idx="178">
                  <c:v>4.4431051493691531E-2</c:v>
                </c:pt>
                <c:pt idx="179">
                  <c:v>4.4027299771527972E-2</c:v>
                </c:pt>
                <c:pt idx="180">
                  <c:v>4.362873644066767E-2</c:v>
                </c:pt>
                <c:pt idx="181">
                  <c:v>4.3235273795120821E-2</c:v>
                </c:pt>
                <c:pt idx="182">
                  <c:v>4.2846825983272052E-2</c:v>
                </c:pt>
                <c:pt idx="183">
                  <c:v>4.2463308960596469E-2</c:v>
                </c:pt>
                <c:pt idx="184">
                  <c:v>4.2084640443790011E-2</c:v>
                </c:pt>
                <c:pt idx="185">
                  <c:v>4.1710739866266944E-2</c:v>
                </c:pt>
                <c:pt idx="186">
                  <c:v>4.1341528334976063E-2</c:v>
                </c:pt>
                <c:pt idx="187">
                  <c:v>4.0976928588492667E-2</c:v>
                </c:pt>
                <c:pt idx="188">
                  <c:v>4.0616864956341092E-2</c:v>
                </c:pt>
                <c:pt idx="189">
                  <c:v>4.026126331950719E-2</c:v>
                </c:pt>
                <c:pt idx="190">
                  <c:v>3.9910051072100883E-2</c:v>
                </c:pt>
                <c:pt idx="191">
                  <c:v>3.9563157084129719E-2</c:v>
                </c:pt>
                <c:pt idx="192">
                  <c:v>3.922051166534779E-2</c:v>
                </c:pt>
                <c:pt idx="193">
                  <c:v>3.888204653014149E-2</c:v>
                </c:pt>
                <c:pt idx="194">
                  <c:v>3.8547694763421569E-2</c:v>
                </c:pt>
                <c:pt idx="195">
                  <c:v>3.821739078748565E-2</c:v>
                </c:pt>
                <c:pt idx="196">
                  <c:v>3.7891070329820531E-2</c:v>
                </c:pt>
                <c:pt idx="197">
                  <c:v>3.756867039181333E-2</c:v>
                </c:pt>
                <c:pt idx="198">
                  <c:v>3.7250129218343142E-2</c:v>
                </c:pt>
                <c:pt idx="199">
                  <c:v>3.6935386268222015E-2</c:v>
                </c:pt>
                <c:pt idx="200">
                  <c:v>3.6624382185461712E-2</c:v>
                </c:pt>
                <c:pt idx="201">
                  <c:v>3.6317058771336619E-2</c:v>
                </c:pt>
                <c:pt idx="202">
                  <c:v>3.6013358957218911E-2</c:v>
                </c:pt>
                <c:pt idx="203">
                  <c:v>3.5713226778161355E-2</c:v>
                </c:pt>
                <c:pt idx="204">
                  <c:v>3.5416607347203977E-2</c:v>
                </c:pt>
                <c:pt idx="205">
                  <c:v>3.512344683038171E-2</c:v>
                </c:pt>
                <c:pt idx="206">
                  <c:v>3.48336924224113E-2</c:v>
                </c:pt>
                <c:pt idx="207">
                  <c:v>3.4547292323036105E-2</c:v>
                </c:pt>
                <c:pt idx="208">
                  <c:v>3.4264195714007961E-2</c:v>
                </c:pt>
                <c:pt idx="209">
                  <c:v>3.3984352736687873E-2</c:v>
                </c:pt>
                <c:pt idx="210">
                  <c:v>3.3707714470244232E-2</c:v>
                </c:pt>
                <c:pt idx="211">
                  <c:v>3.3434232910432016E-2</c:v>
                </c:pt>
                <c:pt idx="212">
                  <c:v>3.3163860948934643E-2</c:v>
                </c:pt>
                <c:pt idx="213">
                  <c:v>3.2896552353250952E-2</c:v>
                </c:pt>
                <c:pt idx="214">
                  <c:v>3.2632261747111868E-2</c:v>
                </c:pt>
                <c:pt idx="215">
                  <c:v>3.2370944591408879E-2</c:v>
                </c:pt>
                <c:pt idx="216">
                  <c:v>3.2112557165621114E-2</c:v>
                </c:pt>
                <c:pt idx="217">
                  <c:v>3.1857056549724816E-2</c:v>
                </c:pt>
                <c:pt idx="218">
                  <c:v>3.1604400606570882E-2</c:v>
                </c:pt>
                <c:pt idx="219">
                  <c:v>3.1354547964716595E-2</c:v>
                </c:pt>
                <c:pt idx="220">
                  <c:v>3.1107458001699118E-2</c:v>
                </c:pt>
                <c:pt idx="221">
                  <c:v>3.0863090827735529E-2</c:v>
                </c:pt>
                <c:pt idx="222">
                  <c:v>3.0621407269839973E-2</c:v>
                </c:pt>
                <c:pt idx="223">
                  <c:v>3.0382368856342046E-2</c:v>
                </c:pt>
                <c:pt idx="224">
                  <c:v>3.0145937801798417E-2</c:v>
                </c:pt>
                <c:pt idx="225">
                  <c:v>2.9912076992283265E-2</c:v>
                </c:pt>
                <c:pt idx="226">
                  <c:v>2.9680749971048415E-2</c:v>
                </c:pt>
                <c:pt idx="227">
                  <c:v>2.9451920924542296E-2</c:v>
                </c:pt>
                <c:pt idx="228">
                  <c:v>2.9225554668776077E-2</c:v>
                </c:pt>
                <c:pt idx="229">
                  <c:v>2.9001616636029071E-2</c:v>
                </c:pt>
                <c:pt idx="230">
                  <c:v>2.8780072861882111E-2</c:v>
                </c:pt>
                <c:pt idx="231">
                  <c:v>2.856088997257078E-2</c:v>
                </c:pt>
                <c:pt idx="232">
                  <c:v>2.8344035172648163E-2</c:v>
                </c:pt>
                <c:pt idx="233">
                  <c:v>2.8129476232950368E-2</c:v>
                </c:pt>
                <c:pt idx="234">
                  <c:v>2.7917181478853359E-2</c:v>
                </c:pt>
                <c:pt idx="235">
                  <c:v>2.7707119778816791E-2</c:v>
                </c:pt>
                <c:pt idx="236">
                  <c:v>2.7499260533202952E-2</c:v>
                </c:pt>
                <c:pt idx="237">
                  <c:v>2.7293573663366488E-2</c:v>
                </c:pt>
                <c:pt idx="238">
                  <c:v>2.7090029601004595E-2</c:v>
                </c:pt>
                <c:pt idx="239">
                  <c:v>2.6888599277763547E-2</c:v>
                </c:pt>
                <c:pt idx="240">
                  <c:v>2.6689254115090932E-2</c:v>
                </c:pt>
                <c:pt idx="241">
                  <c:v>2.6491966014330459E-2</c:v>
                </c:pt>
                <c:pt idx="242">
                  <c:v>2.6296707347050474E-2</c:v>
                </c:pt>
                <c:pt idx="243">
                  <c:v>2.610345094559996E-2</c:v>
                </c:pt>
                <c:pt idx="244">
                  <c:v>2.5912170093887243E-2</c:v>
                </c:pt>
                <c:pt idx="245">
                  <c:v>2.5722838518374314E-2</c:v>
                </c:pt>
                <c:pt idx="246">
                  <c:v>2.553543037928041E-2</c:v>
                </c:pt>
                <c:pt idx="247">
                  <c:v>2.5349920261991121E-2</c:v>
                </c:pt>
                <c:pt idx="248">
                  <c:v>2.5166283168666315E-2</c:v>
                </c:pt>
                <c:pt idx="249">
                  <c:v>2.4984494510040589E-2</c:v>
                </c:pt>
                <c:pt idx="250">
                  <c:v>2.4804530097414235E-2</c:v>
                </c:pt>
                <c:pt idx="251">
                  <c:v>2.4626366134826161E-2</c:v>
                </c:pt>
                <c:pt idx="252">
                  <c:v>2.4449979211406014E-2</c:v>
                </c:pt>
                <c:pt idx="253">
                  <c:v>2.4275346293901601E-2</c:v>
                </c:pt>
                <c:pt idx="254">
                  <c:v>2.4102444719373728E-2</c:v>
                </c:pt>
                <c:pt idx="255">
                  <c:v>2.3931252188058028E-2</c:v>
                </c:pt>
                <c:pt idx="256">
                  <c:v>2.3761746756386981E-2</c:v>
                </c:pt>
                <c:pt idx="257">
                  <c:v>2.3593906830168154E-2</c:v>
                </c:pt>
                <c:pt idx="258">
                  <c:v>2.3427711157916198E-2</c:v>
                </c:pt>
                <c:pt idx="259">
                  <c:v>2.3263138824332619E-2</c:v>
                </c:pt>
                <c:pt idx="260">
                  <c:v>2.3100169243930879E-2</c:v>
                </c:pt>
                <c:pt idx="261">
                  <c:v>2.2938782154803383E-2</c:v>
                </c:pt>
                <c:pt idx="262">
                  <c:v>2.2778957612524686E-2</c:v>
                </c:pt>
                <c:pt idx="263">
                  <c:v>2.2620675984190597E-2</c:v>
                </c:pt>
                <c:pt idx="264">
                  <c:v>2.2463917942586731E-2</c:v>
                </c:pt>
                <c:pt idx="265">
                  <c:v>2.2308664460485295E-2</c:v>
                </c:pt>
                <c:pt idx="266">
                  <c:v>2.2154896805065993E-2</c:v>
                </c:pt>
                <c:pt idx="267">
                  <c:v>2.2002596532458507E-2</c:v>
                </c:pt>
                <c:pt idx="268">
                  <c:v>2.1851745482402096E-2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D6A-4B70-8150-8CECEF7E6BE7}"/>
            </c:ext>
          </c:extLst>
        </c:ser>
        <c:ser>
          <c:idx val="3"/>
          <c:order val="3"/>
          <c:tx>
            <c:v>Log-logistic</c:v>
          </c:tx>
          <c:spPr>
            <a:ln w="28440">
              <a:solidFill>
                <a:srgbClr val="AB47BC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extrapolation!$G$15:$G$283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0.98452965902187328</c:v>
                </c:pt>
                <c:pt idx="2">
                  <c:v>0.96009963193939218</c:v>
                </c:pt>
                <c:pt idx="3">
                  <c:v>0.93161232311091102</c:v>
                </c:pt>
                <c:pt idx="4">
                  <c:v>0.90097130118956348</c:v>
                </c:pt>
                <c:pt idx="5">
                  <c:v>0.86932007507311704</c:v>
                </c:pt>
                <c:pt idx="6">
                  <c:v>0.83741738150018086</c:v>
                </c:pt>
                <c:pt idx="7">
                  <c:v>0.80578327765902802</c:v>
                </c:pt>
                <c:pt idx="8">
                  <c:v>0.77477554856248931</c:v>
                </c:pt>
                <c:pt idx="9">
                  <c:v>0.74463664493153026</c:v>
                </c:pt>
                <c:pt idx="10">
                  <c:v>0.71552528580472197</c:v>
                </c:pt>
                <c:pt idx="11">
                  <c:v>0.6875388760043335</c:v>
                </c:pt>
                <c:pt idx="12">
                  <c:v>0.66072988294979051</c:v>
                </c:pt>
                <c:pt idx="13">
                  <c:v>0.63511799620189968</c:v>
                </c:pt>
                <c:pt idx="14">
                  <c:v>0.61069923192839615</c:v>
                </c:pt>
                <c:pt idx="15">
                  <c:v>0.58745277428790066</c:v>
                </c:pt>
                <c:pt idx="16">
                  <c:v>0.56534611815656188</c:v>
                </c:pt>
                <c:pt idx="17">
                  <c:v>0.54433892717292442</c:v>
                </c:pt>
                <c:pt idx="18">
                  <c:v>0.52438591623944197</c:v>
                </c:pt>
                <c:pt idx="19">
                  <c:v>0.5054389918940253</c:v>
                </c:pt>
                <c:pt idx="20">
                  <c:v>0.48744882796767747</c:v>
                </c:pt>
                <c:pt idx="21">
                  <c:v>0.47036601191120564</c:v>
                </c:pt>
                <c:pt idx="22">
                  <c:v>0.45414186532603396</c:v>
                </c:pt>
                <c:pt idx="23">
                  <c:v>0.43872901796270636</c:v>
                </c:pt>
                <c:pt idx="24">
                  <c:v>0.42408179588702022</c:v>
                </c:pt>
                <c:pt idx="25">
                  <c:v>0.41015647028436703</c:v>
                </c:pt>
                <c:pt idx="26">
                  <c:v>0.39691140245144541</c:v>
                </c:pt>
                <c:pt idx="27">
                  <c:v>0.38430711213559526</c:v>
                </c:pt>
                <c:pt idx="28">
                  <c:v>0.37230628993594755</c:v>
                </c:pt>
                <c:pt idx="29">
                  <c:v>0.36087376952694455</c:v>
                </c:pt>
                <c:pt idx="30">
                  <c:v>0.34997647165865781</c:v>
                </c:pt>
                <c:pt idx="31">
                  <c:v>0.33958332896504823</c:v>
                </c:pt>
                <c:pt idx="32">
                  <c:v>0.32966519836762392</c:v>
                </c:pt>
                <c:pt idx="33">
                  <c:v>0.32019476614154507</c:v>
                </c:pt>
                <c:pt idx="34">
                  <c:v>0.31114644939387198</c:v>
                </c:pt>
                <c:pt idx="35">
                  <c:v>0.30249629669675965</c:v>
                </c:pt>
                <c:pt idx="36">
                  <c:v>0.29422188985065711</c:v>
                </c:pt>
                <c:pt idx="37">
                  <c:v>0.28630224816899197</c:v>
                </c:pt>
                <c:pt idx="38">
                  <c:v>0.27871773623403256</c:v>
                </c:pt>
                <c:pt idx="39">
                  <c:v>0.27144997574089447</c:v>
                </c:pt>
                <c:pt idx="40">
                  <c:v>0.26448176179776761</c:v>
                </c:pt>
                <c:pt idx="41">
                  <c:v>0.25779698386588012</c:v>
                </c:pt>
                <c:pt idx="42">
                  <c:v>0.2513805513874473</c:v>
                </c:pt>
                <c:pt idx="43">
                  <c:v>0.24521832405224883</c:v>
                </c:pt>
                <c:pt idx="44">
                  <c:v>0.23929704658456247</c:v>
                </c:pt>
                <c:pt idx="45">
                  <c:v>0.23360428788503595</c:v>
                </c:pt>
                <c:pt idx="46">
                  <c:v>0.2281283843313571</c:v>
                </c:pt>
                <c:pt idx="47">
                  <c:v>0.22285838702317265</c:v>
                </c:pt>
                <c:pt idx="48">
                  <c:v>0.21778401274743819</c:v>
                </c:pt>
                <c:pt idx="49">
                  <c:v>0.21289559843783498</c:v>
                </c:pt>
                <c:pt idx="50">
                  <c:v>0.20818405890418509</c:v>
                </c:pt>
                <c:pt idx="51">
                  <c:v>0.20364084761353501</c:v>
                </c:pt>
                <c:pt idx="52">
                  <c:v>0.19925792031265857</c:v>
                </c:pt>
                <c:pt idx="53">
                  <c:v>0.195027701291347</c:v>
                </c:pt>
                <c:pt idx="54">
                  <c:v>0.19094305209639748</c:v>
                </c:pt>
                <c:pt idx="55">
                  <c:v>0.18699724251721148</c:v>
                </c:pt>
                <c:pt idx="56">
                  <c:v>0.1831839236750479</c:v>
                </c:pt>
                <c:pt idx="57">
                  <c:v>0.17949710305899755</c:v>
                </c:pt>
                <c:pt idx="58">
                  <c:v>0.17593112136247782</c:v>
                </c:pt>
                <c:pt idx="59">
                  <c:v>0.17248063098437785</c:v>
                </c:pt>
                <c:pt idx="60">
                  <c:v>0.16914057606883678</c:v>
                </c:pt>
                <c:pt idx="61">
                  <c:v>0.16590617396696217</c:v>
                </c:pt>
                <c:pt idx="62">
                  <c:v>0.16277289801256961</c:v>
                </c:pt>
                <c:pt idx="63">
                  <c:v>0.15973646151224821</c:v>
                </c:pt>
                <c:pt idx="64">
                  <c:v>0.15679280285772132</c:v>
                </c:pt>
                <c:pt idx="65">
                  <c:v>0.15393807167561302</c:v>
                </c:pt>
                <c:pt idx="66">
                  <c:v>0.15116861593634356</c:v>
                </c:pt>
                <c:pt idx="67">
                  <c:v>0.1484809699500122</c:v>
                </c:pt>
                <c:pt idx="68">
                  <c:v>0.14587184318278507</c:v>
                </c:pt>
                <c:pt idx="69">
                  <c:v>0.14333810983254011</c:v>
                </c:pt>
                <c:pt idx="70">
                  <c:v>0.14087679910733641</c:v>
                </c:pt>
                <c:pt idx="71">
                  <c:v>0.13848508615471836</c:v>
                </c:pt>
                <c:pt idx="72">
                  <c:v>0.13616028359395191</c:v>
                </c:pt>
                <c:pt idx="73">
                  <c:v>0.13389983360704708</c:v>
                </c:pt>
                <c:pt idx="74">
                  <c:v>0.13170130054788046</c:v>
                </c:pt>
                <c:pt idx="75">
                  <c:v>0.12956236403190569</c:v>
                </c:pt>
                <c:pt idx="76">
                  <c:v>0.12748081247186299</c:v>
                </c:pt>
                <c:pt idx="77">
                  <c:v>0.12545453702757994</c:v>
                </c:pt>
                <c:pt idx="78">
                  <c:v>0.12348152594042015</c:v>
                </c:pt>
                <c:pt idx="79">
                  <c:v>0.12155985922520479</c:v>
                </c:pt>
                <c:pt idx="80">
                  <c:v>0.11968770369451123</c:v>
                </c:pt>
                <c:pt idx="81">
                  <c:v>0.1178633082921659</c:v>
                </c:pt>
                <c:pt idx="82">
                  <c:v>0.11608499971451008</c:v>
                </c:pt>
                <c:pt idx="83">
                  <c:v>0.1143511782996289</c:v>
                </c:pt>
                <c:pt idx="84">
                  <c:v>0.11266031416622786</c:v>
                </c:pt>
                <c:pt idx="85">
                  <c:v>0.11101094358520086</c:v>
                </c:pt>
                <c:pt idx="86">
                  <c:v>0.10940166556820172</c:v>
                </c:pt>
                <c:pt idx="87">
                  <c:v>0.10783113865867833</c:v>
                </c:pt>
                <c:pt idx="88">
                  <c:v>0.10629807791190855</c:v>
                </c:pt>
                <c:pt idx="89">
                  <c:v>0.10480125205154688</c:v>
                </c:pt>
                <c:pt idx="90">
                  <c:v>0.10333948079110654</c:v>
                </c:pt>
                <c:pt idx="91">
                  <c:v>0.10191163230963037</c:v>
                </c:pt>
                <c:pt idx="92">
                  <c:v>0.1005166208715754</c:v>
                </c:pt>
                <c:pt idx="93">
                  <c:v>9.9153404581648924E-2</c:v>
                </c:pt>
                <c:pt idx="94">
                  <c:v>9.7820983265983485E-2</c:v>
                </c:pt>
                <c:pt idx="95">
                  <c:v>9.6518396471651544E-2</c:v>
                </c:pt>
                <c:pt idx="96">
                  <c:v>9.5244721577071867E-2</c:v>
                </c:pt>
                <c:pt idx="97">
                  <c:v>9.3999072006382745E-2</c:v>
                </c:pt>
                <c:pt idx="98">
                  <c:v>9.2780595541332056E-2</c:v>
                </c:pt>
                <c:pt idx="99">
                  <c:v>9.1588472724677156E-2</c:v>
                </c:pt>
                <c:pt idx="100">
                  <c:v>9.0421915349495244E-2</c:v>
                </c:pt>
                <c:pt idx="101">
                  <c:v>8.928016502918848E-2</c:v>
                </c:pt>
                <c:pt idx="102">
                  <c:v>8.816249184331254E-2</c:v>
                </c:pt>
                <c:pt idx="103">
                  <c:v>8.7068193054686313E-2</c:v>
                </c:pt>
                <c:pt idx="104">
                  <c:v>8.5996591893544139E-2</c:v>
                </c:pt>
                <c:pt idx="105">
                  <c:v>8.4947036404765225E-2</c:v>
                </c:pt>
                <c:pt idx="106">
                  <c:v>8.3918898354481616E-2</c:v>
                </c:pt>
                <c:pt idx="107">
                  <c:v>8.2911572192602367E-2</c:v>
                </c:pt>
                <c:pt idx="108">
                  <c:v>8.1924474068016923E-2</c:v>
                </c:pt>
                <c:pt idx="109">
                  <c:v>8.0957040893449961E-2</c:v>
                </c:pt>
                <c:pt idx="110">
                  <c:v>8.0008729457130542E-2</c:v>
                </c:pt>
                <c:pt idx="111">
                  <c:v>7.9079015578622763E-2</c:v>
                </c:pt>
                <c:pt idx="112">
                  <c:v>7.8167393306326646E-2</c:v>
                </c:pt>
                <c:pt idx="113">
                  <c:v>7.7273374154320076E-2</c:v>
                </c:pt>
                <c:pt idx="114">
                  <c:v>7.6396486376353295E-2</c:v>
                </c:pt>
                <c:pt idx="115">
                  <c:v>7.553627427494411E-2</c:v>
                </c:pt>
                <c:pt idx="116">
                  <c:v>7.4692297543649186E-2</c:v>
                </c:pt>
                <c:pt idx="117">
                  <c:v>7.3864130640703143E-2</c:v>
                </c:pt>
                <c:pt idx="118">
                  <c:v>7.3051362192327218E-2</c:v>
                </c:pt>
                <c:pt idx="119">
                  <c:v>7.2253594424110876E-2</c:v>
                </c:pt>
                <c:pt idx="120">
                  <c:v>7.1470442618968191E-2</c:v>
                </c:pt>
                <c:pt idx="121">
                  <c:v>7.0701534600256147E-2</c:v>
                </c:pt>
                <c:pt idx="122">
                  <c:v>6.9946510238728984E-2</c:v>
                </c:pt>
                <c:pt idx="123">
                  <c:v>6.9205020982078674E-2</c:v>
                </c:pt>
                <c:pt idx="124">
                  <c:v>6.8476729405885395E-2</c:v>
                </c:pt>
                <c:pt idx="125">
                  <c:v>6.7761308784871022E-2</c:v>
                </c:pt>
                <c:pt idx="126">
                  <c:v>6.7058442683410394E-2</c:v>
                </c:pt>
                <c:pt idx="127">
                  <c:v>6.6367824564317196E-2</c:v>
                </c:pt>
                <c:pt idx="128">
                  <c:v>6.5689157414977037E-2</c:v>
                </c:pt>
                <c:pt idx="129">
                  <c:v>6.5022153389951667E-2</c:v>
                </c:pt>
                <c:pt idx="130">
                  <c:v>6.4366533469228965E-2</c:v>
                </c:pt>
                <c:pt idx="131">
                  <c:v>6.3722027131338552E-2</c:v>
                </c:pt>
                <c:pt idx="132">
                  <c:v>6.3088372040597737E-2</c:v>
                </c:pt>
                <c:pt idx="133">
                  <c:v>6.2465313747791212E-2</c:v>
                </c:pt>
                <c:pt idx="134">
                  <c:v>6.1852605403628247E-2</c:v>
                </c:pt>
                <c:pt idx="135">
                  <c:v>6.1250007484355495E-2</c:v>
                </c:pt>
                <c:pt idx="136">
                  <c:v>6.065728752893805E-2</c:v>
                </c:pt>
                <c:pt idx="137">
                  <c:v>6.0074219887253436E-2</c:v>
                </c:pt>
                <c:pt idx="138">
                  <c:v>5.9500585478771885E-2</c:v>
                </c:pt>
                <c:pt idx="139">
                  <c:v>5.8936171561226006E-2</c:v>
                </c:pt>
                <c:pt idx="140">
                  <c:v>5.8380771508797905E-2</c:v>
                </c:pt>
                <c:pt idx="141">
                  <c:v>5.7834184599377253E-2</c:v>
                </c:pt>
                <c:pt idx="142">
                  <c:v>5.7296215810468391E-2</c:v>
                </c:pt>
                <c:pt idx="143">
                  <c:v>5.6766675623343206E-2</c:v>
                </c:pt>
                <c:pt idx="144">
                  <c:v>5.6245379835062705E-2</c:v>
                </c:pt>
                <c:pt idx="145">
                  <c:v>5.5732149378004359E-2</c:v>
                </c:pt>
                <c:pt idx="146">
                  <c:v>5.5226810146554083E-2</c:v>
                </c:pt>
                <c:pt idx="147">
                  <c:v>5.4729192830638804E-2</c:v>
                </c:pt>
                <c:pt idx="148">
                  <c:v>5.4239132755790724E-2</c:v>
                </c:pt>
                <c:pt idx="149">
                  <c:v>5.3756469729450897E-2</c:v>
                </c:pt>
                <c:pt idx="150">
                  <c:v>5.3281047893235206E-2</c:v>
                </c:pt>
                <c:pt idx="151">
                  <c:v>5.2812715580897007E-2</c:v>
                </c:pt>
                <c:pt idx="152">
                  <c:v>5.2351325181737345E-2</c:v>
                </c:pt>
                <c:pt idx="153">
                  <c:v>5.1896733009223275E-2</c:v>
                </c:pt>
                <c:pt idx="154">
                  <c:v>5.1448799174587161E-2</c:v>
                </c:pt>
                <c:pt idx="155">
                  <c:v>5.1007387465192906E-2</c:v>
                </c:pt>
                <c:pt idx="156">
                  <c:v>5.0572365227461218E-2</c:v>
                </c:pt>
                <c:pt idx="157">
                  <c:v>5.0143603254161548E-2</c:v>
                </c:pt>
                <c:pt idx="158">
                  <c:v>4.9720975675882066E-2</c:v>
                </c:pt>
                <c:pt idx="159">
                  <c:v>4.9304359856502923E-2</c:v>
                </c:pt>
                <c:pt idx="160">
                  <c:v>4.8893636292502006E-2</c:v>
                </c:pt>
                <c:pt idx="161">
                  <c:v>4.8488688515934457E-2</c:v>
                </c:pt>
                <c:pt idx="162">
                  <c:v>4.8089403000931362E-2</c:v>
                </c:pt>
                <c:pt idx="163">
                  <c:v>4.769566907357279E-2</c:v>
                </c:pt>
                <c:pt idx="164">
                  <c:v>4.7307378824994598E-2</c:v>
                </c:pt>
                <c:pt idx="165">
                  <c:v>4.6924427027598303E-2</c:v>
                </c:pt>
                <c:pt idx="166">
                  <c:v>4.6546711054235336E-2</c:v>
                </c:pt>
                <c:pt idx="167">
                  <c:v>4.6174130800246245E-2</c:v>
                </c:pt>
                <c:pt idx="168">
                  <c:v>4.5806588608239149E-2</c:v>
                </c:pt>
                <c:pt idx="169">
                  <c:v>4.5443989195496998E-2</c:v>
                </c:pt>
                <c:pt idx="170">
                  <c:v>4.5086239583909227E-2</c:v>
                </c:pt>
                <c:pt idx="171">
                  <c:v>4.4733249032326998E-2</c:v>
                </c:pt>
                <c:pt idx="172">
                  <c:v>4.4384928971245907E-2</c:v>
                </c:pt>
                <c:pt idx="173">
                  <c:v>4.4041192939725353E-2</c:v>
                </c:pt>
                <c:pt idx="174">
                  <c:v>4.3701956524455722E-2</c:v>
                </c:pt>
                <c:pt idx="175">
                  <c:v>4.3367137300891312E-2</c:v>
                </c:pt>
                <c:pt idx="176">
                  <c:v>4.3036654776366999E-2</c:v>
                </c:pt>
                <c:pt idx="177">
                  <c:v>4.2710430335123527E-2</c:v>
                </c:pt>
                <c:pt idx="178">
                  <c:v>4.2388387185168006E-2</c:v>
                </c:pt>
                <c:pt idx="179">
                  <c:v>4.2070450306898731E-2</c:v>
                </c:pt>
                <c:pt idx="180">
                  <c:v>4.1756546403427804E-2</c:v>
                </c:pt>
                <c:pt idx="181">
                  <c:v>4.1446603852537331E-2</c:v>
                </c:pt>
                <c:pt idx="182">
                  <c:v>4.1140552660207858E-2</c:v>
                </c:pt>
                <c:pt idx="183">
                  <c:v>4.0838324415659162E-2</c:v>
                </c:pt>
                <c:pt idx="184">
                  <c:v>4.0539852247848993E-2</c:v>
                </c:pt>
                <c:pt idx="185">
                  <c:v>4.0245070783373062E-2</c:v>
                </c:pt>
                <c:pt idx="186">
                  <c:v>3.9953916105716886E-2</c:v>
                </c:pt>
                <c:pt idx="187">
                  <c:v>3.9666325715808567E-2</c:v>
                </c:pt>
                <c:pt idx="188">
                  <c:v>3.93822384938253E-2</c:v>
                </c:pt>
                <c:pt idx="189">
                  <c:v>3.9101594662207542E-2</c:v>
                </c:pt>
                <c:pt idx="190">
                  <c:v>3.882433574983777E-2</c:v>
                </c:pt>
                <c:pt idx="191">
                  <c:v>3.8550404557341551E-2</c:v>
                </c:pt>
                <c:pt idx="192">
                  <c:v>3.82797451234703E-2</c:v>
                </c:pt>
                <c:pt idx="193">
                  <c:v>3.8012302692527575E-2</c:v>
                </c:pt>
                <c:pt idx="194">
                  <c:v>3.7748023682801599E-2</c:v>
                </c:pt>
                <c:pt idx="195">
                  <c:v>3.7486855655968321E-2</c:v>
                </c:pt>
                <c:pt idx="196">
                  <c:v>3.7228747287430995E-2</c:v>
                </c:pt>
                <c:pt idx="197">
                  <c:v>3.6973648337563177E-2</c:v>
                </c:pt>
                <c:pt idx="198">
                  <c:v>3.672150962382411E-2</c:v>
                </c:pt>
                <c:pt idx="199">
                  <c:v>3.6472282993715299E-2</c:v>
                </c:pt>
                <c:pt idx="200">
                  <c:v>3.6225921298550262E-2</c:v>
                </c:pt>
                <c:pt idx="201">
                  <c:v>3.5982378368008487E-2</c:v>
                </c:pt>
                <c:pt idx="202">
                  <c:v>3.5741608985447329E-2</c:v>
                </c:pt>
                <c:pt idx="203">
                  <c:v>3.5503568863945761E-2</c:v>
                </c:pt>
                <c:pt idx="204">
                  <c:v>3.5268214623054926E-2</c:v>
                </c:pt>
                <c:pt idx="205">
                  <c:v>3.5035503766231893E-2</c:v>
                </c:pt>
                <c:pt idx="206">
                  <c:v>3.480539465893373E-2</c:v>
                </c:pt>
                <c:pt idx="207">
                  <c:v>3.4577846507348804E-2</c:v>
                </c:pt>
                <c:pt idx="208">
                  <c:v>3.4352819337745463E-2</c:v>
                </c:pt>
                <c:pt idx="209">
                  <c:v>3.413027397641643E-2</c:v>
                </c:pt>
                <c:pt idx="210">
                  <c:v>3.3910172030199637E-2</c:v>
                </c:pt>
                <c:pt idx="211">
                  <c:v>3.3692475867556443E-2</c:v>
                </c:pt>
                <c:pt idx="212">
                  <c:v>3.347714860018923E-2</c:v>
                </c:pt>
                <c:pt idx="213">
                  <c:v>3.3264154065179942E-2</c:v>
                </c:pt>
                <c:pt idx="214">
                  <c:v>3.3053456807633809E-2</c:v>
                </c:pt>
                <c:pt idx="215">
                  <c:v>3.2845022063810514E-2</c:v>
                </c:pt>
                <c:pt idx="216">
                  <c:v>3.2638815744728558E-2</c:v>
                </c:pt>
                <c:pt idx="217">
                  <c:v>3.2434804420226331E-2</c:v>
                </c:pt>
                <c:pt idx="218">
                  <c:v>3.2232955303465871E-2</c:v>
                </c:pt>
                <c:pt idx="219">
                  <c:v>3.2033236235865306E-2</c:v>
                </c:pt>
                <c:pt idx="220">
                  <c:v>3.1835615672446263E-2</c:v>
                </c:pt>
                <c:pt idx="221">
                  <c:v>3.1640062667582791E-2</c:v>
                </c:pt>
                <c:pt idx="222">
                  <c:v>3.1446546861139776E-2</c:v>
                </c:pt>
                <c:pt idx="223">
                  <c:v>3.1255038464988172E-2</c:v>
                </c:pt>
                <c:pt idx="224">
                  <c:v>3.1065508249885503E-2</c:v>
                </c:pt>
                <c:pt idx="225">
                  <c:v>3.0877927532710122E-2</c:v>
                </c:pt>
                <c:pt idx="226">
                  <c:v>3.0692268164038555E-2</c:v>
                </c:pt>
                <c:pt idx="227">
                  <c:v>3.050850251605516E-2</c:v>
                </c:pt>
                <c:pt idx="228">
                  <c:v>3.0326603470783697E-2</c:v>
                </c:pt>
                <c:pt idx="229">
                  <c:v>3.0146544408631463E-2</c:v>
                </c:pt>
                <c:pt idx="230">
                  <c:v>2.9968299197236075E-2</c:v>
                </c:pt>
                <c:pt idx="231">
                  <c:v>2.9791842180605949E-2</c:v>
                </c:pt>
                <c:pt idx="232">
                  <c:v>2.9617148168545181E-2</c:v>
                </c:pt>
                <c:pt idx="233">
                  <c:v>2.9444192426355115E-2</c:v>
                </c:pt>
                <c:pt idx="234">
                  <c:v>2.927295066480325E-2</c:v>
                </c:pt>
                <c:pt idx="235">
                  <c:v>2.9103399030352407E-2</c:v>
                </c:pt>
                <c:pt idx="236">
                  <c:v>2.8935514095641834E-2</c:v>
                </c:pt>
                <c:pt idx="237">
                  <c:v>2.8769272850212923E-2</c:v>
                </c:pt>
                <c:pt idx="238">
                  <c:v>2.8604652691472828E-2</c:v>
                </c:pt>
                <c:pt idx="239">
                  <c:v>2.8441631415887968E-2</c:v>
                </c:pt>
                <c:pt idx="240">
                  <c:v>2.8280187210401611E-2</c:v>
                </c:pt>
                <c:pt idx="241">
                  <c:v>2.8120298644068516E-2</c:v>
                </c:pt>
                <c:pt idx="242">
                  <c:v>2.7961944659900633E-2</c:v>
                </c:pt>
                <c:pt idx="243">
                  <c:v>2.7805104566917514E-2</c:v>
                </c:pt>
                <c:pt idx="244">
                  <c:v>2.7649758032395319E-2</c:v>
                </c:pt>
                <c:pt idx="245">
                  <c:v>2.7495885074309563E-2</c:v>
                </c:pt>
                <c:pt idx="246">
                  <c:v>2.734346605396492E-2</c:v>
                </c:pt>
                <c:pt idx="247">
                  <c:v>2.7192481668807628E-2</c:v>
                </c:pt>
                <c:pt idx="248">
                  <c:v>2.7042912945415103E-2</c:v>
                </c:pt>
                <c:pt idx="249">
                  <c:v>2.6894741232657265E-2</c:v>
                </c:pt>
                <c:pt idx="250">
                  <c:v>2.6747948195025392E-2</c:v>
                </c:pt>
                <c:pt idx="251">
                  <c:v>2.6602515806123588E-2</c:v>
                </c:pt>
                <c:pt idx="252">
                  <c:v>2.6458426342317945E-2</c:v>
                </c:pt>
                <c:pt idx="253">
                  <c:v>2.6315662376539612E-2</c:v>
                </c:pt>
                <c:pt idx="254">
                  <c:v>2.6174206772236974E-2</c:v>
                </c:pt>
                <c:pt idx="255">
                  <c:v>2.603404267747312E-2</c:v>
                </c:pt>
                <c:pt idx="256">
                  <c:v>2.589515351916441E-2</c:v>
                </c:pt>
                <c:pt idx="257">
                  <c:v>2.5757522997456546E-2</c:v>
                </c:pt>
                <c:pt idx="258">
                  <c:v>2.5621135080234E-2</c:v>
                </c:pt>
                <c:pt idx="259">
                  <c:v>2.5485973997759325E-2</c:v>
                </c:pt>
                <c:pt idx="260">
                  <c:v>2.5352024237439055E-2</c:v>
                </c:pt>
                <c:pt idx="261">
                  <c:v>2.5219270538712354E-2</c:v>
                </c:pt>
                <c:pt idx="262">
                  <c:v>2.5087697888059403E-2</c:v>
                </c:pt>
                <c:pt idx="263">
                  <c:v>2.4957291514126061E-2</c:v>
                </c:pt>
                <c:pt idx="264">
                  <c:v>2.4828036882962125E-2</c:v>
                </c:pt>
                <c:pt idx="265">
                  <c:v>2.4699919693369463E-2</c:v>
                </c:pt>
                <c:pt idx="266">
                  <c:v>2.4572925872357796E-2</c:v>
                </c:pt>
                <c:pt idx="267">
                  <c:v>2.4447041570704851E-2</c:v>
                </c:pt>
                <c:pt idx="268">
                  <c:v>2.4322253158618207E-2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D6A-4B70-8150-8CECEF7E6BE7}"/>
            </c:ext>
          </c:extLst>
        </c:ser>
        <c:ser>
          <c:idx val="4"/>
          <c:order val="4"/>
          <c:tx>
            <c:v>Gompertz</c:v>
          </c:tx>
          <c:spPr>
            <a:ln w="28440">
              <a:solidFill>
                <a:srgbClr val="FFFF0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extrapolation!$H$15:$H$283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0.96429009573892011</c:v>
                </c:pt>
                <c:pt idx="2">
                  <c:v>0.93006800984444604</c:v>
                </c:pt>
                <c:pt idx="3">
                  <c:v>0.89726427790347185</c:v>
                </c:pt>
                <c:pt idx="4">
                  <c:v>0.86581299279723523</c:v>
                </c:pt>
                <c:pt idx="5">
                  <c:v>0.83565160768159252</c:v>
                </c:pt>
                <c:pt idx="6">
                  <c:v>0.80672075065020921</c:v>
                </c:pt>
                <c:pt idx="7">
                  <c:v>0.7789640503445916</c:v>
                </c:pt>
                <c:pt idx="8">
                  <c:v>0.75232797182385713</c:v>
                </c:pt>
                <c:pt idx="9">
                  <c:v>0.72676166205269621</c:v>
                </c:pt>
                <c:pt idx="10">
                  <c:v>0.70221680440836354</c:v>
                </c:pt>
                <c:pt idx="11">
                  <c:v>0.67864748164696265</c:v>
                </c:pt>
                <c:pt idx="12">
                  <c:v>0.65601004680600961</c:v>
                </c:pt>
                <c:pt idx="13">
                  <c:v>0.63426300155442428</c:v>
                </c:pt>
                <c:pt idx="14">
                  <c:v>0.61336688153293506</c:v>
                </c:pt>
                <c:pt idx="15">
                  <c:v>0.5932841482575224</c:v>
                </c:pt>
                <c:pt idx="16">
                  <c:v>0.57397908718616752</c:v>
                </c:pt>
                <c:pt idx="17">
                  <c:v>0.55541771157489761</c:v>
                </c:pt>
                <c:pt idx="18">
                  <c:v>0.53756767177313736</c:v>
                </c:pt>
                <c:pt idx="19">
                  <c:v>0.52039816963075647</c:v>
                </c:pt>
                <c:pt idx="20">
                  <c:v>0.50387987771006415</c:v>
                </c:pt>
                <c:pt idx="21">
                  <c:v>0.48798486301549532</c:v>
                </c:pt>
                <c:pt idx="22">
                  <c:v>0.47268651497189612</c:v>
                </c:pt>
                <c:pt idx="23">
                  <c:v>0.45795947739927501</c:v>
                </c:pt>
                <c:pt idx="24">
                  <c:v>0.4437795842477365</c:v>
                </c:pt>
                <c:pt idx="25">
                  <c:v>0.43012379887109536</c:v>
                </c:pt>
                <c:pt idx="26">
                  <c:v>0.41697015663148002</c:v>
                </c:pt>
                <c:pt idx="27">
                  <c:v>0.40429771064015607</c:v>
                </c:pt>
                <c:pt idx="28">
                  <c:v>0.39208648045184374</c:v>
                </c:pt>
                <c:pt idx="29">
                  <c:v>0.38031740354109744</c:v>
                </c:pt>
                <c:pt idx="30">
                  <c:v>0.36897228939984295</c:v>
                </c:pt>
                <c:pt idx="31">
                  <c:v>0.35803377610503667</c:v>
                </c:pt>
                <c:pt idx="32">
                  <c:v>0.34748528921462712</c:v>
                </c:pt>
                <c:pt idx="33">
                  <c:v>0.33731100285863536</c:v>
                </c:pt>
                <c:pt idx="34">
                  <c:v>0.32749580290023605</c:v>
                </c:pt>
                <c:pt idx="35">
                  <c:v>0.31802525204929366</c:v>
                </c:pt>
                <c:pt idx="36">
                  <c:v>0.30888555681787078</c:v>
                </c:pt>
                <c:pt idx="37">
                  <c:v>0.30006353621386916</c:v>
                </c:pt>
                <c:pt idx="38">
                  <c:v>0.29154659207515982</c:v>
                </c:pt>
                <c:pt idx="39">
                  <c:v>0.28332268095238844</c:v>
                </c:pt>
                <c:pt idx="40">
                  <c:v>0.27538028745407767</c:v>
                </c:pt>
                <c:pt idx="41">
                  <c:v>0.26770839897278137</c:v>
                </c:pt>
                <c:pt idx="42">
                  <c:v>0.26029648171581088</c:v>
                </c:pt>
                <c:pt idx="43">
                  <c:v>0.25313445796856959</c:v>
                </c:pt>
                <c:pt idx="44">
                  <c:v>0.24621268452273043</c:v>
                </c:pt>
                <c:pt idx="45">
                  <c:v>0.23952193220545456</c:v>
                </c:pt>
                <c:pt idx="46">
                  <c:v>0.23305336644955524</c:v>
                </c:pt>
                <c:pt idx="47">
                  <c:v>0.2267985288479952</c:v>
                </c:pt>
                <c:pt idx="48">
                  <c:v>0.22074931963937577</c:v>
                </c:pt>
                <c:pt idx="49">
                  <c:v>0.21489798107414523</c:v>
                </c:pt>
                <c:pt idx="50">
                  <c:v>0.20923708161413807</c:v>
                </c:pt>
                <c:pt idx="51">
                  <c:v>0.20375950092076492</c:v>
                </c:pt>
                <c:pt idx="52">
                  <c:v>0.19845841558972047</c:v>
                </c:pt>
                <c:pt idx="53">
                  <c:v>0.19332728559246562</c:v>
                </c:pt>
                <c:pt idx="54">
                  <c:v>0.18835984138699072</c:v>
                </c:pt>
                <c:pt idx="55">
                  <c:v>0.18355007166248158</c:v>
                </c:pt>
                <c:pt idx="56">
                  <c:v>0.17889221168449579</c:v>
                </c:pt>
                <c:pt idx="57">
                  <c:v>0.17438073220912928</c:v>
                </c:pt>
                <c:pt idx="58">
                  <c:v>0.1700103289364113</c:v>
                </c:pt>
                <c:pt idx="59">
                  <c:v>0.16577591247482165</c:v>
                </c:pt>
                <c:pt idx="60">
                  <c:v>0.16167259879038315</c:v>
                </c:pt>
                <c:pt idx="61">
                  <c:v>0.15769570011524731</c:v>
                </c:pt>
                <c:pt idx="62">
                  <c:v>0.15384071629207424</c:v>
                </c:pt>
                <c:pt idx="63">
                  <c:v>0.15010332653180822</c:v>
                </c:pt>
                <c:pt idx="64">
                  <c:v>0.14647938156367424</c:v>
                </c:pt>
                <c:pt idx="65">
                  <c:v>0.14296489615737595</c:v>
                </c:pt>
                <c:pt idx="66">
                  <c:v>0.13955604199856447</c:v>
                </c:pt>
                <c:pt idx="67">
                  <c:v>0.13624914089967075</c:v>
                </c:pt>
                <c:pt idx="68">
                  <c:v>0.13304065832916045</c:v>
                </c:pt>
                <c:pt idx="69">
                  <c:v>0.12992719724318502</c:v>
                </c:pt>
                <c:pt idx="70">
                  <c:v>0.12690549220445599</c:v>
                </c:pt>
                <c:pt idx="71">
                  <c:v>0.12397240377398759</c:v>
                </c:pt>
                <c:pt idx="72">
                  <c:v>0.12112491316210977</c:v>
                </c:pt>
                <c:pt idx="73">
                  <c:v>0.11836011712588171</c:v>
                </c:pt>
                <c:pt idx="74">
                  <c:v>0.11567522310071271</c:v>
                </c:pt>
                <c:pt idx="75">
                  <c:v>0.1130675445546432</c:v>
                </c:pt>
                <c:pt idx="76">
                  <c:v>0.11053449655434254</c:v>
                </c:pt>
                <c:pt idx="77">
                  <c:v>0.10807359153245724</c:v>
                </c:pt>
                <c:pt idx="78">
                  <c:v>0.10568243524648038</c:v>
                </c:pt>
                <c:pt idx="79">
                  <c:v>0.10335872291982807</c:v>
                </c:pt>
                <c:pt idx="80">
                  <c:v>0.10110023555628997</c:v>
                </c:pt>
                <c:pt idx="81">
                  <c:v>9.8904836419478295E-2</c:v>
                </c:pt>
                <c:pt idx="82">
                  <c:v>9.6770467669330743E-2</c:v>
                </c:pt>
                <c:pt idx="83">
                  <c:v>9.4695147148131806E-2</c:v>
                </c:pt>
                <c:pt idx="84">
                  <c:v>9.2676965308901696E-2</c:v>
                </c:pt>
                <c:pt idx="85">
                  <c:v>9.0714082279368419E-2</c:v>
                </c:pt>
                <c:pt idx="86">
                  <c:v>8.8804725055081496E-2</c:v>
                </c:pt>
                <c:pt idx="87">
                  <c:v>8.6947184815554954E-2</c:v>
                </c:pt>
                <c:pt idx="88">
                  <c:v>8.5139814357633764E-2</c:v>
                </c:pt>
                <c:pt idx="89">
                  <c:v>8.338102564057269E-2</c:v>
                </c:pt>
                <c:pt idx="90">
                  <c:v>8.1669287437590901E-2</c:v>
                </c:pt>
                <c:pt idx="91">
                  <c:v>8.0003123088929484E-2</c:v>
                </c:pt>
                <c:pt idx="92">
                  <c:v>7.8381108351686171E-2</c:v>
                </c:pt>
                <c:pt idx="93">
                  <c:v>7.6801869341937751E-2</c:v>
                </c:pt>
                <c:pt idx="94">
                  <c:v>7.526408056488125E-2</c:v>
                </c:pt>
                <c:pt idx="95">
                  <c:v>7.376646302893794E-2</c:v>
                </c:pt>
                <c:pt idx="96">
                  <c:v>7.2307782439962498E-2</c:v>
                </c:pt>
                <c:pt idx="97">
                  <c:v>7.0886847471890155E-2</c:v>
                </c:pt>
                <c:pt idx="98">
                  <c:v>6.9502508110333219E-2</c:v>
                </c:pt>
                <c:pt idx="99">
                  <c:v>6.8153654065809033E-2</c:v>
                </c:pt>
                <c:pt idx="100">
                  <c:v>6.6839213253443067E-2</c:v>
                </c:pt>
                <c:pt idx="101">
                  <c:v>6.5558150336142804E-2</c:v>
                </c:pt>
                <c:pt idx="102">
                  <c:v>6.4309465328384663E-2</c:v>
                </c:pt>
                <c:pt idx="103">
                  <c:v>6.3092192257892463E-2</c:v>
                </c:pt>
                <c:pt idx="104">
                  <c:v>6.1905397882617938E-2</c:v>
                </c:pt>
                <c:pt idx="105">
                  <c:v>6.074818046055639E-2</c:v>
                </c:pt>
                <c:pt idx="106">
                  <c:v>5.9619668570049612E-2</c:v>
                </c:pt>
                <c:pt idx="107">
                  <c:v>5.8519019978338929E-2</c:v>
                </c:pt>
                <c:pt idx="108">
                  <c:v>5.7445420556237553E-2</c:v>
                </c:pt>
                <c:pt idx="109">
                  <c:v>5.6398083236892618E-2</c:v>
                </c:pt>
                <c:pt idx="110">
                  <c:v>5.5376247016701768E-2</c:v>
                </c:pt>
                <c:pt idx="111">
                  <c:v>5.4379175996541886E-2</c:v>
                </c:pt>
                <c:pt idx="112">
                  <c:v>5.3406158461551778E-2</c:v>
                </c:pt>
                <c:pt idx="113">
                  <c:v>5.2456505997793827E-2</c:v>
                </c:pt>
                <c:pt idx="114">
                  <c:v>5.1529552644198048E-2</c:v>
                </c:pt>
                <c:pt idx="115">
                  <c:v>5.0624654078264851E-2</c:v>
                </c:pt>
                <c:pt idx="116">
                  <c:v>4.9741186834073609E-2</c:v>
                </c:pt>
                <c:pt idx="117">
                  <c:v>4.8878547551212244E-2</c:v>
                </c:pt>
                <c:pt idx="118">
                  <c:v>4.8036152253304674E-2</c:v>
                </c:pt>
                <c:pt idx="119">
                  <c:v>4.7213435654875797E-2</c:v>
                </c:pt>
                <c:pt idx="120">
                  <c:v>4.640985049534934E-2</c:v>
                </c:pt>
                <c:pt idx="121">
                  <c:v>4.562486689902992E-2</c:v>
                </c:pt>
                <c:pt idx="122">
                  <c:v>4.4857971759972554E-2</c:v>
                </c:pt>
                <c:pt idx="123">
                  <c:v>4.4108668150692212E-2</c:v>
                </c:pt>
                <c:pt idx="124">
                  <c:v>4.3376474753713597E-2</c:v>
                </c:pt>
                <c:pt idx="125">
                  <c:v>4.2660925315006329E-2</c:v>
                </c:pt>
                <c:pt idx="126">
                  <c:v>4.1961568118392953E-2</c:v>
                </c:pt>
                <c:pt idx="127">
                  <c:v>4.1277965480058847E-2</c:v>
                </c:pt>
                <c:pt idx="128">
                  <c:v>4.0609693262331228E-2</c:v>
                </c:pt>
                <c:pt idx="129">
                  <c:v>3.9956340405932052E-2</c:v>
                </c:pt>
                <c:pt idx="130">
                  <c:v>3.9317508479944134E-2</c:v>
                </c:pt>
                <c:pt idx="131">
                  <c:v>3.8692811248763941E-2</c:v>
                </c:pt>
                <c:pt idx="132">
                  <c:v>3.8081874255346496E-2</c:v>
                </c:pt>
                <c:pt idx="133">
                  <c:v>3.7484334420078036E-2</c:v>
                </c:pt>
                <c:pt idx="134">
                  <c:v>3.6899839654641317E-2</c:v>
                </c:pt>
                <c:pt idx="135">
                  <c:v>3.6328048490266121E-2</c:v>
                </c:pt>
                <c:pt idx="136">
                  <c:v>3.5768629719783958E-2</c:v>
                </c:pt>
                <c:pt idx="137">
                  <c:v>3.5221262052931489E-2</c:v>
                </c:pt>
                <c:pt idx="138">
                  <c:v>3.4685633784370215E-2</c:v>
                </c:pt>
                <c:pt idx="139">
                  <c:v>3.416144247391447E-2</c:v>
                </c:pt>
                <c:pt idx="140">
                  <c:v>3.3648394638480073E-2</c:v>
                </c:pt>
                <c:pt idx="141">
                  <c:v>3.3146205455287681E-2</c:v>
                </c:pt>
                <c:pt idx="142">
                  <c:v>3.2654598475875353E-2</c:v>
                </c:pt>
                <c:pt idx="143">
                  <c:v>3.2173305350491885E-2</c:v>
                </c:pt>
                <c:pt idx="144">
                  <c:v>3.1702065562463244E-2</c:v>
                </c:pt>
                <c:pt idx="145">
                  <c:v>3.1240626172139477E-2</c:v>
                </c:pt>
                <c:pt idx="146">
                  <c:v>3.0788741570047306E-2</c:v>
                </c:pt>
                <c:pt idx="147">
                  <c:v>3.034617323888911E-2</c:v>
                </c:pt>
                <c:pt idx="148">
                  <c:v>2.991268952404378E-2</c:v>
                </c:pt>
                <c:pt idx="149">
                  <c:v>2.9488065412239948E-2</c:v>
                </c:pt>
                <c:pt idx="150">
                  <c:v>2.9072082318085019E-2</c:v>
                </c:pt>
                <c:pt idx="151">
                  <c:v>2.866452787814738E-2</c:v>
                </c:pt>
                <c:pt idx="152">
                  <c:v>2.8265195752301572E-2</c:v>
                </c:pt>
                <c:pt idx="153">
                  <c:v>2.7873885432057481E-2</c:v>
                </c:pt>
                <c:pt idx="154">
                  <c:v>2.7490402055607207E-2</c:v>
                </c:pt>
                <c:pt idx="155">
                  <c:v>2.7114556229333592E-2</c:v>
                </c:pt>
                <c:pt idx="156">
                  <c:v>2.674616385553457E-2</c:v>
                </c:pt>
                <c:pt idx="157">
                  <c:v>2.6385045966128763E-2</c:v>
                </c:pt>
                <c:pt idx="158">
                  <c:v>2.6031028562115682E-2</c:v>
                </c:pt>
                <c:pt idx="159">
                  <c:v>2.5683942458574381E-2</c:v>
                </c:pt>
                <c:pt idx="160">
                  <c:v>2.5343623134992884E-2</c:v>
                </c:pt>
                <c:pt idx="161">
                  <c:v>2.50099105907284E-2</c:v>
                </c:pt>
                <c:pt idx="162">
                  <c:v>2.4682649205407563E-2</c:v>
                </c:pt>
                <c:pt idx="163">
                  <c:v>2.4361687604082485E-2</c:v>
                </c:pt>
                <c:pt idx="164">
                  <c:v>2.4046878526966478E-2</c:v>
                </c:pt>
                <c:pt idx="165">
                  <c:v>2.373807870358036E-2</c:v>
                </c:pt>
                <c:pt idx="166">
                  <c:v>2.3435148731146372E-2</c:v>
                </c:pt>
                <c:pt idx="167">
                  <c:v>2.3137952957073847E-2</c:v>
                </c:pt>
                <c:pt idx="168">
                  <c:v>2.2846359365386704E-2</c:v>
                </c:pt>
                <c:pt idx="169">
                  <c:v>2.2560239466948819E-2</c:v>
                </c:pt>
                <c:pt idx="170">
                  <c:v>2.2279468193348712E-2</c:v>
                </c:pt>
                <c:pt idx="171">
                  <c:v>2.2003923794311028E-2</c:v>
                </c:pt>
                <c:pt idx="172">
                  <c:v>2.1733487738506609E-2</c:v>
                </c:pt>
                <c:pt idx="173">
                  <c:v>2.1468044617639091E-2</c:v>
                </c:pt>
                <c:pt idx="174">
                  <c:v>2.1207482053689539E-2</c:v>
                </c:pt>
                <c:pt idx="175">
                  <c:v>2.0951690609206094E-2</c:v>
                </c:pt>
                <c:pt idx="176">
                  <c:v>2.0700563700529483E-2</c:v>
                </c:pt>
                <c:pt idx="177">
                  <c:v>2.0453997513849881E-2</c:v>
                </c:pt>
                <c:pt idx="178">
                  <c:v>2.0211890923994044E-2</c:v>
                </c:pt>
                <c:pt idx="179">
                  <c:v>1.9974145415846255E-2</c:v>
                </c:pt>
                <c:pt idx="180">
                  <c:v>1.974066500830966E-2</c:v>
                </c:pt>
                <c:pt idx="181">
                  <c:v>1.951135618071842E-2</c:v>
                </c:pt>
                <c:pt idx="182">
                  <c:v>1.9286127801614768E-2</c:v>
                </c:pt>
                <c:pt idx="183">
                  <c:v>1.9064891059807621E-2</c:v>
                </c:pt>
                <c:pt idx="184">
                  <c:v>1.8847559397633384E-2</c:v>
                </c:pt>
                <c:pt idx="185">
                  <c:v>1.8634048446341953E-2</c:v>
                </c:pt>
                <c:pt idx="186">
                  <c:v>1.8424275963534152E-2</c:v>
                </c:pt>
                <c:pt idx="187">
                  <c:v>1.8218161772579372E-2</c:v>
                </c:pt>
                <c:pt idx="188">
                  <c:v>1.801562770394519E-2</c:v>
                </c:pt>
                <c:pt idx="189">
                  <c:v>1.7816597538372884E-2</c:v>
                </c:pt>
                <c:pt idx="190">
                  <c:v>1.762099695183552E-2</c:v>
                </c:pt>
                <c:pt idx="191">
                  <c:v>1.7428753462217565E-2</c:v>
                </c:pt>
                <c:pt idx="192">
                  <c:v>1.7239796377657105E-2</c:v>
                </c:pt>
                <c:pt idx="193">
                  <c:v>1.7054056746494052E-2</c:v>
                </c:pt>
                <c:pt idx="194">
                  <c:v>1.6871467308770025E-2</c:v>
                </c:pt>
                <c:pt idx="195">
                  <c:v>1.6691962449226768E-2</c:v>
                </c:pt>
                <c:pt idx="196">
                  <c:v>1.6515478151753301E-2</c:v>
                </c:pt>
                <c:pt idx="197">
                  <c:v>1.6341951955232244E-2</c:v>
                </c:pt>
                <c:pt idx="198">
                  <c:v>1.6171322910738826E-2</c:v>
                </c:pt>
                <c:pt idx="199">
                  <c:v>1.6003531540046981E-2</c:v>
                </c:pt>
                <c:pt idx="200">
                  <c:v>1.5838519795399093E-2</c:v>
                </c:pt>
                <c:pt idx="201">
                  <c:v>1.5676231020497235E-2</c:v>
                </c:pt>
                <c:pt idx="202">
                  <c:v>1.5516609912675167E-2</c:v>
                </c:pt>
                <c:pt idx="203">
                  <c:v>1.5359602486212346E-2</c:v>
                </c:pt>
                <c:pt idx="204">
                  <c:v>1.5205156036751885E-2</c:v>
                </c:pt>
                <c:pt idx="205">
                  <c:v>1.5053219106786324E-2</c:v>
                </c:pt>
                <c:pt idx="206">
                  <c:v>1.49037414521761E-2</c:v>
                </c:pt>
                <c:pt idx="207">
                  <c:v>1.4756674009666839E-2</c:v>
                </c:pt>
                <c:pt idx="208">
                  <c:v>1.4611968865372922E-2</c:v>
                </c:pt>
                <c:pt idx="209">
                  <c:v>1.446957922419582E-2</c:v>
                </c:pt>
                <c:pt idx="210">
                  <c:v>1.4329459380146979E-2</c:v>
                </c:pt>
                <c:pt idx="211">
                  <c:v>1.419156468754563E-2</c:v>
                </c:pt>
                <c:pt idx="212">
                  <c:v>1.405585153306366E-2</c:v>
                </c:pt>
                <c:pt idx="213">
                  <c:v>1.3922277308590069E-2</c:v>
                </c:pt>
                <c:pt idx="214">
                  <c:v>1.379080038488863E-2</c:v>
                </c:pt>
                <c:pt idx="215">
                  <c:v>1.3661380086023555E-2</c:v>
                </c:pt>
                <c:pt idx="216">
                  <c:v>1.3533976664528415E-2</c:v>
                </c:pt>
                <c:pt idx="217">
                  <c:v>1.3408551277294796E-2</c:v>
                </c:pt>
                <c:pt idx="218">
                  <c:v>1.3285065962157819E-2</c:v>
                </c:pt>
                <c:pt idx="219">
                  <c:v>1.3163483615156285E-2</c:v>
                </c:pt>
                <c:pt idx="220">
                  <c:v>1.3043767968446428E-2</c:v>
                </c:pt>
                <c:pt idx="221">
                  <c:v>1.2925883568848367E-2</c:v>
                </c:pt>
                <c:pt idx="222">
                  <c:v>1.280979575700566E-2</c:v>
                </c:pt>
                <c:pt idx="223">
                  <c:v>1.2695470647138538E-2</c:v>
                </c:pt>
                <c:pt idx="224">
                  <c:v>1.2582875107372347E-2</c:v>
                </c:pt>
                <c:pt idx="225">
                  <c:v>1.2471976740623381E-2</c:v>
                </c:pt>
                <c:pt idx="226">
                  <c:v>1.2362743866024572E-2</c:v>
                </c:pt>
                <c:pt idx="227">
                  <c:v>1.2255145500874498E-2</c:v>
                </c:pt>
                <c:pt idx="228">
                  <c:v>1.2149151343093391E-2</c:v>
                </c:pt>
                <c:pt idx="229">
                  <c:v>1.2044731754170694E-2</c:v>
                </c:pt>
                <c:pt idx="230">
                  <c:v>1.1941857742588744E-2</c:v>
                </c:pt>
                <c:pt idx="231">
                  <c:v>1.1840500947708421E-2</c:v>
                </c:pt>
                <c:pt idx="232">
                  <c:v>1.174063362410222E-2</c:v>
                </c:pt>
                <c:pt idx="233">
                  <c:v>1.1642228626321346E-2</c:v>
                </c:pt>
                <c:pt idx="234">
                  <c:v>1.1545259394083622E-2</c:v>
                </c:pt>
                <c:pt idx="235">
                  <c:v>1.144969993786925E-2</c:v>
                </c:pt>
                <c:pt idx="236">
                  <c:v>1.1355524824912424E-2</c:v>
                </c:pt>
                <c:pt idx="237">
                  <c:v>1.1262709165576446E-2</c:v>
                </c:pt>
                <c:pt idx="238">
                  <c:v>1.11712286001012E-2</c:v>
                </c:pt>
                <c:pt idx="239">
                  <c:v>1.10810592857115E-2</c:v>
                </c:pt>
                <c:pt idx="240">
                  <c:v>1.0992177884075721E-2</c:v>
                </c:pt>
                <c:pt idx="241">
                  <c:v>1.0904561549104118E-2</c:v>
                </c:pt>
                <c:pt idx="242">
                  <c:v>1.0818187915076832E-2</c:v>
                </c:pt>
                <c:pt idx="243">
                  <c:v>1.0733035085091653E-2</c:v>
                </c:pt>
                <c:pt idx="244">
                  <c:v>1.0649081619822252E-2</c:v>
                </c:pt>
                <c:pt idx="245">
                  <c:v>1.0566306526577553E-2</c:v>
                </c:pt>
                <c:pt idx="246">
                  <c:v>1.0484689248653463E-2</c:v>
                </c:pt>
                <c:pt idx="247">
                  <c:v>1.0404209654968299E-2</c:v>
                </c:pt>
                <c:pt idx="248">
                  <c:v>1.0324848029973745E-2</c:v>
                </c:pt>
                <c:pt idx="249">
                  <c:v>1.0246585063833042E-2</c:v>
                </c:pt>
                <c:pt idx="250">
                  <c:v>1.0169401842858864E-2</c:v>
                </c:pt>
                <c:pt idx="251">
                  <c:v>1.0093279840203249E-2</c:v>
                </c:pt>
                <c:pt idx="252">
                  <c:v>1.0018200906792103E-2</c:v>
                </c:pt>
                <c:pt idx="253">
                  <c:v>9.9441472624975536E-3</c:v>
                </c:pt>
                <c:pt idx="254">
                  <c:v>9.8711014875409245E-3</c:v>
                </c:pt>
                <c:pt idx="255">
                  <c:v>9.799046514119971E-3</c:v>
                </c:pt>
                <c:pt idx="256">
                  <c:v>9.7279656182537987E-3</c:v>
                </c:pt>
                <c:pt idx="257">
                  <c:v>9.6578424118392396E-3</c:v>
                </c:pt>
                <c:pt idx="258">
                  <c:v>9.5886608349126899E-3</c:v>
                </c:pt>
                <c:pt idx="259">
                  <c:v>9.5204051481116037E-3</c:v>
                </c:pt>
                <c:pt idx="260">
                  <c:v>9.4530599253298177E-3</c:v>
                </c:pt>
                <c:pt idx="261">
                  <c:v>9.3866100465613469E-3</c:v>
                </c:pt>
                <c:pt idx="262">
                  <c:v>9.3210406909273614E-3</c:v>
                </c:pt>
                <c:pt idx="263">
                  <c:v>9.2563373298809523E-3</c:v>
                </c:pt>
                <c:pt idx="264">
                  <c:v>9.1924857205850294E-3</c:v>
                </c:pt>
                <c:pt idx="265">
                  <c:v>9.1294718994581279E-3</c:v>
                </c:pt>
                <c:pt idx="266">
                  <c:v>9.0672821758837688E-3</c:v>
                </c:pt>
                <c:pt idx="267">
                  <c:v>9.0059031260785495E-3</c:v>
                </c:pt>
                <c:pt idx="268">
                  <c:v>8.9453215871146737E-3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D6A-4B70-8150-8CECEF7E6BE7}"/>
            </c:ext>
          </c:extLst>
        </c:ser>
        <c:ser>
          <c:idx val="5"/>
          <c:order val="5"/>
          <c:tx>
            <c:strRef>
              <c:f>extrapolation!$I$14</c:f>
              <c:strCache>
                <c:ptCount val="1"/>
                <c:pt idx="0">
                  <c:v>Generalised gamma</c:v>
                </c:pt>
              </c:strCache>
            </c:strRef>
          </c:tx>
          <c:spPr>
            <a:ln w="28440">
              <a:solidFill>
                <a:srgbClr val="827979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extrapolation!$I$15:$I$283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0.98449212806599118</c:v>
                </c:pt>
                <c:pt idx="2">
                  <c:v>0.95763111028903325</c:v>
                </c:pt>
                <c:pt idx="3">
                  <c:v>0.92709114128223813</c:v>
                </c:pt>
                <c:pt idx="4">
                  <c:v>0.89534547522939456</c:v>
                </c:pt>
                <c:pt idx="5">
                  <c:v>0.86353262148601784</c:v>
                </c:pt>
                <c:pt idx="6">
                  <c:v>0.83223943852583593</c:v>
                </c:pt>
                <c:pt idx="7">
                  <c:v>0.80178108562223127</c:v>
                </c:pt>
                <c:pt idx="8">
                  <c:v>0.77232524701462391</c:v>
                </c:pt>
                <c:pt idx="9">
                  <c:v>0.74395461589286693</c:v>
                </c:pt>
                <c:pt idx="10">
                  <c:v>0.71670103662728879</c:v>
                </c:pt>
                <c:pt idx="11">
                  <c:v>0.69056528349002855</c:v>
                </c:pt>
                <c:pt idx="12">
                  <c:v>0.66552901885796356</c:v>
                </c:pt>
                <c:pt idx="13">
                  <c:v>0.64156225572253489</c:v>
                </c:pt>
                <c:pt idx="14">
                  <c:v>0.61862812401586553</c:v>
                </c:pt>
                <c:pt idx="15">
                  <c:v>0.59668596462939549</c:v>
                </c:pt>
                <c:pt idx="16">
                  <c:v>0.57569335777678177</c:v>
                </c:pt>
                <c:pt idx="17">
                  <c:v>0.55560745735480332</c:v>
                </c:pt>
                <c:pt idx="18">
                  <c:v>0.53638586542371769</c:v>
                </c:pt>
                <c:pt idx="19">
                  <c:v>0.51798719778869473</c:v>
                </c:pt>
                <c:pt idx="20">
                  <c:v>0.5003714399955369</c:v>
                </c:pt>
                <c:pt idx="21">
                  <c:v>0.48350016016961661</c:v>
                </c:pt>
                <c:pt idx="22">
                  <c:v>0.46733662376106033</c:v>
                </c:pt>
                <c:pt idx="23">
                  <c:v>0.45184584112531634</c:v>
                </c:pt>
                <c:pt idx="24">
                  <c:v>0.43699456937058989</c:v>
                </c:pt>
                <c:pt idx="25">
                  <c:v>0.42275128343340962</c:v>
                </c:pt>
                <c:pt idx="26">
                  <c:v>0.40908612688305601</c:v>
                </c:pt>
                <c:pt idx="27">
                  <c:v>0.39597084984851372</c:v>
                </c:pt>
                <c:pt idx="28">
                  <c:v>0.3833787392782857</c:v>
                </c:pt>
                <c:pt idx="29">
                  <c:v>0.37128454519771581</c:v>
                </c:pt>
                <c:pt idx="30">
                  <c:v>0.35966440552756285</c:v>
                </c:pt>
                <c:pt idx="31">
                  <c:v>0.34849577123984377</c:v>
                </c:pt>
                <c:pt idx="32">
                  <c:v>0.33775733306147515</c:v>
                </c:pt>
                <c:pt idx="33">
                  <c:v>0.3274289505296466</c:v>
                </c:pt>
                <c:pt idx="34">
                  <c:v>0.31749158391050081</c:v>
                </c:pt>
                <c:pt idx="35">
                  <c:v>0.30792722928294813</c:v>
                </c:pt>
                <c:pt idx="36">
                  <c:v>0.29871885693968292</c:v>
                </c:pt>
                <c:pt idx="37">
                  <c:v>0.28985035315132834</c:v>
                </c:pt>
                <c:pt idx="38">
                  <c:v>0.28130646526542458</c:v>
                </c:pt>
                <c:pt idx="39">
                  <c:v>0.27307275006098009</c:v>
                </c:pt>
                <c:pt idx="40">
                  <c:v>0.26513552524536244</c:v>
                </c:pt>
                <c:pt idx="41">
                  <c:v>0.25748182395870667</c:v>
                </c:pt>
                <c:pt idx="42">
                  <c:v>0.25009935213842005</c:v>
                </c:pt>
                <c:pt idx="43">
                  <c:v>0.24297644859026013</c:v>
                </c:pt>
                <c:pt idx="44">
                  <c:v>0.2361020476109621</c:v>
                </c:pt>
                <c:pt idx="45">
                  <c:v>0.22946564400917968</c:v>
                </c:pt>
                <c:pt idx="46">
                  <c:v>0.22305726037550544</c:v>
                </c:pt>
                <c:pt idx="47">
                  <c:v>0.21686741645787277</c:v>
                </c:pt>
                <c:pt idx="48">
                  <c:v>0.21088710050510284</c:v>
                </c:pt>
                <c:pt idx="49">
                  <c:v>0.20510774244837071</c:v>
                </c:pt>
                <c:pt idx="50">
                  <c:v>0.19952118879765146</c:v>
                </c:pt>
                <c:pt idx="51">
                  <c:v>0.19411967913750772</c:v>
                </c:pt>
                <c:pt idx="52">
                  <c:v>0.18889582411382033</c:v>
                </c:pt>
                <c:pt idx="53">
                  <c:v>0.18384258481005211</c:v>
                </c:pt>
                <c:pt idx="54">
                  <c:v>0.17895325341839552</c:v>
                </c:pt>
                <c:pt idx="55">
                  <c:v>0.17422143511757004</c:v>
                </c:pt>
                <c:pt idx="56">
                  <c:v>0.16964103107512019</c:v>
                </c:pt>
                <c:pt idx="57">
                  <c:v>0.16520622249781147</c:v>
                </c:pt>
                <c:pt idx="58">
                  <c:v>0.16091145565908005</c:v>
                </c:pt>
                <c:pt idx="59">
                  <c:v>0.15675142783755291</c:v>
                </c:pt>
                <c:pt idx="60">
                  <c:v>0.15272107410533875</c:v>
                </c:pt>
                <c:pt idx="61">
                  <c:v>0.14881555490916243</c:v>
                </c:pt>
                <c:pt idx="62">
                  <c:v>0.1450302443915048</c:v>
                </c:pt>
                <c:pt idx="63">
                  <c:v>0.14136071940266204</c:v>
                </c:pt>
                <c:pt idx="64">
                  <c:v>0.13780274915816226</c:v>
                </c:pt>
                <c:pt idx="65">
                  <c:v>0.13435228549922429</c:v>
                </c:pt>
                <c:pt idx="66">
                  <c:v>0.13100545371694361</c:v>
                </c:pt>
                <c:pt idx="67">
                  <c:v>0.12775854390368968</c:v>
                </c:pt>
                <c:pt idx="68">
                  <c:v>0.12460800279777362</c:v>
                </c:pt>
                <c:pt idx="69">
                  <c:v>0.12155042608983746</c:v>
                </c:pt>
                <c:pt idx="70">
                  <c:v>0.11858255116162131</c:v>
                </c:pt>
                <c:pt idx="71">
                  <c:v>0.11570125022981825</c:v>
                </c:pt>
                <c:pt idx="72">
                  <c:v>0.11290352386961944</c:v>
                </c:pt>
                <c:pt idx="73">
                  <c:v>0.11018649489429677</c:v>
                </c:pt>
                <c:pt idx="74">
                  <c:v>0.10754740256881123</c:v>
                </c:pt>
                <c:pt idx="75">
                  <c:v>0.10498359713691718</c:v>
                </c:pt>
                <c:pt idx="76">
                  <c:v>0.1024925346426443</c:v>
                </c:pt>
                <c:pt idx="77">
                  <c:v>0.10007177202832085</c:v>
                </c:pt>
                <c:pt idx="78">
                  <c:v>9.7718962492494232E-2</c:v>
                </c:pt>
                <c:pt idx="79">
                  <c:v>9.5431851092226849E-2</c:v>
                </c:pt>
                <c:pt idx="80">
                  <c:v>9.3208270575255492E-2</c:v>
                </c:pt>
                <c:pt idx="81">
                  <c:v>9.1046137428480223E-2</c:v>
                </c:pt>
                <c:pt idx="82">
                  <c:v>8.8943448130110569E-2</c:v>
                </c:pt>
                <c:pt idx="83">
                  <c:v>8.6898275593638497E-2</c:v>
                </c:pt>
                <c:pt idx="84">
                  <c:v>8.4908765792561791E-2</c:v>
                </c:pt>
                <c:pt idx="85">
                  <c:v>8.2973134555497485E-2</c:v>
                </c:pt>
                <c:pt idx="86">
                  <c:v>8.1089664521980964E-2</c:v>
                </c:pt>
                <c:pt idx="87">
                  <c:v>7.9256702249861699E-2</c:v>
                </c:pt>
                <c:pt idx="88">
                  <c:v>7.7472655465786522E-2</c:v>
                </c:pt>
                <c:pt idx="89">
                  <c:v>7.5735990450777058E-2</c:v>
                </c:pt>
                <c:pt idx="90">
                  <c:v>7.4045229553423408E-2</c:v>
                </c:pt>
                <c:pt idx="91">
                  <c:v>7.2398948823660159E-2</c:v>
                </c:pt>
                <c:pt idx="92">
                  <c:v>7.0795775760535307E-2</c:v>
                </c:pt>
                <c:pt idx="93">
                  <c:v>6.9234387167778078E-2</c:v>
                </c:pt>
                <c:pt idx="94">
                  <c:v>6.7713507111343052E-2</c:v>
                </c:pt>
                <c:pt idx="95">
                  <c:v>6.6231904973468758E-2</c:v>
                </c:pt>
                <c:pt idx="96">
                  <c:v>6.4788393598102845E-2</c:v>
                </c:pt>
                <c:pt idx="97">
                  <c:v>6.338182752286059E-2</c:v>
                </c:pt>
                <c:pt idx="98">
                  <c:v>6.2011101292963833E-2</c:v>
                </c:pt>
                <c:pt idx="99">
                  <c:v>6.0675147852877087E-2</c:v>
                </c:pt>
                <c:pt idx="100">
                  <c:v>5.9372937011605065E-2</c:v>
                </c:pt>
                <c:pt idx="101">
                  <c:v>5.8103473977847875E-2</c:v>
                </c:pt>
                <c:pt idx="102">
                  <c:v>5.6865797961436981E-2</c:v>
                </c:pt>
                <c:pt idx="103">
                  <c:v>5.5658980837664851E-2</c:v>
                </c:pt>
                <c:pt idx="104">
                  <c:v>5.448212587133261E-2</c:v>
                </c:pt>
                <c:pt idx="105">
                  <c:v>5.3334366497498009E-2</c:v>
                </c:pt>
                <c:pt idx="106">
                  <c:v>5.2214865156095858E-2</c:v>
                </c:pt>
                <c:pt idx="107">
                  <c:v>5.112281217774628E-2</c:v>
                </c:pt>
                <c:pt idx="108">
                  <c:v>5.0057424718218613E-2</c:v>
                </c:pt>
                <c:pt idx="109">
                  <c:v>4.9017945739164404E-2</c:v>
                </c:pt>
                <c:pt idx="110">
                  <c:v>4.8003643032853427E-2</c:v>
                </c:pt>
                <c:pt idx="111">
                  <c:v>4.7013808288780545E-2</c:v>
                </c:pt>
                <c:pt idx="112">
                  <c:v>4.6047756200114809E-2</c:v>
                </c:pt>
                <c:pt idx="113">
                  <c:v>4.5104823608084987E-2</c:v>
                </c:pt>
                <c:pt idx="114">
                  <c:v>4.4184368682486097E-2</c:v>
                </c:pt>
                <c:pt idx="115">
                  <c:v>4.3285770136591739E-2</c:v>
                </c:pt>
                <c:pt idx="116">
                  <c:v>4.2408426474852989E-2</c:v>
                </c:pt>
                <c:pt idx="117">
                  <c:v>4.155175527183963E-2</c:v>
                </c:pt>
                <c:pt idx="118">
                  <c:v>4.0715192480969775E-2</c:v>
                </c:pt>
                <c:pt idx="119">
                  <c:v>3.9898191771643443E-2</c:v>
                </c:pt>
                <c:pt idx="120">
                  <c:v>3.9100223893468122E-2</c:v>
                </c:pt>
                <c:pt idx="121">
                  <c:v>3.8320776066336881E-2</c:v>
                </c:pt>
                <c:pt idx="122">
                  <c:v>3.7559351395172635E-2</c:v>
                </c:pt>
                <c:pt idx="123">
                  <c:v>3.681546830822402E-2</c:v>
                </c:pt>
                <c:pt idx="124">
                  <c:v>3.6088660017845386E-2</c:v>
                </c:pt>
                <c:pt idx="125">
                  <c:v>3.537847400275429E-2</c:v>
                </c:pt>
                <c:pt idx="126">
                  <c:v>3.468447151080245E-2</c:v>
                </c:pt>
                <c:pt idx="127">
                  <c:v>3.4006227081352369E-2</c:v>
                </c:pt>
                <c:pt idx="128">
                  <c:v>3.3343328086390178E-2</c:v>
                </c:pt>
                <c:pt idx="129">
                  <c:v>3.2695374289551715E-2</c:v>
                </c:pt>
                <c:pt idx="130">
                  <c:v>3.2061977422276122E-2</c:v>
                </c:pt>
                <c:pt idx="131">
                  <c:v>3.1442760776344336E-2</c:v>
                </c:pt>
                <c:pt idx="132">
                  <c:v>3.0837358812089377E-2</c:v>
                </c:pt>
                <c:pt idx="133">
                  <c:v>3.0245416781604417E-2</c:v>
                </c:pt>
                <c:pt idx="134">
                  <c:v>2.9666590366306478E-2</c:v>
                </c:pt>
                <c:pt idx="135">
                  <c:v>2.9100545328240024E-2</c:v>
                </c:pt>
                <c:pt idx="136">
                  <c:v>2.8546957174542031E-2</c:v>
                </c:pt>
                <c:pt idx="137">
                  <c:v>2.8005510834506531E-2</c:v>
                </c:pt>
                <c:pt idx="138">
                  <c:v>2.7475900348723492E-2</c:v>
                </c:pt>
                <c:pt idx="139">
                  <c:v>2.6957828569784459E-2</c:v>
                </c:pt>
                <c:pt idx="140">
                  <c:v>2.6451006874074867E-2</c:v>
                </c:pt>
                <c:pt idx="141">
                  <c:v>2.5955154884191201E-2</c:v>
                </c:pt>
                <c:pt idx="142">
                  <c:v>2.5470000201547993E-2</c:v>
                </c:pt>
                <c:pt idx="143">
                  <c:v>2.4995278148753242E-2</c:v>
                </c:pt>
                <c:pt idx="144">
                  <c:v>2.453073152135532E-2</c:v>
                </c:pt>
                <c:pt idx="145">
                  <c:v>2.4076110348579371E-2</c:v>
                </c:pt>
                <c:pt idx="146">
                  <c:v>2.3631171662689021E-2</c:v>
                </c:pt>
                <c:pt idx="147">
                  <c:v>2.3195679276627912E-2</c:v>
                </c:pt>
                <c:pt idx="148">
                  <c:v>2.2769403569604663E-2</c:v>
                </c:pt>
                <c:pt idx="149">
                  <c:v>2.2352121280310056E-2</c:v>
                </c:pt>
                <c:pt idx="150">
                  <c:v>2.1943615307457254E-2</c:v>
                </c:pt>
                <c:pt idx="151">
                  <c:v>2.1543674517359723E-2</c:v>
                </c:pt>
                <c:pt idx="152">
                  <c:v>2.1152093558267415E-2</c:v>
                </c:pt>
                <c:pt idx="153">
                  <c:v>2.0768672681196643E-2</c:v>
                </c:pt>
                <c:pt idx="154">
                  <c:v>2.039321756700041E-2</c:v>
                </c:pt>
                <c:pt idx="155">
                  <c:v>2.002553915943639E-2</c:v>
                </c:pt>
                <c:pt idx="156">
                  <c:v>1.966545350400084E-2</c:v>
                </c:pt>
                <c:pt idx="157">
                  <c:v>1.9312781592305539E-2</c:v>
                </c:pt>
                <c:pt idx="158">
                  <c:v>1.8967349211786111E-2</c:v>
                </c:pt>
                <c:pt idx="159">
                  <c:v>1.8628986800537151E-2</c:v>
                </c:pt>
                <c:pt idx="160">
                  <c:v>1.829752930707973E-2</c:v>
                </c:pt>
                <c:pt idx="161">
                  <c:v>1.7972816054873775E-2</c:v>
                </c:pt>
                <c:pt idx="162">
                  <c:v>1.7654690611397905E-2</c:v>
                </c:pt>
                <c:pt idx="163">
                  <c:v>1.7343000661623198E-2</c:v>
                </c:pt>
                <c:pt idx="164">
                  <c:v>1.703759788571757E-2</c:v>
                </c:pt>
                <c:pt idx="165">
                  <c:v>1.6738337840823792E-2</c:v>
                </c:pt>
                <c:pt idx="166">
                  <c:v>1.6445079846758137E-2</c:v>
                </c:pt>
                <c:pt idx="167">
                  <c:v>1.6157686875487576E-2</c:v>
                </c:pt>
                <c:pt idx="168">
                  <c:v>1.587602544424338E-2</c:v>
                </c:pt>
                <c:pt idx="169">
                  <c:v>1.5599965512140823E-2</c:v>
                </c:pt>
                <c:pt idx="170">
                  <c:v>1.532938038017484E-2</c:v>
                </c:pt>
                <c:pt idx="171">
                  <c:v>1.5064146594469863E-2</c:v>
                </c:pt>
                <c:pt idx="172">
                  <c:v>1.4804143852665819E-2</c:v>
                </c:pt>
                <c:pt idx="173">
                  <c:v>1.4549254913328147E-2</c:v>
                </c:pt>
                <c:pt idx="174">
                  <c:v>1.4299365508270823E-2</c:v>
                </c:pt>
                <c:pt idx="175">
                  <c:v>1.4054364257691243E-2</c:v>
                </c:pt>
                <c:pt idx="176">
                  <c:v>1.3814142588014278E-2</c:v>
                </c:pt>
                <c:pt idx="177">
                  <c:v>1.3578594652350007E-2</c:v>
                </c:pt>
                <c:pt idx="178">
                  <c:v>1.3347617253474331E-2</c:v>
                </c:pt>
                <c:pt idx="179">
                  <c:v>1.3121109769240302E-2</c:v>
                </c:pt>
                <c:pt idx="180">
                  <c:v>1.2898974080338244E-2</c:v>
                </c:pt>
                <c:pt idx="181">
                  <c:v>1.2681114500320056E-2</c:v>
                </c:pt>
                <c:pt idx="182">
                  <c:v>1.2467437707810891E-2</c:v>
                </c:pt>
                <c:pt idx="183">
                  <c:v>1.2257852680829684E-2</c:v>
                </c:pt>
                <c:pt idx="184">
                  <c:v>1.2052270633149287E-2</c:v>
                </c:pt>
                <c:pt idx="185">
                  <c:v>1.1850604952621246E-2</c:v>
                </c:pt>
                <c:pt idx="186">
                  <c:v>1.1652771141402729E-2</c:v>
                </c:pt>
                <c:pt idx="187">
                  <c:v>1.1458686758017311E-2</c:v>
                </c:pt>
                <c:pt idx="188">
                  <c:v>1.1268271361187798E-2</c:v>
                </c:pt>
                <c:pt idx="189">
                  <c:v>1.1081446455381228E-2</c:v>
                </c:pt>
                <c:pt idx="190">
                  <c:v>1.0898135438009215E-2</c:v>
                </c:pt>
                <c:pt idx="191">
                  <c:v>1.0718263548225471E-2</c:v>
                </c:pt>
                <c:pt idx="192">
                  <c:v>1.0541757817269071E-2</c:v>
                </c:pt>
                <c:pt idx="193">
                  <c:v>1.0368547020299768E-2</c:v>
                </c:pt>
                <c:pt idx="194">
                  <c:v>1.0198561629678582E-2</c:v>
                </c:pt>
                <c:pt idx="195">
                  <c:v>1.0031733769641726E-2</c:v>
                </c:pt>
                <c:pt idx="196">
                  <c:v>9.8679971723252269E-3</c:v>
                </c:pt>
                <c:pt idx="197">
                  <c:v>9.7072871350935008E-3</c:v>
                </c:pt>
                <c:pt idx="198">
                  <c:v>9.5495404791302585E-3</c:v>
                </c:pt>
                <c:pt idx="199">
                  <c:v>9.3946955092493178E-3</c:v>
                </c:pt>
                <c:pt idx="200">
                  <c:v>9.2426919748866965E-3</c:v>
                </c:pt>
                <c:pt idx="201">
                  <c:v>9.093471032234568E-3</c:v>
                </c:pt>
                <c:pt idx="202">
                  <c:v>8.9469752074802233E-3</c:v>
                </c:pt>
                <c:pt idx="203">
                  <c:v>8.8031483611148431E-3</c:v>
                </c:pt>
                <c:pt idx="204">
                  <c:v>8.6619356532775527E-3</c:v>
                </c:pt>
                <c:pt idx="205">
                  <c:v>8.5232835101001214E-3</c:v>
                </c:pt>
                <c:pt idx="206">
                  <c:v>8.3871395910231072E-3</c:v>
                </c:pt>
                <c:pt idx="207">
                  <c:v>8.2534527570494731E-3</c:v>
                </c:pt>
                <c:pt idx="208">
                  <c:v>8.1221730399070324E-3</c:v>
                </c:pt>
                <c:pt idx="209">
                  <c:v>7.9932516120932995E-3</c:v>
                </c:pt>
                <c:pt idx="210">
                  <c:v>7.8666407577692166E-3</c:v>
                </c:pt>
                <c:pt idx="211">
                  <c:v>7.7422938444819955E-3</c:v>
                </c:pt>
                <c:pt idx="212">
                  <c:v>7.6201652956853216E-3</c:v>
                </c:pt>
                <c:pt idx="213">
                  <c:v>7.5002105640344929E-3</c:v>
                </c:pt>
                <c:pt idx="214">
                  <c:v>7.3823861054338469E-3</c:v>
                </c:pt>
                <c:pt idx="215">
                  <c:v>7.2666493538086074E-3</c:v>
                </c:pt>
                <c:pt idx="216">
                  <c:v>7.1529586965841663E-3</c:v>
                </c:pt>
                <c:pt idx="217">
                  <c:v>7.0412734508467079E-3</c:v>
                </c:pt>
                <c:pt idx="218">
                  <c:v>6.9315538401655274E-3</c:v>
                </c:pt>
                <c:pt idx="219">
                  <c:v>6.8237609720585013E-3</c:v>
                </c:pt>
                <c:pt idx="220">
                  <c:v>6.7178568160781715E-3</c:v>
                </c:pt>
                <c:pt idx="221">
                  <c:v>6.6138041825014593E-3</c:v>
                </c:pt>
                <c:pt idx="222">
                  <c:v>6.5115667016037992E-3</c:v>
                </c:pt>
                <c:pt idx="223">
                  <c:v>6.4111088035008201E-3</c:v>
                </c:pt>
                <c:pt idx="224">
                  <c:v>6.3123956985393637E-3</c:v>
                </c:pt>
                <c:pt idx="225">
                  <c:v>6.2153933582218546E-3</c:v>
                </c:pt>
                <c:pt idx="226">
                  <c:v>6.1200684966482566E-3</c:v>
                </c:pt>
                <c:pt idx="227">
                  <c:v>6.0263885524602934E-3</c:v>
                </c:pt>
                <c:pt idx="228">
                  <c:v>5.9343216712705038E-3</c:v>
                </c:pt>
                <c:pt idx="229">
                  <c:v>5.8438366885669168E-3</c:v>
                </c:pt>
                <c:pt idx="230">
                  <c:v>5.7549031130730288E-3</c:v>
                </c:pt>
                <c:pt idx="231">
                  <c:v>5.6674911105545345E-3</c:v>
                </c:pt>
                <c:pt idx="232">
                  <c:v>5.5815714880562695E-3</c:v>
                </c:pt>
                <c:pt idx="233">
                  <c:v>5.4971156785603714E-3</c:v>
                </c:pt>
                <c:pt idx="234">
                  <c:v>5.4140957260481182E-3</c:v>
                </c:pt>
                <c:pt idx="235">
                  <c:v>5.3324842709595588E-3</c:v>
                </c:pt>
                <c:pt idx="236">
                  <c:v>5.2522545360345063E-3</c:v>
                </c:pt>
                <c:pt idx="237">
                  <c:v>5.1733803125264544E-3</c:v>
                </c:pt>
                <c:pt idx="238">
                  <c:v>5.0958359467777603E-3</c:v>
                </c:pt>
                <c:pt idx="239">
                  <c:v>5.0195963271463251E-3</c:v>
                </c:pt>
                <c:pt idx="240">
                  <c:v>4.9446368712721123E-3</c:v>
                </c:pt>
                <c:pt idx="241">
                  <c:v>4.8709335136756238E-3</c:v>
                </c:pt>
                <c:pt idx="242">
                  <c:v>4.7984626936775632E-3</c:v>
                </c:pt>
                <c:pt idx="243">
                  <c:v>4.7272013436310267E-3</c:v>
                </c:pt>
                <c:pt idx="244">
                  <c:v>4.6571268774572294E-3</c:v>
                </c:pt>
                <c:pt idx="245">
                  <c:v>4.5882171794757731E-3</c:v>
                </c:pt>
                <c:pt idx="246">
                  <c:v>4.5204505935221295E-3</c:v>
                </c:pt>
                <c:pt idx="247">
                  <c:v>4.4538059123429008E-3</c:v>
                </c:pt>
                <c:pt idx="248">
                  <c:v>4.3882623672621968E-3</c:v>
                </c:pt>
                <c:pt idx="249">
                  <c:v>4.3237996181106908E-3</c:v>
                </c:pt>
                <c:pt idx="250">
                  <c:v>4.2603977434103601E-3</c:v>
                </c:pt>
                <c:pt idx="251">
                  <c:v>4.198037230807472E-3</c:v>
                </c:pt>
                <c:pt idx="252">
                  <c:v>4.1366989677484867E-3</c:v>
                </c:pt>
                <c:pt idx="253">
                  <c:v>4.0763642323887739E-3</c:v>
                </c:pt>
                <c:pt idx="254">
                  <c:v>4.017014684730924E-3</c:v>
                </c:pt>
                <c:pt idx="255">
                  <c:v>3.9586323579853255E-3</c:v>
                </c:pt>
                <c:pt idx="256">
                  <c:v>3.9011996501459034E-3</c:v>
                </c:pt>
                <c:pt idx="257">
                  <c:v>3.8446993157761344E-3</c:v>
                </c:pt>
                <c:pt idx="258">
                  <c:v>3.7891144579998981E-3</c:v>
                </c:pt>
                <c:pt idx="259">
                  <c:v>3.7344285206899475E-3</c:v>
                </c:pt>
                <c:pt idx="260">
                  <c:v>3.6806252808501139E-3</c:v>
                </c:pt>
                <c:pt idx="261">
                  <c:v>3.6276888411863606E-3</c:v>
                </c:pt>
                <c:pt idx="262">
                  <c:v>3.5756036228585808E-3</c:v>
                </c:pt>
                <c:pt idx="263">
                  <c:v>3.5243543584130288E-3</c:v>
                </c:pt>
                <c:pt idx="264">
                  <c:v>3.4739260848857256E-3</c:v>
                </c:pt>
                <c:pt idx="265">
                  <c:v>3.4243041370753957E-3</c:v>
                </c:pt>
                <c:pt idx="266">
                  <c:v>3.3754741409799394E-3</c:v>
                </c:pt>
                <c:pt idx="267">
                  <c:v>3.3274220073933325E-3</c:v>
                </c:pt>
                <c:pt idx="268">
                  <c:v>3.2801339256562922E-3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D6A-4B70-8150-8CECEF7E6BE7}"/>
            </c:ext>
          </c:extLst>
        </c:ser>
        <c:ser>
          <c:idx val="6"/>
          <c:order val="6"/>
          <c:tx>
            <c:v>KM - Inavolisib</c:v>
          </c:tx>
          <c:spPr>
            <a:ln w="28440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extrapolation!$BO$8:$BO$76</c:f>
              <c:numCache>
                <c:formatCode>0.00</c:formatCode>
                <c:ptCount val="69"/>
                <c:pt idx="0">
                  <c:v>0</c:v>
                </c:pt>
                <c:pt idx="1">
                  <c:v>0.75</c:v>
                </c:pt>
                <c:pt idx="2">
                  <c:v>1.5</c:v>
                </c:pt>
                <c:pt idx="3">
                  <c:v>2.25</c:v>
                </c:pt>
                <c:pt idx="4">
                  <c:v>3</c:v>
                </c:pt>
                <c:pt idx="5">
                  <c:v>3.75</c:v>
                </c:pt>
                <c:pt idx="6">
                  <c:v>4.5</c:v>
                </c:pt>
                <c:pt idx="7">
                  <c:v>5.25</c:v>
                </c:pt>
                <c:pt idx="8">
                  <c:v>6</c:v>
                </c:pt>
                <c:pt idx="9">
                  <c:v>6.75</c:v>
                </c:pt>
                <c:pt idx="10">
                  <c:v>7.5</c:v>
                </c:pt>
                <c:pt idx="11">
                  <c:v>8.25</c:v>
                </c:pt>
                <c:pt idx="12">
                  <c:v>9</c:v>
                </c:pt>
                <c:pt idx="13">
                  <c:v>9.75</c:v>
                </c:pt>
                <c:pt idx="14">
                  <c:v>10.5</c:v>
                </c:pt>
                <c:pt idx="15">
                  <c:v>11.25</c:v>
                </c:pt>
                <c:pt idx="16">
                  <c:v>12</c:v>
                </c:pt>
                <c:pt idx="17">
                  <c:v>12.75</c:v>
                </c:pt>
                <c:pt idx="18">
                  <c:v>13.5</c:v>
                </c:pt>
                <c:pt idx="19">
                  <c:v>14.25</c:v>
                </c:pt>
                <c:pt idx="20">
                  <c:v>15</c:v>
                </c:pt>
                <c:pt idx="21">
                  <c:v>15.75</c:v>
                </c:pt>
                <c:pt idx="22">
                  <c:v>16.5</c:v>
                </c:pt>
                <c:pt idx="23">
                  <c:v>17.25</c:v>
                </c:pt>
                <c:pt idx="24">
                  <c:v>18</c:v>
                </c:pt>
                <c:pt idx="25">
                  <c:v>18.75</c:v>
                </c:pt>
                <c:pt idx="26">
                  <c:v>19.5</c:v>
                </c:pt>
                <c:pt idx="27">
                  <c:v>20.25</c:v>
                </c:pt>
                <c:pt idx="28">
                  <c:v>21</c:v>
                </c:pt>
                <c:pt idx="29">
                  <c:v>21.75</c:v>
                </c:pt>
                <c:pt idx="30">
                  <c:v>22.5</c:v>
                </c:pt>
                <c:pt idx="31">
                  <c:v>23.25</c:v>
                </c:pt>
                <c:pt idx="32">
                  <c:v>24</c:v>
                </c:pt>
                <c:pt idx="33">
                  <c:v>24.75</c:v>
                </c:pt>
                <c:pt idx="34">
                  <c:v>25.5</c:v>
                </c:pt>
                <c:pt idx="35">
                  <c:v>26.25</c:v>
                </c:pt>
                <c:pt idx="36">
                  <c:v>27</c:v>
                </c:pt>
                <c:pt idx="37">
                  <c:v>27.75</c:v>
                </c:pt>
                <c:pt idx="38">
                  <c:v>28.5</c:v>
                </c:pt>
                <c:pt idx="39">
                  <c:v>29.25</c:v>
                </c:pt>
                <c:pt idx="40">
                  <c:v>30</c:v>
                </c:pt>
                <c:pt idx="41">
                  <c:v>30.75</c:v>
                </c:pt>
                <c:pt idx="42">
                  <c:v>31.5</c:v>
                </c:pt>
                <c:pt idx="43">
                  <c:v>32.25</c:v>
                </c:pt>
                <c:pt idx="44">
                  <c:v>33</c:v>
                </c:pt>
                <c:pt idx="45">
                  <c:v>33.75</c:v>
                </c:pt>
                <c:pt idx="46">
                  <c:v>34.5</c:v>
                </c:pt>
                <c:pt idx="47">
                  <c:v>35.25</c:v>
                </c:pt>
                <c:pt idx="48">
                  <c:v>36</c:v>
                </c:pt>
                <c:pt idx="49">
                  <c:v>36.75</c:v>
                </c:pt>
                <c:pt idx="50">
                  <c:v>37.5</c:v>
                </c:pt>
                <c:pt idx="51">
                  <c:v>38.25</c:v>
                </c:pt>
                <c:pt idx="52">
                  <c:v>39</c:v>
                </c:pt>
                <c:pt idx="53">
                  <c:v>39.75</c:v>
                </c:pt>
                <c:pt idx="54">
                  <c:v>40.5</c:v>
                </c:pt>
                <c:pt idx="55">
                  <c:v>41.25</c:v>
                </c:pt>
                <c:pt idx="56">
                  <c:v>42</c:v>
                </c:pt>
                <c:pt idx="57">
                  <c:v>42.75</c:v>
                </c:pt>
                <c:pt idx="58">
                  <c:v>43.5</c:v>
                </c:pt>
                <c:pt idx="59">
                  <c:v>44.25</c:v>
                </c:pt>
                <c:pt idx="60">
                  <c:v>45</c:v>
                </c:pt>
                <c:pt idx="61">
                  <c:v>45.75</c:v>
                </c:pt>
                <c:pt idx="62">
                  <c:v>46.5</c:v>
                </c:pt>
                <c:pt idx="63">
                  <c:v>47.25</c:v>
                </c:pt>
                <c:pt idx="64">
                  <c:v>48</c:v>
                </c:pt>
                <c:pt idx="65">
                  <c:v>48.75</c:v>
                </c:pt>
                <c:pt idx="66">
                  <c:v>49.5</c:v>
                </c:pt>
                <c:pt idx="67">
                  <c:v>50.25</c:v>
                </c:pt>
                <c:pt idx="68">
                  <c:v>51</c:v>
                </c:pt>
              </c:numCache>
            </c:numRef>
          </c:xVal>
          <c:yVal>
            <c:numRef>
              <c:f>extrapolation!$BP$8:$BP$76</c:f>
              <c:numCache>
                <c:formatCode>0.0000</c:formatCode>
                <c:ptCount val="69"/>
                <c:pt idx="0">
                  <c:v>1</c:v>
                </c:pt>
                <c:pt idx="1">
                  <c:v>0.98760000000000003</c:v>
                </c:pt>
                <c:pt idx="2">
                  <c:v>0.98129999999999995</c:v>
                </c:pt>
                <c:pt idx="3">
                  <c:v>0.93669999999999998</c:v>
                </c:pt>
                <c:pt idx="4">
                  <c:v>0.93669999999999998</c:v>
                </c:pt>
                <c:pt idx="5">
                  <c:v>0.91749999999999998</c:v>
                </c:pt>
                <c:pt idx="6">
                  <c:v>0.89180000000000004</c:v>
                </c:pt>
                <c:pt idx="7">
                  <c:v>0.87890000000000001</c:v>
                </c:pt>
                <c:pt idx="8">
                  <c:v>0.83360000000000001</c:v>
                </c:pt>
                <c:pt idx="9">
                  <c:v>0.83360000000000001</c:v>
                </c:pt>
                <c:pt idx="10">
                  <c:v>0.76900000000000002</c:v>
                </c:pt>
                <c:pt idx="11">
                  <c:v>0.74950000000000006</c:v>
                </c:pt>
                <c:pt idx="12">
                  <c:v>0.72989999999999999</c:v>
                </c:pt>
                <c:pt idx="13">
                  <c:v>0.65169999999999995</c:v>
                </c:pt>
                <c:pt idx="14">
                  <c:v>0.65169999999999995</c:v>
                </c:pt>
                <c:pt idx="15">
                  <c:v>0.62539999999999996</c:v>
                </c:pt>
                <c:pt idx="16">
                  <c:v>0.58589999999999998</c:v>
                </c:pt>
                <c:pt idx="17">
                  <c:v>0.57920000000000005</c:v>
                </c:pt>
                <c:pt idx="18">
                  <c:v>0.57250000000000001</c:v>
                </c:pt>
                <c:pt idx="19">
                  <c:v>0.55859999999999999</c:v>
                </c:pt>
                <c:pt idx="20">
                  <c:v>0.52990000000000004</c:v>
                </c:pt>
                <c:pt idx="21">
                  <c:v>0.52259999999999995</c:v>
                </c:pt>
                <c:pt idx="22">
                  <c:v>0.52259999999999995</c:v>
                </c:pt>
                <c:pt idx="23">
                  <c:v>0.50770000000000004</c:v>
                </c:pt>
                <c:pt idx="24">
                  <c:v>0.50009999999999999</c:v>
                </c:pt>
                <c:pt idx="25">
                  <c:v>0.4924</c:v>
                </c:pt>
                <c:pt idx="26">
                  <c:v>0.4924</c:v>
                </c:pt>
                <c:pt idx="27">
                  <c:v>0.4924</c:v>
                </c:pt>
                <c:pt idx="28">
                  <c:v>0.46010000000000001</c:v>
                </c:pt>
                <c:pt idx="29">
                  <c:v>0.44400000000000001</c:v>
                </c:pt>
                <c:pt idx="30">
                  <c:v>0.42709999999999998</c:v>
                </c:pt>
                <c:pt idx="31">
                  <c:v>0.42709999999999998</c:v>
                </c:pt>
                <c:pt idx="32">
                  <c:v>0.42709999999999998</c:v>
                </c:pt>
                <c:pt idx="33">
                  <c:v>0.40849999999999997</c:v>
                </c:pt>
                <c:pt idx="34">
                  <c:v>0.40849999999999997</c:v>
                </c:pt>
                <c:pt idx="35">
                  <c:v>0.37709999999999999</c:v>
                </c:pt>
                <c:pt idx="36">
                  <c:v>0.35489999999999999</c:v>
                </c:pt>
                <c:pt idx="37">
                  <c:v>0.34379999999999999</c:v>
                </c:pt>
                <c:pt idx="38">
                  <c:v>0.33229999999999998</c:v>
                </c:pt>
                <c:pt idx="39">
                  <c:v>0.32050000000000001</c:v>
                </c:pt>
                <c:pt idx="40">
                  <c:v>0.32050000000000001</c:v>
                </c:pt>
                <c:pt idx="41">
                  <c:v>0.29480000000000001</c:v>
                </c:pt>
                <c:pt idx="42">
                  <c:v>0.29480000000000001</c:v>
                </c:pt>
                <c:pt idx="43">
                  <c:v>0.29480000000000001</c:v>
                </c:pt>
                <c:pt idx="44">
                  <c:v>0.28010000000000002</c:v>
                </c:pt>
                <c:pt idx="45">
                  <c:v>0.28010000000000002</c:v>
                </c:pt>
                <c:pt idx="46">
                  <c:v>0.28010000000000002</c:v>
                </c:pt>
                <c:pt idx="47">
                  <c:v>0.2636</c:v>
                </c:pt>
                <c:pt idx="48">
                  <c:v>0.2636</c:v>
                </c:pt>
                <c:pt idx="49">
                  <c:v>0.2636</c:v>
                </c:pt>
                <c:pt idx="50">
                  <c:v>0.2636</c:v>
                </c:pt>
                <c:pt idx="51">
                  <c:v>0.2636</c:v>
                </c:pt>
                <c:pt idx="52">
                  <c:v>0.2636</c:v>
                </c:pt>
                <c:pt idx="53">
                  <c:v>0.2636</c:v>
                </c:pt>
                <c:pt idx="54">
                  <c:v>0.2636</c:v>
                </c:pt>
                <c:pt idx="55">
                  <c:v>0.2636</c:v>
                </c:pt>
                <c:pt idx="56">
                  <c:v>0.2636</c:v>
                </c:pt>
                <c:pt idx="57">
                  <c:v>0.23960000000000001</c:v>
                </c:pt>
                <c:pt idx="58">
                  <c:v>0.23960000000000001</c:v>
                </c:pt>
                <c:pt idx="59">
                  <c:v>0.23960000000000001</c:v>
                </c:pt>
                <c:pt idx="60">
                  <c:v>0.23960000000000001</c:v>
                </c:pt>
                <c:pt idx="61">
                  <c:v>0.23960000000000001</c:v>
                </c:pt>
                <c:pt idx="62">
                  <c:v>0.23960000000000001</c:v>
                </c:pt>
                <c:pt idx="63">
                  <c:v>0.23960000000000001</c:v>
                </c:pt>
                <c:pt idx="64">
                  <c:v>0.23960000000000001</c:v>
                </c:pt>
                <c:pt idx="65">
                  <c:v>0.23960000000000001</c:v>
                </c:pt>
                <c:pt idx="66">
                  <c:v>0.23960000000000001</c:v>
                </c:pt>
                <c:pt idx="67">
                  <c:v>0.23960000000000001</c:v>
                </c:pt>
                <c:pt idx="68">
                  <c:v>0.23960000000000001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D6A-4B70-8150-8CECEF7E6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913807"/>
        <c:axId val="73698141"/>
      </c:scatterChart>
      <c:valAx>
        <c:axId val="5391380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nl-NL" sz="12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nl-NL" sz="1200" b="1" strike="noStrike" spc="-1">
                    <a:solidFill>
                      <a:srgbClr val="000000"/>
                    </a:solidFill>
                    <a:latin typeface="Calibri"/>
                  </a:rPr>
                  <a:t>Time (months)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Calibri"/>
              </a:defRPr>
            </a:pPr>
            <a:endParaRPr lang="nl-NL"/>
          </a:p>
        </c:txPr>
        <c:crossAx val="73698141"/>
        <c:crosses val="autoZero"/>
        <c:crossBetween val="midCat"/>
      </c:valAx>
      <c:valAx>
        <c:axId val="73698141"/>
        <c:scaling>
          <c:orientation val="minMax"/>
          <c:max val="1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nl-NL" sz="16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nl-NL" sz="1600" b="1" strike="noStrike" spc="-1">
                    <a:solidFill>
                      <a:srgbClr val="000000"/>
                    </a:solidFill>
                    <a:latin typeface="Calibri"/>
                  </a:rPr>
                  <a:t>Survival probability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0%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Calibri"/>
              </a:defRPr>
            </a:pPr>
            <a:endParaRPr lang="nl-NL"/>
          </a:p>
        </c:txPr>
        <c:crossAx val="53913807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09265611557906"/>
          <c:y val="0.96452398342033496"/>
          <c:w val="0.78146877688418703"/>
          <c:h val="3.5476016579665003E-2"/>
        </c:manualLayout>
      </c:layout>
      <c:overlay val="1"/>
      <c:spPr>
        <a:noFill/>
        <a:ln w="0">
          <a:noFill/>
          <a:prstDash val="solid"/>
        </a:ln>
      </c:spPr>
      <c:txPr>
        <a:bodyPr/>
        <a:lstStyle/>
        <a:p>
          <a:pPr>
            <a:defRPr sz="1200" b="0" strike="noStrike" spc="-1">
              <a:solidFill>
                <a:srgbClr val="000000"/>
              </a:solidFill>
              <a:latin typeface="Calibri"/>
            </a:defRPr>
          </a:pPr>
          <a:endParaRPr lang="nl-NL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en-US"/>
  <c:roundedCorners val="1"/>
  <c:style val="2"/>
  <c:chart>
    <c:title>
      <c:tx>
        <c:rich>
          <a:bodyPr rot="0"/>
          <a:lstStyle/>
          <a:p>
            <a:pPr>
              <a:defRPr lang="nl-NL"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nl-NL" sz="1600" b="1" strike="noStrike" spc="-1">
                <a:solidFill>
                  <a:srgbClr val="000000"/>
                </a:solidFill>
                <a:latin typeface="Calibri"/>
              </a:rPr>
              <a:t>PFS - Placebo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6.9689721830870605E-2"/>
          <c:y val="6.3824963156104794E-2"/>
          <c:w val="0.89974116182300701"/>
          <c:h val="0.81243623171975998"/>
        </c:manualLayout>
      </c:layout>
      <c:scatterChart>
        <c:scatterStyle val="lineMarker"/>
        <c:varyColors val="0"/>
        <c:ser>
          <c:idx val="0"/>
          <c:order val="0"/>
          <c:tx>
            <c:v>Exponential</c:v>
          </c:tx>
          <c:spPr>
            <a:ln w="28440">
              <a:solidFill>
                <a:srgbClr val="FF660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extrapolation!$J$15:$J$283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0.9312042529737572</c:v>
                </c:pt>
                <c:pt idx="2">
                  <c:v>0.86714136075641324</c:v>
                </c:pt>
                <c:pt idx="3">
                  <c:v>0.80748572306582311</c:v>
                </c:pt>
                <c:pt idx="4">
                  <c:v>0.75193413953448396</c:v>
                </c:pt>
                <c:pt idx="5">
                  <c:v>0.70020426869067409</c:v>
                </c:pt>
                <c:pt idx="6">
                  <c:v>0.65203319295513518</c:v>
                </c:pt>
                <c:pt idx="7">
                  <c:v>0.6071760823598803</c:v>
                </c:pt>
                <c:pt idx="8">
                  <c:v>0.56540495019746484</c:v>
                </c:pt>
                <c:pt idx="9">
                  <c:v>0.52650749427629462</c:v>
                </c:pt>
                <c:pt idx="10">
                  <c:v>0.49028601789264176</c:v>
                </c:pt>
                <c:pt idx="11">
                  <c:v>0.45655642503519561</c:v>
                </c:pt>
                <c:pt idx="12">
                  <c:v>0.42514728471526847</c:v>
                </c:pt>
                <c:pt idx="13">
                  <c:v>0.39589895966710287</c:v>
                </c:pt>
                <c:pt idx="14">
                  <c:v>0.36866279498989218</c:v>
                </c:pt>
                <c:pt idx="15">
                  <c:v>0.34330036260777991</c:v>
                </c:pt>
                <c:pt idx="16">
                  <c:v>0.31968275770779769</c:v>
                </c:pt>
                <c:pt idx="17">
                  <c:v>0.29768994357988038</c:v>
                </c:pt>
                <c:pt idx="18">
                  <c:v>0.27721014152910239</c:v>
                </c:pt>
                <c:pt idx="19">
                  <c:v>0.25813926275935734</c:v>
                </c:pt>
                <c:pt idx="20">
                  <c:v>0.24038037934102385</c:v>
                </c:pt>
                <c:pt idx="21">
                  <c:v>0.22384323157380645</c:v>
                </c:pt>
                <c:pt idx="22">
                  <c:v>0.2084437692409182</c:v>
                </c:pt>
                <c:pt idx="23">
                  <c:v>0.19410372442302345</c:v>
                </c:pt>
                <c:pt idx="24">
                  <c:v>0.18075021370076558</c:v>
                </c:pt>
                <c:pt idx="25">
                  <c:v>0.16831536772406838</c:v>
                </c:pt>
                <c:pt idx="26">
                  <c:v>0.15673598626549437</c:v>
                </c:pt>
                <c:pt idx="27">
                  <c:v>0.14595321700446473</c:v>
                </c:pt>
                <c:pt idx="28">
                  <c:v>0.13591225640975926</c:v>
                </c:pt>
                <c:pt idx="29">
                  <c:v>0.1265620712000276</c:v>
                </c:pt>
                <c:pt idx="30">
                  <c:v>0.11785513896663317</c:v>
                </c:pt>
                <c:pt idx="31">
                  <c:v>0.10974720664054199</c:v>
                </c:pt>
                <c:pt idx="32">
                  <c:v>0.10219706557566248</c:v>
                </c:pt>
                <c:pt idx="33">
                  <c:v>9.5166342105494864E-2</c:v>
                </c:pt>
                <c:pt idx="34">
                  <c:v>8.8619302508592374E-2</c:v>
                </c:pt>
                <c:pt idx="35">
                  <c:v>8.2522671391569172E-2</c:v>
                </c:pt>
                <c:pt idx="36">
                  <c:v>7.6845462566584991E-2</c:v>
                </c:pt>
                <c:pt idx="37">
                  <c:v>7.1558821563739605E-2</c:v>
                </c:pt>
                <c:pt idx="38">
                  <c:v>6.6635878977944527E-2</c:v>
                </c:pt>
                <c:pt idx="39">
                  <c:v>6.205161390490653E-2</c:v>
                </c:pt>
                <c:pt idx="40">
                  <c:v>5.7782726772134523E-2</c:v>
                </c:pt>
                <c:pt idx="41">
                  <c:v>5.380752091863223E-2</c:v>
                </c:pt>
                <c:pt idx="42">
                  <c:v>5.0105792321404739E-2</c:v>
                </c:pt>
                <c:pt idx="43">
                  <c:v>4.6658726908311902E-2</c:v>
                </c:pt>
                <c:pt idx="44">
                  <c:v>4.344880493536115E-2</c:v>
                </c:pt>
                <c:pt idx="45">
                  <c:v>4.0459711942435465E-2</c:v>
                </c:pt>
                <c:pt idx="46">
                  <c:v>3.7676255834889039E-2</c:v>
                </c:pt>
                <c:pt idx="47">
                  <c:v>3.5084289669575996E-2</c:v>
                </c:pt>
                <c:pt idx="48">
                  <c:v>3.2670639752872425E-2</c:v>
                </c:pt>
                <c:pt idx="49">
                  <c:v>3.0423038685248288E-2</c:v>
                </c:pt>
                <c:pt idx="50">
                  <c:v>2.8330063012088364E-2</c:v>
                </c:pt>
                <c:pt idx="51">
                  <c:v>2.6381075163871205E-2</c:v>
                </c:pt>
                <c:pt idx="52">
                  <c:v>2.4566169390617239E-2</c:v>
                </c:pt>
                <c:pt idx="53">
                  <c:v>2.2876121415816505E-2</c:v>
                </c:pt>
                <c:pt idx="54">
                  <c:v>2.1302341553952369E-2</c:v>
                </c:pt>
                <c:pt idx="55">
                  <c:v>1.9836831053340054E-2</c:v>
                </c:pt>
                <c:pt idx="56">
                  <c:v>1.8472141442392148E-2</c:v>
                </c:pt>
                <c:pt idx="57">
                  <c:v>1.7201336672688361E-2</c:v>
                </c:pt>
                <c:pt idx="58">
                  <c:v>1.6017957866440856E-2</c:v>
                </c:pt>
                <c:pt idx="59">
                  <c:v>1.4915990489184182E-2</c:v>
                </c:pt>
                <c:pt idx="60">
                  <c:v>1.3889833780844418E-2</c:v>
                </c:pt>
                <c:pt idx="61">
                  <c:v>1.293427228982089E-2</c:v>
                </c:pt>
                <c:pt idx="62">
                  <c:v>1.2044449365401826E-2</c:v>
                </c:pt>
                <c:pt idx="63">
                  <c:v>1.1215842473789256E-2</c:v>
                </c:pt>
                <c:pt idx="64">
                  <c:v>1.0444240212276258E-2</c:v>
                </c:pt>
                <c:pt idx="65">
                  <c:v>9.7257209047511839E-3</c:v>
                </c:pt>
                <c:pt idx="66">
                  <c:v>9.0566326697400848E-3</c:v>
                </c:pt>
                <c:pt idx="67">
                  <c:v>8.4335748596830375E-3</c:v>
                </c:pt>
                <c:pt idx="68">
                  <c:v>7.8533807771094064E-3</c:v>
                </c:pt>
                <c:pt idx="69">
                  <c:v>7.3131015798666267E-3</c:v>
                </c:pt>
                <c:pt idx="70">
                  <c:v>6.8099912936009097E-3</c:v>
                </c:pt>
                <c:pt idx="71">
                  <c:v>6.3414928553154285E-3</c:v>
                </c:pt>
                <c:pt idx="72">
                  <c:v>5.9052251170724143E-3</c:v>
                </c:pt>
                <c:pt idx="73">
                  <c:v>5.4989707437852883E-3</c:v>
                </c:pt>
                <c:pt idx="74">
                  <c:v>5.1206649435911241E-3</c:v>
                </c:pt>
                <c:pt idx="75">
                  <c:v>4.7683849735256816E-3</c:v>
                </c:pt>
                <c:pt idx="76">
                  <c:v>4.4403403671632695E-3</c:v>
                </c:pt>
                <c:pt idx="77">
                  <c:v>4.1348638345534896E-3</c:v>
                </c:pt>
                <c:pt idx="78">
                  <c:v>3.8504027882035894E-3</c:v>
                </c:pt>
                <c:pt idx="79">
                  <c:v>3.5855114520371972E-3</c:v>
                </c:pt>
                <c:pt idx="80">
                  <c:v>3.3388435132231517E-3</c:v>
                </c:pt>
                <c:pt idx="81">
                  <c:v>3.1091452795272358E-3</c:v>
                </c:pt>
                <c:pt idx="82">
                  <c:v>2.8952493074090447E-3</c:v>
                </c:pt>
                <c:pt idx="83">
                  <c:v>2.696068468478629E-3</c:v>
                </c:pt>
                <c:pt idx="84">
                  <c:v>2.5105904241557423E-3</c:v>
                </c:pt>
                <c:pt idx="85">
                  <c:v>2.3378724804490152E-3</c:v>
                </c:pt>
                <c:pt idx="86">
                  <c:v>2.1770367967044292E-3</c:v>
                </c:pt>
                <c:pt idx="87">
                  <c:v>2.0272659239715307E-3</c:v>
                </c:pt>
                <c:pt idx="88">
                  <c:v>1.8877986503110637E-3</c:v>
                </c:pt>
                <c:pt idx="89">
                  <c:v>1.757926131927779E-3</c:v>
                </c:pt>
                <c:pt idx="90">
                  <c:v>1.6369882904648549E-3</c:v>
                </c:pt>
                <c:pt idx="91">
                  <c:v>1.5243704581491139E-3</c:v>
                </c:pt>
                <c:pt idx="92">
                  <c:v>1.4195002537360103E-3</c:v>
                </c:pt>
                <c:pt idx="93">
                  <c:v>1.3218446733762998E-3</c:v>
                </c:pt>
                <c:pt idx="94">
                  <c:v>1.2309073816187167E-3</c:v>
                </c:pt>
                <c:pt idx="95">
                  <c:v>1.1462261887801401E-3</c:v>
                </c:pt>
                <c:pt idx="96">
                  <c:v>1.0673707018619678E-3</c:v>
                </c:pt>
                <c:pt idx="97">
                  <c:v>9.9394013707344918E-4</c:v>
                </c:pt>
                <c:pt idx="98">
                  <c:v>9.2556128284411389E-4</c:v>
                </c:pt>
                <c:pt idx="99">
                  <c:v>8.6188660297228589E-4</c:v>
                </c:pt>
                <c:pt idx="100">
                  <c:v>8.0259247026889715E-4</c:v>
                </c:pt>
                <c:pt idx="101">
                  <c:v>7.4737752171911119E-4</c:v>
                </c:pt>
                <c:pt idx="102">
                  <c:v>6.9596112680182212E-4</c:v>
                </c:pt>
                <c:pt idx="103">
                  <c:v>6.480819611822654E-4</c:v>
                </c:pt>
                <c:pt idx="104">
                  <c:v>6.0349667852849925E-4</c:v>
                </c:pt>
                <c:pt idx="105">
                  <c:v>5.6197867370127465E-4</c:v>
                </c:pt>
                <c:pt idx="106">
                  <c:v>5.233169310311786E-4</c:v>
                </c:pt>
                <c:pt idx="107">
                  <c:v>4.8731495182940726E-4</c:v>
                </c:pt>
                <c:pt idx="108">
                  <c:v>4.5378975568124589E-4</c:v>
                </c:pt>
                <c:pt idx="109">
                  <c:v>4.2257095044629858E-4</c:v>
                </c:pt>
                <c:pt idx="110">
                  <c:v>3.9349986623875624E-4</c:v>
                </c:pt>
                <c:pt idx="111">
                  <c:v>3.6642874898613393E-4</c:v>
                </c:pt>
                <c:pt idx="112">
                  <c:v>3.4122000946774141E-4</c:v>
                </c:pt>
                <c:pt idx="113">
                  <c:v>3.1774552401610641E-4</c:v>
                </c:pt>
                <c:pt idx="114">
                  <c:v>2.9588598332717356E-4</c:v>
                </c:pt>
                <c:pt idx="115">
                  <c:v>2.7553028606958589E-4</c:v>
                </c:pt>
                <c:pt idx="116">
                  <c:v>2.5657497421107447E-4</c:v>
                </c:pt>
                <c:pt idx="117">
                  <c:v>2.3892370719198473E-4</c:v>
                </c:pt>
                <c:pt idx="118">
                  <c:v>2.2248677227343296E-4</c:v>
                </c:pt>
                <c:pt idx="119">
                  <c:v>2.0718062857142468E-4</c:v>
                </c:pt>
                <c:pt idx="120">
                  <c:v>1.9292748245948674E-4</c:v>
                </c:pt>
                <c:pt idx="121">
                  <c:v>1.7965489218179409E-4</c:v>
                </c:pt>
                <c:pt idx="122">
                  <c:v>1.6729539966722854E-4</c:v>
                </c:pt>
                <c:pt idx="123">
                  <c:v>1.5578618767306778E-4</c:v>
                </c:pt>
                <c:pt idx="124">
                  <c:v>1.4506876051572845E-4</c:v>
                </c:pt>
                <c:pt idx="125">
                  <c:v>1.3508864676587787E-4</c:v>
                </c:pt>
                <c:pt idx="126">
                  <c:v>1.2579512239685513E-4</c:v>
                </c:pt>
                <c:pt idx="127">
                  <c:v>1.1714095297930568E-4</c:v>
                </c:pt>
                <c:pt idx="128">
                  <c:v>1.0908215361172842E-4</c:v>
                </c:pt>
                <c:pt idx="129">
                  <c:v>1.0157776536677825E-4</c:v>
                </c:pt>
                <c:pt idx="130">
                  <c:v>9.4589647117114206E-5</c:v>
                </c:pt>
                <c:pt idx="131">
                  <c:v>8.8082281682743687E-5</c:v>
                </c:pt>
                <c:pt idx="132">
                  <c:v>8.2022595314603435E-5</c:v>
                </c:pt>
                <c:pt idx="133">
                  <c:v>7.6379789596903982E-5</c:v>
                </c:pt>
                <c:pt idx="134">
                  <c:v>7.112518491387777E-5</c:v>
                </c:pt>
                <c:pt idx="135">
                  <c:v>6.6232074685347925E-5</c:v>
                </c:pt>
                <c:pt idx="136">
                  <c:v>6.1675589630271537E-5</c:v>
                </c:pt>
                <c:pt idx="137">
                  <c:v>5.7432571368372945E-5</c:v>
                </c:pt>
                <c:pt idx="138">
                  <c:v>5.3481454717447755E-5</c:v>
                </c:pt>
                <c:pt idx="139">
                  <c:v>4.9802158088110692E-5</c:v>
                </c:pt>
                <c:pt idx="140">
                  <c:v>4.6375981418920187E-5</c:v>
                </c:pt>
                <c:pt idx="141">
                  <c:v>4.3185511133130362E-5</c:v>
                </c:pt>
                <c:pt idx="142">
                  <c:v>4.0214531634016627E-5</c:v>
                </c:pt>
                <c:pt idx="143">
                  <c:v>3.7447942888943933E-5</c:v>
                </c:pt>
                <c:pt idx="144">
                  <c:v>3.4871683683302915E-5</c:v>
                </c:pt>
                <c:pt idx="145">
                  <c:v>3.2472660154247324E-5</c:v>
                </c:pt>
                <c:pt idx="146">
                  <c:v>3.023867924100653E-5</c:v>
                </c:pt>
                <c:pt idx="147">
                  <c:v>2.8158386713534561E-5</c:v>
                </c:pt>
                <c:pt idx="148">
                  <c:v>2.6221209464523087E-5</c:v>
                </c:pt>
                <c:pt idx="149">
                  <c:v>2.4417301771479645E-5</c:v>
                </c:pt>
                <c:pt idx="150">
                  <c:v>2.2737495255745515E-5</c:v>
                </c:pt>
                <c:pt idx="151">
                  <c:v>2.1173252284120822E-5</c:v>
                </c:pt>
                <c:pt idx="152">
                  <c:v>1.9716622576259638E-5</c:v>
                </c:pt>
                <c:pt idx="153">
                  <c:v>1.8360202797291384E-5</c:v>
                </c:pt>
                <c:pt idx="154">
                  <c:v>1.7097098930298387E-5</c:v>
                </c:pt>
                <c:pt idx="155">
                  <c:v>1.5920891237406971E-5</c:v>
                </c:pt>
                <c:pt idx="156">
                  <c:v>1.4825601631405976E-5</c:v>
                </c:pt>
                <c:pt idx="157">
                  <c:v>1.3805663292059901E-5</c:v>
                </c:pt>
                <c:pt idx="158">
                  <c:v>1.285589237268989E-5</c:v>
                </c:pt>
                <c:pt idx="159">
                  <c:v>1.1971461653221698E-5</c:v>
                </c:pt>
                <c:pt idx="160">
                  <c:v>1.1147876005792318E-5</c:v>
                </c:pt>
                <c:pt idx="161">
                  <c:v>1.0380949548217894E-5</c:v>
                </c:pt>
                <c:pt idx="162">
                  <c:v>9.6667843692064946E-6</c:v>
                </c:pt>
                <c:pt idx="163">
                  <c:v>9.0017507171853467E-6</c:v>
                </c:pt>
                <c:pt idx="164">
                  <c:v>8.3824685520525534E-6</c:v>
                </c:pt>
                <c:pt idx="165">
                  <c:v>7.8057903660900996E-6</c:v>
                </c:pt>
                <c:pt idx="166">
                  <c:v>7.2687851867246994E-6</c:v>
                </c:pt>
                <c:pt idx="167">
                  <c:v>6.7687236798306769E-6</c:v>
                </c:pt>
                <c:pt idx="168">
                  <c:v>6.3030642778625097E-6</c:v>
                </c:pt>
                <c:pt idx="169">
                  <c:v>5.8694402623125253E-6</c:v>
                </c:pt>
                <c:pt idx="170">
                  <c:v>5.4656477348408314E-6</c:v>
                </c:pt>
                <c:pt idx="171">
                  <c:v>5.0896344159401671E-6</c:v>
                </c:pt>
                <c:pt idx="172">
                  <c:v>4.7394892142050829E-6</c:v>
                </c:pt>
                <c:pt idx="173">
                  <c:v>4.4134325131910335E-6</c:v>
                </c:pt>
                <c:pt idx="174">
                  <c:v>4.1098071264961434E-6</c:v>
                </c:pt>
                <c:pt idx="175">
                  <c:v>3.8270698750950602E-6</c:v>
                </c:pt>
                <c:pt idx="176">
                  <c:v>3.5637837441162739E-6</c:v>
                </c:pt>
                <c:pt idx="177">
                  <c:v>3.3186105791998098E-6</c:v>
                </c:pt>
                <c:pt idx="178">
                  <c:v>3.0903042853145627E-6</c:v>
                </c:pt>
                <c:pt idx="179">
                  <c:v>2.8777044934679549E-6</c:v>
                </c:pt>
                <c:pt idx="180">
                  <c:v>2.6797306631190478E-6</c:v>
                </c:pt>
                <c:pt idx="181">
                  <c:v>2.4953765903206497E-6</c:v>
                </c:pt>
                <c:pt idx="182">
                  <c:v>2.3237052936777389E-6</c:v>
                </c:pt>
                <c:pt idx="183">
                  <c:v>2.1638442521303414E-6</c:v>
                </c:pt>
                <c:pt idx="184">
                  <c:v>2.0149809703565975E-6</c:v>
                </c:pt>
                <c:pt idx="185">
                  <c:v>1.8763588492572493E-6</c:v>
                </c:pt>
                <c:pt idx="186">
                  <c:v>1.7472733405332964E-6</c:v>
                </c:pt>
                <c:pt idx="187">
                  <c:v>1.6270683658122705E-6</c:v>
                </c:pt>
                <c:pt idx="188">
                  <c:v>1.5151329821234452E-6</c:v>
                </c:pt>
                <c:pt idx="189">
                  <c:v>1.4108982767741646E-6</c:v>
                </c:pt>
                <c:pt idx="190">
                  <c:v>1.3138344758454456E-6</c:v>
                </c:pt>
                <c:pt idx="191">
                  <c:v>1.2234482516108266E-6</c:v>
                </c:pt>
                <c:pt idx="192">
                  <c:v>1.1392802151933098E-6</c:v>
                </c:pt>
                <c:pt idx="193">
                  <c:v>1.060902581716866E-6</c:v>
                </c:pt>
                <c:pt idx="194">
                  <c:v>9.8791699608558689E-7</c:v>
                </c:pt>
                <c:pt idx="195">
                  <c:v>9.1995250833995601E-7</c:v>
                </c:pt>
                <c:pt idx="196">
                  <c:v>8.5666368830004181E-7</c:v>
                </c:pt>
                <c:pt idx="197">
                  <c:v>7.9772886991318591E-7</c:v>
                </c:pt>
                <c:pt idx="198">
                  <c:v>7.4284851638310689E-7</c:v>
                </c:pt>
                <c:pt idx="199">
                  <c:v>6.9174369777119638E-7</c:v>
                </c:pt>
                <c:pt idx="200">
                  <c:v>6.4415467333233064E-7</c:v>
                </c:pt>
                <c:pt idx="201">
                  <c:v>5.9983957137998674E-7</c:v>
                </c:pt>
                <c:pt idx="202">
                  <c:v>5.5857315997100064E-7</c:v>
                </c:pt>
                <c:pt idx="203">
                  <c:v>5.2014570216198593E-7</c:v>
                </c:pt>
                <c:pt idx="204">
                  <c:v>4.8436189001926196E-7</c:v>
                </c:pt>
                <c:pt idx="205">
                  <c:v>4.5103985196434498E-7</c:v>
                </c:pt>
                <c:pt idx="206">
                  <c:v>4.2001022840985134E-7</c:v>
                </c:pt>
                <c:pt idx="207">
                  <c:v>3.9111531098773296E-7</c:v>
                </c:pt>
                <c:pt idx="208">
                  <c:v>3.642082409949308E-7</c:v>
                </c:pt>
                <c:pt idx="209">
                  <c:v>3.3915226298257025E-7</c:v>
                </c:pt>
                <c:pt idx="210">
                  <c:v>3.1582002969504372E-7</c:v>
                </c:pt>
                <c:pt idx="211">
                  <c:v>2.9409295482632265E-7</c:v>
                </c:pt>
                <c:pt idx="212">
                  <c:v>2.7386061030389132E-7</c:v>
                </c:pt>
                <c:pt idx="213">
                  <c:v>2.5502016503697201E-7</c:v>
                </c:pt>
                <c:pt idx="214">
                  <c:v>2.3747586227649752E-7</c:v>
                </c:pt>
                <c:pt idx="215">
                  <c:v>2.2113853293048523E-7</c:v>
                </c:pt>
                <c:pt idx="216">
                  <c:v>2.0592514236124483E-7</c:v>
                </c:pt>
                <c:pt idx="217">
                  <c:v>1.9175836836101738E-7</c:v>
                </c:pt>
                <c:pt idx="218">
                  <c:v>1.7856620816108814E-7</c:v>
                </c:pt>
                <c:pt idx="219">
                  <c:v>1.6628161247700229E-7</c:v>
                </c:pt>
                <c:pt idx="220">
                  <c:v>1.5484214472991907E-7</c:v>
                </c:pt>
                <c:pt idx="221">
                  <c:v>1.4418966371207851E-7</c:v>
                </c:pt>
                <c:pt idx="222">
                  <c:v>1.3427002808354317E-7</c:v>
                </c:pt>
                <c:pt idx="223">
                  <c:v>1.250328211983015E-7</c:v>
                </c:pt>
                <c:pt idx="224">
                  <c:v>1.1643109486116555E-7</c:v>
                </c:pt>
                <c:pt idx="225">
                  <c:v>1.0842113071310858E-7</c:v>
                </c:pt>
                <c:pt idx="226">
                  <c:v>1.0096221803227005E-7</c:v>
                </c:pt>
                <c:pt idx="227">
                  <c:v>9.4016446821313681E-8</c:v>
                </c:pt>
                <c:pt idx="228">
                  <c:v>8.7548515129488414E-8</c:v>
                </c:pt>
                <c:pt idx="229">
                  <c:v>8.1525549630116985E-8</c:v>
                </c:pt>
                <c:pt idx="230">
                  <c:v>7.5916938541587828E-8</c:v>
                </c:pt>
                <c:pt idx="231">
                  <c:v>7.0694176042674209E-8</c:v>
                </c:pt>
                <c:pt idx="232">
                  <c:v>6.5830717391413523E-8</c:v>
                </c:pt>
                <c:pt idx="233">
                  <c:v>6.1301844011197794E-8</c:v>
                </c:pt>
                <c:pt idx="234">
                  <c:v>5.7084537858361258E-8</c:v>
                </c:pt>
                <c:pt idx="235">
                  <c:v>5.3157364432747486E-8</c:v>
                </c:pt>
                <c:pt idx="236">
                  <c:v>4.9500363836650414E-8</c:v>
                </c:pt>
                <c:pt idx="237">
                  <c:v>4.6094949328437261E-8</c:v>
                </c:pt>
                <c:pt idx="238">
                  <c:v>4.2923812855250637E-8</c:v>
                </c:pt>
                <c:pt idx="239">
                  <c:v>3.9970837084658904E-8</c:v>
                </c:pt>
                <c:pt idx="240">
                  <c:v>3.7221013488155563E-8</c:v>
                </c:pt>
                <c:pt idx="241">
                  <c:v>3.466036606016406E-8</c:v>
                </c:pt>
                <c:pt idx="242">
                  <c:v>3.2275880284852057E-8</c:v>
                </c:pt>
                <c:pt idx="243">
                  <c:v>3.0055436989726096E-8</c:v>
                </c:pt>
                <c:pt idx="244">
                  <c:v>2.798775074981773E-8</c:v>
                </c:pt>
                <c:pt idx="245">
                  <c:v>2.6062312529399654E-8</c:v>
                </c:pt>
                <c:pt idx="246">
                  <c:v>2.4269336269708295E-8</c:v>
                </c:pt>
                <c:pt idx="247">
                  <c:v>2.2599709151202558E-8</c:v>
                </c:pt>
                <c:pt idx="248">
                  <c:v>2.1044945277569772E-8</c:v>
                </c:pt>
                <c:pt idx="249">
                  <c:v>1.9597142546072968E-8</c:v>
                </c:pt>
                <c:pt idx="250">
                  <c:v>1.8248942485036124E-8</c:v>
                </c:pt>
                <c:pt idx="251">
                  <c:v>1.6993492854339133E-8</c:v>
                </c:pt>
                <c:pt idx="252">
                  <c:v>1.5824412818839759E-8</c:v>
                </c:pt>
                <c:pt idx="253">
                  <c:v>1.4735760517715982E-8</c:v>
                </c:pt>
                <c:pt idx="254">
                  <c:v>1.3722002864899904E-8</c:v>
                </c:pt>
                <c:pt idx="255">
                  <c:v>1.2777987427112877E-8</c:v>
                </c:pt>
                <c:pt idx="256">
                  <c:v>1.1898916236572715E-8</c:v>
                </c:pt>
                <c:pt idx="257">
                  <c:v>1.1080321405275011E-8</c:v>
                </c:pt>
                <c:pt idx="258">
                  <c:v>1.0318042416908254E-8</c:v>
                </c:pt>
                <c:pt idx="259">
                  <c:v>9.6082049809885952E-9</c:v>
                </c:pt>
                <c:pt idx="260">
                  <c:v>8.9472013417401908E-9</c:v>
                </c:pt>
                <c:pt idx="261">
                  <c:v>8.3316719416409778E-9</c:v>
                </c:pt>
                <c:pt idx="262">
                  <c:v>7.7584883464382033E-9</c:v>
                </c:pt>
                <c:pt idx="263">
                  <c:v>7.2247373448505914E-9</c:v>
                </c:pt>
                <c:pt idx="264">
                  <c:v>6.727706142143205E-9</c:v>
                </c:pt>
                <c:pt idx="265">
                  <c:v>6.2648685723214238E-9</c:v>
                </c:pt>
                <c:pt idx="266">
                  <c:v>5.8338722588673225E-9</c:v>
                </c:pt>
                <c:pt idx="267">
                  <c:v>5.4325266587628927E-9</c:v>
                </c:pt>
                <c:pt idx="268">
                  <c:v>5.0587919290333056E-9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48-4AB7-B806-CC3284FEFDBC}"/>
            </c:ext>
          </c:extLst>
        </c:ser>
        <c:ser>
          <c:idx val="1"/>
          <c:order val="1"/>
          <c:tx>
            <c:v>Weibull</c:v>
          </c:tx>
          <c:spPr>
            <a:ln w="28440">
              <a:solidFill>
                <a:srgbClr val="2196F3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extrapolation!$K$15:$K$283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0.93579685349172459</c:v>
                </c:pt>
                <c:pt idx="2">
                  <c:v>0.87333579895950308</c:v>
                </c:pt>
                <c:pt idx="3">
                  <c:v>0.81417551857138404</c:v>
                </c:pt>
                <c:pt idx="4">
                  <c:v>0.75849069367441024</c:v>
                </c:pt>
                <c:pt idx="5">
                  <c:v>0.70624275055637542</c:v>
                </c:pt>
                <c:pt idx="6">
                  <c:v>0.65731638028343953</c:v>
                </c:pt>
                <c:pt idx="7">
                  <c:v>0.61156362975662726</c:v>
                </c:pt>
                <c:pt idx="8">
                  <c:v>0.56882286266719861</c:v>
                </c:pt>
                <c:pt idx="9">
                  <c:v>0.52892823331956473</c:v>
                </c:pt>
                <c:pt idx="10">
                  <c:v>0.49171484584854669</c:v>
                </c:pt>
                <c:pt idx="11">
                  <c:v>0.457021697179263</c:v>
                </c:pt>
                <c:pt idx="12">
                  <c:v>0.42469338064478424</c:v>
                </c:pt>
                <c:pt idx="13">
                  <c:v>0.39458105293167317</c:v>
                </c:pt>
                <c:pt idx="14">
                  <c:v>0.36654294343254551</c:v>
                </c:pt>
                <c:pt idx="15">
                  <c:v>0.34044457043584997</c:v>
                </c:pt>
                <c:pt idx="16">
                  <c:v>0.31615876572143231</c:v>
                </c:pt>
                <c:pt idx="17">
                  <c:v>0.29356557272436468</c:v>
                </c:pt>
                <c:pt idx="18">
                  <c:v>0.27255206136407273</c:v>
                </c:pt>
                <c:pt idx="19">
                  <c:v>0.2530120887408796</c:v>
                </c:pt>
                <c:pt idx="20">
                  <c:v>0.23484602586411782</c:v>
                </c:pt>
                <c:pt idx="21">
                  <c:v>0.21796046453280624</c:v>
                </c:pt>
                <c:pt idx="22">
                  <c:v>0.20226791435309308</c:v>
                </c:pt>
                <c:pt idx="23">
                  <c:v>0.18768649698764026</c:v>
                </c:pt>
                <c:pt idx="24">
                  <c:v>0.17413964268016038</c:v>
                </c:pt>
                <c:pt idx="25">
                  <c:v>0.16155579262013992</c:v>
                </c:pt>
                <c:pt idx="26">
                  <c:v>0.14986810963556738</c:v>
                </c:pt>
                <c:pt idx="27">
                  <c:v>0.13901419890925951</c:v>
                </c:pt>
                <c:pt idx="28">
                  <c:v>0.12893583982772722</c:v>
                </c:pt>
                <c:pt idx="29">
                  <c:v>0.11957872963519205</c:v>
                </c:pt>
                <c:pt idx="30">
                  <c:v>0.11089223924015197</c:v>
                </c:pt>
                <c:pt idx="31">
                  <c:v>0.10282918127969734</c:v>
                </c:pt>
                <c:pt idx="32">
                  <c:v>9.5345590367107783E-2</c:v>
                </c:pt>
                <c:pt idx="33">
                  <c:v>8.8400515316021624E-2</c:v>
                </c:pt>
                <c:pt idx="34">
                  <c:v>8.1955823038417849E-2</c:v>
                </c:pt>
                <c:pt idx="35">
                  <c:v>7.5976013745341228E-2</c:v>
                </c:pt>
                <c:pt idx="36">
                  <c:v>7.0428047032303057E-2</c:v>
                </c:pt>
                <c:pt idx="37">
                  <c:v>6.5281178400698581E-2</c:v>
                </c:pt>
                <c:pt idx="38">
                  <c:v>6.0506805748626595E-2</c:v>
                </c:pt>
                <c:pt idx="39">
                  <c:v>5.6078325356232556E-2</c:v>
                </c:pt>
                <c:pt idx="40">
                  <c:v>5.1970996889858873E-2</c:v>
                </c:pt>
                <c:pt idx="41">
                  <c:v>4.8161816954078382E-2</c:v>
                </c:pt>
                <c:pt idx="42">
                  <c:v>4.462940072972392E-2</c:v>
                </c:pt>
                <c:pt idx="43">
                  <c:v>4.1353871248191378E-2</c:v>
                </c:pt>
                <c:pt idx="44">
                  <c:v>3.8316755866734845E-2</c:v>
                </c:pt>
                <c:pt idx="45">
                  <c:v>3.5500889525494864E-2</c:v>
                </c:pt>
                <c:pt idx="46">
                  <c:v>3.2890324384071079E-2</c:v>
                </c:pt>
                <c:pt idx="47">
                  <c:v>3.0470245453145174E-2</c:v>
                </c:pt>
                <c:pt idx="48">
                  <c:v>2.8226891854646739E-2</c:v>
                </c:pt>
                <c:pt idx="49">
                  <c:v>2.6147483361974151E-2</c:v>
                </c:pt>
                <c:pt idx="50">
                  <c:v>2.4220151889634708E-2</c:v>
                </c:pt>
                <c:pt idx="51">
                  <c:v>2.2433877619201393E-2</c:v>
                </c:pt>
                <c:pt idx="52">
                  <c:v>2.0778429465579867E-2</c:v>
                </c:pt>
                <c:pt idx="53">
                  <c:v>1.9244309604155348E-2</c:v>
                </c:pt>
                <c:pt idx="54">
                  <c:v>1.7822701795381229E-2</c:v>
                </c:pt>
                <c:pt idx="55">
                  <c:v>1.6505423258741391E-2</c:v>
                </c:pt>
                <c:pt idx="56">
                  <c:v>1.5284879862732652E-2</c:v>
                </c:pt>
                <c:pt idx="57">
                  <c:v>1.4154024411572258E-2</c:v>
                </c:pt>
                <c:pt idx="58">
                  <c:v>1.3106317822714495E-2</c:v>
                </c:pt>
                <c:pt idx="59">
                  <c:v>1.2135693001982134E-2</c:v>
                </c:pt>
                <c:pt idx="60">
                  <c:v>1.1236521235180725E-2</c:v>
                </c:pt>
                <c:pt idx="61">
                  <c:v>1.0403580926484333E-2</c:v>
                </c:pt>
                <c:pt idx="62">
                  <c:v>9.6320285246778332E-3</c:v>
                </c:pt>
                <c:pt idx="63">
                  <c:v>8.9173714885327337E-3</c:v>
                </c:pt>
                <c:pt idx="64">
                  <c:v>8.255443152204809E-3</c:v>
                </c:pt>
                <c:pt idx="65">
                  <c:v>7.6423793605912838E-3</c:v>
                </c:pt>
                <c:pt idx="66">
                  <c:v>7.0745967531016703E-3</c:v>
                </c:pt>
                <c:pt idx="67">
                  <c:v>6.5487725823018409E-3</c:v>
                </c:pt>
                <c:pt idx="68">
                  <c:v>6.0618259614088569E-3</c:v>
                </c:pt>
                <c:pt idx="69">
                  <c:v>5.6109004416713673E-3</c:v>
                </c:pt>
                <c:pt idx="70">
                  <c:v>5.193347827287296E-3</c:v>
                </c:pt>
                <c:pt idx="71">
                  <c:v>4.8067131417145548E-3</c:v>
                </c:pt>
                <c:pt idx="72">
                  <c:v>4.4487206650396524E-3</c:v>
                </c:pt>
                <c:pt idx="73">
                  <c:v>4.1172609675093879E-3</c:v>
                </c:pt>
                <c:pt idx="74">
                  <c:v>3.8103788694196089E-3</c:v>
                </c:pt>
                <c:pt idx="75">
                  <c:v>3.5262622623165414E-3</c:v>
                </c:pt>
                <c:pt idx="76">
                  <c:v>3.263231730914667E-3</c:v>
                </c:pt>
                <c:pt idx="77">
                  <c:v>3.0197309192954661E-3</c:v>
                </c:pt>
                <c:pt idx="78">
                  <c:v>2.7943175888341647E-3</c:v>
                </c:pt>
                <c:pt idx="79">
                  <c:v>2.5856553189296644E-3</c:v>
                </c:pt>
                <c:pt idx="80">
                  <c:v>2.3925058049985176E-3</c:v>
                </c:pt>
                <c:pt idx="81">
                  <c:v>2.2137217113525369E-3</c:v>
                </c:pt>
                <c:pt idx="82">
                  <c:v>2.0482400395276314E-3</c:v>
                </c:pt>
                <c:pt idx="83">
                  <c:v>1.8950759753792643E-3</c:v>
                </c:pt>
                <c:pt idx="84">
                  <c:v>1.753317180823019E-3</c:v>
                </c:pt>
                <c:pt idx="85">
                  <c:v>1.6221184984868435E-3</c:v>
                </c:pt>
                <c:pt idx="86">
                  <c:v>1.5006970397676708E-3</c:v>
                </c:pt>
                <c:pt idx="87">
                  <c:v>1.3883276288583822E-3</c:v>
                </c:pt>
                <c:pt idx="88">
                  <c:v>1.2843385772429274E-3</c:v>
                </c:pt>
                <c:pt idx="89">
                  <c:v>1.1881077649555992E-3</c:v>
                </c:pt>
                <c:pt idx="90">
                  <c:v>1.0990590065756891E-3</c:v>
                </c:pt>
                <c:pt idx="91">
                  <c:v>1.0166586814870046E-3</c:v>
                </c:pt>
                <c:pt idx="92">
                  <c:v>9.4041260938307976E-4</c:v>
                </c:pt>
                <c:pt idx="93">
                  <c:v>8.6986315334879917E-4</c:v>
                </c:pt>
                <c:pt idx="94">
                  <c:v>8.0458653410509081E-4</c:v>
                </c:pt>
                <c:pt idx="95">
                  <c:v>7.4419034017224935E-4</c:v>
                </c:pt>
                <c:pt idx="96">
                  <c:v>6.8831121979356761E-4</c:v>
                </c:pt>
                <c:pt idx="97">
                  <c:v>6.3661274147220552E-4</c:v>
                </c:pt>
                <c:pt idx="98">
                  <c:v>5.8878341091355129E-4</c:v>
                </c:pt>
                <c:pt idx="99">
                  <c:v>5.445348330389919E-4</c:v>
                </c:pt>
                <c:pt idx="100">
                  <c:v>5.0360000854922447E-4</c:v>
                </c:pt>
                <c:pt idx="101">
                  <c:v>4.6573175526986698E-4</c:v>
                </c:pt>
                <c:pt idx="102">
                  <c:v>4.307012452136626E-4</c:v>
                </c:pt>
                <c:pt idx="103">
                  <c:v>3.9829664894523134E-4</c:v>
                </c:pt>
                <c:pt idx="104">
                  <c:v>3.683218794400437E-4</c:v>
                </c:pt>
                <c:pt idx="105">
                  <c:v>3.4059542819170373E-4</c:v>
                </c:pt>
                <c:pt idx="106">
                  <c:v>3.1494928684428332E-4</c:v>
                </c:pt>
                <c:pt idx="107">
                  <c:v>2.9122794811181353E-4</c:v>
                </c:pt>
                <c:pt idx="108">
                  <c:v>2.6928748019769682E-4</c:v>
                </c:pt>
                <c:pt idx="109">
                  <c:v>2.4899466934555185E-4</c:v>
                </c:pt>
                <c:pt idx="110">
                  <c:v>2.3022622554141808E-4</c:v>
                </c:pt>
                <c:pt idx="111">
                  <c:v>2.1286804674835468E-4</c:v>
                </c:pt>
                <c:pt idx="112">
                  <c:v>1.968145373891888E-4</c:v>
                </c:pt>
                <c:pt idx="113">
                  <c:v>1.8196797710435907E-4</c:v>
                </c:pt>
                <c:pt idx="114">
                  <c:v>1.6823793610022881E-4</c:v>
                </c:pt>
                <c:pt idx="115">
                  <c:v>1.5554073367125124E-4</c:v>
                </c:pt>
                <c:pt idx="116">
                  <c:v>1.4379893672788538E-4</c:v>
                </c:pt>
                <c:pt idx="117">
                  <c:v>1.3294089539289547E-4</c:v>
                </c:pt>
                <c:pt idx="118">
                  <c:v>1.2290031294268151E-4</c:v>
                </c:pt>
                <c:pt idx="119">
                  <c:v>1.1361584756890715E-4</c:v>
                </c:pt>
                <c:pt idx="120">
                  <c:v>1.0503074361993366E-4</c:v>
                </c:pt>
                <c:pt idx="121">
                  <c:v>9.7092490152497676E-5</c:v>
                </c:pt>
                <c:pt idx="122">
                  <c:v>8.9752504782622145E-5</c:v>
                </c:pt>
                <c:pt idx="123">
                  <c:v>8.2965840971798468E-5</c:v>
                </c:pt>
                <c:pt idx="124">
                  <c:v>7.6690917020911855E-5</c:v>
                </c:pt>
                <c:pt idx="125">
                  <c:v>7.0889265170859017E-5</c:v>
                </c:pt>
                <c:pt idx="126">
                  <c:v>6.5525299326120632E-5</c:v>
                </c:pt>
                <c:pt idx="127">
                  <c:v>6.056610002636E-5</c:v>
                </c:pt>
                <c:pt idx="128">
                  <c:v>5.5981215391962754E-5</c:v>
                </c:pt>
                <c:pt idx="129">
                  <c:v>5.174247686299183E-5</c:v>
                </c:pt>
                <c:pt idx="130">
                  <c:v>4.7823828637716392E-5</c:v>
                </c:pt>
                <c:pt idx="131">
                  <c:v>4.4201169797288662E-5</c:v>
                </c:pt>
                <c:pt idx="132">
                  <c:v>4.0852208177659892E-5</c:v>
                </c:pt>
                <c:pt idx="133">
                  <c:v>3.7756325118907594E-5</c:v>
                </c:pt>
                <c:pt idx="134">
                  <c:v>3.4894450286191582E-5</c:v>
                </c:pt>
                <c:pt idx="135">
                  <c:v>3.2248945815906254E-5</c:v>
                </c:pt>
                <c:pt idx="136">
                  <c:v>2.980349909560956E-5</c:v>
                </c:pt>
                <c:pt idx="137">
                  <c:v>2.7543023537292152E-5</c:v>
                </c:pt>
                <c:pt idx="138">
                  <c:v>2.5453566750806576E-5</c:v>
                </c:pt>
                <c:pt idx="139">
                  <c:v>2.3522225568052144E-5</c:v>
                </c:pt>
                <c:pt idx="140">
                  <c:v>2.1737067409095367E-5</c:v>
                </c:pt>
                <c:pt idx="141">
                  <c:v>2.0087057518994995E-5</c:v>
                </c:pt>
                <c:pt idx="142">
                  <c:v>1.8561991638940667E-5</c:v>
                </c:pt>
                <c:pt idx="143">
                  <c:v>1.7152433707586593E-5</c:v>
                </c:pt>
                <c:pt idx="144">
                  <c:v>1.5849658218366924E-5</c:v>
                </c:pt>
                <c:pt idx="145">
                  <c:v>1.4645596886281937E-5</c:v>
                </c:pt>
                <c:pt idx="146">
                  <c:v>1.3532789303305265E-5</c:v>
                </c:pt>
                <c:pt idx="147">
                  <c:v>1.2504337285341554E-5</c:v>
                </c:pt>
                <c:pt idx="148">
                  <c:v>1.1553862635679457E-5</c:v>
                </c:pt>
                <c:pt idx="149">
                  <c:v>1.0675468070289596E-5</c:v>
                </c:pt>
                <c:pt idx="150">
                  <c:v>9.8637010692069738E-6</c:v>
                </c:pt>
                <c:pt idx="151">
                  <c:v>9.1135204357372886E-6</c:v>
                </c:pt>
                <c:pt idx="152">
                  <c:v>8.420265361437006E-6</c:v>
                </c:pt>
                <c:pt idx="153">
                  <c:v>7.7796268098230308E-6</c:v>
                </c:pt>
                <c:pt idx="154">
                  <c:v>7.1876210456712563E-6</c:v>
                </c:pt>
                <c:pt idx="155">
                  <c:v>6.6405651496363336E-6</c:v>
                </c:pt>
                <c:pt idx="156">
                  <c:v>6.1350543698429332E-6</c:v>
                </c:pt>
                <c:pt idx="157">
                  <c:v>5.6679411731404149E-6</c:v>
                </c:pt>
                <c:pt idx="158">
                  <c:v>5.2363158689311676E-6</c:v>
                </c:pt>
                <c:pt idx="159">
                  <c:v>4.8374886879481755E-6</c:v>
                </c:pt>
                <c:pt idx="160">
                  <c:v>4.4689732071181922E-6</c:v>
                </c:pt>
                <c:pt idx="161">
                  <c:v>4.1284710197614364E-6</c:v>
                </c:pt>
                <c:pt idx="162">
                  <c:v>3.8138575578881176E-6</c:v>
                </c:pt>
                <c:pt idx="163">
                  <c:v>3.5231689803055558E-6</c:v>
                </c:pt>
                <c:pt idx="164">
                  <c:v>3.254590046687957E-6</c:v>
                </c:pt>
                <c:pt idx="165">
                  <c:v>3.0064429037193436E-6</c:v>
                </c:pt>
                <c:pt idx="166">
                  <c:v>2.7771767149357616E-6</c:v>
                </c:pt>
                <c:pt idx="167">
                  <c:v>2.5653580710009263E-6</c:v>
                </c:pt>
                <c:pt idx="168">
                  <c:v>2.3696621218743439E-6</c:v>
                </c:pt>
                <c:pt idx="169">
                  <c:v>2.1888643767061894E-6</c:v>
                </c:pt>
                <c:pt idx="170">
                  <c:v>2.0218331213441313E-6</c:v>
                </c:pt>
                <c:pt idx="171">
                  <c:v>1.8675224070827022E-6</c:v>
                </c:pt>
                <c:pt idx="172">
                  <c:v>1.7249655677560946E-6</c:v>
                </c:pt>
                <c:pt idx="173">
                  <c:v>1.5932692254860818E-6</c:v>
                </c:pt>
                <c:pt idx="174">
                  <c:v>1.4716077483653763E-6</c:v>
                </c:pt>
                <c:pt idx="175">
                  <c:v>1.3592181261093358E-6</c:v>
                </c:pt>
                <c:pt idx="176">
                  <c:v>1.2553952322506461E-6</c:v>
                </c:pt>
                <c:pt idx="177">
                  <c:v>1.1594874438078468E-6</c:v>
                </c:pt>
                <c:pt idx="178">
                  <c:v>1.0708925915366931E-6</c:v>
                </c:pt>
                <c:pt idx="179">
                  <c:v>9.8905421588959892E-7</c:v>
                </c:pt>
                <c:pt idx="180">
                  <c:v>9.1345810567379076E-7</c:v>
                </c:pt>
                <c:pt idx="181">
                  <c:v>8.4362909812524499E-7</c:v>
                </c:pt>
                <c:pt idx="182">
                  <c:v>7.791281207123289E-7</c:v>
                </c:pt>
                <c:pt idx="183">
                  <c:v>7.1954945646085749E-7</c:v>
                </c:pt>
                <c:pt idx="184">
                  <c:v>6.6451821595951009E-7</c:v>
                </c:pt>
                <c:pt idx="185">
                  <c:v>6.136880004692853E-7</c:v>
                </c:pt>
                <c:pt idx="186">
                  <c:v>5.66738741731035E-7</c:v>
                </c:pt>
                <c:pt idx="187">
                  <c:v>5.2337470514777112E-7</c:v>
                </c:pt>
                <c:pt idx="188">
                  <c:v>4.8332264401967507E-7</c:v>
                </c:pt>
                <c:pt idx="189">
                  <c:v>4.4633009343659029E-7</c:v>
                </c:pt>
                <c:pt idx="190">
                  <c:v>4.1216379328967738E-7</c:v>
                </c:pt>
                <c:pt idx="191">
                  <c:v>3.8060823065669612E-7</c:v>
                </c:pt>
                <c:pt idx="192">
                  <c:v>3.5146429254888524E-7</c:v>
                </c:pt>
                <c:pt idx="193">
                  <c:v>3.2454802068565633E-7</c:v>
                </c:pt>
                <c:pt idx="194">
                  <c:v>2.9968946059089548E-7</c:v>
                </c:pt>
                <c:pt idx="195">
                  <c:v>2.7673159788494544E-7</c:v>
                </c:pt>
                <c:pt idx="196">
                  <c:v>2.5552937518322945E-7</c:v>
                </c:pt>
                <c:pt idx="197">
                  <c:v>2.3594878350892815E-7</c:v>
                </c:pt>
                <c:pt idx="198">
                  <c:v>2.1786602258637463E-7</c:v>
                </c:pt>
                <c:pt idx="199">
                  <c:v>2.0116672480646221E-7</c:v>
                </c:pt>
                <c:pt idx="200">
                  <c:v>1.8574523804819685E-7</c:v>
                </c:pt>
                <c:pt idx="201">
                  <c:v>1.7150396290376371E-7</c:v>
                </c:pt>
                <c:pt idx="202">
                  <c:v>1.5835274019041692E-7</c:v>
                </c:pt>
                <c:pt idx="203">
                  <c:v>1.4620828494312328E-7</c:v>
                </c:pt>
                <c:pt idx="204">
                  <c:v>1.3499366336927605E-7</c:v>
                </c:pt>
                <c:pt idx="205">
                  <c:v>1.2463780951235893E-7</c:v>
                </c:pt>
                <c:pt idx="206">
                  <c:v>1.1507507861720683E-7</c:v>
                </c:pt>
                <c:pt idx="207">
                  <c:v>1.0624483441657568E-7</c:v>
                </c:pt>
                <c:pt idx="208">
                  <c:v>9.8091067768928085E-8</c:v>
                </c:pt>
                <c:pt idx="209">
                  <c:v>9.0562044271430306E-8</c:v>
                </c:pt>
                <c:pt idx="210">
                  <c:v>8.3609978651877832E-8</c:v>
                </c:pt>
                <c:pt idx="211">
                  <c:v>7.7190733909239434E-8</c:v>
                </c:pt>
                <c:pt idx="212">
                  <c:v>7.1263543326109953E-8</c:v>
                </c:pt>
                <c:pt idx="213">
                  <c:v>6.5790753618260837E-8</c:v>
                </c:pt>
                <c:pt idx="214">
                  <c:v>6.0737587617807086E-8</c:v>
                </c:pt>
                <c:pt idx="215">
                  <c:v>5.6071925007763844E-8</c:v>
                </c:pt>
                <c:pt idx="216">
                  <c:v>5.1764099738049223E-8</c:v>
                </c:pt>
                <c:pt idx="217">
                  <c:v>4.7786712856631959E-8</c:v>
                </c:pt>
                <c:pt idx="218">
                  <c:v>4.4114459585461296E-8</c:v>
                </c:pt>
                <c:pt idx="219">
                  <c:v>4.072396955944009E-8</c:v>
                </c:pt>
                <c:pt idx="220">
                  <c:v>3.7593659228662771E-8</c:v>
                </c:pt>
                <c:pt idx="221">
                  <c:v>3.4703595499886358E-8</c:v>
                </c:pt>
                <c:pt idx="222">
                  <c:v>3.2035369763246834E-8</c:v>
                </c:pt>
                <c:pt idx="223">
                  <c:v>2.9571981514959347E-8</c:v>
                </c:pt>
                <c:pt idx="224">
                  <c:v>2.7297730846596266E-8</c:v>
                </c:pt>
                <c:pt idx="225">
                  <c:v>2.5198119126839084E-8</c:v>
                </c:pt>
                <c:pt idx="226">
                  <c:v>2.3259757252744606E-8</c:v>
                </c:pt>
                <c:pt idx="227">
                  <c:v>2.1470280894825024E-8</c:v>
                </c:pt>
                <c:pt idx="228">
                  <c:v>1.9818272203920608E-8</c:v>
                </c:pt>
                <c:pt idx="229">
                  <c:v>1.8293187488240257E-8</c:v>
                </c:pt>
                <c:pt idx="230">
                  <c:v>1.6885290406246417E-8</c:v>
                </c:pt>
                <c:pt idx="231">
                  <c:v>1.5585590255572475E-8</c:v>
                </c:pt>
                <c:pt idx="232">
                  <c:v>1.4385784970034947E-8</c:v>
                </c:pt>
                <c:pt idx="233">
                  <c:v>1.3278208466274622E-8</c:v>
                </c:pt>
                <c:pt idx="234">
                  <c:v>1.2255782008788671E-8</c:v>
                </c:pt>
                <c:pt idx="235">
                  <c:v>1.1311969287295833E-8</c:v>
                </c:pt>
                <c:pt idx="236">
                  <c:v>1.0440734923624054E-8</c:v>
                </c:pt>
                <c:pt idx="237">
                  <c:v>9.6365061468242281E-9</c:v>
                </c:pt>
                <c:pt idx="238">
                  <c:v>8.8941373950681515E-9</c:v>
                </c:pt>
                <c:pt idx="239">
                  <c:v>8.208877621252361E-9</c:v>
                </c:pt>
                <c:pt idx="240">
                  <c:v>7.5763400962048113E-9</c:v>
                </c:pt>
                <c:pt idx="241">
                  <c:v>6.9924745190555271E-9</c:v>
                </c:pt>
                <c:pt idx="242">
                  <c:v>6.4535412588384062E-9</c:v>
                </c:pt>
                <c:pt idx="243">
                  <c:v>5.9560875647679924E-9</c:v>
                </c:pt>
                <c:pt idx="244">
                  <c:v>5.496925595014368E-9</c:v>
                </c:pt>
                <c:pt idx="245">
                  <c:v>5.0731121252314848E-9</c:v>
                </c:pt>
                <c:pt idx="246">
                  <c:v>4.6819298086561441E-9</c:v>
                </c:pt>
                <c:pt idx="247">
                  <c:v>4.3208698693597885E-9</c:v>
                </c:pt>
                <c:pt idx="248">
                  <c:v>3.987616119254647E-9</c:v>
                </c:pt>
                <c:pt idx="249">
                  <c:v>3.6800301977869414E-9</c:v>
                </c:pt>
                <c:pt idx="250">
                  <c:v>3.3961379409565551E-9</c:v>
                </c:pt>
                <c:pt idx="251">
                  <c:v>3.1341167934120823E-9</c:v>
                </c:pt>
                <c:pt idx="252">
                  <c:v>2.8922841839482119E-9</c:v>
                </c:pt>
                <c:pt idx="253">
                  <c:v>2.6690867908048901E-9</c:v>
                </c:pt>
                <c:pt idx="254">
                  <c:v>2.4630906287793645E-9</c:v>
                </c:pt>
                <c:pt idx="255">
                  <c:v>2.2729718953486369E-9</c:v>
                </c:pt>
                <c:pt idx="256">
                  <c:v>2.0975085177886213E-9</c:v>
                </c:pt>
                <c:pt idx="257">
                  <c:v>1.9355723477033261E-9</c:v>
                </c:pt>
                <c:pt idx="258">
                  <c:v>1.7861219534649494E-9</c:v>
                </c:pt>
                <c:pt idx="259">
                  <c:v>1.6481959648439413E-9</c:v>
                </c:pt>
                <c:pt idx="260">
                  <c:v>1.52090692759802E-9</c:v>
                </c:pt>
                <c:pt idx="261">
                  <c:v>1.4034356290120422E-9</c:v>
                </c:pt>
                <c:pt idx="262">
                  <c:v>1.2950258583600478E-9</c:v>
                </c:pt>
                <c:pt idx="263">
                  <c:v>1.1949795690107415E-9</c:v>
                </c:pt>
                <c:pt idx="264">
                  <c:v>1.102652411441273E-9</c:v>
                </c:pt>
                <c:pt idx="265">
                  <c:v>1.0174496087698105E-9</c:v>
                </c:pt>
                <c:pt idx="266">
                  <c:v>9.3882214858796768E-10</c:v>
                </c:pt>
                <c:pt idx="267">
                  <c:v>8.662632668769993E-10</c:v>
                </c:pt>
                <c:pt idx="268">
                  <c:v>7.993052016421531E-10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E48-4AB7-B806-CC3284FEFDBC}"/>
            </c:ext>
          </c:extLst>
        </c:ser>
        <c:ser>
          <c:idx val="2"/>
          <c:order val="2"/>
          <c:tx>
            <c:v>Log-normal</c:v>
          </c:tx>
          <c:spPr>
            <a:ln w="28440">
              <a:solidFill>
                <a:srgbClr val="4CAF5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extrapolation!$L$15:$L$283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0.97081726354159614</c:v>
                </c:pt>
                <c:pt idx="2">
                  <c:v>0.89902300375305599</c:v>
                </c:pt>
                <c:pt idx="3">
                  <c:v>0.81993526843734454</c:v>
                </c:pt>
                <c:pt idx="4">
                  <c:v>0.74507324490971572</c:v>
                </c:pt>
                <c:pt idx="5">
                  <c:v>0.67740551583237352</c:v>
                </c:pt>
                <c:pt idx="6">
                  <c:v>0.61721707510650914</c:v>
                </c:pt>
                <c:pt idx="7">
                  <c:v>0.5639444260202614</c:v>
                </c:pt>
                <c:pt idx="8">
                  <c:v>0.51680139125724667</c:v>
                </c:pt>
                <c:pt idx="9">
                  <c:v>0.47500031873266413</c:v>
                </c:pt>
                <c:pt idx="10">
                  <c:v>0.43782634064724468</c:v>
                </c:pt>
                <c:pt idx="11">
                  <c:v>0.4046559741707354</c:v>
                </c:pt>
                <c:pt idx="12">
                  <c:v>0.37495478954962536</c:v>
                </c:pt>
                <c:pt idx="13">
                  <c:v>0.34826792740383139</c:v>
                </c:pt>
                <c:pt idx="14">
                  <c:v>0.3242089963279644</c:v>
                </c:pt>
                <c:pt idx="15">
                  <c:v>0.30244949578149505</c:v>
                </c:pt>
                <c:pt idx="16">
                  <c:v>0.28270949231543974</c:v>
                </c:pt>
                <c:pt idx="17">
                  <c:v>0.2647496890292268</c:v>
                </c:pt>
                <c:pt idx="18">
                  <c:v>0.24836479699124614</c:v>
                </c:pt>
                <c:pt idx="19">
                  <c:v>0.23337804070175761</c:v>
                </c:pt>
                <c:pt idx="20">
                  <c:v>0.21963661844103333</c:v>
                </c:pt>
                <c:pt idx="21">
                  <c:v>0.20700795288076002</c:v>
                </c:pt>
                <c:pt idx="22">
                  <c:v>0.19537659009840846</c:v>
                </c:pt>
                <c:pt idx="23">
                  <c:v>0.18464162861186384</c:v>
                </c:pt>
                <c:pt idx="24">
                  <c:v>0.17471458130358042</c:v>
                </c:pt>
                <c:pt idx="25">
                  <c:v>0.16551759123989873</c:v>
                </c:pt>
                <c:pt idx="26">
                  <c:v>0.15698193740455024</c:v>
                </c:pt>
                <c:pt idx="27">
                  <c:v>0.14904677858965043</c:v>
                </c:pt>
                <c:pt idx="28">
                  <c:v>0.14165809355257653</c:v>
                </c:pt>
                <c:pt idx="29">
                  <c:v>0.13476778347353768</c:v>
                </c:pt>
                <c:pt idx="30">
                  <c:v>0.12833290910730966</c:v>
                </c:pt>
                <c:pt idx="31">
                  <c:v>0.1223150401247477</c:v>
                </c:pt>
                <c:pt idx="32">
                  <c:v>0.11667969823936952</c:v>
                </c:pt>
                <c:pt idx="33">
                  <c:v>0.11139587901565096</c:v>
                </c:pt>
                <c:pt idx="34">
                  <c:v>0.10643563992135374</c:v>
                </c:pt>
                <c:pt idx="35">
                  <c:v>0.10177374434511999</c:v>
                </c:pt>
                <c:pt idx="36">
                  <c:v>9.7387353054736114E-2</c:v>
                </c:pt>
                <c:pt idx="37">
                  <c:v>9.3255756001565548E-2</c:v>
                </c:pt>
                <c:pt idx="38">
                  <c:v>8.9360138546536239E-2</c:v>
                </c:pt>
                <c:pt idx="39">
                  <c:v>8.5683377143385031E-2</c:v>
                </c:pt>
                <c:pt idx="40">
                  <c:v>8.2209860305846982E-2</c:v>
                </c:pt>
                <c:pt idx="41">
                  <c:v>7.8925331339200433E-2</c:v>
                </c:pt>
                <c:pt idx="42">
                  <c:v>7.5816749858657273E-2</c:v>
                </c:pt>
                <c:pt idx="43">
                  <c:v>7.2872169568054757E-2</c:v>
                </c:pt>
                <c:pt idx="44">
                  <c:v>7.008063014868815E-2</c:v>
                </c:pt>
                <c:pt idx="45">
                  <c:v>6.7432061423214229E-2</c:v>
                </c:pt>
                <c:pt idx="46">
                  <c:v>6.4917198224161421E-2</c:v>
                </c:pt>
                <c:pt idx="47">
                  <c:v>6.2527504619436902E-2</c:v>
                </c:pt>
                <c:pt idx="48">
                  <c:v>6.0255106335451392E-2</c:v>
                </c:pt>
                <c:pt idx="49">
                  <c:v>5.8092730377922508E-2</c:v>
                </c:pt>
                <c:pt idx="50">
                  <c:v>5.6033650985829686E-2</c:v>
                </c:pt>
                <c:pt idx="51">
                  <c:v>5.4071641169302076E-2</c:v>
                </c:pt>
                <c:pt idx="52">
                  <c:v>5.2200929180676869E-2</c:v>
                </c:pt>
                <c:pt idx="53">
                  <c:v>5.0416159352214329E-2</c:v>
                </c:pt>
                <c:pt idx="54">
                  <c:v>4.871235680625241E-2</c:v>
                </c:pt>
                <c:pt idx="55">
                  <c:v>4.7084895605748245E-2</c:v>
                </c:pt>
                <c:pt idx="56">
                  <c:v>4.5529469966731906E-2</c:v>
                </c:pt>
                <c:pt idx="57">
                  <c:v>4.4042068200491724E-2</c:v>
                </c:pt>
                <c:pt idx="58">
                  <c:v>4.2618949093373049E-2</c:v>
                </c:pt>
                <c:pt idx="59">
                  <c:v>4.1256620466838423E-2</c:v>
                </c:pt>
                <c:pt idx="60">
                  <c:v>3.9951819690649537E-2</c:v>
                </c:pt>
                <c:pt idx="61">
                  <c:v>3.8701495948354592E-2</c:v>
                </c:pt>
                <c:pt idx="62">
                  <c:v>3.7502794077228452E-2</c:v>
                </c:pt>
                <c:pt idx="63">
                  <c:v>3.6353039824893463E-2</c:v>
                </c:pt>
                <c:pt idx="64">
                  <c:v>3.5249726382440505E-2</c:v>
                </c:pt>
                <c:pt idx="65">
                  <c:v>3.4190502069297746E-2</c:v>
                </c:pt>
                <c:pt idx="66">
                  <c:v>3.3173159058665136E-2</c:v>
                </c:pt>
                <c:pt idx="67">
                  <c:v>3.2195623044268928E-2</c:v>
                </c:pt>
                <c:pt idx="68">
                  <c:v>3.1255943759728844E-2</c:v>
                </c:pt>
                <c:pt idx="69">
                  <c:v>3.0352286271131401E-2</c:v>
                </c:pt>
                <c:pt idx="70">
                  <c:v>2.9482922971629466E-2</c:v>
                </c:pt>
                <c:pt idx="71">
                  <c:v>2.8646226214186554E-2</c:v>
                </c:pt>
                <c:pt idx="72">
                  <c:v>2.784066152504916E-2</c:v>
                </c:pt>
                <c:pt idx="73">
                  <c:v>2.7064781346279987E-2</c:v>
                </c:pt>
                <c:pt idx="74">
                  <c:v>2.6317219260805103E-2</c:v>
                </c:pt>
                <c:pt idx="75">
                  <c:v>2.5596684657980595E-2</c:v>
                </c:pt>
                <c:pt idx="76">
                  <c:v>2.4901957801755858E-2</c:v>
                </c:pt>
                <c:pt idx="77">
                  <c:v>2.4231885267143816E-2</c:v>
                </c:pt>
                <c:pt idx="78">
                  <c:v>2.3585375713957357E-2</c:v>
                </c:pt>
                <c:pt idx="79">
                  <c:v>2.2961395969684384E-2</c:v>
                </c:pt>
                <c:pt idx="80">
                  <c:v>2.2358967395985085E-2</c:v>
                </c:pt>
                <c:pt idx="81">
                  <c:v>2.1777162515638882E-2</c:v>
                </c:pt>
                <c:pt idx="82">
                  <c:v>2.1215101878874543E-2</c:v>
                </c:pt>
                <c:pt idx="83">
                  <c:v>2.067195114991649E-2</c:v>
                </c:pt>
                <c:pt idx="84">
                  <c:v>2.0146918396284796E-2</c:v>
                </c:pt>
                <c:pt idx="85">
                  <c:v>1.9639251564931848E-2</c:v>
                </c:pt>
                <c:pt idx="86">
                  <c:v>1.9148236130684726E-2</c:v>
                </c:pt>
                <c:pt idx="87">
                  <c:v>1.8673192903724267E-2</c:v>
                </c:pt>
                <c:pt idx="88">
                  <c:v>1.8213475983967387E-2</c:v>
                </c:pt>
                <c:pt idx="89">
                  <c:v>1.7768470851248441E-2</c:v>
                </c:pt>
                <c:pt idx="90">
                  <c:v>1.7337592581132766E-2</c:v>
                </c:pt>
                <c:pt idx="91">
                  <c:v>1.6920284177037948E-2</c:v>
                </c:pt>
                <c:pt idx="92">
                  <c:v>1.6516015010114682E-2</c:v>
                </c:pt>
                <c:pt idx="93">
                  <c:v>1.6124279359032156E-2</c:v>
                </c:pt>
                <c:pt idx="94">
                  <c:v>1.5744595042454401E-2</c:v>
                </c:pt>
                <c:pt idx="95">
                  <c:v>1.5376502137572245E-2</c:v>
                </c:pt>
                <c:pt idx="96">
                  <c:v>1.5019561778583435E-2</c:v>
                </c:pt>
                <c:pt idx="97">
                  <c:v>1.4673355029497959E-2</c:v>
                </c:pt>
                <c:pt idx="98">
                  <c:v>1.4337481826081966E-2</c:v>
                </c:pt>
                <c:pt idx="99">
                  <c:v>1.401155998216197E-2</c:v>
                </c:pt>
                <c:pt idx="100">
                  <c:v>1.3695224255872551E-2</c:v>
                </c:pt>
                <c:pt idx="101">
                  <c:v>1.3388125471772483E-2</c:v>
                </c:pt>
                <c:pt idx="102">
                  <c:v>1.3089929695060176E-2</c:v>
                </c:pt>
                <c:pt idx="103">
                  <c:v>1.2800317454403798E-2</c:v>
                </c:pt>
                <c:pt idx="104">
                  <c:v>1.2518983010158413E-2</c:v>
                </c:pt>
                <c:pt idx="105">
                  <c:v>1.2245633664984101E-2</c:v>
                </c:pt>
                <c:pt idx="106">
                  <c:v>1.1979989114094702E-2</c:v>
                </c:pt>
                <c:pt idx="107">
                  <c:v>1.1721780832570361E-2</c:v>
                </c:pt>
                <c:pt idx="108">
                  <c:v>1.1470751497350329E-2</c:v>
                </c:pt>
                <c:pt idx="109">
                  <c:v>1.1226654441694128E-2</c:v>
                </c:pt>
                <c:pt idx="110">
                  <c:v>1.0989253140056277E-2</c:v>
                </c:pt>
                <c:pt idx="111">
                  <c:v>1.0758320721462988E-2</c:v>
                </c:pt>
                <c:pt idx="112">
                  <c:v>1.0533639509614279E-2</c:v>
                </c:pt>
                <c:pt idx="113">
                  <c:v>1.0315000588058565E-2</c:v>
                </c:pt>
                <c:pt idx="114">
                  <c:v>1.0102203388898556E-2</c:v>
                </c:pt>
                <c:pt idx="115">
                  <c:v>9.8950553035936917E-3</c:v>
                </c:pt>
                <c:pt idx="116">
                  <c:v>9.6933713145235245E-3</c:v>
                </c:pt>
                <c:pt idx="117">
                  <c:v>9.4969736460618348E-3</c:v>
                </c:pt>
                <c:pt idx="118">
                  <c:v>9.305691434000174E-3</c:v>
                </c:pt>
                <c:pt idx="119">
                  <c:v>9.1193604122321581E-3</c:v>
                </c:pt>
                <c:pt idx="120">
                  <c:v>8.937822615684432E-3</c:v>
                </c:pt>
                <c:pt idx="121">
                  <c:v>8.7609260985449522E-3</c:v>
                </c:pt>
                <c:pt idx="122">
                  <c:v>8.5885246669012982E-3</c:v>
                </c:pt>
                <c:pt idx="123">
                  <c:v>8.4204776249595659E-3</c:v>
                </c:pt>
                <c:pt idx="124">
                  <c:v>8.2566495340671286E-3</c:v>
                </c:pt>
                <c:pt idx="125">
                  <c:v>8.0969099838115177E-3</c:v>
                </c:pt>
                <c:pt idx="126">
                  <c:v>7.9411333745130763E-3</c:v>
                </c:pt>
                <c:pt idx="127">
                  <c:v>7.7891987104754534E-3</c:v>
                </c:pt>
                <c:pt idx="128">
                  <c:v>7.6409894033917514E-3</c:v>
                </c:pt>
                <c:pt idx="129">
                  <c:v>7.4963930853471084E-3</c:v>
                </c:pt>
                <c:pt idx="130">
                  <c:v>7.3553014308889164E-3</c:v>
                </c:pt>
                <c:pt idx="131">
                  <c:v>7.2176099876706257E-3</c:v>
                </c:pt>
                <c:pt idx="132">
                  <c:v>7.0832180152035074E-3</c:v>
                </c:pt>
                <c:pt idx="133">
                  <c:v>6.9520283312796138E-3</c:v>
                </c:pt>
                <c:pt idx="134">
                  <c:v>6.8239471656552642E-3</c:v>
                </c:pt>
                <c:pt idx="135">
                  <c:v>6.6988840206086975E-3</c:v>
                </c:pt>
                <c:pt idx="136">
                  <c:v>6.5767515380085184E-3</c:v>
                </c:pt>
                <c:pt idx="137">
                  <c:v>6.4574653725503195E-3</c:v>
                </c:pt>
                <c:pt idx="138">
                  <c:v>6.3409440708405151E-3</c:v>
                </c:pt>
                <c:pt idx="139">
                  <c:v>6.227108956021965E-3</c:v>
                </c:pt>
                <c:pt idx="140">
                  <c:v>6.1158840176581686E-3</c:v>
                </c:pt>
                <c:pt idx="141">
                  <c:v>6.0071958066040265E-3</c:v>
                </c:pt>
                <c:pt idx="142">
                  <c:v>5.9009733346101489E-3</c:v>
                </c:pt>
                <c:pt idx="143">
                  <c:v>5.7971479784214575E-3</c:v>
                </c:pt>
                <c:pt idx="144">
                  <c:v>5.6956533881419302E-3</c:v>
                </c:pt>
                <c:pt idx="145">
                  <c:v>5.5964253996546587E-3</c:v>
                </c:pt>
                <c:pt idx="146">
                  <c:v>5.4994019508924907E-3</c:v>
                </c:pt>
                <c:pt idx="147">
                  <c:v>5.4045230017708557E-3</c:v>
                </c:pt>
                <c:pt idx="148">
                  <c:v>5.3117304576021374E-3</c:v>
                </c:pt>
                <c:pt idx="149">
                  <c:v>5.2209680958203997E-3</c:v>
                </c:pt>
                <c:pt idx="150">
                  <c:v>5.1321814958569245E-3</c:v>
                </c:pt>
                <c:pt idx="151">
                  <c:v>5.0453179720130192E-3</c:v>
                </c:pt>
                <c:pt idx="152">
                  <c:v>4.9603265091870963E-3</c:v>
                </c:pt>
                <c:pt idx="153">
                  <c:v>4.8771577013182466E-3</c:v>
                </c:pt>
                <c:pt idx="154">
                  <c:v>4.7957636924188529E-3</c:v>
                </c:pt>
                <c:pt idx="155">
                  <c:v>4.7160981200718988E-3</c:v>
                </c:pt>
                <c:pt idx="156">
                  <c:v>4.6381160612786188E-3</c:v>
                </c:pt>
                <c:pt idx="157">
                  <c:v>4.5617739805462465E-3</c:v>
                </c:pt>
                <c:pt idx="158">
                  <c:v>4.4870296801114984E-3</c:v>
                </c:pt>
                <c:pt idx="159">
                  <c:v>4.4138422522002063E-3</c:v>
                </c:pt>
                <c:pt idx="160">
                  <c:v>4.3421720332312841E-3</c:v>
                </c:pt>
                <c:pt idx="161">
                  <c:v>4.2719805598745442E-3</c:v>
                </c:pt>
                <c:pt idx="162">
                  <c:v>4.2032305268787651E-3</c:v>
                </c:pt>
                <c:pt idx="163">
                  <c:v>4.1358857465889631E-3</c:v>
                </c:pt>
                <c:pt idx="164">
                  <c:v>4.0699111100779284E-3</c:v>
                </c:pt>
                <c:pt idx="165">
                  <c:v>4.0052725498189723E-3</c:v>
                </c:pt>
                <c:pt idx="166">
                  <c:v>3.9419370038314971E-3</c:v>
                </c:pt>
                <c:pt idx="167">
                  <c:v>3.8798723812341063E-3</c:v>
                </c:pt>
                <c:pt idx="168">
                  <c:v>3.8190475291421944E-3</c:v>
                </c:pt>
                <c:pt idx="169">
                  <c:v>3.7594322008533965E-3</c:v>
                </c:pt>
                <c:pt idx="170">
                  <c:v>3.7009970252614988E-3</c:v>
                </c:pt>
                <c:pt idx="171">
                  <c:v>3.6437134774479629E-3</c:v>
                </c:pt>
                <c:pt idx="172">
                  <c:v>3.5875538503995497E-3</c:v>
                </c:pt>
                <c:pt idx="173">
                  <c:v>3.5324912278020815E-3</c:v>
                </c:pt>
                <c:pt idx="174">
                  <c:v>3.4784994578670458E-3</c:v>
                </c:pt>
                <c:pt idx="175">
                  <c:v>3.4255531281441876E-3</c:v>
                </c:pt>
                <c:pt idx="176">
                  <c:v>3.3736275412807881E-3</c:v>
                </c:pt>
                <c:pt idx="177">
                  <c:v>3.322698691685777E-3</c:v>
                </c:pt>
                <c:pt idx="178">
                  <c:v>3.2727432430614822E-3</c:v>
                </c:pt>
                <c:pt idx="179">
                  <c:v>3.2237385067676039E-3</c:v>
                </c:pt>
                <c:pt idx="180">
                  <c:v>3.1756624209813289E-3</c:v>
                </c:pt>
                <c:pt idx="181">
                  <c:v>3.1284935306213901E-3</c:v>
                </c:pt>
                <c:pt idx="182">
                  <c:v>3.0822109680047616E-3</c:v>
                </c:pt>
                <c:pt idx="183">
                  <c:v>3.0367944342057918E-3</c:v>
                </c:pt>
                <c:pt idx="184">
                  <c:v>2.9922241810890204E-3</c:v>
                </c:pt>
                <c:pt idx="185">
                  <c:v>2.9484809939882561E-3</c:v>
                </c:pt>
                <c:pt idx="186">
                  <c:v>2.9055461750067124E-3</c:v>
                </c:pt>
                <c:pt idx="187">
                  <c:v>2.8634015269113355E-3</c:v>
                </c:pt>
                <c:pt idx="188">
                  <c:v>2.8220293376001182E-3</c:v>
                </c:pt>
                <c:pt idx="189">
                  <c:v>2.7814123651165312E-3</c:v>
                </c:pt>
                <c:pt idx="190">
                  <c:v>2.7415338231924213E-3</c:v>
                </c:pt>
                <c:pt idx="191">
                  <c:v>2.7023773672965046E-3</c:v>
                </c:pt>
                <c:pt idx="192">
                  <c:v>2.6639270811686933E-3</c:v>
                </c:pt>
                <c:pt idx="193">
                  <c:v>2.626167463822715E-3</c:v>
                </c:pt>
                <c:pt idx="194">
                  <c:v>2.589083416996929E-3</c:v>
                </c:pt>
                <c:pt idx="195">
                  <c:v>2.5526602330372405E-3</c:v>
                </c:pt>
                <c:pt idx="196">
                  <c:v>2.5168835831946845E-3</c:v>
                </c:pt>
                <c:pt idx="197">
                  <c:v>2.4817395063225778E-3</c:v>
                </c:pt>
                <c:pt idx="198">
                  <c:v>2.4472143979565875E-3</c:v>
                </c:pt>
                <c:pt idx="199">
                  <c:v>2.4132949997650588E-3</c:v>
                </c:pt>
                <c:pt idx="200">
                  <c:v>2.3799683893532819E-3</c:v>
                </c:pt>
                <c:pt idx="201">
                  <c:v>2.3472219704103736E-3</c:v>
                </c:pt>
                <c:pt idx="202">
                  <c:v>2.3150434631843408E-3</c:v>
                </c:pt>
                <c:pt idx="203">
                  <c:v>2.2834208952747792E-3</c:v>
                </c:pt>
                <c:pt idx="204">
                  <c:v>2.2523425927286622E-3</c:v>
                </c:pt>
                <c:pt idx="205">
                  <c:v>2.2217971714311169E-3</c:v>
                </c:pt>
                <c:pt idx="206">
                  <c:v>2.1917735287778628E-3</c:v>
                </c:pt>
                <c:pt idx="207">
                  <c:v>2.1622608356203221E-3</c:v>
                </c:pt>
                <c:pt idx="208">
                  <c:v>2.1332485284721869E-3</c:v>
                </c:pt>
                <c:pt idx="209">
                  <c:v>2.1047263019696727E-3</c:v>
                </c:pt>
                <c:pt idx="210">
                  <c:v>2.0766841015744664E-3</c:v>
                </c:pt>
                <c:pt idx="211">
                  <c:v>2.0491121165110426E-3</c:v>
                </c:pt>
                <c:pt idx="212">
                  <c:v>2.0220007729312428E-3</c:v>
                </c:pt>
                <c:pt idx="213">
                  <c:v>1.9953407272953472E-3</c:v>
                </c:pt>
                <c:pt idx="214">
                  <c:v>1.969122859965089E-3</c:v>
                </c:pt>
                <c:pt idx="215">
                  <c:v>1.9433382689978407E-3</c:v>
                </c:pt>
                <c:pt idx="216">
                  <c:v>1.91797826413731E-3</c:v>
                </c:pt>
                <c:pt idx="217">
                  <c:v>1.8930343609923073E-3</c:v>
                </c:pt>
                <c:pt idx="218">
                  <c:v>1.868498275398256E-3</c:v>
                </c:pt>
                <c:pt idx="219">
                  <c:v>1.8443619179534521E-3</c:v>
                </c:pt>
                <c:pt idx="220">
                  <c:v>1.8206173887251875E-3</c:v>
                </c:pt>
                <c:pt idx="221">
                  <c:v>1.7972569721195208E-3</c:v>
                </c:pt>
                <c:pt idx="222">
                  <c:v>1.7742731319088101E-3</c:v>
                </c:pt>
                <c:pt idx="223">
                  <c:v>1.7516585064121237E-3</c:v>
                </c:pt>
                <c:pt idx="224">
                  <c:v>1.7294059038220899E-3</c:v>
                </c:pt>
                <c:pt idx="225">
                  <c:v>1.7075082976741873E-3</c:v>
                </c:pt>
                <c:pt idx="226">
                  <c:v>1.6859588224543698E-3</c:v>
                </c:pt>
                <c:pt idx="227">
                  <c:v>1.6647507693378083E-3</c:v>
                </c:pt>
                <c:pt idx="228">
                  <c:v>1.6438775820565299E-3</c:v>
                </c:pt>
                <c:pt idx="229">
                  <c:v>1.6233328528914015E-3</c:v>
                </c:pt>
                <c:pt idx="230">
                  <c:v>1.6031103187826856E-3</c:v>
                </c:pt>
                <c:pt idx="231">
                  <c:v>1.5832038575571694E-3</c:v>
                </c:pt>
                <c:pt idx="232">
                  <c:v>1.5636074842670933E-3</c:v>
                </c:pt>
                <c:pt idx="233">
                  <c:v>1.5443153476362159E-3</c:v>
                </c:pt>
                <c:pt idx="234">
                  <c:v>1.5253217266117947E-3</c:v>
                </c:pt>
                <c:pt idx="235">
                  <c:v>1.5066210270165969E-3</c:v>
                </c:pt>
                <c:pt idx="236">
                  <c:v>1.4882077782990555E-3</c:v>
                </c:pt>
                <c:pt idx="237">
                  <c:v>1.4700766303782364E-3</c:v>
                </c:pt>
                <c:pt idx="238">
                  <c:v>1.4522223505795129E-3</c:v>
                </c:pt>
                <c:pt idx="239">
                  <c:v>1.4346398206599442E-3</c:v>
                </c:pt>
                <c:pt idx="240">
                  <c:v>1.4173240339179216E-3</c:v>
                </c:pt>
                <c:pt idx="241">
                  <c:v>1.4002700923869682E-3</c:v>
                </c:pt>
                <c:pt idx="242">
                  <c:v>1.3834732041084763E-3</c:v>
                </c:pt>
                <c:pt idx="243">
                  <c:v>1.3669286804837144E-3</c:v>
                </c:pt>
                <c:pt idx="244">
                  <c:v>1.350631933698998E-3</c:v>
                </c:pt>
                <c:pt idx="245">
                  <c:v>1.3345784742254674E-3</c:v>
                </c:pt>
                <c:pt idx="246">
                  <c:v>1.3187639083885871E-3</c:v>
                </c:pt>
                <c:pt idx="247">
                  <c:v>1.3031839360052588E-3</c:v>
                </c:pt>
                <c:pt idx="248">
                  <c:v>1.2878343480881016E-3</c:v>
                </c:pt>
                <c:pt idx="249">
                  <c:v>1.2727110246134599E-3</c:v>
                </c:pt>
                <c:pt idx="250">
                  <c:v>1.2578099323508063E-3</c:v>
                </c:pt>
                <c:pt idx="251">
                  <c:v>1.2431271227534291E-3</c:v>
                </c:pt>
                <c:pt idx="252">
                  <c:v>1.2286587299057405E-3</c:v>
                </c:pt>
                <c:pt idx="253">
                  <c:v>1.2144009685287616E-3</c:v>
                </c:pt>
                <c:pt idx="254">
                  <c:v>1.2003501320390075E-3</c:v>
                </c:pt>
                <c:pt idx="255">
                  <c:v>1.1865025906611093E-3</c:v>
                </c:pt>
                <c:pt idx="256">
                  <c:v>1.1728547895911712E-3</c:v>
                </c:pt>
                <c:pt idx="257">
                  <c:v>1.1594032472110882E-3</c:v>
                </c:pt>
                <c:pt idx="258">
                  <c:v>1.1461445533494929E-3</c:v>
                </c:pt>
                <c:pt idx="259">
                  <c:v>1.1330753675912186E-3</c:v>
                </c:pt>
                <c:pt idx="260">
                  <c:v>1.1201924176312827E-3</c:v>
                </c:pt>
                <c:pt idx="261">
                  <c:v>1.1074924976729461E-3</c:v>
                </c:pt>
                <c:pt idx="262">
                  <c:v>1.0949724668688487E-3</c:v>
                </c:pt>
                <c:pt idx="263">
                  <c:v>1.082629247803446E-3</c:v>
                </c:pt>
                <c:pt idx="264">
                  <c:v>1.070459825015635E-3</c:v>
                </c:pt>
                <c:pt idx="265">
                  <c:v>1.0584612435609042E-3</c:v>
                </c:pt>
                <c:pt idx="266">
                  <c:v>1.0466306076098997E-3</c:v>
                </c:pt>
                <c:pt idx="267">
                  <c:v>1.0349650790860698E-3</c:v>
                </c:pt>
                <c:pt idx="268">
                  <c:v>1.0234618763369507E-3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E48-4AB7-B806-CC3284FEFDBC}"/>
            </c:ext>
          </c:extLst>
        </c:ser>
        <c:ser>
          <c:idx val="3"/>
          <c:order val="3"/>
          <c:tx>
            <c:v>Log-logistic</c:v>
          </c:tx>
          <c:spPr>
            <a:ln w="28440">
              <a:solidFill>
                <a:srgbClr val="AB47BC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extrapolation!$M$15:$M$283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0.95831267452612723</c:v>
                </c:pt>
                <c:pt idx="2">
                  <c:v>0.89082618056996854</c:v>
                </c:pt>
                <c:pt idx="3">
                  <c:v>0.81657637138521344</c:v>
                </c:pt>
                <c:pt idx="4">
                  <c:v>0.74334721460207032</c:v>
                </c:pt>
                <c:pt idx="5">
                  <c:v>0.67480439248332991</c:v>
                </c:pt>
                <c:pt idx="6">
                  <c:v>0.61243354887736268</c:v>
                </c:pt>
                <c:pt idx="7">
                  <c:v>0.55655839259050022</c:v>
                </c:pt>
                <c:pt idx="8">
                  <c:v>0.5069171029416113</c:v>
                </c:pt>
                <c:pt idx="9">
                  <c:v>0.46298462976631849</c:v>
                </c:pt>
                <c:pt idx="10">
                  <c:v>0.42414684976371647</c:v>
                </c:pt>
                <c:pt idx="11">
                  <c:v>0.38979004952434249</c:v>
                </c:pt>
                <c:pt idx="12">
                  <c:v>0.35934323970066123</c:v>
                </c:pt>
                <c:pt idx="13">
                  <c:v>0.33229495775293266</c:v>
                </c:pt>
                <c:pt idx="14">
                  <c:v>0.30819680312047759</c:v>
                </c:pt>
                <c:pt idx="15">
                  <c:v>0.28666048972439617</c:v>
                </c:pt>
                <c:pt idx="16">
                  <c:v>0.26735209247451769</c:v>
                </c:pt>
                <c:pt idx="17">
                  <c:v>0.249985420494229</c:v>
                </c:pt>
                <c:pt idx="18">
                  <c:v>0.23431548494988708</c:v>
                </c:pt>
                <c:pt idx="19">
                  <c:v>0.22013250448798616</c:v>
                </c:pt>
                <c:pt idx="20">
                  <c:v>0.20725661251331221</c:v>
                </c:pt>
                <c:pt idx="21">
                  <c:v>0.19553328811297563</c:v>
                </c:pt>
                <c:pt idx="22">
                  <c:v>0.18482946456849733</c:v>
                </c:pt>
                <c:pt idx="23">
                  <c:v>0.17503024153200625</c:v>
                </c:pt>
                <c:pt idx="24">
                  <c:v>0.16603611986094038</c:v>
                </c:pt>
                <c:pt idx="25">
                  <c:v>0.15776068123785833</c:v>
                </c:pt>
                <c:pt idx="26">
                  <c:v>0.15012864232434531</c:v>
                </c:pt>
                <c:pt idx="27">
                  <c:v>0.14307422229211442</c:v>
                </c:pt>
                <c:pt idx="28">
                  <c:v>0.13653977161964215</c:v>
                </c:pt>
                <c:pt idx="29">
                  <c:v>0.13047461833676849</c:v>
                </c:pt>
                <c:pt idx="30">
                  <c:v>0.12483409517746397</c:v>
                </c:pt>
                <c:pt idx="31">
                  <c:v>0.11957871732211031</c:v>
                </c:pt>
                <c:pt idx="32">
                  <c:v>0.11467348564261989</c:v>
                </c:pt>
                <c:pt idx="33">
                  <c:v>0.11008729471861557</c:v>
                </c:pt>
                <c:pt idx="34">
                  <c:v>0.10579242849428698</c:v>
                </c:pt>
                <c:pt idx="35">
                  <c:v>0.10176412941218078</c:v>
                </c:pt>
                <c:pt idx="36">
                  <c:v>9.7980229298771856E-2</c:v>
                </c:pt>
                <c:pt idx="37">
                  <c:v>9.4420832279486541E-2</c:v>
                </c:pt>
                <c:pt idx="38">
                  <c:v>9.1068041645900627E-2</c:v>
                </c:pt>
                <c:pt idx="39">
                  <c:v>8.7905723950028589E-2</c:v>
                </c:pt>
                <c:pt idx="40">
                  <c:v>8.4919304713470992E-2</c:v>
                </c:pt>
                <c:pt idx="41">
                  <c:v>8.2095591056539644E-2</c:v>
                </c:pt>
                <c:pt idx="42">
                  <c:v>7.9422617310091648E-2</c:v>
                </c:pt>
                <c:pt idx="43">
                  <c:v>7.6889510299796154E-2</c:v>
                </c:pt>
                <c:pt idx="44">
                  <c:v>7.4486371512603788E-2</c:v>
                </c:pt>
                <c:pt idx="45">
                  <c:v>7.2204173787526568E-2</c:v>
                </c:pt>
                <c:pt idx="46">
                  <c:v>7.003467053312222E-2</c:v>
                </c:pt>
                <c:pt idx="47">
                  <c:v>6.7970315775046211E-2</c:v>
                </c:pt>
                <c:pt idx="48">
                  <c:v>6.6004193589066437E-2</c:v>
                </c:pt>
                <c:pt idx="49">
                  <c:v>6.4129955686513043E-2</c:v>
                </c:pt>
                <c:pt idx="50">
                  <c:v>6.2341766097180187E-2</c:v>
                </c:pt>
                <c:pt idx="51">
                  <c:v>6.0634252044890577E-2</c:v>
                </c:pt>
                <c:pt idx="52">
                  <c:v>5.9002460237941493E-2</c:v>
                </c:pt>
                <c:pt idx="53">
                  <c:v>5.7441817904304145E-2</c:v>
                </c:pt>
                <c:pt idx="54">
                  <c:v>5.5948097992911283E-2</c:v>
                </c:pt>
                <c:pt idx="55">
                  <c:v>5.4517388040260871E-2</c:v>
                </c:pt>
                <c:pt idx="56">
                  <c:v>5.3146062268038294E-2</c:v>
                </c:pt>
                <c:pt idx="57">
                  <c:v>5.1830756534333861E-2</c:v>
                </c:pt>
                <c:pt idx="58">
                  <c:v>5.0568345809780292E-2</c:v>
                </c:pt>
                <c:pt idx="59">
                  <c:v>4.9355923891823882E-2</c:v>
                </c:pt>
                <c:pt idx="60">
                  <c:v>4.8190785106401998E-2</c:v>
                </c:pt>
                <c:pt idx="61">
                  <c:v>4.7070407777411193E-2</c:v>
                </c:pt>
                <c:pt idx="62">
                  <c:v>4.599243927124258E-2</c:v>
                </c:pt>
                <c:pt idx="63">
                  <c:v>4.4954682446955947E-2</c:v>
                </c:pt>
                <c:pt idx="64">
                  <c:v>4.3955083362879545E-2</c:v>
                </c:pt>
                <c:pt idx="65">
                  <c:v>4.2991720107997997E-2</c:v>
                </c:pt>
                <c:pt idx="66">
                  <c:v>4.2062792641802738E-2</c:v>
                </c:pt>
                <c:pt idx="67">
                  <c:v>4.1166613539638984E-2</c:v>
                </c:pt>
                <c:pt idx="68">
                  <c:v>4.0301599552263208E-2</c:v>
                </c:pt>
                <c:pt idx="69">
                  <c:v>3.9466263898553754E-2</c:v>
                </c:pt>
                <c:pt idx="70">
                  <c:v>3.8659209219287546E-2</c:v>
                </c:pt>
                <c:pt idx="71">
                  <c:v>3.7879121127780094E-2</c:v>
                </c:pt>
                <c:pt idx="72">
                  <c:v>3.7124762300121787E-2</c:v>
                </c:pt>
                <c:pt idx="73">
                  <c:v>3.6394967053859327E-2</c:v>
                </c:pt>
                <c:pt idx="74">
                  <c:v>3.5688636369367685E-2</c:v>
                </c:pt>
                <c:pt idx="75">
                  <c:v>3.5004733312931705E-2</c:v>
                </c:pt>
                <c:pt idx="76">
                  <c:v>3.4342278824782017E-2</c:v>
                </c:pt>
                <c:pt idx="77">
                  <c:v>3.370034783907528E-2</c:v>
                </c:pt>
                <c:pt idx="78">
                  <c:v>3.3078065706138582E-2</c:v>
                </c:pt>
                <c:pt idx="79">
                  <c:v>3.2474604890254284E-2</c:v>
                </c:pt>
                <c:pt idx="80">
                  <c:v>3.1889181918896725E-2</c:v>
                </c:pt>
                <c:pt idx="81">
                  <c:v>3.1321054561680724E-2</c:v>
                </c:pt>
                <c:pt idx="82">
                  <c:v>3.0769519219378982E-2</c:v>
                </c:pt>
                <c:pt idx="83">
                  <c:v>3.0233908505238501E-2</c:v>
                </c:pt>
                <c:pt idx="84">
                  <c:v>2.9713589002505491E-2</c:v>
                </c:pt>
                <c:pt idx="85">
                  <c:v>2.9207959183569266E-2</c:v>
                </c:pt>
                <c:pt idx="86">
                  <c:v>2.8716447477486265E-2</c:v>
                </c:pt>
                <c:pt idx="87">
                  <c:v>2.8238510473854079E-2</c:v>
                </c:pt>
                <c:pt idx="88">
                  <c:v>2.7773631252097412E-2</c:v>
                </c:pt>
                <c:pt idx="89">
                  <c:v>2.7321317826205605E-2</c:v>
                </c:pt>
                <c:pt idx="90">
                  <c:v>2.6881101695847415E-2</c:v>
                </c:pt>
                <c:pt idx="91">
                  <c:v>2.6452536495584416E-2</c:v>
                </c:pt>
                <c:pt idx="92">
                  <c:v>2.6035196734624962E-2</c:v>
                </c:pt>
                <c:pt idx="93">
                  <c:v>2.5628676620212131E-2</c:v>
                </c:pt>
                <c:pt idx="94">
                  <c:v>2.5232588958327074E-2</c:v>
                </c:pt>
                <c:pt idx="95">
                  <c:v>2.4846564125924626E-2</c:v>
                </c:pt>
                <c:pt idx="96">
                  <c:v>2.4470249109400002E-2</c:v>
                </c:pt>
                <c:pt idx="97">
                  <c:v>2.4103306604426576E-2</c:v>
                </c:pt>
                <c:pt idx="98">
                  <c:v>2.3745414172702702E-2</c:v>
                </c:pt>
                <c:pt idx="99">
                  <c:v>2.3396263451509157E-2</c:v>
                </c:pt>
                <c:pt idx="100">
                  <c:v>2.3055559412308357E-2</c:v>
                </c:pt>
                <c:pt idx="101">
                  <c:v>2.2723019664918902E-2</c:v>
                </c:pt>
                <c:pt idx="102">
                  <c:v>2.2398373804071888E-2</c:v>
                </c:pt>
                <c:pt idx="103">
                  <c:v>2.2081362795406324E-2</c:v>
                </c:pt>
                <c:pt idx="104">
                  <c:v>2.1771738398191194E-2</c:v>
                </c:pt>
                <c:pt idx="105">
                  <c:v>2.1469262622268018E-2</c:v>
                </c:pt>
                <c:pt idx="106">
                  <c:v>2.1173707216901906E-2</c:v>
                </c:pt>
                <c:pt idx="107">
                  <c:v>2.0884853189402468E-2</c:v>
                </c:pt>
                <c:pt idx="108">
                  <c:v>2.0602490351536971E-2</c:v>
                </c:pt>
                <c:pt idx="109">
                  <c:v>2.0326416891905813E-2</c:v>
                </c:pt>
                <c:pt idx="110">
                  <c:v>2.0056438972584224E-2</c:v>
                </c:pt>
                <c:pt idx="111">
                  <c:v>1.979237034846024E-2</c:v>
                </c:pt>
                <c:pt idx="112">
                  <c:v>1.9534032007810197E-2</c:v>
                </c:pt>
                <c:pt idx="113">
                  <c:v>1.9281251832760873E-2</c:v>
                </c:pt>
                <c:pt idx="114">
                  <c:v>1.9033864278381708E-2</c:v>
                </c:pt>
                <c:pt idx="115">
                  <c:v>1.8791710069240328E-2</c:v>
                </c:pt>
                <c:pt idx="116">
                  <c:v>1.85546359123368E-2</c:v>
                </c:pt>
                <c:pt idx="117">
                  <c:v>1.83224942254069E-2</c:v>
                </c:pt>
                <c:pt idx="118">
                  <c:v>1.809514287965526E-2</c:v>
                </c:pt>
                <c:pt idx="119">
                  <c:v>1.7872444956042892E-2</c:v>
                </c:pt>
                <c:pt idx="120">
                  <c:v>1.765426851431369E-2</c:v>
                </c:pt>
                <c:pt idx="121">
                  <c:v>1.7440486373999361E-2</c:v>
                </c:pt>
                <c:pt idx="122">
                  <c:v>1.7230975906693313E-2</c:v>
                </c:pt>
                <c:pt idx="123">
                  <c:v>1.7025618838930782E-2</c:v>
                </c:pt>
                <c:pt idx="124">
                  <c:v>1.6824301065056769E-2</c:v>
                </c:pt>
                <c:pt idx="125">
                  <c:v>1.6626912469503541E-2</c:v>
                </c:pt>
                <c:pt idx="126">
                  <c:v>1.6433346757936885E-2</c:v>
                </c:pt>
                <c:pt idx="127">
                  <c:v>1.6243501296765505E-2</c:v>
                </c:pt>
                <c:pt idx="128">
                  <c:v>1.6057276960540115E-2</c:v>
                </c:pt>
                <c:pt idx="129">
                  <c:v>1.5874577986799011E-2</c:v>
                </c:pt>
                <c:pt idx="130">
                  <c:v>1.5695311837944578E-2</c:v>
                </c:pt>
                <c:pt idx="131">
                  <c:v>1.5519389069761632E-2</c:v>
                </c:pt>
                <c:pt idx="132">
                  <c:v>1.5346723206212389E-2</c:v>
                </c:pt>
                <c:pt idx="133">
                  <c:v>1.5177230620165384E-2</c:v>
                </c:pt>
                <c:pt idx="134">
                  <c:v>1.5010830419737027E-2</c:v>
                </c:pt>
                <c:pt idx="135">
                  <c:v>1.4847444339943439E-2</c:v>
                </c:pt>
                <c:pt idx="136">
                  <c:v>1.4686996639379205E-2</c:v>
                </c:pt>
                <c:pt idx="137">
                  <c:v>1.452941400165601E-2</c:v>
                </c:pt>
                <c:pt idx="138">
                  <c:v>1.4374625441350538E-2</c:v>
                </c:pt>
                <c:pt idx="139">
                  <c:v>1.4222562214225557E-2</c:v>
                </c:pt>
                <c:pt idx="140">
                  <c:v>1.4073157731502167E-2</c:v>
                </c:pt>
                <c:pt idx="141">
                  <c:v>1.392634747797409E-2</c:v>
                </c:pt>
                <c:pt idx="142">
                  <c:v>1.3782068933766959E-2</c:v>
                </c:pt>
                <c:pt idx="143">
                  <c:v>1.364026149955698E-2</c:v>
                </c:pt>
                <c:pt idx="144">
                  <c:v>1.350086642507395E-2</c:v>
                </c:pt>
                <c:pt idx="145">
                  <c:v>1.3363826740723742E-2</c:v>
                </c:pt>
                <c:pt idx="146">
                  <c:v>1.3229087192174128E-2</c:v>
                </c:pt>
                <c:pt idx="147">
                  <c:v>1.3096594177757364E-2</c:v>
                </c:pt>
                <c:pt idx="148">
                  <c:v>1.296629568855049E-2</c:v>
                </c:pt>
                <c:pt idx="149">
                  <c:v>1.28381412510023E-2</c:v>
                </c:pt>
                <c:pt idx="150">
                  <c:v>1.2712081871983163E-2</c:v>
                </c:pt>
                <c:pt idx="151">
                  <c:v>1.2588069986140323E-2</c:v>
                </c:pt>
                <c:pt idx="152">
                  <c:v>1.24660594054484E-2</c:v>
                </c:pt>
                <c:pt idx="153">
                  <c:v>1.2346005270849758E-2</c:v>
                </c:pt>
                <c:pt idx="154">
                  <c:v>1.2227864005886055E-2</c:v>
                </c:pt>
                <c:pt idx="155">
                  <c:v>1.211159327222695E-2</c:v>
                </c:pt>
                <c:pt idx="156">
                  <c:v>1.1997151927006936E-2</c:v>
                </c:pt>
                <c:pt idx="157">
                  <c:v>1.1884499981886421E-2</c:v>
                </c:pt>
                <c:pt idx="158">
                  <c:v>1.1773598563756964E-2</c:v>
                </c:pt>
                <c:pt idx="159">
                  <c:v>1.1664409877015343E-2</c:v>
                </c:pt>
                <c:pt idx="160">
                  <c:v>1.1556897167334365E-2</c:v>
                </c:pt>
                <c:pt idx="161">
                  <c:v>1.1451024686862715E-2</c:v>
                </c:pt>
                <c:pt idx="162">
                  <c:v>1.1346757660789195E-2</c:v>
                </c:pt>
                <c:pt idx="163">
                  <c:v>1.1244062255209955E-2</c:v>
                </c:pt>
                <c:pt idx="164">
                  <c:v>1.1142905546240672E-2</c:v>
                </c:pt>
                <c:pt idx="165">
                  <c:v>1.1043255490318487E-2</c:v>
                </c:pt>
                <c:pt idx="166">
                  <c:v>1.0945080895640932E-2</c:v>
                </c:pt>
                <c:pt idx="167">
                  <c:v>1.0848351394692372E-2</c:v>
                </c:pt>
                <c:pt idx="168">
                  <c:v>1.0753037417810146E-2</c:v>
                </c:pt>
                <c:pt idx="169">
                  <c:v>1.0659110167745485E-2</c:v>
                </c:pt>
                <c:pt idx="170">
                  <c:v>1.0566541595176388E-2</c:v>
                </c:pt>
                <c:pt idx="171">
                  <c:v>1.047530437513155E-2</c:v>
                </c:pt>
                <c:pt idx="172">
                  <c:v>1.038537188428636E-2</c:v>
                </c:pt>
                <c:pt idx="173">
                  <c:v>1.0296718179094388E-2</c:v>
                </c:pt>
                <c:pt idx="174">
                  <c:v>1.0209317974718652E-2</c:v>
                </c:pt>
                <c:pt idx="175">
                  <c:v>1.0123146624729556E-2</c:v>
                </c:pt>
                <c:pt idx="176">
                  <c:v>1.0038180101537281E-2</c:v>
                </c:pt>
                <c:pt idx="177">
                  <c:v>9.9543949775281089E-3</c:v>
                </c:pt>
                <c:pt idx="178">
                  <c:v>9.8717684068760914E-3</c:v>
                </c:pt>
                <c:pt idx="179">
                  <c:v>9.7902781080017216E-3</c:v>
                </c:pt>
                <c:pt idx="180">
                  <c:v>9.7099023466517397E-3</c:v>
                </c:pt>
                <c:pt idx="181">
                  <c:v>9.6306199195746126E-3</c:v>
                </c:pt>
                <c:pt idx="182">
                  <c:v>9.5524101387676821E-3</c:v>
                </c:pt>
                <c:pt idx="183">
                  <c:v>9.475252816273063E-3</c:v>
                </c:pt>
                <c:pt idx="184">
                  <c:v>9.3991282495003957E-3</c:v>
                </c:pt>
                <c:pt idx="185">
                  <c:v>9.3240172070554305E-3</c:v>
                </c:pt>
                <c:pt idx="186">
                  <c:v>9.2499009150545132E-3</c:v>
                </c:pt>
                <c:pt idx="187">
                  <c:v>9.1767610439059399E-3</c:v>
                </c:pt>
                <c:pt idx="188">
                  <c:v>9.1045796955398009E-3</c:v>
                </c:pt>
                <c:pt idx="189">
                  <c:v>9.0333393910688384E-3</c:v>
                </c:pt>
                <c:pt idx="190">
                  <c:v>8.9630230588638726E-3</c:v>
                </c:pt>
                <c:pt idx="191">
                  <c:v>8.8936140230274751E-3</c:v>
                </c:pt>
                <c:pt idx="192">
                  <c:v>8.8250959922509774E-3</c:v>
                </c:pt>
                <c:pt idx="193">
                  <c:v>8.7574530490399215E-3</c:v>
                </c:pt>
                <c:pt idx="194">
                  <c:v>8.6906696392941678E-3</c:v>
                </c:pt>
                <c:pt idx="195">
                  <c:v>8.6247305622291475E-3</c:v>
                </c:pt>
                <c:pt idx="196">
                  <c:v>8.55962096062555E-3</c:v>
                </c:pt>
                <c:pt idx="197">
                  <c:v>8.4953263113950409E-3</c:v>
                </c:pt>
                <c:pt idx="198">
                  <c:v>8.4318324164504594E-3</c:v>
                </c:pt>
                <c:pt idx="199">
                  <c:v>8.3691253938689668E-3</c:v>
                </c:pt>
                <c:pt idx="200">
                  <c:v>8.3071916693375873E-3</c:v>
                </c:pt>
                <c:pt idx="201">
                  <c:v>8.2460179678706825E-3</c:v>
                </c:pt>
                <c:pt idx="202">
                  <c:v>8.1855913057894431E-3</c:v>
                </c:pt>
                <c:pt idx="203">
                  <c:v>8.1258989829539226E-3</c:v>
                </c:pt>
                <c:pt idx="204">
                  <c:v>8.066928575238436E-3</c:v>
                </c:pt>
                <c:pt idx="205">
                  <c:v>8.0086679272416816E-3</c:v>
                </c:pt>
                <c:pt idx="206">
                  <c:v>7.951105145223061E-3</c:v>
                </c:pt>
                <c:pt idx="207">
                  <c:v>7.894228590257223E-3</c:v>
                </c:pt>
                <c:pt idx="208">
                  <c:v>7.8380268715990287E-3</c:v>
                </c:pt>
                <c:pt idx="209">
                  <c:v>7.7824888402516432E-3</c:v>
                </c:pt>
                <c:pt idx="210">
                  <c:v>7.7276035827304659E-3</c:v>
                </c:pt>
                <c:pt idx="211">
                  <c:v>7.6733604150161462E-3</c:v>
                </c:pt>
                <c:pt idx="212">
                  <c:v>7.6197488766900946E-3</c:v>
                </c:pt>
                <c:pt idx="213">
                  <c:v>7.5667587252461321E-3</c:v>
                </c:pt>
                <c:pt idx="214">
                  <c:v>7.5143799305722753E-3</c:v>
                </c:pt>
                <c:pt idx="215">
                  <c:v>7.4626026695967266E-3</c:v>
                </c:pt>
                <c:pt idx="216">
                  <c:v>7.4114173210925388E-3</c:v>
                </c:pt>
                <c:pt idx="217">
                  <c:v>7.3608144606355855E-3</c:v>
                </c:pt>
                <c:pt idx="218">
                  <c:v>7.3107848557104208E-3</c:v>
                </c:pt>
                <c:pt idx="219">
                  <c:v>7.261319460959403E-3</c:v>
                </c:pt>
                <c:pt idx="220">
                  <c:v>7.2124094135700102E-3</c:v>
                </c:pt>
                <c:pt idx="221">
                  <c:v>7.1640460287957291E-3</c:v>
                </c:pt>
                <c:pt idx="222">
                  <c:v>7.116220795606319E-3</c:v>
                </c:pt>
                <c:pt idx="223">
                  <c:v>7.0689253724628273E-3</c:v>
                </c:pt>
                <c:pt idx="224">
                  <c:v>7.0221515832135616E-3</c:v>
                </c:pt>
                <c:pt idx="225">
                  <c:v>6.9758914131067742E-3</c:v>
                </c:pt>
                <c:pt idx="226">
                  <c:v>6.9301370049164972E-3</c:v>
                </c:pt>
                <c:pt idx="227">
                  <c:v>6.8848806551776208E-3</c:v>
                </c:pt>
                <c:pt idx="228">
                  <c:v>6.8401148105268232E-3</c:v>
                </c:pt>
                <c:pt idx="229">
                  <c:v>6.7958320641459151E-3</c:v>
                </c:pt>
                <c:pt idx="230">
                  <c:v>6.7520251523041971E-3</c:v>
                </c:pt>
                <c:pt idx="231">
                  <c:v>6.7086869509968864E-3</c:v>
                </c:pt>
                <c:pt idx="232">
                  <c:v>6.6658104726762179E-3</c:v>
                </c:pt>
                <c:pt idx="233">
                  <c:v>6.6233888630727348E-3</c:v>
                </c:pt>
                <c:pt idx="234">
                  <c:v>6.5814153981033907E-3</c:v>
                </c:pt>
                <c:pt idx="235">
                  <c:v>6.5398834808642571E-3</c:v>
                </c:pt>
                <c:pt idx="236">
                  <c:v>6.4987866387046841E-3</c:v>
                </c:pt>
                <c:pt idx="237">
                  <c:v>6.4581185203808492E-3</c:v>
                </c:pt>
                <c:pt idx="238">
                  <c:v>6.4178728932858496E-3</c:v>
                </c:pt>
                <c:pt idx="239">
                  <c:v>6.3780436407542022E-3</c:v>
                </c:pt>
                <c:pt idx="240">
                  <c:v>6.338624759438331E-3</c:v>
                </c:pt>
                <c:pt idx="241">
                  <c:v>6.2996103567548537E-3</c:v>
                </c:pt>
                <c:pt idx="242">
                  <c:v>6.2609946483986913E-3</c:v>
                </c:pt>
                <c:pt idx="243">
                  <c:v>6.222771955922639E-3</c:v>
                </c:pt>
                <c:pt idx="244">
                  <c:v>6.184936704380666E-3</c:v>
                </c:pt>
                <c:pt idx="245">
                  <c:v>6.1474834200329455E-3</c:v>
                </c:pt>
                <c:pt idx="246">
                  <c:v>6.1104067281107103E-3</c:v>
                </c:pt>
                <c:pt idx="247">
                  <c:v>6.073701350639127E-3</c:v>
                </c:pt>
                <c:pt idx="248">
                  <c:v>6.0373621043166856E-3</c:v>
                </c:pt>
                <c:pt idx="249">
                  <c:v>6.001383898449E-3</c:v>
                </c:pt>
                <c:pt idx="250">
                  <c:v>5.9657617329358682E-3</c:v>
                </c:pt>
                <c:pt idx="251">
                  <c:v>5.9304906963096584E-3</c:v>
                </c:pt>
                <c:pt idx="252">
                  <c:v>5.8955659638238013E-3</c:v>
                </c:pt>
                <c:pt idx="253">
                  <c:v>5.8609827955896556E-3</c:v>
                </c:pt>
                <c:pt idx="254">
                  <c:v>5.8267365347605144E-3</c:v>
                </c:pt>
                <c:pt idx="255">
                  <c:v>5.7928226057613955E-3</c:v>
                </c:pt>
                <c:pt idx="256">
                  <c:v>5.7592365125631144E-3</c:v>
                </c:pt>
                <c:pt idx="257">
                  <c:v>5.7259738369995978E-3</c:v>
                </c:pt>
                <c:pt idx="258">
                  <c:v>5.6930302371269968E-3</c:v>
                </c:pt>
                <c:pt idx="259">
                  <c:v>5.6604014456235266E-3</c:v>
                </c:pt>
                <c:pt idx="260">
                  <c:v>5.6280832682288132E-3</c:v>
                </c:pt>
                <c:pt idx="261">
                  <c:v>5.5960715822216765E-3</c:v>
                </c:pt>
                <c:pt idx="262">
                  <c:v>5.5643623349351991E-3</c:v>
                </c:pt>
                <c:pt idx="263">
                  <c:v>5.532951542308053E-3</c:v>
                </c:pt>
                <c:pt idx="264">
                  <c:v>5.5018352874711789E-3</c:v>
                </c:pt>
                <c:pt idx="265">
                  <c:v>5.4710097193685628E-3</c:v>
                </c:pt>
                <c:pt idx="266">
                  <c:v>5.440471051411478E-3</c:v>
                </c:pt>
                <c:pt idx="267">
                  <c:v>5.4102155601650328E-3</c:v>
                </c:pt>
                <c:pt idx="268">
                  <c:v>5.3802395840662123E-3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E48-4AB7-B806-CC3284FEFDBC}"/>
            </c:ext>
          </c:extLst>
        </c:ser>
        <c:ser>
          <c:idx val="4"/>
          <c:order val="4"/>
          <c:tx>
            <c:v>Gompertz</c:v>
          </c:tx>
          <c:spPr>
            <a:ln w="28440">
              <a:solidFill>
                <a:srgbClr val="FFFF0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extrapolation!$N$15:$N$283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0.91126143204108367</c:v>
                </c:pt>
                <c:pt idx="2">
                  <c:v>0.83257547085521055</c:v>
                </c:pt>
                <c:pt idx="3">
                  <c:v>0.76262282058563235</c:v>
                </c:pt>
                <c:pt idx="4">
                  <c:v>0.70027783505213259</c:v>
                </c:pt>
                <c:pt idx="5">
                  <c:v>0.64457740227925275</c:v>
                </c:pt>
                <c:pt idx="6">
                  <c:v>0.59469522372364325</c:v>
                </c:pt>
                <c:pt idx="7">
                  <c:v>0.5499204894215729</c:v>
                </c:pt>
                <c:pt idx="8">
                  <c:v>0.50964014618359021</c:v>
                </c:pt>
                <c:pt idx="9">
                  <c:v>0.47332411141208219</c:v>
                </c:pt>
                <c:pt idx="10">
                  <c:v>0.44051290886132188</c:v>
                </c:pt>
                <c:pt idx="11">
                  <c:v>0.41080730147569533</c:v>
                </c:pt>
                <c:pt idx="12">
                  <c:v>0.38385957559533679</c:v>
                </c:pt>
                <c:pt idx="13">
                  <c:v>0.35936619441359252</c:v>
                </c:pt>
                <c:pt idx="14">
                  <c:v>0.33706158981693141</c:v>
                </c:pt>
                <c:pt idx="15">
                  <c:v>0.3167129031528052</c:v>
                </c:pt>
                <c:pt idx="16">
                  <c:v>0.29811551903565792</c:v>
                </c:pt>
                <c:pt idx="17">
                  <c:v>0.28108926357944525</c:v>
                </c:pt>
                <c:pt idx="18">
                  <c:v>0.2654751606745141</c:v>
                </c:pt>
                <c:pt idx="19">
                  <c:v>0.25113265809027413</c:v>
                </c:pt>
                <c:pt idx="20">
                  <c:v>0.23793725006527661</c:v>
                </c:pt>
                <c:pt idx="21">
                  <c:v>0.22577843526787922</c:v>
                </c:pt>
                <c:pt idx="22">
                  <c:v>0.21455795907385106</c:v>
                </c:pt>
                <c:pt idx="23">
                  <c:v>0.20418829741364655</c:v>
                </c:pt>
                <c:pt idx="24">
                  <c:v>0.1945913463148953</c:v>
                </c:pt>
                <c:pt idx="25">
                  <c:v>0.18569728696578885</c:v>
                </c:pt>
                <c:pt idx="26">
                  <c:v>0.17744360086354857</c:v>
                </c:pt>
                <c:pt idx="27">
                  <c:v>0.16977421356023531</c:v>
                </c:pt>
                <c:pt idx="28">
                  <c:v>0.162638748814984</c:v>
                </c:pt>
                <c:pt idx="29">
                  <c:v>0.15599187772078743</c:v>
                </c:pt>
                <c:pt idx="30">
                  <c:v>0.14979274968787437</c:v>
                </c:pt>
                <c:pt idx="31">
                  <c:v>0.14400449411043612</c:v>
                </c:pt>
                <c:pt idx="32">
                  <c:v>0.13859378318124066</c:v>
                </c:pt>
                <c:pt idx="33">
                  <c:v>0.13353044770076614</c:v>
                </c:pt>
                <c:pt idx="34">
                  <c:v>0.12878713889612539</c:v>
                </c:pt>
                <c:pt idx="35">
                  <c:v>0.1243390302551414</c:v>
                </c:pt>
                <c:pt idx="36">
                  <c:v>0.12016355422134475</c:v>
                </c:pt>
                <c:pt idx="37">
                  <c:v>0.11624016931038311</c:v>
                </c:pt>
                <c:pt idx="38">
                  <c:v>0.1125501538172617</c:v>
                </c:pt>
                <c:pt idx="39">
                  <c:v>0.10907642280359139</c:v>
                </c:pt>
                <c:pt idx="40">
                  <c:v>0.10580336549843589</c:v>
                </c:pt>
                <c:pt idx="41">
                  <c:v>0.10271670062702196</c:v>
                </c:pt>
                <c:pt idx="42">
                  <c:v>9.9803347508199011E-2</c:v>
                </c:pt>
                <c:pt idx="43">
                  <c:v>9.7051311042259433E-2</c:v>
                </c:pt>
                <c:pt idx="44">
                  <c:v>9.4449578952402885E-2</c:v>
                </c:pt>
                <c:pt idx="45">
                  <c:v>9.1988029851522338E-2</c:v>
                </c:pt>
                <c:pt idx="46">
                  <c:v>8.9657350885970655E-2</c:v>
                </c:pt>
                <c:pt idx="47">
                  <c:v>8.744896386365808E-2</c:v>
                </c:pt>
                <c:pt idx="48">
                  <c:v>8.5354958908713183E-2</c:v>
                </c:pt>
                <c:pt idx="49">
                  <c:v>8.3368034801975979E-2</c:v>
                </c:pt>
                <c:pt idx="50">
                  <c:v>8.1481445268288044E-2</c:v>
                </c:pt>
                <c:pt idx="51">
                  <c:v>7.9688950560050528E-2</c:v>
                </c:pt>
                <c:pt idx="52">
                  <c:v>7.7984773763646431E-2</c:v>
                </c:pt>
                <c:pt idx="53">
                  <c:v>7.6363561322636872E-2</c:v>
                </c:pt>
                <c:pt idx="54">
                  <c:v>7.4820347330467746E-2</c:v>
                </c:pt>
                <c:pt idx="55">
                  <c:v>7.3350521196902219E-2</c:v>
                </c:pt>
                <c:pt idx="56">
                  <c:v>7.1949798337509335E-2</c:v>
                </c:pt>
                <c:pt idx="57">
                  <c:v>7.0614193575122247E-2</c:v>
                </c:pt>
                <c:pt idx="58">
                  <c:v>6.9339996976960624E-2</c:v>
                </c:pt>
                <c:pt idx="59">
                  <c:v>6.8123751881707342E-2</c:v>
                </c:pt>
                <c:pt idx="60">
                  <c:v>6.6962234897781192E-2</c:v>
                </c:pt>
                <c:pt idx="61">
                  <c:v>6.5852437677815123E-2</c:v>
                </c:pt>
                <c:pt idx="62">
                  <c:v>6.4791550295338424E-2</c:v>
                </c:pt>
                <c:pt idx="63">
                  <c:v>6.3776946068214047E-2</c:v>
                </c:pt>
                <c:pt idx="64">
                  <c:v>6.2806167689805806E-2</c:v>
                </c:pt>
                <c:pt idx="65">
                  <c:v>6.1876914543403147E-2</c:v>
                </c:pt>
                <c:pt idx="66">
                  <c:v>6.0987031088339499E-2</c:v>
                </c:pt>
                <c:pt idx="67">
                  <c:v>6.0134496217707854E-2</c:v>
                </c:pt>
                <c:pt idx="68">
                  <c:v>5.9317413497771219E-2</c:v>
                </c:pt>
                <c:pt idx="69">
                  <c:v>5.8534002208239067E-2</c:v>
                </c:pt>
                <c:pt idx="70">
                  <c:v>5.778258911066745E-2</c:v>
                </c:pt>
                <c:pt idx="71">
                  <c:v>5.7061600879451446E-2</c:v>
                </c:pt>
                <c:pt idx="72">
                  <c:v>5.6369557136318818E-2</c:v>
                </c:pt>
                <c:pt idx="73">
                  <c:v>5.570506403498978E-2</c:v>
                </c:pt>
                <c:pt idx="74">
                  <c:v>5.5066808347817423E-2</c:v>
                </c:pt>
                <c:pt idx="75">
                  <c:v>5.4453552010836057E-2</c:v>
                </c:pt>
                <c:pt idx="76">
                  <c:v>5.3864127087779656E-2</c:v>
                </c:pt>
                <c:pt idx="77">
                  <c:v>5.3297431117343079E-2</c:v>
                </c:pt>
                <c:pt idx="78">
                  <c:v>5.2752422811291159E-2</c:v>
                </c:pt>
                <c:pt idx="79">
                  <c:v>5.2228118074018337E-2</c:v>
                </c:pt>
                <c:pt idx="80">
                  <c:v>5.1723586316856113E-2</c:v>
                </c:pt>
                <c:pt idx="81">
                  <c:v>5.1237947042855725E-2</c:v>
                </c:pt>
                <c:pt idx="82">
                  <c:v>5.0770366679961633E-2</c:v>
                </c:pt>
                <c:pt idx="83">
                  <c:v>5.032005564246736E-2</c:v>
                </c:pt>
                <c:pt idx="84">
                  <c:v>4.9886265602429543E-2</c:v>
                </c:pt>
                <c:pt idx="85">
                  <c:v>4.9468286954327048E-2</c:v>
                </c:pt>
                <c:pt idx="86">
                  <c:v>4.906544645771245E-2</c:v>
                </c:pt>
                <c:pt idx="87">
                  <c:v>4.8677105043922059E-2</c:v>
                </c:pt>
                <c:pt idx="88">
                  <c:v>4.8302655774108527E-2</c:v>
                </c:pt>
                <c:pt idx="89">
                  <c:v>4.7941521936944023E-2</c:v>
                </c:pt>
                <c:pt idx="90">
                  <c:v>4.7593155275327474E-2</c:v>
                </c:pt>
                <c:pt idx="91">
                  <c:v>4.7257034332323936E-2</c:v>
                </c:pt>
                <c:pt idx="92">
                  <c:v>4.6932662907375952E-2</c:v>
                </c:pt>
                <c:pt idx="93">
                  <c:v>4.6619568614568181E-2</c:v>
                </c:pt>
                <c:pt idx="94">
                  <c:v>4.6317301535397988E-2</c:v>
                </c:pt>
                <c:pt idx="95">
                  <c:v>4.6025432959119567E-2</c:v>
                </c:pt>
                <c:pt idx="96">
                  <c:v>4.5743554204287128E-2</c:v>
                </c:pt>
                <c:pt idx="97">
                  <c:v>4.5471275515634083E-2</c:v>
                </c:pt>
                <c:pt idx="98">
                  <c:v>4.5208225030889677E-2</c:v>
                </c:pt>
                <c:pt idx="99">
                  <c:v>4.4954047812561418E-2</c:v>
                </c:pt>
                <c:pt idx="100">
                  <c:v>4.4708404940099436E-2</c:v>
                </c:pt>
                <c:pt idx="101">
                  <c:v>4.4470972658216201E-2</c:v>
                </c:pt>
                <c:pt idx="102">
                  <c:v>4.4241441577459677E-2</c:v>
                </c:pt>
                <c:pt idx="103">
                  <c:v>4.4019515923437759E-2</c:v>
                </c:pt>
                <c:pt idx="104">
                  <c:v>4.3804912831364458E-2</c:v>
                </c:pt>
                <c:pt idx="105">
                  <c:v>4.3597361682850333E-2</c:v>
                </c:pt>
                <c:pt idx="106">
                  <c:v>4.3396603482089444E-2</c:v>
                </c:pt>
                <c:pt idx="107">
                  <c:v>4.320239026880715E-2</c:v>
                </c:pt>
                <c:pt idx="108">
                  <c:v>4.3014484565527721E-2</c:v>
                </c:pt>
                <c:pt idx="109">
                  <c:v>4.283265885689911E-2</c:v>
                </c:pt>
                <c:pt idx="110">
                  <c:v>4.2656695098977626E-2</c:v>
                </c:pt>
                <c:pt idx="111">
                  <c:v>4.2486384256526039E-2</c:v>
                </c:pt>
                <c:pt idx="112">
                  <c:v>4.2321525866519251E-2</c:v>
                </c:pt>
                <c:pt idx="113">
                  <c:v>4.216192762617918E-2</c:v>
                </c:pt>
                <c:pt idx="114">
                  <c:v>4.2007405003980501E-2</c:v>
                </c:pt>
                <c:pt idx="115">
                  <c:v>4.1857780872177494E-2</c:v>
                </c:pt>
                <c:pt idx="116">
                  <c:v>4.1712885159504075E-2</c:v>
                </c:pt>
                <c:pt idx="117">
                  <c:v>4.1572554522791981E-2</c:v>
                </c:pt>
                <c:pt idx="118">
                  <c:v>4.1436632036339134E-2</c:v>
                </c:pt>
                <c:pt idx="119">
                  <c:v>4.1304966897939631E-2</c:v>
                </c:pt>
                <c:pt idx="120">
                  <c:v>4.1177414150560969E-2</c:v>
                </c:pt>
                <c:pt idx="121">
                  <c:v>4.1053834418722478E-2</c:v>
                </c:pt>
                <c:pt idx="122">
                  <c:v>4.093409365869257E-2</c:v>
                </c:pt>
                <c:pt idx="123">
                  <c:v>4.0818062921680991E-2</c:v>
                </c:pt>
                <c:pt idx="124">
                  <c:v>4.0705618129256896E-2</c:v>
                </c:pt>
                <c:pt idx="125">
                  <c:v>4.0596639860274036E-2</c:v>
                </c:pt>
                <c:pt idx="126">
                  <c:v>4.0491013148631405E-2</c:v>
                </c:pt>
                <c:pt idx="127">
                  <c:v>4.0388627291241139E-2</c:v>
                </c:pt>
                <c:pt idx="128">
                  <c:v>4.0289375665616328E-2</c:v>
                </c:pt>
                <c:pt idx="129">
                  <c:v>4.0193155556528352E-2</c:v>
                </c:pt>
                <c:pt idx="130">
                  <c:v>4.0099867991219174E-2</c:v>
                </c:pt>
                <c:pt idx="131">
                  <c:v>4.000941758268603E-2</c:v>
                </c:pt>
                <c:pt idx="132">
                  <c:v>3.9921712380586415E-2</c:v>
                </c:pt>
                <c:pt idx="133">
                  <c:v>3.9836663729339764E-2</c:v>
                </c:pt>
                <c:pt idx="134">
                  <c:v>3.9754186133028092E-2</c:v>
                </c:pt>
                <c:pt idx="135">
                  <c:v>3.9674197126722682E-2</c:v>
                </c:pt>
                <c:pt idx="136">
                  <c:v>3.959661715388664E-2</c:v>
                </c:pt>
                <c:pt idx="137">
                  <c:v>3.9521369449524814E-2</c:v>
                </c:pt>
                <c:pt idx="138">
                  <c:v>3.9448379928771586E-2</c:v>
                </c:pt>
                <c:pt idx="139">
                  <c:v>3.937757708062694E-2</c:v>
                </c:pt>
                <c:pt idx="140">
                  <c:v>3.9308891866567226E-2</c:v>
                </c:pt>
                <c:pt idx="141">
                  <c:v>3.9242257623774299E-2</c:v>
                </c:pt>
                <c:pt idx="142">
                  <c:v>3.9177609972741341E-2</c:v>
                </c:pt>
                <c:pt idx="143">
                  <c:v>3.9114886729027951E-2</c:v>
                </c:pt>
                <c:pt idx="144">
                  <c:v>3.9054027818950343E-2</c:v>
                </c:pt>
                <c:pt idx="145">
                  <c:v>3.899497519900514E-2</c:v>
                </c:pt>
                <c:pt idx="146">
                  <c:v>3.8937672778836495E-2</c:v>
                </c:pt>
                <c:pt idx="147">
                  <c:v>3.8882066347567378E-2</c:v>
                </c:pt>
                <c:pt idx="148">
                  <c:v>3.8828103503326161E-2</c:v>
                </c:pt>
                <c:pt idx="149">
                  <c:v>3.8775733585809054E-2</c:v>
                </c:pt>
                <c:pt idx="150">
                  <c:v>3.8724907611727678E-2</c:v>
                </c:pt>
                <c:pt idx="151">
                  <c:v>3.8675578213000203E-2</c:v>
                </c:pt>
                <c:pt idx="152">
                  <c:v>3.8627699577551453E-2</c:v>
                </c:pt>
                <c:pt idx="153">
                  <c:v>3.8581227392595584E-2</c:v>
                </c:pt>
                <c:pt idx="154">
                  <c:v>3.8536118790281196E-2</c:v>
                </c:pt>
                <c:pt idx="155">
                  <c:v>3.8492332295586178E-2</c:v>
                </c:pt>
                <c:pt idx="156">
                  <c:v>3.8449827776354521E-2</c:v>
                </c:pt>
                <c:pt idx="157">
                  <c:v>3.8408566395374259E-2</c:v>
                </c:pt>
                <c:pt idx="158">
                  <c:v>3.8368510564400639E-2</c:v>
                </c:pt>
                <c:pt idx="159">
                  <c:v>3.8329623900033263E-2</c:v>
                </c:pt>
                <c:pt idx="160">
                  <c:v>3.8291871181361861E-2</c:v>
                </c:pt>
                <c:pt idx="161">
                  <c:v>3.8255218309298775E-2</c:v>
                </c:pt>
                <c:pt idx="162">
                  <c:v>3.8219632267521217E-2</c:v>
                </c:pt>
                <c:pt idx="163">
                  <c:v>3.8185081084949946E-2</c:v>
                </c:pt>
                <c:pt idx="164">
                  <c:v>3.8151533799695082E-2</c:v>
                </c:pt>
                <c:pt idx="165">
                  <c:v>3.8118960424403291E-2</c:v>
                </c:pt>
                <c:pt idx="166">
                  <c:v>3.8087331912943591E-2</c:v>
                </c:pt>
                <c:pt idx="167">
                  <c:v>3.8056620128372853E-2</c:v>
                </c:pt>
                <c:pt idx="168">
                  <c:v>3.8026797812124438E-2</c:v>
                </c:pt>
                <c:pt idx="169">
                  <c:v>3.7997838554366545E-2</c:v>
                </c:pt>
                <c:pt idx="170">
                  <c:v>3.7969716765479507E-2</c:v>
                </c:pt>
                <c:pt idx="171">
                  <c:v>3.7942407648603668E-2</c:v>
                </c:pt>
                <c:pt idx="172">
                  <c:v>3.7915887173211871E-2</c:v>
                </c:pt>
                <c:pt idx="173">
                  <c:v>3.789013204966319E-2</c:v>
                </c:pt>
                <c:pt idx="174">
                  <c:v>3.7865119704695895E-2</c:v>
                </c:pt>
                <c:pt idx="175">
                  <c:v>3.7840828257820334E-2</c:v>
                </c:pt>
                <c:pt idx="176">
                  <c:v>3.7817236498574408E-2</c:v>
                </c:pt>
                <c:pt idx="177">
                  <c:v>3.7794323864605045E-2</c:v>
                </c:pt>
                <c:pt idx="178">
                  <c:v>3.7772070420542279E-2</c:v>
                </c:pt>
                <c:pt idx="179">
                  <c:v>3.775045683763309E-2</c:v>
                </c:pt>
                <c:pt idx="180">
                  <c:v>3.7729464374103808E-2</c:v>
                </c:pt>
                <c:pt idx="181">
                  <c:v>3.770907485622188E-2</c:v>
                </c:pt>
                <c:pt idx="182">
                  <c:v>3.7689270660028702E-2</c:v>
                </c:pt>
                <c:pt idx="183">
                  <c:v>3.7670034693716395E-2</c:v>
                </c:pt>
                <c:pt idx="184">
                  <c:v>3.7651350380623227E-2</c:v>
                </c:pt>
                <c:pt idx="185">
                  <c:v>3.7633201642822862E-2</c:v>
                </c:pt>
                <c:pt idx="186">
                  <c:v>3.7615572885284339E-2</c:v>
                </c:pt>
                <c:pt idx="187">
                  <c:v>3.7598448980580172E-2</c:v>
                </c:pt>
                <c:pt idx="188">
                  <c:v>3.758181525412143E-2</c:v>
                </c:pt>
                <c:pt idx="189">
                  <c:v>3.7565657469899358E-2</c:v>
                </c:pt>
                <c:pt idx="190">
                  <c:v>3.7549961816713995E-2</c:v>
                </c:pt>
                <c:pt idx="191">
                  <c:v>3.7534714894871216E-2</c:v>
                </c:pt>
                <c:pt idx="192">
                  <c:v>3.7519903703330339E-2</c:v>
                </c:pt>
                <c:pt idx="193">
                  <c:v>3.7505515627285303E-2</c:v>
                </c:pt>
                <c:pt idx="194">
                  <c:v>3.7491538426162957E-2</c:v>
                </c:pt>
                <c:pt idx="195">
                  <c:v>3.7477960222023168E-2</c:v>
                </c:pt>
                <c:pt idx="196">
                  <c:v>3.7464769488345241E-2</c:v>
                </c:pt>
                <c:pt idx="197">
                  <c:v>3.7451955039187045E-2</c:v>
                </c:pt>
                <c:pt idx="198">
                  <c:v>3.7439506018702398E-2</c:v>
                </c:pt>
                <c:pt idx="199">
                  <c:v>3.7427411891004285E-2</c:v>
                </c:pt>
                <c:pt idx="200">
                  <c:v>3.7415662430360541E-2</c:v>
                </c:pt>
                <c:pt idx="201">
                  <c:v>3.7404247711710699E-2</c:v>
                </c:pt>
                <c:pt idx="202">
                  <c:v>3.7393158101491859E-2</c:v>
                </c:pt>
                <c:pt idx="203">
                  <c:v>3.7382384248762675E-2</c:v>
                </c:pt>
                <c:pt idx="204">
                  <c:v>3.7371917076614899E-2</c:v>
                </c:pt>
                <c:pt idx="205">
                  <c:v>3.7361747773862052E-2</c:v>
                </c:pt>
                <c:pt idx="206">
                  <c:v>3.7351867786995528E-2</c:v>
                </c:pt>
                <c:pt idx="207">
                  <c:v>3.7342268812398806E-2</c:v>
                </c:pt>
                <c:pt idx="208">
                  <c:v>3.7332942788810372E-2</c:v>
                </c:pt>
                <c:pt idx="209">
                  <c:v>3.7323881890027152E-2</c:v>
                </c:pt>
                <c:pt idx="210">
                  <c:v>3.7315078517839675E-2</c:v>
                </c:pt>
                <c:pt idx="211">
                  <c:v>3.7306525295191142E-2</c:v>
                </c:pt>
                <c:pt idx="212">
                  <c:v>3.7298215059552706E-2</c:v>
                </c:pt>
                <c:pt idx="213">
                  <c:v>3.7290140856507482E-2</c:v>
                </c:pt>
                <c:pt idx="214">
                  <c:v>3.7282295933536103E-2</c:v>
                </c:pt>
                <c:pt idx="215">
                  <c:v>3.7274673733997198E-2</c:v>
                </c:pt>
                <c:pt idx="216">
                  <c:v>3.7267267891295759E-2</c:v>
                </c:pt>
                <c:pt idx="217">
                  <c:v>3.7260072223233583E-2</c:v>
                </c:pt>
                <c:pt idx="218">
                  <c:v>3.7253080726535381E-2</c:v>
                </c:pt>
                <c:pt idx="219">
                  <c:v>3.7246287571544412E-2</c:v>
                </c:pt>
                <c:pt idx="220">
                  <c:v>3.7239687097082731E-2</c:v>
                </c:pt>
                <c:pt idx="221">
                  <c:v>3.7233273805469688E-2</c:v>
                </c:pt>
                <c:pt idx="222">
                  <c:v>3.7227042357694279E-2</c:v>
                </c:pt>
                <c:pt idx="223">
                  <c:v>3.7220987568735479E-2</c:v>
                </c:pt>
                <c:pt idx="224">
                  <c:v>3.72151044030265E-2</c:v>
                </c:pt>
                <c:pt idx="225">
                  <c:v>3.7209387970057503E-2</c:v>
                </c:pt>
                <c:pt idx="226">
                  <c:v>3.7203833520112764E-2</c:v>
                </c:pt>
                <c:pt idx="227">
                  <c:v>3.7198436440137823E-2</c:v>
                </c:pt>
                <c:pt idx="228">
                  <c:v>3.7193192249732096E-2</c:v>
                </c:pt>
                <c:pt idx="229">
                  <c:v>3.7188096597263444E-2</c:v>
                </c:pt>
                <c:pt idx="230">
                  <c:v>3.7183145256100107E-2</c:v>
                </c:pt>
                <c:pt idx="231">
                  <c:v>3.7178334120956981E-2</c:v>
                </c:pt>
                <c:pt idx="232">
                  <c:v>3.7173659204351783E-2</c:v>
                </c:pt>
                <c:pt idx="233">
                  <c:v>3.716911663316836E-2</c:v>
                </c:pt>
                <c:pt idx="234">
                  <c:v>3.7164702645323115E-2</c:v>
                </c:pt>
                <c:pt idx="235">
                  <c:v>3.7160413586531667E-2</c:v>
                </c:pt>
                <c:pt idx="236">
                  <c:v>3.7156245907172453E-2</c:v>
                </c:pt>
                <c:pt idx="237">
                  <c:v>3.7152196159244116E-2</c:v>
                </c:pt>
                <c:pt idx="238">
                  <c:v>3.7148260993413881E-2</c:v>
                </c:pt>
                <c:pt idx="239">
                  <c:v>3.714443715615403E-2</c:v>
                </c:pt>
                <c:pt idx="240">
                  <c:v>3.7140721486963631E-2</c:v>
                </c:pt>
                <c:pt idx="241">
                  <c:v>3.7137110915672983E-2</c:v>
                </c:pt>
                <c:pt idx="242">
                  <c:v>3.7133602459828045E-2</c:v>
                </c:pt>
                <c:pt idx="243">
                  <c:v>3.7130193222152622E-2</c:v>
                </c:pt>
                <c:pt idx="244">
                  <c:v>3.7126880388085509E-2</c:v>
                </c:pt>
                <c:pt idx="245">
                  <c:v>3.7123661223390794E-2</c:v>
                </c:pt>
                <c:pt idx="246">
                  <c:v>3.7120533071838463E-2</c:v>
                </c:pt>
                <c:pt idx="247">
                  <c:v>3.7117493352953709E-2</c:v>
                </c:pt>
                <c:pt idx="248">
                  <c:v>3.7114539559832446E-2</c:v>
                </c:pt>
                <c:pt idx="249">
                  <c:v>3.7111669257021217E-2</c:v>
                </c:pt>
                <c:pt idx="250">
                  <c:v>3.7108880078459333E-2</c:v>
                </c:pt>
                <c:pt idx="251">
                  <c:v>3.7106169725481607E-2</c:v>
                </c:pt>
                <c:pt idx="252">
                  <c:v>3.7103535964879523E-2</c:v>
                </c:pt>
                <c:pt idx="253">
                  <c:v>3.7100976627019458E-2</c:v>
                </c:pt>
                <c:pt idx="254">
                  <c:v>3.7098489604015711E-2</c:v>
                </c:pt>
                <c:pt idx="255">
                  <c:v>3.7096072847957261E-2</c:v>
                </c:pt>
                <c:pt idx="256">
                  <c:v>3.7093724369186086E-2</c:v>
                </c:pt>
                <c:pt idx="257">
                  <c:v>3.7091442234625925E-2</c:v>
                </c:pt>
                <c:pt idx="258">
                  <c:v>3.7089224566159734E-2</c:v>
                </c:pt>
                <c:pt idx="259">
                  <c:v>3.7087069539054274E-2</c:v>
                </c:pt>
                <c:pt idx="260">
                  <c:v>3.7084975380430825E-2</c:v>
                </c:pt>
                <c:pt idx="261">
                  <c:v>3.7082940367780148E-2</c:v>
                </c:pt>
                <c:pt idx="262">
                  <c:v>3.7080962827520728E-2</c:v>
                </c:pt>
                <c:pt idx="263">
                  <c:v>3.7079041133598806E-2</c:v>
                </c:pt>
                <c:pt idx="264">
                  <c:v>3.7077173706129146E-2</c:v>
                </c:pt>
                <c:pt idx="265">
                  <c:v>3.7075359010075012E-2</c:v>
                </c:pt>
                <c:pt idx="266">
                  <c:v>3.7073595553966637E-2</c:v>
                </c:pt>
                <c:pt idx="267">
                  <c:v>3.7071881888656538E-2</c:v>
                </c:pt>
                <c:pt idx="268">
                  <c:v>3.7070216606110998E-2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E48-4AB7-B806-CC3284FEFDBC}"/>
            </c:ext>
          </c:extLst>
        </c:ser>
        <c:ser>
          <c:idx val="5"/>
          <c:order val="5"/>
          <c:tx>
            <c:strRef>
              <c:f>extrapolation!$O$14</c:f>
              <c:strCache>
                <c:ptCount val="1"/>
                <c:pt idx="0">
                  <c:v>Generalised gamma</c:v>
                </c:pt>
              </c:strCache>
            </c:strRef>
          </c:tx>
          <c:spPr>
            <a:ln w="28440">
              <a:solidFill>
                <a:srgbClr val="827979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extrapolation!$O$15:$O$283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0.98999998263377065</c:v>
                </c:pt>
                <c:pt idx="2">
                  <c:v>0.91091689025863065</c:v>
                </c:pt>
                <c:pt idx="3">
                  <c:v>0.80785137835538534</c:v>
                </c:pt>
                <c:pt idx="4">
                  <c:v>0.71463662836779152</c:v>
                </c:pt>
                <c:pt idx="5">
                  <c:v>0.63658488601564045</c:v>
                </c:pt>
                <c:pt idx="6">
                  <c:v>0.57208877143015302</c:v>
                </c:pt>
                <c:pt idx="7">
                  <c:v>0.51854903389163953</c:v>
                </c:pt>
                <c:pt idx="8">
                  <c:v>0.47366762346994012</c:v>
                </c:pt>
                <c:pt idx="9">
                  <c:v>0.43563237221878487</c:v>
                </c:pt>
                <c:pt idx="10">
                  <c:v>0.40305597090080963</c:v>
                </c:pt>
                <c:pt idx="11">
                  <c:v>0.37487993780369006</c:v>
                </c:pt>
                <c:pt idx="12">
                  <c:v>0.35029156128653033</c:v>
                </c:pt>
                <c:pt idx="13">
                  <c:v>0.32866057276181815</c:v>
                </c:pt>
                <c:pt idx="14">
                  <c:v>0.30949270239361137</c:v>
                </c:pt>
                <c:pt idx="15">
                  <c:v>0.29239594654832252</c:v>
                </c:pt>
                <c:pt idx="16">
                  <c:v>0.27705601522157774</c:v>
                </c:pt>
                <c:pt idx="17">
                  <c:v>0.26321832881287127</c:v>
                </c:pt>
                <c:pt idx="18">
                  <c:v>0.25067468893907491</c:v>
                </c:pt>
                <c:pt idx="19">
                  <c:v>0.23925330523117133</c:v>
                </c:pt>
                <c:pt idx="20">
                  <c:v>0.22881125292946713</c:v>
                </c:pt>
                <c:pt idx="21">
                  <c:v>0.21922870872165703</c:v>
                </c:pt>
                <c:pt idx="22">
                  <c:v>0.21040450094084093</c:v>
                </c:pt>
                <c:pt idx="23">
                  <c:v>0.20225264129238696</c:v>
                </c:pt>
                <c:pt idx="24">
                  <c:v>0.19469959694106936</c:v>
                </c:pt>
                <c:pt idx="25">
                  <c:v>0.18768212645521534</c:v>
                </c:pt>
                <c:pt idx="26">
                  <c:v>0.18114554915297026</c:v>
                </c:pt>
                <c:pt idx="27">
                  <c:v>0.17504235050404027</c:v>
                </c:pt>
                <c:pt idx="28">
                  <c:v>0.16933105027431791</c:v>
                </c:pt>
                <c:pt idx="29">
                  <c:v>0.16397527771262535</c:v>
                </c:pt>
                <c:pt idx="30">
                  <c:v>0.15894301110279971</c:v>
                </c:pt>
                <c:pt idx="31">
                  <c:v>0.15420594872063237</c:v>
                </c:pt>
                <c:pt idx="32">
                  <c:v>0.14973898554518039</c:v>
                </c:pt>
                <c:pt idx="33">
                  <c:v>0.14551977561810053</c:v>
                </c:pt>
                <c:pt idx="34">
                  <c:v>0.14152836418201403</c:v>
                </c:pt>
                <c:pt idx="35">
                  <c:v>0.13774687699135163</c:v>
                </c:pt>
                <c:pt idx="36">
                  <c:v>0.13415925671861453</c:v>
                </c:pt>
                <c:pt idx="37">
                  <c:v>0.13075103835332075</c:v>
                </c:pt>
                <c:pt idx="38">
                  <c:v>0.12750915704177249</c:v>
                </c:pt>
                <c:pt idx="39">
                  <c:v>0.12442178304142122</c:v>
                </c:pt>
                <c:pt idx="40">
                  <c:v>0.12147817943786358</c:v>
                </c:pt>
                <c:pt idx="41">
                  <c:v>0.11866857905122059</c:v>
                </c:pt>
                <c:pt idx="42">
                  <c:v>0.11598407758439505</c:v>
                </c:pt>
                <c:pt idx="43">
                  <c:v>0.11341654057104887</c:v>
                </c:pt>
                <c:pt idx="44">
                  <c:v>0.11095852209126128</c:v>
                </c:pt>
                <c:pt idx="45">
                  <c:v>0.10860319355718624</c:v>
                </c:pt>
                <c:pt idx="46">
                  <c:v>0.10634428114485284</c:v>
                </c:pt>
                <c:pt idx="47">
                  <c:v>0.10417601067344347</c:v>
                </c:pt>
                <c:pt idx="48">
                  <c:v>0.10209305891935209</c:v>
                </c:pt>
                <c:pt idx="49">
                  <c:v>0.10009051050649267</c:v>
                </c:pt>
                <c:pt idx="50">
                  <c:v>9.8163819642621983E-2</c:v>
                </c:pt>
                <c:pt idx="51">
                  <c:v>9.6308776078591826E-2</c:v>
                </c:pt>
                <c:pt idx="52">
                  <c:v>9.452147475724626E-2</c:v>
                </c:pt>
                <c:pt idx="53">
                  <c:v>9.2798288694194792E-2</c:v>
                </c:pt>
                <c:pt idx="54">
                  <c:v>9.1135844696402846E-2</c:v>
                </c:pt>
                <c:pt idx="55">
                  <c:v>8.9531001578453701E-2</c:v>
                </c:pt>
                <c:pt idx="56">
                  <c:v>8.7980830582099698E-2</c:v>
                </c:pt>
                <c:pt idx="57">
                  <c:v>8.6482597743682263E-2</c:v>
                </c:pt>
                <c:pt idx="58">
                  <c:v>8.503374798725391E-2</c:v>
                </c:pt>
                <c:pt idx="59">
                  <c:v>8.3631890749707963E-2</c:v>
                </c:pt>
                <c:pt idx="60">
                  <c:v>8.2274786968652078E-2</c:v>
                </c:pt>
                <c:pt idx="61">
                  <c:v>8.0960337284785758E-2</c:v>
                </c:pt>
                <c:pt idx="62">
                  <c:v>7.9686571328672642E-2</c:v>
                </c:pt>
                <c:pt idx="63">
                  <c:v>7.8451637977477465E-2</c:v>
                </c:pt>
                <c:pt idx="64">
                  <c:v>7.7253796480819675E-2</c:v>
                </c:pt>
                <c:pt idx="65">
                  <c:v>7.6091408366696159E-2</c:v>
                </c:pt>
                <c:pt idx="66">
                  <c:v>7.4962930048694615E-2</c:v>
                </c:pt>
                <c:pt idx="67">
                  <c:v>7.386690606467311E-2</c:v>
                </c:pt>
                <c:pt idx="68">
                  <c:v>7.2801962884912835E-2</c:v>
                </c:pt>
                <c:pt idx="69">
                  <c:v>7.1766803234603813E-2</c:v>
                </c:pt>
                <c:pt idx="70">
                  <c:v>7.0760200881536742E-2</c:v>
                </c:pt>
                <c:pt idx="71">
                  <c:v>6.9780995845164243E-2</c:v>
                </c:pt>
                <c:pt idx="72">
                  <c:v>6.882808998784623E-2</c:v>
                </c:pt>
                <c:pt idx="73">
                  <c:v>6.7900442953204562E-2</c:v>
                </c:pt>
                <c:pt idx="74">
                  <c:v>6.6997068420138958E-2</c:v>
                </c:pt>
                <c:pt idx="75">
                  <c:v>6.6117030644269423E-2</c:v>
                </c:pt>
                <c:pt idx="76">
                  <c:v>6.525944126142004E-2</c:v>
                </c:pt>
                <c:pt idx="77">
                  <c:v>6.4423456330283776E-2</c:v>
                </c:pt>
                <c:pt idx="78">
                  <c:v>6.3608273593663556E-2</c:v>
                </c:pt>
                <c:pt idx="79">
                  <c:v>6.2813129939681842E-2</c:v>
                </c:pt>
                <c:pt idx="80">
                  <c:v>6.2037299046142746E-2</c:v>
                </c:pt>
                <c:pt idx="81">
                  <c:v>6.1280089192824704E-2</c:v>
                </c:pt>
                <c:pt idx="82">
                  <c:v>6.0540841227910383E-2</c:v>
                </c:pt>
                <c:pt idx="83">
                  <c:v>5.9818926676039212E-2</c:v>
                </c:pt>
                <c:pt idx="84">
                  <c:v>5.9113745976616006E-2</c:v>
                </c:pt>
                <c:pt idx="85">
                  <c:v>5.8424726842038054E-2</c:v>
                </c:pt>
                <c:pt idx="86">
                  <c:v>5.7751322726431832E-2</c:v>
                </c:pt>
                <c:pt idx="87">
                  <c:v>5.7093011396320385E-2</c:v>
                </c:pt>
                <c:pt idx="88">
                  <c:v>5.6449293595401233E-2</c:v>
                </c:pt>
                <c:pt idx="89">
                  <c:v>5.5819691796284467E-2</c:v>
                </c:pt>
                <c:pt idx="90">
                  <c:v>5.5203749032662425E-2</c:v>
                </c:pt>
                <c:pt idx="91">
                  <c:v>5.4601027805930465E-2</c:v>
                </c:pt>
                <c:pt idx="92">
                  <c:v>5.4011109060783831E-2</c:v>
                </c:pt>
                <c:pt idx="93">
                  <c:v>5.3433591224770614E-2</c:v>
                </c:pt>
                <c:pt idx="94">
                  <c:v>5.2868089307192195E-2</c:v>
                </c:pt>
                <c:pt idx="95">
                  <c:v>5.2314234053120079E-2</c:v>
                </c:pt>
                <c:pt idx="96">
                  <c:v>5.177167114863792E-2</c:v>
                </c:pt>
                <c:pt idx="97">
                  <c:v>5.1240060473728012E-2</c:v>
                </c:pt>
                <c:pt idx="98">
                  <c:v>5.0719075399505709E-2</c:v>
                </c:pt>
                <c:pt idx="99">
                  <c:v>5.0208402126762572E-2</c:v>
                </c:pt>
                <c:pt idx="100">
                  <c:v>4.9707739063013456E-2</c:v>
                </c:pt>
                <c:pt idx="101">
                  <c:v>4.9216796235461588E-2</c:v>
                </c:pt>
                <c:pt idx="102">
                  <c:v>4.8735294737488201E-2</c:v>
                </c:pt>
                <c:pt idx="103">
                  <c:v>4.8262966206455767E-2</c:v>
                </c:pt>
                <c:pt idx="104">
                  <c:v>4.7799552330779892E-2</c:v>
                </c:pt>
                <c:pt idx="105">
                  <c:v>4.7344804384373287E-2</c:v>
                </c:pt>
                <c:pt idx="106">
                  <c:v>4.6898482786707336E-2</c:v>
                </c:pt>
                <c:pt idx="107">
                  <c:v>4.646035668686125E-2</c:v>
                </c:pt>
                <c:pt idx="108">
                  <c:v>4.6030203570048854E-2</c:v>
                </c:pt>
                <c:pt idx="109">
                  <c:v>4.5607808885218717E-2</c:v>
                </c:pt>
                <c:pt idx="110">
                  <c:v>4.5192965692423342E-2</c:v>
                </c:pt>
                <c:pt idx="111">
                  <c:v>4.4785474328744794E-2</c:v>
                </c:pt>
                <c:pt idx="112">
                  <c:v>4.438514209164815E-2</c:v>
                </c:pt>
                <c:pt idx="113">
                  <c:v>4.3991782938711615E-2</c:v>
                </c:pt>
                <c:pt idx="114">
                  <c:v>4.3605217202754454E-2</c:v>
                </c:pt>
                <c:pt idx="115">
                  <c:v>4.3225271321449835E-2</c:v>
                </c:pt>
                <c:pt idx="116">
                  <c:v>4.2851777580570842E-2</c:v>
                </c:pt>
                <c:pt idx="117">
                  <c:v>4.2484573870075405E-2</c:v>
                </c:pt>
                <c:pt idx="118">
                  <c:v>4.2123503452287214E-2</c:v>
                </c:pt>
                <c:pt idx="119">
                  <c:v>4.176841474147943E-2</c:v>
                </c:pt>
                <c:pt idx="120">
                  <c:v>4.1419161094211919E-2</c:v>
                </c:pt>
                <c:pt idx="121">
                  <c:v>4.1075600609816292E-2</c:v>
                </c:pt>
                <c:pt idx="122">
                  <c:v>4.0737595940459476E-2</c:v>
                </c:pt>
                <c:pt idx="123">
                  <c:v>4.0405014110254781E-2</c:v>
                </c:pt>
                <c:pt idx="124">
                  <c:v>4.0077726342921303E-2</c:v>
                </c:pt>
                <c:pt idx="125">
                  <c:v>3.9755607897525386E-2</c:v>
                </c:pt>
                <c:pt idx="126">
                  <c:v>3.9438537911863913E-2</c:v>
                </c:pt>
                <c:pt idx="127">
                  <c:v>3.912639925307989E-2</c:v>
                </c:pt>
                <c:pt idx="128">
                  <c:v>3.8819078375122738E-2</c:v>
                </c:pt>
                <c:pt idx="129">
                  <c:v>3.8516465182691084E-2</c:v>
                </c:pt>
                <c:pt idx="130">
                  <c:v>3.8218452901316251E-2</c:v>
                </c:pt>
                <c:pt idx="131">
                  <c:v>3.7924937953266527E-2</c:v>
                </c:pt>
                <c:pt idx="132">
                  <c:v>3.7635819838969374E-2</c:v>
                </c:pt>
                <c:pt idx="133">
                  <c:v>3.7351001023668791E-2</c:v>
                </c:pt>
                <c:pt idx="134">
                  <c:v>3.7070386829049236E-2</c:v>
                </c:pt>
                <c:pt idx="135">
                  <c:v>3.6793885329574984E-2</c:v>
                </c:pt>
                <c:pt idx="136">
                  <c:v>3.6521407253306923E-2</c:v>
                </c:pt>
                <c:pt idx="137">
                  <c:v>3.6252865886973337E-2</c:v>
                </c:pt>
                <c:pt idx="138">
                  <c:v>3.5988176985082845E-2</c:v>
                </c:pt>
                <c:pt idx="139">
                  <c:v>3.5727258682881215E-2</c:v>
                </c:pt>
                <c:pt idx="140">
                  <c:v>3.5470031412962628E-2</c:v>
                </c:pt>
                <c:pt idx="141">
                  <c:v>3.5216417825358809E-2</c:v>
                </c:pt>
                <c:pt idx="142">
                  <c:v>3.4966342710937334E-2</c:v>
                </c:pt>
                <c:pt idx="143">
                  <c:v>3.4719732927951025E-2</c:v>
                </c:pt>
                <c:pt idx="144">
                  <c:v>3.4476517331587506E-2</c:v>
                </c:pt>
                <c:pt idx="145">
                  <c:v>3.4236626706378469E-2</c:v>
                </c:pt>
                <c:pt idx="146">
                  <c:v>3.3999993701331999E-2</c:v>
                </c:pt>
                <c:pt idx="147">
                  <c:v>3.3766552767663431E-2</c:v>
                </c:pt>
                <c:pt idx="148">
                  <c:v>3.3536240099002183E-2</c:v>
                </c:pt>
                <c:pt idx="149">
                  <c:v>3.3308993573961304E-2</c:v>
                </c:pt>
                <c:pt idx="150">
                  <c:v>3.3084752700962117E-2</c:v>
                </c:pt>
                <c:pt idx="151">
                  <c:v>3.2863458565210189E-2</c:v>
                </c:pt>
                <c:pt idx="152">
                  <c:v>3.2645053777726515E-2</c:v>
                </c:pt>
                <c:pt idx="153">
                  <c:v>3.2429482426341145E-2</c:v>
                </c:pt>
                <c:pt idx="154">
                  <c:v>3.2216690028561715E-2</c:v>
                </c:pt>
                <c:pt idx="155">
                  <c:v>3.2006623486233995E-2</c:v>
                </c:pt>
                <c:pt idx="156">
                  <c:v>3.1799231041915357E-2</c:v>
                </c:pt>
                <c:pt idx="157">
                  <c:v>3.1594462236886098E-2</c:v>
                </c:pt>
                <c:pt idx="158">
                  <c:v>3.1392267870727728E-2</c:v>
                </c:pt>
                <c:pt idx="159">
                  <c:v>3.1192599962399939E-2</c:v>
                </c:pt>
                <c:pt idx="160">
                  <c:v>3.0995411712752496E-2</c:v>
                </c:pt>
                <c:pt idx="161">
                  <c:v>3.080065746841008E-2</c:v>
                </c:pt>
                <c:pt idx="162">
                  <c:v>3.0608292686972287E-2</c:v>
                </c:pt>
                <c:pt idx="163">
                  <c:v>3.0418273903473361E-2</c:v>
                </c:pt>
                <c:pt idx="164">
                  <c:v>3.0230558698047989E-2</c:v>
                </c:pt>
                <c:pt idx="165">
                  <c:v>3.0045105664754362E-2</c:v>
                </c:pt>
                <c:pt idx="166">
                  <c:v>2.9861874381504679E-2</c:v>
                </c:pt>
                <c:pt idx="167">
                  <c:v>2.9680825381059275E-2</c:v>
                </c:pt>
                <c:pt idx="168">
                  <c:v>2.950192012303951E-2</c:v>
                </c:pt>
                <c:pt idx="169">
                  <c:v>2.9325120966918333E-2</c:v>
                </c:pt>
                <c:pt idx="170">
                  <c:v>2.9150391145949382E-2</c:v>
                </c:pt>
                <c:pt idx="171">
                  <c:v>2.8977694741995835E-2</c:v>
                </c:pt>
                <c:pt idx="172">
                  <c:v>2.8806996661224046E-2</c:v>
                </c:pt>
                <c:pt idx="173">
                  <c:v>2.8638262610627033E-2</c:v>
                </c:pt>
                <c:pt idx="174">
                  <c:v>2.8471459075344624E-2</c:v>
                </c:pt>
                <c:pt idx="175">
                  <c:v>2.8306553296749821E-2</c:v>
                </c:pt>
                <c:pt idx="176">
                  <c:v>2.814351325127051E-2</c:v>
                </c:pt>
                <c:pt idx="177">
                  <c:v>2.7982307629918185E-2</c:v>
                </c:pt>
                <c:pt idx="178">
                  <c:v>2.7822905818496835E-2</c:v>
                </c:pt>
                <c:pt idx="179">
                  <c:v>2.7665277878464813E-2</c:v>
                </c:pt>
                <c:pt idx="180">
                  <c:v>2.750939452842556E-2</c:v>
                </c:pt>
                <c:pt idx="181">
                  <c:v>2.7355227126222806E-2</c:v>
                </c:pt>
                <c:pt idx="182">
                  <c:v>2.7202747651617377E-2</c:v>
                </c:pt>
                <c:pt idx="183">
                  <c:v>2.7051928689523896E-2</c:v>
                </c:pt>
                <c:pt idx="184">
                  <c:v>2.6902743413786238E-2</c:v>
                </c:pt>
                <c:pt idx="185">
                  <c:v>2.67551655714716E-2</c:v>
                </c:pt>
                <c:pt idx="186">
                  <c:v>2.6609169467664038E-2</c:v>
                </c:pt>
                <c:pt idx="187">
                  <c:v>2.646472995073932E-2</c:v>
                </c:pt>
                <c:pt idx="188">
                  <c:v>2.6321822398102841E-2</c:v>
                </c:pt>
                <c:pt idx="189">
                  <c:v>2.6180422702374195E-2</c:v>
                </c:pt>
                <c:pt idx="190">
                  <c:v>2.6040507258002041E-2</c:v>
                </c:pt>
                <c:pt idx="191">
                  <c:v>2.5902052948293595E-2</c:v>
                </c:pt>
                <c:pt idx="192">
                  <c:v>2.5765037132844122E-2</c:v>
                </c:pt>
                <c:pt idx="193">
                  <c:v>2.5629437635351787E-2</c:v>
                </c:pt>
                <c:pt idx="194">
                  <c:v>2.5495232731804311E-2</c:v>
                </c:pt>
                <c:pt idx="195">
                  <c:v>2.5362401139024625E-2</c:v>
                </c:pt>
                <c:pt idx="196">
                  <c:v>2.5230922003561966E-2</c:v>
                </c:pt>
                <c:pt idx="197">
                  <c:v>2.5100774890917422E-2</c:v>
                </c:pt>
                <c:pt idx="198">
                  <c:v>2.4971939775091441E-2</c:v>
                </c:pt>
                <c:pt idx="199">
                  <c:v>2.4844397028442412E-2</c:v>
                </c:pt>
                <c:pt idx="200">
                  <c:v>2.4718127411845824E-2</c:v>
                </c:pt>
                <c:pt idx="201">
                  <c:v>2.4593112065142957E-2</c:v>
                </c:pt>
                <c:pt idx="202">
                  <c:v>2.4469332497870363E-2</c:v>
                </c:pt>
                <c:pt idx="203">
                  <c:v>2.434677058025923E-2</c:v>
                </c:pt>
                <c:pt idx="204">
                  <c:v>2.4225408534496607E-2</c:v>
                </c:pt>
                <c:pt idx="205">
                  <c:v>2.4105228926238956E-2</c:v>
                </c:pt>
                <c:pt idx="206">
                  <c:v>2.3986214656370165E-2</c:v>
                </c:pt>
                <c:pt idx="207">
                  <c:v>2.3868348952995111E-2</c:v>
                </c:pt>
                <c:pt idx="208">
                  <c:v>2.3751615363661632E-2</c:v>
                </c:pt>
                <c:pt idx="209">
                  <c:v>2.36359977478031E-2</c:v>
                </c:pt>
                <c:pt idx="210">
                  <c:v>2.3521480269394272E-2</c:v>
                </c:pt>
                <c:pt idx="211">
                  <c:v>2.3408047389813339E-2</c:v>
                </c:pt>
                <c:pt idx="212">
                  <c:v>2.329568386090395E-2</c:v>
                </c:pt>
                <c:pt idx="213">
                  <c:v>2.3184374718229976E-2</c:v>
                </c:pt>
                <c:pt idx="214">
                  <c:v>2.3074105274517531E-2</c:v>
                </c:pt>
                <c:pt idx="215">
                  <c:v>2.2964861113277536E-2</c:v>
                </c:pt>
                <c:pt idx="216">
                  <c:v>2.2856628082603702E-2</c:v>
                </c:pt>
                <c:pt idx="217">
                  <c:v>2.2749392289139924E-2</c:v>
                </c:pt>
                <c:pt idx="218">
                  <c:v>2.2643140092211692E-2</c:v>
                </c:pt>
                <c:pt idx="219">
                  <c:v>2.2537858098116592E-2</c:v>
                </c:pt>
                <c:pt idx="220">
                  <c:v>2.243353315456878E-2</c:v>
                </c:pt>
                <c:pt idx="221">
                  <c:v>2.2330152345292512E-2</c:v>
                </c:pt>
                <c:pt idx="222">
                  <c:v>2.2227702984760241E-2</c:v>
                </c:pt>
                <c:pt idx="223">
                  <c:v>2.2126172613070792E-2</c:v>
                </c:pt>
                <c:pt idx="224">
                  <c:v>2.2025548990962967E-2</c:v>
                </c:pt>
                <c:pt idx="225">
                  <c:v>2.1925820094960937E-2</c:v>
                </c:pt>
                <c:pt idx="226">
                  <c:v>2.1826974112647102E-2</c:v>
                </c:pt>
                <c:pt idx="227">
                  <c:v>2.1728999438058377E-2</c:v>
                </c:pt>
                <c:pt idx="228">
                  <c:v>2.1631884667202519E-2</c:v>
                </c:pt>
                <c:pt idx="229">
                  <c:v>2.1535618593690478E-2</c:v>
                </c:pt>
                <c:pt idx="230">
                  <c:v>2.1440190204481707E-2</c:v>
                </c:pt>
                <c:pt idx="231">
                  <c:v>2.1345588675738769E-2</c:v>
                </c:pt>
                <c:pt idx="232">
                  <c:v>2.1251803368787844E-2</c:v>
                </c:pt>
                <c:pt idx="233">
                  <c:v>2.1158823826182484E-2</c:v>
                </c:pt>
                <c:pt idx="234">
                  <c:v>2.106663976786699E-2</c:v>
                </c:pt>
                <c:pt idx="235">
                  <c:v>2.0975241087436942E-2</c:v>
                </c:pt>
                <c:pt idx="236">
                  <c:v>2.0884617848493683E-2</c:v>
                </c:pt>
                <c:pt idx="237">
                  <c:v>2.0794760281090202E-2</c:v>
                </c:pt>
                <c:pt idx="238">
                  <c:v>2.0705658778265874E-2</c:v>
                </c:pt>
                <c:pt idx="239">
                  <c:v>2.0617303892667069E-2</c:v>
                </c:pt>
                <c:pt idx="240">
                  <c:v>2.0529686333251584E-2</c:v>
                </c:pt>
                <c:pt idx="241">
                  <c:v>2.0442796962074242E-2</c:v>
                </c:pt>
                <c:pt idx="242">
                  <c:v>2.0356626791151449E-2</c:v>
                </c:pt>
                <c:pt idx="243">
                  <c:v>2.0271166979402448E-2</c:v>
                </c:pt>
                <c:pt idx="244">
                  <c:v>2.0186408829664899E-2</c:v>
                </c:pt>
                <c:pt idx="245">
                  <c:v>2.0102343785782958E-2</c:v>
                </c:pt>
                <c:pt idx="246">
                  <c:v>2.0018963429765904E-2</c:v>
                </c:pt>
                <c:pt idx="247">
                  <c:v>1.9936259479014597E-2</c:v>
                </c:pt>
                <c:pt idx="248">
                  <c:v>1.9854223783614986E-2</c:v>
                </c:pt>
                <c:pt idx="249">
                  <c:v>1.9772848323695896E-2</c:v>
                </c:pt>
                <c:pt idx="250">
                  <c:v>1.9692125206849622E-2</c:v>
                </c:pt>
                <c:pt idx="251">
                  <c:v>1.9612046665613839E-2</c:v>
                </c:pt>
                <c:pt idx="252">
                  <c:v>1.9532605055012628E-2</c:v>
                </c:pt>
                <c:pt idx="253">
                  <c:v>1.9453792850155614E-2</c:v>
                </c:pt>
                <c:pt idx="254">
                  <c:v>1.937560264389291E-2</c:v>
                </c:pt>
                <c:pt idx="255">
                  <c:v>1.9298027144525089E-2</c:v>
                </c:pt>
                <c:pt idx="256">
                  <c:v>1.9221059173566091E-2</c:v>
                </c:pt>
                <c:pt idx="257">
                  <c:v>1.9144691663558144E-2</c:v>
                </c:pt>
                <c:pt idx="258">
                  <c:v>1.9068917655936778E-2</c:v>
                </c:pt>
                <c:pt idx="259">
                  <c:v>1.8993730298945081E-2</c:v>
                </c:pt>
                <c:pt idx="260">
                  <c:v>1.8919122845595479E-2</c:v>
                </c:pt>
                <c:pt idx="261">
                  <c:v>1.8845088651678207E-2</c:v>
                </c:pt>
                <c:pt idx="262">
                  <c:v>1.8771621173814694E-2</c:v>
                </c:pt>
                <c:pt idx="263">
                  <c:v>1.8698713967555163E-2</c:v>
                </c:pt>
                <c:pt idx="264">
                  <c:v>1.8626360685519171E-2</c:v>
                </c:pt>
                <c:pt idx="265">
                  <c:v>1.8554555075577652E-2</c:v>
                </c:pt>
                <c:pt idx="266">
                  <c:v>1.8483290979075757E-2</c:v>
                </c:pt>
                <c:pt idx="267">
                  <c:v>1.8412562329095387E-2</c:v>
                </c:pt>
                <c:pt idx="268">
                  <c:v>1.8342363148756109E-2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E48-4AB7-B806-CC3284FEFDBC}"/>
            </c:ext>
          </c:extLst>
        </c:ser>
        <c:ser>
          <c:idx val="6"/>
          <c:order val="6"/>
          <c:tx>
            <c:v>KM - Placebo</c:v>
          </c:tx>
          <c:spPr>
            <a:ln w="28440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extrapolation!$BO$8:$BO$76</c:f>
              <c:numCache>
                <c:formatCode>0.00</c:formatCode>
                <c:ptCount val="69"/>
                <c:pt idx="0">
                  <c:v>0</c:v>
                </c:pt>
                <c:pt idx="1">
                  <c:v>0.75</c:v>
                </c:pt>
                <c:pt idx="2">
                  <c:v>1.5</c:v>
                </c:pt>
                <c:pt idx="3">
                  <c:v>2.25</c:v>
                </c:pt>
                <c:pt idx="4">
                  <c:v>3</c:v>
                </c:pt>
                <c:pt idx="5">
                  <c:v>3.75</c:v>
                </c:pt>
                <c:pt idx="6">
                  <c:v>4.5</c:v>
                </c:pt>
                <c:pt idx="7">
                  <c:v>5.25</c:v>
                </c:pt>
                <c:pt idx="8">
                  <c:v>6</c:v>
                </c:pt>
                <c:pt idx="9">
                  <c:v>6.75</c:v>
                </c:pt>
                <c:pt idx="10">
                  <c:v>7.5</c:v>
                </c:pt>
                <c:pt idx="11">
                  <c:v>8.25</c:v>
                </c:pt>
                <c:pt idx="12">
                  <c:v>9</c:v>
                </c:pt>
                <c:pt idx="13">
                  <c:v>9.75</c:v>
                </c:pt>
                <c:pt idx="14">
                  <c:v>10.5</c:v>
                </c:pt>
                <c:pt idx="15">
                  <c:v>11.25</c:v>
                </c:pt>
                <c:pt idx="16">
                  <c:v>12</c:v>
                </c:pt>
                <c:pt idx="17">
                  <c:v>12.75</c:v>
                </c:pt>
                <c:pt idx="18">
                  <c:v>13.5</c:v>
                </c:pt>
                <c:pt idx="19">
                  <c:v>14.25</c:v>
                </c:pt>
                <c:pt idx="20">
                  <c:v>15</c:v>
                </c:pt>
                <c:pt idx="21">
                  <c:v>15.75</c:v>
                </c:pt>
                <c:pt idx="22">
                  <c:v>16.5</c:v>
                </c:pt>
                <c:pt idx="23">
                  <c:v>17.25</c:v>
                </c:pt>
                <c:pt idx="24">
                  <c:v>18</c:v>
                </c:pt>
                <c:pt idx="25">
                  <c:v>18.75</c:v>
                </c:pt>
                <c:pt idx="26">
                  <c:v>19.5</c:v>
                </c:pt>
                <c:pt idx="27">
                  <c:v>20.25</c:v>
                </c:pt>
                <c:pt idx="28">
                  <c:v>21</c:v>
                </c:pt>
                <c:pt idx="29">
                  <c:v>21.75</c:v>
                </c:pt>
                <c:pt idx="30">
                  <c:v>22.5</c:v>
                </c:pt>
                <c:pt idx="31">
                  <c:v>23.25</c:v>
                </c:pt>
                <c:pt idx="32">
                  <c:v>24</c:v>
                </c:pt>
                <c:pt idx="33">
                  <c:v>24.75</c:v>
                </c:pt>
                <c:pt idx="34">
                  <c:v>25.5</c:v>
                </c:pt>
                <c:pt idx="35">
                  <c:v>26.25</c:v>
                </c:pt>
                <c:pt idx="36">
                  <c:v>27</c:v>
                </c:pt>
                <c:pt idx="37">
                  <c:v>27.75</c:v>
                </c:pt>
                <c:pt idx="38">
                  <c:v>28.5</c:v>
                </c:pt>
                <c:pt idx="39">
                  <c:v>29.25</c:v>
                </c:pt>
                <c:pt idx="40">
                  <c:v>30</c:v>
                </c:pt>
                <c:pt idx="41">
                  <c:v>30.75</c:v>
                </c:pt>
                <c:pt idx="42">
                  <c:v>31.5</c:v>
                </c:pt>
                <c:pt idx="43">
                  <c:v>32.25</c:v>
                </c:pt>
                <c:pt idx="44">
                  <c:v>33</c:v>
                </c:pt>
                <c:pt idx="45">
                  <c:v>33.75</c:v>
                </c:pt>
                <c:pt idx="46">
                  <c:v>34.5</c:v>
                </c:pt>
                <c:pt idx="47">
                  <c:v>35.25</c:v>
                </c:pt>
                <c:pt idx="48">
                  <c:v>36</c:v>
                </c:pt>
                <c:pt idx="49">
                  <c:v>36.75</c:v>
                </c:pt>
                <c:pt idx="50">
                  <c:v>37.5</c:v>
                </c:pt>
                <c:pt idx="51">
                  <c:v>38.25</c:v>
                </c:pt>
                <c:pt idx="52">
                  <c:v>39</c:v>
                </c:pt>
                <c:pt idx="53">
                  <c:v>39.75</c:v>
                </c:pt>
                <c:pt idx="54">
                  <c:v>40.5</c:v>
                </c:pt>
                <c:pt idx="55">
                  <c:v>41.25</c:v>
                </c:pt>
                <c:pt idx="56">
                  <c:v>42</c:v>
                </c:pt>
                <c:pt idx="57">
                  <c:v>42.75</c:v>
                </c:pt>
                <c:pt idx="58">
                  <c:v>43.5</c:v>
                </c:pt>
                <c:pt idx="59">
                  <c:v>44.25</c:v>
                </c:pt>
                <c:pt idx="60">
                  <c:v>45</c:v>
                </c:pt>
                <c:pt idx="61">
                  <c:v>45.75</c:v>
                </c:pt>
                <c:pt idx="62">
                  <c:v>46.5</c:v>
                </c:pt>
                <c:pt idx="63">
                  <c:v>47.25</c:v>
                </c:pt>
                <c:pt idx="64">
                  <c:v>48</c:v>
                </c:pt>
                <c:pt idx="65">
                  <c:v>48.75</c:v>
                </c:pt>
                <c:pt idx="66">
                  <c:v>49.5</c:v>
                </c:pt>
                <c:pt idx="67">
                  <c:v>50.25</c:v>
                </c:pt>
                <c:pt idx="68">
                  <c:v>51</c:v>
                </c:pt>
              </c:numCache>
            </c:numRef>
          </c:xVal>
          <c:yVal>
            <c:numRef>
              <c:f>extrapolation!$BQ$8:$BQ$76</c:f>
              <c:numCache>
                <c:formatCode>0.0000</c:formatCode>
                <c:ptCount val="69"/>
                <c:pt idx="0">
                  <c:v>1</c:v>
                </c:pt>
                <c:pt idx="1">
                  <c:v>1</c:v>
                </c:pt>
                <c:pt idx="2">
                  <c:v>0.96340000000000003</c:v>
                </c:pt>
                <c:pt idx="3">
                  <c:v>0.80489999999999995</c:v>
                </c:pt>
                <c:pt idx="4">
                  <c:v>0.76219999999999999</c:v>
                </c:pt>
                <c:pt idx="5">
                  <c:v>0.69510000000000005</c:v>
                </c:pt>
                <c:pt idx="6">
                  <c:v>0.67069999999999996</c:v>
                </c:pt>
                <c:pt idx="7">
                  <c:v>0.65839999999999999</c:v>
                </c:pt>
                <c:pt idx="8">
                  <c:v>0.58460000000000001</c:v>
                </c:pt>
                <c:pt idx="9">
                  <c:v>0.56000000000000005</c:v>
                </c:pt>
                <c:pt idx="10">
                  <c:v>0.48</c:v>
                </c:pt>
                <c:pt idx="11">
                  <c:v>0.4677</c:v>
                </c:pt>
                <c:pt idx="12">
                  <c:v>0.45540000000000003</c:v>
                </c:pt>
                <c:pt idx="13">
                  <c:v>0.40610000000000002</c:v>
                </c:pt>
                <c:pt idx="14">
                  <c:v>0.39369999999999999</c:v>
                </c:pt>
                <c:pt idx="15">
                  <c:v>0.3427</c:v>
                </c:pt>
                <c:pt idx="16">
                  <c:v>0.32329999999999998</c:v>
                </c:pt>
                <c:pt idx="17">
                  <c:v>0.3039</c:v>
                </c:pt>
                <c:pt idx="18">
                  <c:v>0.29070000000000001</c:v>
                </c:pt>
                <c:pt idx="19">
                  <c:v>0.27039999999999997</c:v>
                </c:pt>
                <c:pt idx="20">
                  <c:v>0.23569999999999999</c:v>
                </c:pt>
                <c:pt idx="21">
                  <c:v>0.2288</c:v>
                </c:pt>
                <c:pt idx="22">
                  <c:v>0.2288</c:v>
                </c:pt>
                <c:pt idx="23">
                  <c:v>0.2145</c:v>
                </c:pt>
                <c:pt idx="24">
                  <c:v>0.2074</c:v>
                </c:pt>
                <c:pt idx="25">
                  <c:v>0.2074</c:v>
                </c:pt>
                <c:pt idx="26">
                  <c:v>0.2074</c:v>
                </c:pt>
                <c:pt idx="27">
                  <c:v>0.19939999999999999</c:v>
                </c:pt>
                <c:pt idx="28">
                  <c:v>0.19939999999999999</c:v>
                </c:pt>
                <c:pt idx="29">
                  <c:v>0.19109999999999999</c:v>
                </c:pt>
                <c:pt idx="30">
                  <c:v>0.19109999999999999</c:v>
                </c:pt>
                <c:pt idx="31">
                  <c:v>0.19109999999999999</c:v>
                </c:pt>
                <c:pt idx="32">
                  <c:v>0.17449999999999999</c:v>
                </c:pt>
                <c:pt idx="33">
                  <c:v>0.17449999999999999</c:v>
                </c:pt>
                <c:pt idx="34">
                  <c:v>0.17449999999999999</c:v>
                </c:pt>
                <c:pt idx="35">
                  <c:v>0.17449999999999999</c:v>
                </c:pt>
                <c:pt idx="36">
                  <c:v>0.1532</c:v>
                </c:pt>
                <c:pt idx="37">
                  <c:v>0.1532</c:v>
                </c:pt>
                <c:pt idx="38">
                  <c:v>0.13139999999999999</c:v>
                </c:pt>
                <c:pt idx="39">
                  <c:v>0.13139999999999999</c:v>
                </c:pt>
                <c:pt idx="40">
                  <c:v>0.12039999999999999</c:v>
                </c:pt>
                <c:pt idx="41">
                  <c:v>0.12039999999999999</c:v>
                </c:pt>
                <c:pt idx="42">
                  <c:v>0.12039999999999999</c:v>
                </c:pt>
                <c:pt idx="43">
                  <c:v>0.12039999999999999</c:v>
                </c:pt>
                <c:pt idx="44">
                  <c:v>0.12039999999999999</c:v>
                </c:pt>
                <c:pt idx="45">
                  <c:v>0.12039999999999999</c:v>
                </c:pt>
                <c:pt idx="46">
                  <c:v>0.12039999999999999</c:v>
                </c:pt>
                <c:pt idx="47">
                  <c:v>0.12039999999999999</c:v>
                </c:pt>
                <c:pt idx="48">
                  <c:v>0.12039999999999999</c:v>
                </c:pt>
                <c:pt idx="49">
                  <c:v>0.12039999999999999</c:v>
                </c:pt>
                <c:pt idx="50">
                  <c:v>0.1032</c:v>
                </c:pt>
                <c:pt idx="51">
                  <c:v>0.1032</c:v>
                </c:pt>
                <c:pt idx="52">
                  <c:v>0.1032</c:v>
                </c:pt>
                <c:pt idx="53">
                  <c:v>0.1032</c:v>
                </c:pt>
                <c:pt idx="54">
                  <c:v>0.1032</c:v>
                </c:pt>
                <c:pt idx="55">
                  <c:v>0.1032</c:v>
                </c:pt>
                <c:pt idx="56">
                  <c:v>0.1032</c:v>
                </c:pt>
                <c:pt idx="57">
                  <c:v>0.1032</c:v>
                </c:pt>
                <c:pt idx="58">
                  <c:v>0.1032</c:v>
                </c:pt>
                <c:pt idx="59">
                  <c:v>0.1032</c:v>
                </c:pt>
                <c:pt idx="60">
                  <c:v>0.1032</c:v>
                </c:pt>
                <c:pt idx="61">
                  <c:v>0.1032</c:v>
                </c:pt>
                <c:pt idx="62">
                  <c:v>0.1032</c:v>
                </c:pt>
                <c:pt idx="63">
                  <c:v>0.1032</c:v>
                </c:pt>
                <c:pt idx="64">
                  <c:v>0.1032</c:v>
                </c:pt>
                <c:pt idx="65">
                  <c:v>0.1032</c:v>
                </c:pt>
                <c:pt idx="66">
                  <c:v>0.1032</c:v>
                </c:pt>
                <c:pt idx="67">
                  <c:v>0.1032</c:v>
                </c:pt>
                <c:pt idx="68">
                  <c:v>0.1032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E48-4AB7-B806-CC3284FEF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616169"/>
        <c:axId val="8958168"/>
      </c:scatterChart>
      <c:valAx>
        <c:axId val="5161616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nl-NL" sz="12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nl-NL" sz="1200" b="1" strike="noStrike" spc="-1">
                    <a:solidFill>
                      <a:srgbClr val="000000"/>
                    </a:solidFill>
                    <a:latin typeface="Calibri"/>
                  </a:rPr>
                  <a:t>Time (months)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Calibri"/>
              </a:defRPr>
            </a:pPr>
            <a:endParaRPr lang="nl-NL"/>
          </a:p>
        </c:txPr>
        <c:crossAx val="8958168"/>
        <c:crosses val="autoZero"/>
        <c:crossBetween val="midCat"/>
      </c:valAx>
      <c:valAx>
        <c:axId val="8958168"/>
        <c:scaling>
          <c:orientation val="minMax"/>
          <c:max val="1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nl-NL" sz="14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nl-NL" sz="1400" b="1" strike="noStrike" spc="-1">
                    <a:solidFill>
                      <a:srgbClr val="000000"/>
                    </a:solidFill>
                    <a:latin typeface="Calibri"/>
                  </a:rPr>
                  <a:t>Survival probability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0%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Calibri"/>
              </a:defRPr>
            </a:pPr>
            <a:endParaRPr lang="nl-NL"/>
          </a:p>
        </c:txPr>
        <c:crossAx val="51616169"/>
        <c:crosses val="autoZero"/>
        <c:crossBetween val="midCat"/>
      </c:valAx>
    </c:plotArea>
    <c:legend>
      <c:legendPos val="b"/>
      <c:overlay val="1"/>
      <c:spPr>
        <a:noFill/>
        <a:ln w="0">
          <a:noFill/>
          <a:prstDash val="solid"/>
        </a:ln>
      </c:spPr>
      <c:txPr>
        <a:bodyPr/>
        <a:lstStyle/>
        <a:p>
          <a:pPr>
            <a:defRPr sz="1200" b="0" strike="noStrike" spc="-1">
              <a:solidFill>
                <a:srgbClr val="000000"/>
              </a:solidFill>
              <a:latin typeface="Calibri"/>
            </a:defRPr>
          </a:pPr>
          <a:endParaRPr lang="nl-NL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en-US"/>
  <c:roundedCorners val="1"/>
  <c:style val="2"/>
  <c:chart>
    <c:title>
      <c:tx>
        <c:rich>
          <a:bodyPr rot="0"/>
          <a:lstStyle/>
          <a:p>
            <a:pPr>
              <a:defRPr lang="nl-NL" sz="12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nl-NL" sz="1200" b="1" strike="noStrike" spc="-1">
                <a:solidFill>
                  <a:srgbClr val="000000"/>
                </a:solidFill>
                <a:latin typeface="Calibri"/>
              </a:rPr>
              <a:t>OS - Inavolisib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8.7774796780522996E-2"/>
          <c:y val="7.4665186316008603E-2"/>
          <c:w val="0.87918952468666201"/>
          <c:h val="0.783012976198737"/>
        </c:manualLayout>
      </c:layout>
      <c:scatterChart>
        <c:scatterStyle val="lineMarker"/>
        <c:varyColors val="0"/>
        <c:ser>
          <c:idx val="0"/>
          <c:order val="0"/>
          <c:tx>
            <c:v>Exponential</c:v>
          </c:tx>
          <c:spPr>
            <a:ln w="28440">
              <a:solidFill>
                <a:srgbClr val="FF660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extrapolation!$P$15:$P$283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0.98398748858943708</c:v>
                </c:pt>
                <c:pt idx="2">
                  <c:v>0.96823137770054757</c:v>
                </c:pt>
                <c:pt idx="3">
                  <c:v>0.95272756171705253</c:v>
                </c:pt>
                <c:pt idx="4">
                  <c:v>0.93747200076390047</c:v>
                </c:pt>
                <c:pt idx="5">
                  <c:v>0.9224607196545852</c:v>
                </c:pt>
                <c:pt idx="6">
                  <c:v>0.90768980685532008</c:v>
                </c:pt>
                <c:pt idx="7">
                  <c:v>0.89315541346579763</c:v>
                </c:pt>
                <c:pt idx="8">
                  <c:v>0.8788537522162706</c:v>
                </c:pt>
                <c:pt idx="9">
                  <c:v>0.86478109648069146</c:v>
                </c:pt>
                <c:pt idx="10">
                  <c:v>0.85093377930565528</c:v>
                </c:pt>
                <c:pt idx="11">
                  <c:v>0.83730819245489008</c:v>
                </c:pt>
                <c:pt idx="12">
                  <c:v>0.82390078546904832</c:v>
                </c:pt>
                <c:pt idx="13">
                  <c:v>0.81070806474055346</c:v>
                </c:pt>
                <c:pt idx="14">
                  <c:v>0.79772659260325995</c:v>
                </c:pt>
                <c:pt idx="15">
                  <c:v>0.78495298643669076</c:v>
                </c:pt>
                <c:pt idx="16">
                  <c:v>0.7723839177846179</c:v>
                </c:pt>
                <c:pt idx="17">
                  <c:v>0.76001611148775639</c:v>
                </c:pt>
                <c:pt idx="18">
                  <c:v>0.74784634483034707</c:v>
                </c:pt>
                <c:pt idx="19">
                  <c:v>0.73587144670040328</c:v>
                </c:pt>
                <c:pt idx="20">
                  <c:v>0.72408829676340569</c:v>
                </c:pt>
                <c:pt idx="21">
                  <c:v>0.71249382464922661</c:v>
                </c:pt>
                <c:pt idx="22">
                  <c:v>0.70108500915207528</c:v>
                </c:pt>
                <c:pt idx="23">
                  <c:v>0.68985887744325303</c:v>
                </c:pt>
                <c:pt idx="24">
                  <c:v>0.67881250429651485</c:v>
                </c:pt>
                <c:pt idx="25">
                  <c:v>0.66794301132583411</c:v>
                </c:pt>
                <c:pt idx="26">
                  <c:v>0.65724756623537339</c:v>
                </c:pt>
                <c:pt idx="27">
                  <c:v>0.64672338208146485</c:v>
                </c:pt>
                <c:pt idx="28">
                  <c:v>0.63636771654640756</c:v>
                </c:pt>
                <c:pt idx="29">
                  <c:v>0.62617787122389434</c:v>
                </c:pt>
                <c:pt idx="30">
                  <c:v>0.61615119091587967</c:v>
                </c:pt>
                <c:pt idx="31">
                  <c:v>0.60628506294070728</c:v>
                </c:pt>
                <c:pt idx="32">
                  <c:v>0.59657691645231536</c:v>
                </c:pt>
                <c:pt idx="33">
                  <c:v>0.58702422177034419</c:v>
                </c:pt>
                <c:pt idx="34">
                  <c:v>0.5776244897209698</c:v>
                </c:pt>
                <c:pt idx="35">
                  <c:v>0.5683752709882921</c:v>
                </c:pt>
                <c:pt idx="36">
                  <c:v>0.55927415547611037</c:v>
                </c:pt>
                <c:pt idx="37">
                  <c:v>0.55031877167991616</c:v>
                </c:pt>
                <c:pt idx="38">
                  <c:v>0.54150678606894453</c:v>
                </c:pt>
                <c:pt idx="39">
                  <c:v>0.5328359024781183</c:v>
                </c:pt>
                <c:pt idx="40">
                  <c:v>0.52430386150972996</c:v>
                </c:pt>
                <c:pt idx="41">
                  <c:v>0.51590843994470315</c:v>
                </c:pt>
                <c:pt idx="42">
                  <c:v>0.50764745016328294</c:v>
                </c:pt>
                <c:pt idx="43">
                  <c:v>0.49951873957500009</c:v>
                </c:pt>
                <c:pt idx="44">
                  <c:v>0.49152019005776548</c:v>
                </c:pt>
                <c:pt idx="45">
                  <c:v>0.48364971740594337</c:v>
                </c:pt>
                <c:pt idx="46">
                  <c:v>0.47590527078726524</c:v>
                </c:pt>
                <c:pt idx="47">
                  <c:v>0.46828483220843709</c:v>
                </c:pt>
                <c:pt idx="48">
                  <c:v>0.46078641598930598</c:v>
                </c:pt>
                <c:pt idx="49">
                  <c:v>0.45340806824544477</c:v>
                </c:pt>
                <c:pt idx="50">
                  <c:v>0.44614786637902337</c:v>
                </c:pt>
                <c:pt idx="51">
                  <c:v>0.43900391857783089</c:v>
                </c:pt>
                <c:pt idx="52">
                  <c:v>0.43197436332232159</c:v>
                </c:pt>
                <c:pt idx="53">
                  <c:v>0.42505736890055229</c:v>
                </c:pt>
                <c:pt idx="54">
                  <c:v>0.41825113293088834</c:v>
                </c:pt>
                <c:pt idx="55">
                  <c:v>0.41155388189235165</c:v>
                </c:pt>
                <c:pt idx="56">
                  <c:v>0.40496387066248885</c:v>
                </c:pt>
                <c:pt idx="57">
                  <c:v>0.39847938206264005</c:v>
                </c:pt>
                <c:pt idx="58">
                  <c:v>0.39209872641048793</c:v>
                </c:pt>
                <c:pt idx="59">
                  <c:v>0.38582024107977286</c:v>
                </c:pt>
                <c:pt idx="60">
                  <c:v>0.3796422900670568</c:v>
                </c:pt>
                <c:pt idx="61">
                  <c:v>0.37356326356542591</c:v>
                </c:pt>
                <c:pt idx="62">
                  <c:v>0.36758157754501736</c:v>
                </c:pt>
                <c:pt idx="63">
                  <c:v>0.36169567334026509</c:v>
                </c:pt>
                <c:pt idx="64">
                  <c:v>0.35590401724375281</c:v>
                </c:pt>
                <c:pt idx="65">
                  <c:v>0.35020510010657208</c:v>
                </c:pt>
                <c:pt idx="66">
                  <c:v>0.34459743694507827</c:v>
                </c:pt>
                <c:pt idx="67">
                  <c:v>0.33907956655394444</c:v>
                </c:pt>
                <c:pt idx="68">
                  <c:v>0.33365005112541068</c:v>
                </c:pt>
                <c:pt idx="69">
                  <c:v>0.32830747587463016</c:v>
                </c:pt>
                <c:pt idx="70">
                  <c:v>0.32305044867101451</c:v>
                </c:pt>
                <c:pt idx="71">
                  <c:v>0.31787759967548246</c:v>
                </c:pt>
                <c:pt idx="72">
                  <c:v>0.31278758098351644</c:v>
                </c:pt>
                <c:pt idx="73">
                  <c:v>0.30777906627393548</c:v>
                </c:pt>
                <c:pt idx="74">
                  <c:v>0.30285075046329168</c:v>
                </c:pt>
                <c:pt idx="75">
                  <c:v>0.29800134936580075</c:v>
                </c:pt>
                <c:pt idx="76">
                  <c:v>0.29322959935871767</c:v>
                </c:pt>
                <c:pt idx="77">
                  <c:v>0.2885342570530714</c:v>
                </c:pt>
                <c:pt idx="78">
                  <c:v>0.28391409896967079</c:v>
                </c:pt>
                <c:pt idx="79">
                  <c:v>0.27936792122029935</c:v>
                </c:pt>
                <c:pt idx="80">
                  <c:v>0.27489453919401402</c:v>
                </c:pt>
                <c:pt idx="81">
                  <c:v>0.27049278724846842</c:v>
                </c:pt>
                <c:pt idx="82">
                  <c:v>0.26616151840617736</c:v>
                </c:pt>
                <c:pt idx="83">
                  <c:v>0.26189960405564572</c:v>
                </c:pt>
                <c:pt idx="84">
                  <c:v>0.25770593365728278</c:v>
                </c:pt>
                <c:pt idx="85">
                  <c:v>0.25357941445402571</c:v>
                </c:pt>
                <c:pt idx="86">
                  <c:v>0.24951897118659677</c:v>
                </c:pt>
                <c:pt idx="87">
                  <c:v>0.24552354581331953</c:v>
                </c:pt>
                <c:pt idx="88">
                  <c:v>0.24159209723442188</c:v>
                </c:pt>
                <c:pt idx="89">
                  <c:v>0.23772360102075382</c:v>
                </c:pt>
                <c:pt idx="90">
                  <c:v>0.23391704914684888</c:v>
                </c:pt>
                <c:pt idx="91">
                  <c:v>0.23017144972825981</c:v>
                </c:pt>
                <c:pt idx="92">
                  <c:v>0.22648582676310025</c:v>
                </c:pt>
                <c:pt idx="93">
                  <c:v>0.22285921987772533</c:v>
                </c:pt>
                <c:pt idx="94">
                  <c:v>0.21929068407648405</c:v>
                </c:pt>
                <c:pt idx="95">
                  <c:v>0.21577928949547925</c:v>
                </c:pt>
                <c:pt idx="96">
                  <c:v>0.21232412116026975</c:v>
                </c:pt>
                <c:pt idx="97">
                  <c:v>0.20892427874745317</c:v>
                </c:pt>
                <c:pt idx="98">
                  <c:v>0.20557887635006591</c:v>
                </c:pt>
                <c:pt idx="99">
                  <c:v>0.20228704224673982</c:v>
                </c:pt>
                <c:pt idx="100">
                  <c:v>0.19904791867455487</c:v>
                </c:pt>
                <c:pt idx="101">
                  <c:v>0.19586066160552976</c:v>
                </c:pt>
                <c:pt idx="102">
                  <c:v>0.19272444052669077</c:v>
                </c:pt>
                <c:pt idx="103">
                  <c:v>0.18963843822366283</c:v>
                </c:pt>
                <c:pt idx="104">
                  <c:v>0.1866018505677251</c:v>
                </c:pt>
                <c:pt idx="105">
                  <c:v>0.18361388630627723</c:v>
                </c:pt>
                <c:pt idx="106">
                  <c:v>0.1806737668566602</c:v>
                </c:pt>
                <c:pt idx="107">
                  <c:v>0.17778072610327852</c:v>
                </c:pt>
                <c:pt idx="108">
                  <c:v>0.17493401019797161</c:v>
                </c:pt>
                <c:pt idx="109">
                  <c:v>0.17213287736358107</c:v>
                </c:pt>
                <c:pt idx="110">
                  <c:v>0.16937659770066374</c:v>
                </c:pt>
                <c:pt idx="111">
                  <c:v>0.16666445299729948</c:v>
                </c:pt>
                <c:pt idx="112">
                  <c:v>0.16399573654194499</c:v>
                </c:pt>
                <c:pt idx="113">
                  <c:v>0.16136975293928343</c:v>
                </c:pt>
                <c:pt idx="114">
                  <c:v>0.15878581792902349</c:v>
                </c:pt>
                <c:pt idx="115">
                  <c:v>0.15624325820759938</c:v>
                </c:pt>
                <c:pt idx="116">
                  <c:v>0.15374141125272667</c:v>
                </c:pt>
                <c:pt idx="117">
                  <c:v>0.15127962515076634</c:v>
                </c:pt>
                <c:pt idx="118">
                  <c:v>0.14885725842685404</c:v>
                </c:pt>
                <c:pt idx="119">
                  <c:v>0.14647367987774892</c:v>
                </c:pt>
                <c:pt idx="120">
                  <c:v>0.14412826840735932</c:v>
                </c:pt>
                <c:pt idx="121">
                  <c:v>0.1418204128649018</c:v>
                </c:pt>
                <c:pt idx="122">
                  <c:v>0.13954951188565184</c:v>
                </c:pt>
                <c:pt idx="123">
                  <c:v>0.13731497373424437</c:v>
                </c:pt>
                <c:pt idx="124">
                  <c:v>0.13511621615048361</c:v>
                </c:pt>
                <c:pt idx="125">
                  <c:v>0.13295266619762192</c:v>
                </c:pt>
                <c:pt idx="126">
                  <c:v>0.13082376011306773</c:v>
                </c:pt>
                <c:pt idx="127">
                  <c:v>0.1287289431614845</c:v>
                </c:pt>
                <c:pt idx="128">
                  <c:v>0.12666766949024152</c:v>
                </c:pt>
                <c:pt idx="129">
                  <c:v>0.12463940198717961</c:v>
                </c:pt>
                <c:pt idx="130">
                  <c:v>0.12264361214065415</c:v>
                </c:pt>
                <c:pt idx="131">
                  <c:v>0.12067977990181929</c:v>
                </c:pt>
                <c:pt idx="132">
                  <c:v>0.11874739354911718</c:v>
                </c:pt>
                <c:pt idx="133">
                  <c:v>0.11684594955493734</c:v>
                </c:pt>
                <c:pt idx="134">
                  <c:v>0.11497495245441085</c:v>
                </c:pt>
                <c:pt idx="135">
                  <c:v>0.11313391471630566</c:v>
                </c:pt>
                <c:pt idx="136">
                  <c:v>0.11132235661598916</c:v>
                </c:pt>
                <c:pt idx="137">
                  <c:v>0.10953980611042488</c:v>
                </c:pt>
                <c:pt idx="138">
                  <c:v>0.10778579871517086</c:v>
                </c:pt>
                <c:pt idx="139">
                  <c:v>0.1060598773833475</c:v>
                </c:pt>
                <c:pt idx="140">
                  <c:v>0.10436159238654379</c:v>
                </c:pt>
                <c:pt idx="141">
                  <c:v>0.10269050119762974</c:v>
                </c:pt>
                <c:pt idx="142">
                  <c:v>0.10104616837544626</c:v>
                </c:pt>
                <c:pt idx="143">
                  <c:v>9.9428165451340769E-2</c:v>
                </c:pt>
                <c:pt idx="144">
                  <c:v>9.7836070817519841E-2</c:v>
                </c:pt>
                <c:pt idx="145">
                  <c:v>9.6269469617189657E-2</c:v>
                </c:pt>
                <c:pt idx="146">
                  <c:v>9.4727953636455572E-2</c:v>
                </c:pt>
                <c:pt idx="147">
                  <c:v>9.3211121197952593E-2</c:v>
                </c:pt>
                <c:pt idx="148">
                  <c:v>9.1718577056178974E-2</c:v>
                </c:pt>
                <c:pt idx="149">
                  <c:v>9.0249932294506313E-2</c:v>
                </c:pt>
                <c:pt idx="150">
                  <c:v>8.8804804223838046E-2</c:v>
                </c:pt>
                <c:pt idx="151">
                  <c:v>8.738281628289099E-2</c:v>
                </c:pt>
                <c:pt idx="152">
                  <c:v>8.5983597940074083E-2</c:v>
                </c:pt>
                <c:pt idx="153">
                  <c:v>8.4606784596937393E-2</c:v>
                </c:pt>
                <c:pt idx="154">
                  <c:v>8.3252017493167893E-2</c:v>
                </c:pt>
                <c:pt idx="155">
                  <c:v>8.1918943613106185E-2</c:v>
                </c:pt>
                <c:pt idx="156">
                  <c:v>8.0607215593760037E-2</c:v>
                </c:pt>
                <c:pt idx="157">
                  <c:v>7.9316491634291247E-2</c:v>
                </c:pt>
                <c:pt idx="158">
                  <c:v>7.8046435406951373E-2</c:v>
                </c:pt>
                <c:pt idx="159">
                  <c:v>7.6796715969443763E-2</c:v>
                </c:pt>
                <c:pt idx="160">
                  <c:v>7.5567007678689319E-2</c:v>
                </c:pt>
                <c:pt idx="161">
                  <c:v>7.4356990105972187E-2</c:v>
                </c:pt>
                <c:pt idx="162">
                  <c:v>7.316634795344519E-2</c:v>
                </c:pt>
                <c:pt idx="163">
                  <c:v>7.1994770971971461E-2</c:v>
                </c:pt>
                <c:pt idx="164">
                  <c:v>7.0841953880281874E-2</c:v>
                </c:pt>
                <c:pt idx="165">
                  <c:v>6.970759628542729E-2</c:v>
                </c:pt>
                <c:pt idx="166">
                  <c:v>6.8591402604503998E-2</c:v>
                </c:pt>
                <c:pt idx="167">
                  <c:v>6.7493081987632833E-2</c:v>
                </c:pt>
                <c:pt idx="168">
                  <c:v>6.6412348242171834E-2</c:v>
                </c:pt>
                <c:pt idx="169">
                  <c:v>6.5348919758141749E-2</c:v>
                </c:pt>
                <c:pt idx="170">
                  <c:v>6.430251943484655E-2</c:v>
                </c:pt>
                <c:pt idx="171">
                  <c:v>6.327287460866815E-2</c:v>
                </c:pt>
                <c:pt idx="172">
                  <c:v>6.225971698201771E-2</c:v>
                </c:pt>
                <c:pt idx="173">
                  <c:v>6.1262782553424759E-2</c:v>
                </c:pt>
                <c:pt idx="174">
                  <c:v>6.0281811548745214E-2</c:v>
                </c:pt>
                <c:pt idx="175">
                  <c:v>5.9316548353471499E-2</c:v>
                </c:pt>
                <c:pt idx="176">
                  <c:v>5.8366741446126358E-2</c:v>
                </c:pt>
                <c:pt idx="177">
                  <c:v>5.7432143332722854E-2</c:v>
                </c:pt>
                <c:pt idx="178">
                  <c:v>5.6512510482274549E-2</c:v>
                </c:pt>
                <c:pt idx="179">
                  <c:v>5.5607603263337593E-2</c:v>
                </c:pt>
                <c:pt idx="180">
                  <c:v>5.4717185881569319E-2</c:v>
                </c:pt>
                <c:pt idx="181">
                  <c:v>5.3841026318286821E-2</c:v>
                </c:pt>
                <c:pt idx="182">
                  <c:v>5.2978896270008839E-2</c:v>
                </c:pt>
                <c:pt idx="183">
                  <c:v>5.2130571088966265E-2</c:v>
                </c:pt>
                <c:pt idx="184">
                  <c:v>5.1295829724565055E-2</c:v>
                </c:pt>
                <c:pt idx="185">
                  <c:v>5.0474454665786143E-2</c:v>
                </c:pt>
                <c:pt idx="186">
                  <c:v>4.9666231884508326E-2</c:v>
                </c:pt>
                <c:pt idx="187">
                  <c:v>4.8870950779737972E-2</c:v>
                </c:pt>
                <c:pt idx="188">
                  <c:v>4.8088404122732339E-2</c:v>
                </c:pt>
                <c:pt idx="189">
                  <c:v>4.7318388003001345E-2</c:v>
                </c:pt>
                <c:pt idx="190">
                  <c:v>4.6560701775173845E-2</c:v>
                </c:pt>
                <c:pt idx="191">
                  <c:v>4.5815148006715038E-2</c:v>
                </c:pt>
                <c:pt idx="192">
                  <c:v>4.50815324264809E-2</c:v>
                </c:pt>
                <c:pt idx="193">
                  <c:v>4.4359663874096213E-2</c:v>
                </c:pt>
                <c:pt idx="194">
                  <c:v>4.3649354250143511E-2</c:v>
                </c:pt>
                <c:pt idx="195">
                  <c:v>4.2950418467149386E-2</c:v>
                </c:pt>
                <c:pt idx="196">
                  <c:v>4.2262674401355685E-2</c:v>
                </c:pt>
                <c:pt idx="197">
                  <c:v>4.1585942845263089E-2</c:v>
                </c:pt>
                <c:pt idx="198">
                  <c:v>4.0920047460934299E-2</c:v>
                </c:pt>
                <c:pt idx="199">
                  <c:v>4.0264814734045314E-2</c:v>
                </c:pt>
                <c:pt idx="200">
                  <c:v>3.9620073928672207E-2</c:v>
                </c:pt>
                <c:pt idx="201">
                  <c:v>3.8985657042801998E-2</c:v>
                </c:pt>
                <c:pt idx="202">
                  <c:v>3.836139876455584E-2</c:v>
                </c:pt>
                <c:pt idx="203">
                  <c:v>3.7747136429113239E-2</c:v>
                </c:pt>
                <c:pt idx="204">
                  <c:v>3.7142709976325967E-2</c:v>
                </c:pt>
                <c:pt idx="205">
                  <c:v>3.6547961909010836E-2</c:v>
                </c:pt>
                <c:pt idx="206">
                  <c:v>3.5962737251909981E-2</c:v>
                </c:pt>
                <c:pt idx="207">
                  <c:v>3.5386883511308698E-2</c:v>
                </c:pt>
                <c:pt idx="208">
                  <c:v>3.4820250635299609E-2</c:v>
                </c:pt>
                <c:pt idx="209">
                  <c:v>3.4262690974683208E-2</c:v>
                </c:pt>
                <c:pt idx="210">
                  <c:v>3.3714059244494506E-2</c:v>
                </c:pt>
                <c:pt idx="211">
                  <c:v>3.3174212486145639E-2</c:v>
                </c:pt>
                <c:pt idx="212">
                  <c:v>3.2643010030174807E-2</c:v>
                </c:pt>
                <c:pt idx="213">
                  <c:v>3.2120313459591501E-2</c:v>
                </c:pt>
                <c:pt idx="214">
                  <c:v>3.1605986573808934E-2</c:v>
                </c:pt>
                <c:pt idx="215">
                  <c:v>3.109989535315372E-2</c:v>
                </c:pt>
                <c:pt idx="216">
                  <c:v>3.0601907923944034E-2</c:v>
                </c:pt>
                <c:pt idx="217">
                  <c:v>3.0111894524126884E-2</c:v>
                </c:pt>
                <c:pt idx="218">
                  <c:v>2.9629727469465638E-2</c:v>
                </c:pt>
                <c:pt idx="219">
                  <c:v>2.9155281120268949E-2</c:v>
                </c:pt>
                <c:pt idx="220">
                  <c:v>2.8688431848652485E-2</c:v>
                </c:pt>
                <c:pt idx="221">
                  <c:v>2.8229058006324768E-2</c:v>
                </c:pt>
                <c:pt idx="222">
                  <c:v>2.7777039892889051E-2</c:v>
                </c:pt>
                <c:pt idx="223">
                  <c:v>2.7332259724652502E-2</c:v>
                </c:pt>
                <c:pt idx="224">
                  <c:v>2.6894601603935035E-2</c:v>
                </c:pt>
                <c:pt idx="225">
                  <c:v>2.6463951488869493E-2</c:v>
                </c:pt>
                <c:pt idx="226">
                  <c:v>2.6040197163685375E-2</c:v>
                </c:pt>
                <c:pt idx="227">
                  <c:v>2.5623228209468555E-2</c:v>
                </c:pt>
                <c:pt idx="228">
                  <c:v>2.5212935975388994E-2</c:v>
                </c:pt>
                <c:pt idx="229">
                  <c:v>2.4809213550389276E-2</c:v>
                </c:pt>
                <c:pt idx="230">
                  <c:v>2.4411955735326573E-2</c:v>
                </c:pt>
                <c:pt idx="231">
                  <c:v>2.4021059015560512E-2</c:v>
                </c:pt>
                <c:pt idx="232">
                  <c:v>2.3636421533980032E-2</c:v>
                </c:pt>
                <c:pt idx="233">
                  <c:v>2.3257943064462314E-2</c:v>
                </c:pt>
                <c:pt idx="234">
                  <c:v>2.2885524985756377E-2</c:v>
                </c:pt>
                <c:pt idx="235">
                  <c:v>2.2519070255785232E-2</c:v>
                </c:pt>
                <c:pt idx="236">
                  <c:v>2.2158483386359212E-2</c:v>
                </c:pt>
                <c:pt idx="237">
                  <c:v>2.1803670418294355E-2</c:v>
                </c:pt>
                <c:pt idx="238">
                  <c:v>2.1454538896929273E-2</c:v>
                </c:pt>
                <c:pt idx="239">
                  <c:v>2.1110997848033827E-2</c:v>
                </c:pt>
                <c:pt idx="240">
                  <c:v>2.0772957754103809E-2</c:v>
                </c:pt>
                <c:pt idx="241">
                  <c:v>2.0440330531035087E-2</c:v>
                </c:pt>
                <c:pt idx="242">
                  <c:v>2.0113029505171204E-2</c:v>
                </c:pt>
                <c:pt idx="243">
                  <c:v>1.9790969390718661E-2</c:v>
                </c:pt>
                <c:pt idx="244">
                  <c:v>1.9474066267523685E-2</c:v>
                </c:pt>
                <c:pt idx="245">
                  <c:v>1.9162237559204896E-2</c:v>
                </c:pt>
                <c:pt idx="246">
                  <c:v>1.8855402011636217E-2</c:v>
                </c:pt>
                <c:pt idx="247">
                  <c:v>1.8553479671774141E-2</c:v>
                </c:pt>
                <c:pt idx="248">
                  <c:v>1.825639186682421E-2</c:v>
                </c:pt>
                <c:pt idx="249">
                  <c:v>1.7964061183740981E-2</c:v>
                </c:pt>
                <c:pt idx="250">
                  <c:v>1.7676411449056278E-2</c:v>
                </c:pt>
                <c:pt idx="251">
                  <c:v>1.7393367709030459E-2</c:v>
                </c:pt>
                <c:pt idx="252">
                  <c:v>1.7114856210121491E-2</c:v>
                </c:pt>
                <c:pt idx="253">
                  <c:v>1.6840804379766778E-2</c:v>
                </c:pt>
                <c:pt idx="254">
                  <c:v>1.6571140807472705E-2</c:v>
                </c:pt>
                <c:pt idx="255">
                  <c:v>1.6305795226207002E-2</c:v>
                </c:pt>
                <c:pt idx="256">
                  <c:v>1.6044698494089061E-2</c:v>
                </c:pt>
                <c:pt idx="257">
                  <c:v>1.5787782576373418E-2</c:v>
                </c:pt>
                <c:pt idx="258">
                  <c:v>1.5534980527721754E-2</c:v>
                </c:pt>
                <c:pt idx="259">
                  <c:v>1.5286226474758736E-2</c:v>
                </c:pt>
                <c:pt idx="260">
                  <c:v>1.5041455598907212E-2</c:v>
                </c:pt>
                <c:pt idx="261">
                  <c:v>1.4800604119498234E-2</c:v>
                </c:pt>
                <c:pt idx="262">
                  <c:v>1.4563609277151545E-2</c:v>
                </c:pt>
                <c:pt idx="263">
                  <c:v>1.4330409317422176E-2</c:v>
                </c:pt>
                <c:pt idx="264">
                  <c:v>1.4100943474708916E-2</c:v>
                </c:pt>
                <c:pt idx="265">
                  <c:v>1.3875151956420436E-2</c:v>
                </c:pt>
                <c:pt idx="266">
                  <c:v>1.3652975927394961E-2</c:v>
                </c:pt>
                <c:pt idx="267">
                  <c:v>1.3434357494569407E-2</c:v>
                </c:pt>
                <c:pt idx="268">
                  <c:v>1.3219239691894034E-2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35F-4210-B319-5D005264E760}"/>
            </c:ext>
          </c:extLst>
        </c:ser>
        <c:ser>
          <c:idx val="1"/>
          <c:order val="1"/>
          <c:tx>
            <c:v>Weibull</c:v>
          </c:tx>
          <c:spPr>
            <a:ln w="28440">
              <a:solidFill>
                <a:srgbClr val="2196F3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extrapolation!$Q$15:$Q$283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0.9376752374650017</c:v>
                </c:pt>
                <c:pt idx="2">
                  <c:v>0.90084033808040676</c:v>
                </c:pt>
                <c:pt idx="3">
                  <c:v>0.87056466418419509</c:v>
                </c:pt>
                <c:pt idx="4">
                  <c:v>0.84412020850196234</c:v>
                </c:pt>
                <c:pt idx="5">
                  <c:v>0.82033628963969851</c:v>
                </c:pt>
                <c:pt idx="6">
                  <c:v>0.79856729364095458</c:v>
                </c:pt>
                <c:pt idx="7">
                  <c:v>0.77840686214092836</c:v>
                </c:pt>
                <c:pt idx="8">
                  <c:v>0.75957703676568122</c:v>
                </c:pt>
                <c:pt idx="9">
                  <c:v>0.74187642178390145</c:v>
                </c:pt>
                <c:pt idx="10">
                  <c:v>0.72515278931733529</c:v>
                </c:pt>
                <c:pt idx="11">
                  <c:v>0.70928728160157672</c:v>
                </c:pt>
                <c:pt idx="12">
                  <c:v>0.69418468186236237</c:v>
                </c:pt>
                <c:pt idx="13">
                  <c:v>0.67976710617006242</c:v>
                </c:pt>
                <c:pt idx="14">
                  <c:v>0.66596974027681155</c:v>
                </c:pt>
                <c:pt idx="15">
                  <c:v>0.65273785842271703</c:v>
                </c:pt>
                <c:pt idx="16">
                  <c:v>0.64002467805966679</c:v>
                </c:pt>
                <c:pt idx="17">
                  <c:v>0.62778977802368496</c:v>
                </c:pt>
                <c:pt idx="18">
                  <c:v>0.61599790741782745</c:v>
                </c:pt>
                <c:pt idx="19">
                  <c:v>0.60461807214815666</c:v>
                </c:pt>
                <c:pt idx="20">
                  <c:v>0.59362282304184832</c:v>
                </c:pt>
                <c:pt idx="21">
                  <c:v>0.58298769310769438</c:v>
                </c:pt>
                <c:pt idx="22">
                  <c:v>0.57269074700715772</c:v>
                </c:pt>
                <c:pt idx="23">
                  <c:v>0.56271221622527778</c:v>
                </c:pt>
                <c:pt idx="24">
                  <c:v>0.5530342005833645</c:v>
                </c:pt>
                <c:pt idx="25">
                  <c:v>0.54364042173882998</c:v>
                </c:pt>
                <c:pt idx="26">
                  <c:v>0.53451601787805747</c:v>
                </c:pt>
                <c:pt idx="27">
                  <c:v>0.52564737138177131</c:v>
                </c:pt>
                <c:pt idx="28">
                  <c:v>0.51702196312912163</c:v>
                </c:pt>
                <c:pt idx="29">
                  <c:v>0.50862824850806099</c:v>
                </c:pt>
                <c:pt idx="30">
                  <c:v>0.50045555125294516</c:v>
                </c:pt>
                <c:pt idx="31">
                  <c:v>0.49249397203083711</c:v>
                </c:pt>
                <c:pt idx="32">
                  <c:v>0.48473430931266243</c:v>
                </c:pt>
                <c:pt idx="33">
                  <c:v>0.47716799054179004</c:v>
                </c:pt>
                <c:pt idx="34">
                  <c:v>0.4697870119851732</c:v>
                </c:pt>
                <c:pt idx="35">
                  <c:v>0.46258388594591265</c:v>
                </c:pt>
                <c:pt idx="36">
                  <c:v>0.45555159424949276</c:v>
                </c:pt>
                <c:pt idx="37">
                  <c:v>0.44868354710269637</c:v>
                </c:pt>
                <c:pt idx="38">
                  <c:v>0.44197354657469196</c:v>
                </c:pt>
                <c:pt idx="39">
                  <c:v>0.43541575407179939</c:v>
                </c:pt>
                <c:pt idx="40">
                  <c:v>0.42900466127697917</c:v>
                </c:pt>
                <c:pt idx="41">
                  <c:v>0.42273506410674649</c:v>
                </c:pt>
                <c:pt idx="42">
                  <c:v>0.41660203930556422</c:v>
                </c:pt>
                <c:pt idx="43">
                  <c:v>0.41060092335360604</c:v>
                </c:pt>
                <c:pt idx="44">
                  <c:v>0.40472729341028801</c:v>
                </c:pt>
                <c:pt idx="45">
                  <c:v>0.39897695005489731</c:v>
                </c:pt>
                <c:pt idx="46">
                  <c:v>0.39334590161835409</c:v>
                </c:pt>
                <c:pt idx="47">
                  <c:v>0.38783034992776028</c:v>
                </c:pt>
                <c:pt idx="48">
                  <c:v>0.38242667730877716</c:v>
                </c:pt>
                <c:pt idx="49">
                  <c:v>0.37713143471078348</c:v>
                </c:pt>
                <c:pt idx="50">
                  <c:v>0.37194133083674091</c:v>
                </c:pt>
                <c:pt idx="51">
                  <c:v>0.36685322217425265</c:v>
                </c:pt>
                <c:pt idx="52">
                  <c:v>0.36186410383680018</c:v>
                </c:pt>
                <c:pt idx="53">
                  <c:v>0.35697110113492625</c:v>
                </c:pt>
                <c:pt idx="54">
                  <c:v>0.35217146180645331</c:v>
                </c:pt>
                <c:pt idx="55">
                  <c:v>0.34746254884291466</c:v>
                </c:pt>
                <c:pt idx="56">
                  <c:v>0.34284183385640266</c:v>
                </c:pt>
                <c:pt idx="57">
                  <c:v>0.33830689093717531</c:v>
                </c:pt>
                <c:pt idx="58">
                  <c:v>0.33385539095772204</c:v>
                </c:pt>
                <c:pt idx="59">
                  <c:v>0.32948509628368894</c:v>
                </c:pt>
                <c:pt idx="60">
                  <c:v>0.32519385585619248</c:v>
                </c:pt>
                <c:pt idx="61">
                  <c:v>0.32097960061368991</c:v>
                </c:pt>
                <c:pt idx="62">
                  <c:v>0.31684033922477922</c:v>
                </c:pt>
                <c:pt idx="63">
                  <c:v>0.3127741541061449</c:v>
                </c:pt>
                <c:pt idx="64">
                  <c:v>0.30877919770237944</c:v>
                </c:pt>
                <c:pt idx="65">
                  <c:v>0.30485368900664878</c:v>
                </c:pt>
                <c:pt idx="66">
                  <c:v>0.30099591030315376</c:v>
                </c:pt>
                <c:pt idx="67">
                  <c:v>0.29720420411411907</c:v>
                </c:pt>
                <c:pt idx="68">
                  <c:v>0.29347697033561954</c:v>
                </c:pt>
                <c:pt idx="69">
                  <c:v>0.28981266354797713</c:v>
                </c:pt>
                <c:pt idx="70">
                  <c:v>0.28620979048772555</c:v>
                </c:pt>
                <c:pt idx="71">
                  <c:v>0.2826669076692877</c:v>
                </c:pt>
                <c:pt idx="72">
                  <c:v>0.27918261914552955</c:v>
                </c:pt>
                <c:pt idx="73">
                  <c:v>0.27575557439728443</c:v>
                </c:pt>
                <c:pt idx="74">
                  <c:v>0.27238446634277153</c:v>
                </c:pt>
                <c:pt idx="75">
                  <c:v>0.26906802945858538</c:v>
                </c:pt>
                <c:pt idx="76">
                  <c:v>0.26580503800461702</c:v>
                </c:pt>
                <c:pt idx="77">
                  <c:v>0.2625943043458821</c:v>
                </c:pt>
                <c:pt idx="78">
                  <c:v>0.25943467736479303</c:v>
                </c:pt>
                <c:pt idx="79">
                  <c:v>0.25632504095791636</c:v>
                </c:pt>
                <c:pt idx="80">
                  <c:v>0.25326431261172966</c:v>
                </c:pt>
                <c:pt idx="81">
                  <c:v>0.25025144205229921</c:v>
                </c:pt>
                <c:pt idx="82">
                  <c:v>0.24728540996419751</c:v>
                </c:pt>
                <c:pt idx="83">
                  <c:v>0.24436522677431891</c:v>
                </c:pt>
                <c:pt idx="84">
                  <c:v>0.24148993149658235</c:v>
                </c:pt>
                <c:pt idx="85">
                  <c:v>0.23865859063379441</c:v>
                </c:pt>
                <c:pt idx="86">
                  <c:v>0.23587029713322449</c:v>
                </c:pt>
                <c:pt idx="87">
                  <c:v>0.23312416939267616</c:v>
                </c:pt>
                <c:pt idx="88">
                  <c:v>0.2304193503140827</c:v>
                </c:pt>
                <c:pt idx="89">
                  <c:v>0.22775500640184523</c:v>
                </c:pt>
                <c:pt idx="90">
                  <c:v>0.22513032690333762</c:v>
                </c:pt>
                <c:pt idx="91">
                  <c:v>0.2225445229891658</c:v>
                </c:pt>
                <c:pt idx="92">
                  <c:v>0.21999682697094156</c:v>
                </c:pt>
                <c:pt idx="93">
                  <c:v>0.21748649155447469</c:v>
                </c:pt>
                <c:pt idx="94">
                  <c:v>0.21501278912642494</c:v>
                </c:pt>
                <c:pt idx="95">
                  <c:v>0.21257501107258964</c:v>
                </c:pt>
                <c:pt idx="96">
                  <c:v>0.21017246712611035</c:v>
                </c:pt>
                <c:pt idx="97">
                  <c:v>0.20780448474400032</c:v>
                </c:pt>
                <c:pt idx="98">
                  <c:v>0.205470408510493</c:v>
                </c:pt>
                <c:pt idx="99">
                  <c:v>0.20316959956580255</c:v>
                </c:pt>
                <c:pt idx="100">
                  <c:v>0.20090143505897742</c:v>
                </c:pt>
                <c:pt idx="101">
                  <c:v>0.19866530762361195</c:v>
                </c:pt>
                <c:pt idx="102">
                  <c:v>0.19646062487524729</c:v>
                </c:pt>
                <c:pt idx="103">
                  <c:v>0.19428680892937095</c:v>
                </c:pt>
                <c:pt idx="104">
                  <c:v>0.19214329593898949</c:v>
                </c:pt>
                <c:pt idx="105">
                  <c:v>0.19002953565079964</c:v>
                </c:pt>
                <c:pt idx="106">
                  <c:v>0.18794499097905354</c:v>
                </c:pt>
                <c:pt idx="107">
                  <c:v>0.18588913759625625</c:v>
                </c:pt>
                <c:pt idx="108">
                  <c:v>0.18386146353988558</c:v>
                </c:pt>
                <c:pt idx="109">
                  <c:v>0.1818614688343736</c:v>
                </c:pt>
                <c:pt idx="110">
                  <c:v>0.17988866512762633</c:v>
                </c:pt>
                <c:pt idx="111">
                  <c:v>0.17794257534140479</c:v>
                </c:pt>
                <c:pt idx="112">
                  <c:v>0.17602273333491938</c:v>
                </c:pt>
                <c:pt idx="113">
                  <c:v>0.17412868358103797</c:v>
                </c:pt>
                <c:pt idx="114">
                  <c:v>0.17225998085452471</c:v>
                </c:pt>
                <c:pt idx="115">
                  <c:v>0.17041618993177177</c:v>
                </c:pt>
                <c:pt idx="116">
                  <c:v>0.1685968853015066</c:v>
                </c:pt>
                <c:pt idx="117">
                  <c:v>0.16680165088598903</c:v>
                </c:pt>
                <c:pt idx="118">
                  <c:v>0.165030079772234</c:v>
                </c:pt>
                <c:pt idx="119">
                  <c:v>0.16328177395282423</c:v>
                </c:pt>
                <c:pt idx="120">
                  <c:v>0.1615563440758967</c:v>
                </c:pt>
                <c:pt idx="121">
                  <c:v>0.15985340920390761</c:v>
                </c:pt>
                <c:pt idx="122">
                  <c:v>0.15817259658080479</c:v>
                </c:pt>
                <c:pt idx="123">
                  <c:v>0.1565135414072481</c:v>
                </c:pt>
                <c:pt idx="124">
                  <c:v>0.15487588662354351</c:v>
                </c:pt>
                <c:pt idx="125">
                  <c:v>0.1532592826999698</c:v>
                </c:pt>
                <c:pt idx="126">
                  <c:v>0.15166338743418942</c:v>
                </c:pt>
                <c:pt idx="127">
                  <c:v>0.15008786575545741</c:v>
                </c:pt>
                <c:pt idx="128">
                  <c:v>0.14853238953535011</c:v>
                </c:pt>
                <c:pt idx="129">
                  <c:v>0.14699663740474969</c:v>
                </c:pt>
                <c:pt idx="130">
                  <c:v>0.14548029457683653</c:v>
                </c:pt>
                <c:pt idx="131">
                  <c:v>0.14398305267584877</c:v>
                </c:pt>
                <c:pt idx="132">
                  <c:v>0.14250460957138109</c:v>
                </c:pt>
                <c:pt idx="133">
                  <c:v>0.14104466921800887</c:v>
                </c:pt>
                <c:pt idx="134">
                  <c:v>0.13960294150002708</c:v>
                </c:pt>
                <c:pt idx="135">
                  <c:v>0.13817914208110826</c:v>
                </c:pt>
                <c:pt idx="136">
                  <c:v>0.13677299225869258</c:v>
                </c:pt>
                <c:pt idx="137">
                  <c:v>0.13538421882292609</c:v>
                </c:pt>
                <c:pt idx="138">
                  <c:v>0.13401255391997946</c:v>
                </c:pt>
                <c:pt idx="139">
                  <c:v>0.13265773491958097</c:v>
                </c:pt>
                <c:pt idx="140">
                  <c:v>0.13131950428660533</c:v>
                </c:pt>
                <c:pt idx="141">
                  <c:v>0.12999760945657265</c:v>
                </c:pt>
                <c:pt idx="142">
                  <c:v>0.12869180271490899</c:v>
                </c:pt>
                <c:pt idx="143">
                  <c:v>0.12740184107983402</c:v>
                </c:pt>
                <c:pt idx="144">
                  <c:v>0.12612748618874375</c:v>
                </c:pt>
                <c:pt idx="145">
                  <c:v>0.1248685041879638</c:v>
                </c:pt>
                <c:pt idx="146">
                  <c:v>0.12362466562574827</c:v>
                </c:pt>
                <c:pt idx="147">
                  <c:v>0.12239574534841555</c:v>
                </c:pt>
                <c:pt idx="148">
                  <c:v>0.1211815223995041</c:v>
                </c:pt>
                <c:pt idx="149">
                  <c:v>0.11998177992184629</c:v>
                </c:pt>
                <c:pt idx="150">
                  <c:v>0.11879630506245703</c:v>
                </c:pt>
                <c:pt idx="151">
                  <c:v>0.11762488888013951</c:v>
                </c:pt>
                <c:pt idx="152">
                  <c:v>0.11646732625571618</c:v>
                </c:pt>
                <c:pt idx="153">
                  <c:v>0.11532341580479297</c:v>
                </c:pt>
                <c:pt idx="154">
                  <c:v>0.11419295979297181</c:v>
                </c:pt>
                <c:pt idx="155">
                  <c:v>0.11307576405343046</c:v>
                </c:pt>
                <c:pt idx="156">
                  <c:v>0.11197163790678605</c:v>
                </c:pt>
                <c:pt idx="157">
                  <c:v>0.11088039408317082</c:v>
                </c:pt>
                <c:pt idx="158">
                  <c:v>0.10980184864644289</c:v>
                </c:pt>
                <c:pt idx="159">
                  <c:v>0.10873582092046556</c:v>
                </c:pt>
                <c:pt idx="160">
                  <c:v>0.10768213341738216</c:v>
                </c:pt>
                <c:pt idx="161">
                  <c:v>0.10664061176782724</c:v>
                </c:pt>
                <c:pt idx="162">
                  <c:v>0.10561108465300742</c:v>
                </c:pt>
                <c:pt idx="163">
                  <c:v>0.1045933837385936</c:v>
                </c:pt>
                <c:pt idx="164">
                  <c:v>0.10358734361036481</c:v>
                </c:pt>
                <c:pt idx="165">
                  <c:v>0.10259280171155145</c:v>
                </c:pt>
                <c:pt idx="166">
                  <c:v>0.10160959828181877</c:v>
                </c:pt>
                <c:pt idx="167">
                  <c:v>0.10063757629784549</c:v>
                </c:pt>
                <c:pt idx="168">
                  <c:v>9.9676581415442292E-2</c:v>
                </c:pt>
                <c:pt idx="169">
                  <c:v>9.8726461913163727E-2</c:v>
                </c:pt>
                <c:pt idx="170">
                  <c:v>9.7787068637370869E-2</c:v>
                </c:pt>
                <c:pt idx="171">
                  <c:v>9.6858254948693864E-2</c:v>
                </c:pt>
                <c:pt idx="172">
                  <c:v>9.5939876669857135E-2</c:v>
                </c:pt>
                <c:pt idx="173">
                  <c:v>9.5031792034822954E-2</c:v>
                </c:pt>
                <c:pt idx="174">
                  <c:v>9.413386163921357E-2</c:v>
                </c:pt>
                <c:pt idx="175">
                  <c:v>9.3245948391975031E-2</c:v>
                </c:pt>
                <c:pt idx="176">
                  <c:v>9.2367917468244215E-2</c:v>
                </c:pt>
                <c:pt idx="177">
                  <c:v>9.1499636263381548E-2</c:v>
                </c:pt>
                <c:pt idx="178">
                  <c:v>9.0640974348140821E-2</c:v>
                </c:pt>
                <c:pt idx="179">
                  <c:v>8.9791803424935243E-2</c:v>
                </c:pt>
                <c:pt idx="180">
                  <c:v>8.8951997285172224E-2</c:v>
                </c:pt>
                <c:pt idx="181">
                  <c:v>8.8121431767624894E-2</c:v>
                </c:pt>
                <c:pt idx="182">
                  <c:v>8.7299984717809892E-2</c:v>
                </c:pt>
                <c:pt idx="183">
                  <c:v>8.648753594834116E-2</c:v>
                </c:pt>
                <c:pt idx="184">
                  <c:v>8.5683967200235384E-2</c:v>
                </c:pt>
                <c:pt idx="185">
                  <c:v>8.4889162105137417E-2</c:v>
                </c:pt>
                <c:pt idx="186">
                  <c:v>8.4103006148442211E-2</c:v>
                </c:pt>
                <c:pt idx="187">
                  <c:v>8.3325386633288367E-2</c:v>
                </c:pt>
                <c:pt idx="188">
                  <c:v>8.2556192645397056E-2</c:v>
                </c:pt>
                <c:pt idx="189">
                  <c:v>8.1795315018732218E-2</c:v>
                </c:pt>
                <c:pt idx="190">
                  <c:v>8.1042646301962784E-2</c:v>
                </c:pt>
                <c:pt idx="191">
                  <c:v>8.0298080725699869E-2</c:v>
                </c:pt>
                <c:pt idx="192">
                  <c:v>7.9561514170491621E-2</c:v>
                </c:pt>
                <c:pt idx="193">
                  <c:v>7.8832844135551777E-2</c:v>
                </c:pt>
                <c:pt idx="194">
                  <c:v>7.8111969708204471E-2</c:v>
                </c:pt>
                <c:pt idx="195">
                  <c:v>7.7398791534024208E-2</c:v>
                </c:pt>
                <c:pt idx="196">
                  <c:v>7.6693211787652066E-2</c:v>
                </c:pt>
                <c:pt idx="197">
                  <c:v>7.5995134144271351E-2</c:v>
                </c:pt>
                <c:pt idx="198">
                  <c:v>7.5304463751723838E-2</c:v>
                </c:pt>
                <c:pt idx="199">
                  <c:v>7.4621107203249631E-2</c:v>
                </c:pt>
                <c:pt idx="200">
                  <c:v>7.3944972510833942E-2</c:v>
                </c:pt>
                <c:pt idx="201">
                  <c:v>7.327596907914595E-2</c:v>
                </c:pt>
                <c:pt idx="202">
                  <c:v>7.2614007680052509E-2</c:v>
                </c:pt>
                <c:pt idx="203">
                  <c:v>7.1959000427692627E-2</c:v>
                </c:pt>
                <c:pt idx="204">
                  <c:v>7.131086075409751E-2</c:v>
                </c:pt>
                <c:pt idx="205">
                  <c:v>7.0669503385342863E-2</c:v>
                </c:pt>
                <c:pt idx="206">
                  <c:v>7.0034844318219075E-2</c:v>
                </c:pt>
                <c:pt idx="207">
                  <c:v>6.9406800797405244E-2</c:v>
                </c:pt>
                <c:pt idx="208">
                  <c:v>6.878529129313575E-2</c:v>
                </c:pt>
                <c:pt idx="209">
                  <c:v>6.8170235479346156E-2</c:v>
                </c:pt>
                <c:pt idx="210">
                  <c:v>6.75615542122847E-2</c:v>
                </c:pt>
                <c:pt idx="211">
                  <c:v>6.6959169509580779E-2</c:v>
                </c:pt>
                <c:pt idx="212">
                  <c:v>6.6363004529755701E-2</c:v>
                </c:pt>
                <c:pt idx="213">
                  <c:v>6.5772983552166542E-2</c:v>
                </c:pt>
                <c:pt idx="214">
                  <c:v>6.5189031957372412E-2</c:v>
                </c:pt>
                <c:pt idx="215">
                  <c:v>6.461107620791022E-2</c:v>
                </c:pt>
                <c:pt idx="216">
                  <c:v>6.403904382947348E-2</c:v>
                </c:pt>
                <c:pt idx="217">
                  <c:v>6.3472863392481788E-2</c:v>
                </c:pt>
                <c:pt idx="218">
                  <c:v>6.2912464494030401E-2</c:v>
                </c:pt>
                <c:pt idx="219">
                  <c:v>6.2357777740214393E-2</c:v>
                </c:pt>
                <c:pt idx="220">
                  <c:v>6.1808734728814575E-2</c:v>
                </c:pt>
                <c:pt idx="221">
                  <c:v>6.1265268032337832E-2</c:v>
                </c:pt>
                <c:pt idx="222">
                  <c:v>6.072731118140396E-2</c:v>
                </c:pt>
                <c:pt idx="223">
                  <c:v>6.0194798648469543E-2</c:v>
                </c:pt>
                <c:pt idx="224">
                  <c:v>5.9667665831881191E-2</c:v>
                </c:pt>
                <c:pt idx="225">
                  <c:v>5.9145849040250491E-2</c:v>
                </c:pt>
                <c:pt idx="226">
                  <c:v>5.8629285477143071E-2</c:v>
                </c:pt>
                <c:pt idx="227">
                  <c:v>5.8117913226073646E-2</c:v>
                </c:pt>
                <c:pt idx="228">
                  <c:v>5.7611671235800972E-2</c:v>
                </c:pt>
                <c:pt idx="229">
                  <c:v>5.7110499305914129E-2</c:v>
                </c:pt>
                <c:pt idx="230">
                  <c:v>5.6614338072705245E-2</c:v>
                </c:pt>
                <c:pt idx="231">
                  <c:v>5.6123128995319876E-2</c:v>
                </c:pt>
                <c:pt idx="232">
                  <c:v>5.5636814342180534E-2</c:v>
                </c:pt>
                <c:pt idx="233">
                  <c:v>5.5155337177676012E-2</c:v>
                </c:pt>
                <c:pt idx="234">
                  <c:v>5.46786413491097E-2</c:v>
                </c:pt>
                <c:pt idx="235">
                  <c:v>5.4206671473903074E-2</c:v>
                </c:pt>
                <c:pt idx="236">
                  <c:v>5.3739372927046218E-2</c:v>
                </c:pt>
                <c:pt idx="237">
                  <c:v>5.3276691828790974E-2</c:v>
                </c:pt>
                <c:pt idx="238">
                  <c:v>5.2818575032581951E-2</c:v>
                </c:pt>
                <c:pt idx="239">
                  <c:v>5.2364970113217453E-2</c:v>
                </c:pt>
                <c:pt idx="240">
                  <c:v>5.1915825355237803E-2</c:v>
                </c:pt>
                <c:pt idx="241">
                  <c:v>5.1471089741534824E-2</c:v>
                </c:pt>
                <c:pt idx="242">
                  <c:v>5.1030712942177509E-2</c:v>
                </c:pt>
                <c:pt idx="243">
                  <c:v>5.0594645303449363E-2</c:v>
                </c:pt>
                <c:pt idx="244">
                  <c:v>5.0162837837091599E-2</c:v>
                </c:pt>
                <c:pt idx="245">
                  <c:v>4.9735242209750286E-2</c:v>
                </c:pt>
                <c:pt idx="246">
                  <c:v>4.9311810732619664E-2</c:v>
                </c:pt>
                <c:pt idx="247">
                  <c:v>4.8892496351279124E-2</c:v>
                </c:pt>
                <c:pt idx="248">
                  <c:v>4.8477252635721023E-2</c:v>
                </c:pt>
                <c:pt idx="249">
                  <c:v>4.8066033770560783E-2</c:v>
                </c:pt>
                <c:pt idx="250">
                  <c:v>4.7658794545430483E-2</c:v>
                </c:pt>
                <c:pt idx="251">
                  <c:v>4.7255490345547997E-2</c:v>
                </c:pt>
                <c:pt idx="252">
                  <c:v>4.6856077142460428E-2</c:v>
                </c:pt>
                <c:pt idx="253">
                  <c:v>4.6460511484956564E-2</c:v>
                </c:pt>
                <c:pt idx="254">
                  <c:v>4.6068750490145201E-2</c:v>
                </c:pt>
                <c:pt idx="255">
                  <c:v>4.5680751834696325E-2</c:v>
                </c:pt>
                <c:pt idx="256">
                  <c:v>4.5296473746240642E-2</c:v>
                </c:pt>
                <c:pt idx="257">
                  <c:v>4.4915874994925296E-2</c:v>
                </c:pt>
                <c:pt idx="258">
                  <c:v>4.453891488512144E-2</c:v>
                </c:pt>
                <c:pt idx="259">
                  <c:v>4.416555324728072E-2</c:v>
                </c:pt>
                <c:pt idx="260">
                  <c:v>4.3795750429938128E-2</c:v>
                </c:pt>
                <c:pt idx="261">
                  <c:v>4.3429467291857739E-2</c:v>
                </c:pt>
                <c:pt idx="262">
                  <c:v>4.3066665194317864E-2</c:v>
                </c:pt>
                <c:pt idx="263">
                  <c:v>4.2707305993533611E-2</c:v>
                </c:pt>
                <c:pt idx="264">
                  <c:v>4.2351352033213434E-2</c:v>
                </c:pt>
                <c:pt idx="265">
                  <c:v>4.1998766137247075E-2</c:v>
                </c:pt>
                <c:pt idx="266">
                  <c:v>4.1649511602522282E-2</c:v>
                </c:pt>
                <c:pt idx="267">
                  <c:v>4.1303552191867536E-2</c:v>
                </c:pt>
                <c:pt idx="268">
                  <c:v>4.0960852127118134E-2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35F-4210-B319-5D005264E760}"/>
            </c:ext>
          </c:extLst>
        </c:ser>
        <c:ser>
          <c:idx val="2"/>
          <c:order val="2"/>
          <c:tx>
            <c:v>Log-normal</c:v>
          </c:tx>
          <c:spPr>
            <a:ln w="28440">
              <a:solidFill>
                <a:srgbClr val="4CAF5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extrapolation!$R$15:$R$283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0.99940350185864968</c:v>
                </c:pt>
                <c:pt idx="2">
                  <c:v>0.9958528647888073</c:v>
                </c:pt>
                <c:pt idx="3">
                  <c:v>0.98894473059813959</c:v>
                </c:pt>
                <c:pt idx="4">
                  <c:v>0.97928251386805909</c:v>
                </c:pt>
                <c:pt idx="5">
                  <c:v>0.96753711697124478</c:v>
                </c:pt>
                <c:pt idx="6">
                  <c:v>0.95427176316416396</c:v>
                </c:pt>
                <c:pt idx="7">
                  <c:v>0.93992846886957604</c:v>
                </c:pt>
                <c:pt idx="8">
                  <c:v>0.92484702572958477</c:v>
                </c:pt>
                <c:pt idx="9">
                  <c:v>0.90928709489404524</c:v>
                </c:pt>
                <c:pt idx="10">
                  <c:v>0.89344693187611623</c:v>
                </c:pt>
                <c:pt idx="11">
                  <c:v>0.87747798723853021</c:v>
                </c:pt>
                <c:pt idx="12">
                  <c:v>0.8614959843434814</c:v>
                </c:pt>
                <c:pt idx="13">
                  <c:v>0.84558926162808468</c:v>
                </c:pt>
                <c:pt idx="14">
                  <c:v>0.82982505984323607</c:v>
                </c:pt>
                <c:pt idx="15">
                  <c:v>0.81425428150278334</c:v>
                </c:pt>
                <c:pt idx="16">
                  <c:v>0.79891511538827942</c:v>
                </c:pt>
                <c:pt idx="17">
                  <c:v>0.7838358147917267</c:v>
                </c:pt>
                <c:pt idx="18">
                  <c:v>0.7690368410573416</c:v>
                </c:pt>
                <c:pt idx="19">
                  <c:v>0.75453252786925473</c:v>
                </c:pt>
                <c:pt idx="20">
                  <c:v>0.74033238110215682</c:v>
                </c:pt>
                <c:pt idx="21">
                  <c:v>0.72644209959653216</c:v>
                </c:pt>
                <c:pt idx="22">
                  <c:v>0.71286438077150949</c:v>
                </c:pt>
                <c:pt idx="23">
                  <c:v>0.6995995592754175</c:v>
                </c:pt>
                <c:pt idx="24">
                  <c:v>0.68664611528416009</c:v>
                </c:pt>
                <c:pt idx="25">
                  <c:v>0.67400108044727847</c:v>
                </c:pt>
                <c:pt idx="26">
                  <c:v>0.66166036303877918</c:v>
                </c:pt>
                <c:pt idx="27">
                  <c:v>0.64961900901454706</c:v>
                </c:pt>
                <c:pt idx="28">
                  <c:v>0.63787141199400887</c:v>
                </c:pt>
                <c:pt idx="29">
                  <c:v>0.62641148236961208</c:v>
                </c:pt>
                <c:pt idx="30">
                  <c:v>0.61523278358448952</c:v>
                </c:pt>
                <c:pt idx="31">
                  <c:v>0.60432864194576386</c:v>
                </c:pt>
                <c:pt idx="32">
                  <c:v>0.59369223503973401</c:v>
                </c:pt>
                <c:pt idx="33">
                  <c:v>0.58331666279754657</c:v>
                </c:pt>
                <c:pt idx="34">
                  <c:v>0.57319500445998117</c:v>
                </c:pt>
                <c:pt idx="35">
                  <c:v>0.56332036405800889</c:v>
                </c:pt>
                <c:pt idx="36">
                  <c:v>0.55368590652424265</c:v>
                </c:pt>
                <c:pt idx="37">
                  <c:v>0.54428488615059201</c:v>
                </c:pt>
                <c:pt idx="38">
                  <c:v>0.53511066878743607</c:v>
                </c:pt>
                <c:pt idx="39">
                  <c:v>0.52615674892248565</c:v>
                </c:pt>
                <c:pt idx="40">
                  <c:v>0.51741676257011604</c:v>
                </c:pt>
                <c:pt idx="41">
                  <c:v>0.50888449673410852</c:v>
                </c:pt>
                <c:pt idx="42">
                  <c:v>0.50055389607045497</c:v>
                </c:pt>
                <c:pt idx="43">
                  <c:v>0.4924190672658848</c:v>
                </c:pt>
                <c:pt idx="44">
                  <c:v>0.4844742815571087</c:v>
                </c:pt>
                <c:pt idx="45">
                  <c:v>0.47671397574151897</c:v>
                </c:pt>
                <c:pt idx="46">
                  <c:v>0.46913275196912074</c:v>
                </c:pt>
                <c:pt idx="47">
                  <c:v>0.461725376555292</c:v>
                </c:pt>
                <c:pt idx="48">
                  <c:v>0.4544867780125853</c:v>
                </c:pt>
                <c:pt idx="49">
                  <c:v>0.44741204446558802</c:v>
                </c:pt>
                <c:pt idx="50">
                  <c:v>0.44049642058453986</c:v>
                </c:pt>
                <c:pt idx="51">
                  <c:v>0.43373530414992623</c:v>
                </c:pt>
                <c:pt idx="52">
                  <c:v>0.42712424234076785</c:v>
                </c:pt>
                <c:pt idx="53">
                  <c:v>0.42065892782310599</c:v>
                </c:pt>
                <c:pt idx="54">
                  <c:v>0.41433519470168401</c:v>
                </c:pt>
                <c:pt idx="55">
                  <c:v>0.40814901438657947</c:v>
                </c:pt>
                <c:pt idx="56">
                  <c:v>0.40209649141714943</c:v>
                </c:pt>
                <c:pt idx="57">
                  <c:v>0.39617385927783821</c:v>
                </c:pt>
                <c:pt idx="58">
                  <c:v>0.39037747623385155</c:v>
                </c:pt>
                <c:pt idx="59">
                  <c:v>0.38470382120925739</c:v>
                </c:pt>
                <c:pt idx="60">
                  <c:v>0.37914948972551743</c:v>
                </c:pt>
                <c:pt idx="61">
                  <c:v>0.37371118991466457</c:v>
                </c:pt>
                <c:pt idx="62">
                  <c:v>0.3683857386181717</c:v>
                </c:pt>
                <c:pt idx="63">
                  <c:v>0.36317005757992848</c:v>
                </c:pt>
                <c:pt idx="64">
                  <c:v>0.35806116973955326</c:v>
                </c:pt>
                <c:pt idx="65">
                  <c:v>0.35305619563045199</c:v>
                </c:pt>
                <c:pt idx="66">
                  <c:v>0.34815234988553256</c:v>
                </c:pt>
                <c:pt idx="67">
                  <c:v>0.34334693785224546</c:v>
                </c:pt>
                <c:pt idx="68">
                  <c:v>0.33863735231760672</c:v>
                </c:pt>
                <c:pt idx="69">
                  <c:v>0.3340210703430232</c:v>
                </c:pt>
                <c:pt idx="70">
                  <c:v>0.32949565020806837</c:v>
                </c:pt>
                <c:pt idx="71">
                  <c:v>0.32505872846181605</c:v>
                </c:pt>
                <c:pt idx="72">
                  <c:v>0.32070801707989838</c:v>
                </c:pt>
                <c:pt idx="73">
                  <c:v>0.31644130072512178</c:v>
                </c:pt>
                <c:pt idx="74">
                  <c:v>0.31225643410920645</c:v>
                </c:pt>
                <c:pt idx="75">
                  <c:v>0.30815133945301532</c:v>
                </c:pt>
                <c:pt idx="76">
                  <c:v>0.30412400404249862</c:v>
                </c:pt>
                <c:pt idx="77">
                  <c:v>0.30017247787747381</c:v>
                </c:pt>
                <c:pt idx="78">
                  <c:v>0.29629487141030275</c:v>
                </c:pt>
                <c:pt idx="79">
                  <c:v>0.29248935337149295</c:v>
                </c:pt>
                <c:pt idx="80">
                  <c:v>0.28875414867924754</c:v>
                </c:pt>
                <c:pt idx="81">
                  <c:v>0.28508753642999485</c:v>
                </c:pt>
                <c:pt idx="82">
                  <c:v>0.28148784796697079</c:v>
                </c:pt>
                <c:pt idx="83">
                  <c:v>0.27795346502395746</c:v>
                </c:pt>
                <c:pt idx="84">
                  <c:v>0.27448281794135176</c:v>
                </c:pt>
                <c:pt idx="85">
                  <c:v>0.27107438395178807</c:v>
                </c:pt>
                <c:pt idx="86">
                  <c:v>0.26772668553262169</c:v>
                </c:pt>
                <c:pt idx="87">
                  <c:v>0.26443828882263798</c:v>
                </c:pt>
                <c:pt idx="88">
                  <c:v>0.26120780210045291</c:v>
                </c:pt>
                <c:pt idx="89">
                  <c:v>0.25803387432212654</c:v>
                </c:pt>
                <c:pt idx="90">
                  <c:v>0.25491519371561677</c:v>
                </c:pt>
                <c:pt idx="91">
                  <c:v>0.25185048642976082</c:v>
                </c:pt>
                <c:pt idx="92">
                  <c:v>0.2488385152355741</c:v>
                </c:pt>
                <c:pt idx="93">
                  <c:v>0.24587807827772434</c:v>
                </c:pt>
                <c:pt idx="94">
                  <c:v>0.24296800787412332</c:v>
                </c:pt>
                <c:pt idx="95">
                  <c:v>0.24010716936166565</c:v>
                </c:pt>
                <c:pt idx="96">
                  <c:v>0.23729445998620391</c:v>
                </c:pt>
                <c:pt idx="97">
                  <c:v>0.23452880783494701</c:v>
                </c:pt>
                <c:pt idx="98">
                  <c:v>0.23180917080952557</c:v>
                </c:pt>
                <c:pt idx="99">
                  <c:v>0.22913453563804709</c:v>
                </c:pt>
                <c:pt idx="100">
                  <c:v>0.22650391692453153</c:v>
                </c:pt>
                <c:pt idx="101">
                  <c:v>0.22391635623418638</c:v>
                </c:pt>
                <c:pt idx="102">
                  <c:v>0.22137092121304414</c:v>
                </c:pt>
                <c:pt idx="103">
                  <c:v>0.21886670474054215</c:v>
                </c:pt>
                <c:pt idx="104">
                  <c:v>0.21640282411369915</c:v>
                </c:pt>
                <c:pt idx="105">
                  <c:v>0.21397842026158154</c:v>
                </c:pt>
                <c:pt idx="106">
                  <c:v>0.21159265698882601</c:v>
                </c:pt>
                <c:pt idx="107">
                  <c:v>0.20924472024702445</c:v>
                </c:pt>
                <c:pt idx="108">
                  <c:v>0.20693381743283679</c:v>
                </c:pt>
                <c:pt idx="109">
                  <c:v>0.20465917671174494</c:v>
                </c:pt>
                <c:pt idx="110">
                  <c:v>0.20242004636640221</c:v>
                </c:pt>
                <c:pt idx="111">
                  <c:v>0.20021569416858753</c:v>
                </c:pt>
                <c:pt idx="112">
                  <c:v>0.198045406773807</c:v>
                </c:pt>
                <c:pt idx="113">
                  <c:v>0.1959084891376337</c:v>
                </c:pt>
                <c:pt idx="114">
                  <c:v>0.19380426395291317</c:v>
                </c:pt>
                <c:pt idx="115">
                  <c:v>0.19173207110699697</c:v>
                </c:pt>
                <c:pt idx="116">
                  <c:v>0.18969126715821016</c:v>
                </c:pt>
                <c:pt idx="117">
                  <c:v>0.1876812248307842</c:v>
                </c:pt>
                <c:pt idx="118">
                  <c:v>0.18570133252752774</c:v>
                </c:pt>
                <c:pt idx="119">
                  <c:v>0.18375099385953175</c:v>
                </c:pt>
                <c:pt idx="120">
                  <c:v>0.18182962719224205</c:v>
                </c:pt>
                <c:pt idx="121">
                  <c:v>0.1799366652072566</c:v>
                </c:pt>
                <c:pt idx="122">
                  <c:v>0.17807155447923484</c:v>
                </c:pt>
                <c:pt idx="123">
                  <c:v>0.17623375506732997</c:v>
                </c:pt>
                <c:pt idx="124">
                  <c:v>0.17442274012058312</c:v>
                </c:pt>
                <c:pt idx="125">
                  <c:v>0.17263799549674153</c:v>
                </c:pt>
                <c:pt idx="126">
                  <c:v>0.1708790193939812</c:v>
                </c:pt>
                <c:pt idx="127">
                  <c:v>0.16914532199504395</c:v>
                </c:pt>
                <c:pt idx="128">
                  <c:v>0.16743642512331436</c:v>
                </c:pt>
                <c:pt idx="129">
                  <c:v>0.16575186191038238</c:v>
                </c:pt>
                <c:pt idx="130">
                  <c:v>0.16409117647465798</c:v>
                </c:pt>
                <c:pt idx="131">
                  <c:v>0.16245392361062128</c:v>
                </c:pt>
                <c:pt idx="132">
                  <c:v>0.16083966848830888</c:v>
                </c:pt>
                <c:pt idx="133">
                  <c:v>0.15924798636265636</c:v>
                </c:pt>
                <c:pt idx="134">
                  <c:v>0.15767846229232552</c:v>
                </c:pt>
                <c:pt idx="135">
                  <c:v>0.15613069086767006</c:v>
                </c:pt>
                <c:pt idx="136">
                  <c:v>0.15460427594749948</c:v>
                </c:pt>
                <c:pt idx="137">
                  <c:v>0.15309883040431882</c:v>
                </c:pt>
                <c:pt idx="138">
                  <c:v>0.15161397587773351</c:v>
                </c:pt>
                <c:pt idx="139">
                  <c:v>0.15014934253572343</c:v>
                </c:pt>
                <c:pt idx="140">
                  <c:v>0.1487045688434987</c:v>
                </c:pt>
                <c:pt idx="141">
                  <c:v>0.14727930133966527</c:v>
                </c:pt>
                <c:pt idx="142">
                  <c:v>0.14587319441943536</c:v>
                </c:pt>
                <c:pt idx="143">
                  <c:v>0.14448591012463119</c:v>
                </c:pt>
                <c:pt idx="144">
                  <c:v>0.14311711794024085</c:v>
                </c:pt>
                <c:pt idx="145">
                  <c:v>0.14176649459729096</c:v>
                </c:pt>
                <c:pt idx="146">
                  <c:v>0.14043372388181552</c:v>
                </c:pt>
                <c:pt idx="147">
                  <c:v>0.13911849644970409</c:v>
                </c:pt>
                <c:pt idx="148">
                  <c:v>0.13782050964722381</c:v>
                </c:pt>
                <c:pt idx="149">
                  <c:v>0.13653946733701727</c:v>
                </c:pt>
                <c:pt idx="150">
                  <c:v>0.13527507972938591</c:v>
                </c:pt>
                <c:pt idx="151">
                  <c:v>0.13402706321867441</c:v>
                </c:pt>
                <c:pt idx="152">
                  <c:v>0.13279514022458305</c:v>
                </c:pt>
                <c:pt idx="153">
                  <c:v>0.13157903903823509</c:v>
                </c:pt>
                <c:pt idx="154">
                  <c:v>0.13037849367283993</c:v>
                </c:pt>
                <c:pt idx="155">
                  <c:v>0.12919324371879326</c:v>
                </c:pt>
                <c:pt idx="156">
                  <c:v>0.1280230342030646</c:v>
                </c:pt>
                <c:pt idx="157">
                  <c:v>0.12686761545272773</c:v>
                </c:pt>
                <c:pt idx="158">
                  <c:v>0.12572674296249342</c:v>
                </c:pt>
                <c:pt idx="159">
                  <c:v>0.12460017726611261</c:v>
                </c:pt>
                <c:pt idx="160">
                  <c:v>0.12348768381151809</c:v>
                </c:pt>
                <c:pt idx="161">
                  <c:v>0.12238903283958213</c:v>
                </c:pt>
                <c:pt idx="162">
                  <c:v>0.12130399926637203</c:v>
                </c:pt>
                <c:pt idx="163">
                  <c:v>0.12023236256878445</c:v>
                </c:pt>
                <c:pt idx="164">
                  <c:v>0.11917390667345029</c:v>
                </c:pt>
                <c:pt idx="165">
                  <c:v>0.11812841984880451</c:v>
                </c:pt>
                <c:pt idx="166">
                  <c:v>0.11709569460021352</c:v>
                </c:pt>
                <c:pt idx="167">
                  <c:v>0.11607552756806561</c:v>
                </c:pt>
                <c:pt idx="168">
                  <c:v>0.11506771942872696</c:v>
                </c:pt>
                <c:pt idx="169">
                  <c:v>0.11407207479826897</c:v>
                </c:pt>
                <c:pt idx="170">
                  <c:v>0.11308840213888305</c:v>
                </c:pt>
                <c:pt idx="171">
                  <c:v>0.11211651366789288</c:v>
                </c:pt>
                <c:pt idx="172">
                  <c:v>0.11115622526928215</c:v>
                </c:pt>
                <c:pt idx="173">
                  <c:v>0.11020735640766233</c:v>
                </c:pt>
                <c:pt idx="174">
                  <c:v>0.10926973004459717</c:v>
                </c:pt>
                <c:pt idx="175">
                  <c:v>0.10834317255721582</c:v>
                </c:pt>
                <c:pt idx="176">
                  <c:v>0.10742751365903924</c:v>
                </c:pt>
                <c:pt idx="177">
                  <c:v>0.10652258632295208</c:v>
                </c:pt>
                <c:pt idx="178">
                  <c:v>0.1056282267062556</c:v>
                </c:pt>
                <c:pt idx="179">
                  <c:v>0.10474427407773335</c:v>
                </c:pt>
                <c:pt idx="180">
                  <c:v>0.10387057074667116</c:v>
                </c:pt>
                <c:pt idx="181">
                  <c:v>0.10300696199377035</c:v>
                </c:pt>
                <c:pt idx="182">
                  <c:v>0.10215329600389544</c:v>
                </c:pt>
                <c:pt idx="183">
                  <c:v>0.10130942380060215</c:v>
                </c:pt>
                <c:pt idx="184">
                  <c:v>0.10047519918239145</c:v>
                </c:pt>
                <c:pt idx="185">
                  <c:v>9.9650478660636477E-2</c:v>
                </c:pt>
                <c:pt idx="186">
                  <c:v>9.883512139913242E-2</c:v>
                </c:pt>
                <c:pt idx="187">
                  <c:v>9.8028989155223289E-2</c:v>
                </c:pt>
                <c:pt idx="188">
                  <c:v>9.7231946222454679E-2</c:v>
                </c:pt>
                <c:pt idx="189">
                  <c:v>9.6443859374709007E-2</c:v>
                </c:pt>
                <c:pt idx="190">
                  <c:v>9.5664597811780272E-2</c:v>
                </c:pt>
                <c:pt idx="191">
                  <c:v>9.4894033106344367E-2</c:v>
                </c:pt>
                <c:pt idx="192">
                  <c:v>9.4132039152285074E-2</c:v>
                </c:pt>
                <c:pt idx="193">
                  <c:v>9.3378492114334799E-2</c:v>
                </c:pt>
                <c:pt idx="194">
                  <c:v>9.2633270378993715E-2</c:v>
                </c:pt>
                <c:pt idx="195">
                  <c:v>9.1896254506687702E-2</c:v>
                </c:pt>
                <c:pt idx="196">
                  <c:v>9.116732718513143E-2</c:v>
                </c:pt>
                <c:pt idx="197">
                  <c:v>9.0446373183860951E-2</c:v>
                </c:pt>
                <c:pt idx="198">
                  <c:v>8.9733279309902159E-2</c:v>
                </c:pt>
                <c:pt idx="199">
                  <c:v>8.9027934364542261E-2</c:v>
                </c:pt>
                <c:pt idx="200">
                  <c:v>8.833022910117394E-2</c:v>
                </c:pt>
                <c:pt idx="201">
                  <c:v>8.7640056184181248E-2</c:v>
                </c:pt>
                <c:pt idx="202">
                  <c:v>8.6957310148836675E-2</c:v>
                </c:pt>
                <c:pt idx="203">
                  <c:v>8.6281887362183229E-2</c:v>
                </c:pt>
                <c:pt idx="204">
                  <c:v>8.5613685984870624E-2</c:v>
                </c:pt>
                <c:pt idx="205">
                  <c:v>8.4952605933923064E-2</c:v>
                </c:pt>
                <c:pt idx="206">
                  <c:v>8.4298548846408639E-2</c:v>
                </c:pt>
                <c:pt idx="207">
                  <c:v>8.3651418043987125E-2</c:v>
                </c:pt>
                <c:pt idx="208">
                  <c:v>8.3011118498312331E-2</c:v>
                </c:pt>
                <c:pt idx="209">
                  <c:v>8.2377556797265217E-2</c:v>
                </c:pt>
                <c:pt idx="210">
                  <c:v>8.1750641111992706E-2</c:v>
                </c:pt>
                <c:pt idx="211">
                  <c:v>8.1130281164734197E-2</c:v>
                </c:pt>
                <c:pt idx="212">
                  <c:v>8.0516388197410693E-2</c:v>
                </c:pt>
                <c:pt idx="213">
                  <c:v>7.9908874940957775E-2</c:v>
                </c:pt>
                <c:pt idx="214">
                  <c:v>7.9307655585381553E-2</c:v>
                </c:pt>
                <c:pt idx="215">
                  <c:v>7.8712645750517396E-2</c:v>
                </c:pt>
                <c:pt idx="216">
                  <c:v>7.8123762457475543E-2</c:v>
                </c:pt>
                <c:pt idx="217">
                  <c:v>7.7540924100750419E-2</c:v>
                </c:pt>
                <c:pt idx="218">
                  <c:v>7.6964050420980201E-2</c:v>
                </c:pt>
                <c:pt idx="219">
                  <c:v>7.639306247833666E-2</c:v>
                </c:pt>
                <c:pt idx="220">
                  <c:v>7.5827882626530396E-2</c:v>
                </c:pt>
                <c:pt idx="221">
                  <c:v>7.5268434487413494E-2</c:v>
                </c:pt>
                <c:pt idx="222">
                  <c:v>7.471464292616492E-2</c:v>
                </c:pt>
                <c:pt idx="223">
                  <c:v>7.4166434027043815E-2</c:v>
                </c:pt>
                <c:pt idx="224">
                  <c:v>7.3623735069693774E-2</c:v>
                </c:pt>
                <c:pt idx="225">
                  <c:v>7.3086474505986265E-2</c:v>
                </c:pt>
                <c:pt idx="226">
                  <c:v>7.2554581937387286E-2</c:v>
                </c:pt>
                <c:pt idx="227">
                  <c:v>7.2027988092835171E-2</c:v>
                </c:pt>
                <c:pt idx="228">
                  <c:v>7.1506624807114227E-2</c:v>
                </c:pt>
                <c:pt idx="229">
                  <c:v>7.0990424999714752E-2</c:v>
                </c:pt>
                <c:pt idx="230">
                  <c:v>7.0479322654163457E-2</c:v>
                </c:pt>
                <c:pt idx="231">
                  <c:v>6.9973252797813967E-2</c:v>
                </c:pt>
                <c:pt idx="232">
                  <c:v>6.947215148208663E-2</c:v>
                </c:pt>
                <c:pt idx="233">
                  <c:v>6.897595576314397E-2</c:v>
                </c:pt>
                <c:pt idx="234">
                  <c:v>6.8484603682992584E-2</c:v>
                </c:pt>
                <c:pt idx="235">
                  <c:v>6.7998034250999928E-2</c:v>
                </c:pt>
                <c:pt idx="236">
                  <c:v>6.7516187425815444E-2</c:v>
                </c:pt>
                <c:pt idx="237">
                  <c:v>6.7039004097686483E-2</c:v>
                </c:pt>
                <c:pt idx="238">
                  <c:v>6.6566426071158813E-2</c:v>
                </c:pt>
                <c:pt idx="239">
                  <c:v>6.6098396048152042E-2</c:v>
                </c:pt>
                <c:pt idx="240">
                  <c:v>6.5634857611400976E-2</c:v>
                </c:pt>
                <c:pt idx="241">
                  <c:v>6.5175755208252806E-2</c:v>
                </c:pt>
                <c:pt idx="242">
                  <c:v>6.4721034134813671E-2</c:v>
                </c:pt>
                <c:pt idx="243">
                  <c:v>6.4270640520433964E-2</c:v>
                </c:pt>
                <c:pt idx="244">
                  <c:v>6.3824521312523252E-2</c:v>
                </c:pt>
                <c:pt idx="245">
                  <c:v>6.3382624261690279E-2</c:v>
                </c:pt>
                <c:pt idx="246">
                  <c:v>6.2944897907197483E-2</c:v>
                </c:pt>
                <c:pt idx="247">
                  <c:v>6.2511291562721283E-2</c:v>
                </c:pt>
                <c:pt idx="248">
                  <c:v>6.2081755302414998E-2</c:v>
                </c:pt>
                <c:pt idx="249">
                  <c:v>6.1656239947262437E-2</c:v>
                </c:pt>
                <c:pt idx="250">
                  <c:v>6.1234697051718134E-2</c:v>
                </c:pt>
                <c:pt idx="251">
                  <c:v>6.0817078890626375E-2</c:v>
                </c:pt>
                <c:pt idx="252">
                  <c:v>6.0403338446412547E-2</c:v>
                </c:pt>
                <c:pt idx="253">
                  <c:v>5.9993429396539621E-2</c:v>
                </c:pt>
                <c:pt idx="254">
                  <c:v>5.9587306101224757E-2</c:v>
                </c:pt>
                <c:pt idx="255">
                  <c:v>5.9184923591408922E-2</c:v>
                </c:pt>
                <c:pt idx="256">
                  <c:v>5.8786237556973764E-2</c:v>
                </c:pt>
                <c:pt idx="257">
                  <c:v>5.8391204335199842E-2</c:v>
                </c:pt>
                <c:pt idx="258">
                  <c:v>5.7999780899461562E-2</c:v>
                </c:pt>
                <c:pt idx="259">
                  <c:v>5.7611924848150475E-2</c:v>
                </c:pt>
                <c:pt idx="260">
                  <c:v>5.7227594393825965E-2</c:v>
                </c:pt>
                <c:pt idx="261">
                  <c:v>5.6846748352583965E-2</c:v>
                </c:pt>
                <c:pt idx="262">
                  <c:v>5.646934613364063E-2</c:v>
                </c:pt>
                <c:pt idx="263">
                  <c:v>5.6095347729126166E-2</c:v>
                </c:pt>
                <c:pt idx="264">
                  <c:v>5.5724713704083051E-2</c:v>
                </c:pt>
                <c:pt idx="265">
                  <c:v>5.5357405186664321E-2</c:v>
                </c:pt>
                <c:pt idx="266">
                  <c:v>5.4993383858527922E-2</c:v>
                </c:pt>
                <c:pt idx="267">
                  <c:v>5.4632611945421683E-2</c:v>
                </c:pt>
                <c:pt idx="268">
                  <c:v>5.4275052207955032E-2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35F-4210-B319-5D005264E760}"/>
            </c:ext>
          </c:extLst>
        </c:ser>
        <c:ser>
          <c:idx val="3"/>
          <c:order val="3"/>
          <c:tx>
            <c:v>Log-logistic</c:v>
          </c:tx>
          <c:spPr>
            <a:ln w="28440">
              <a:solidFill>
                <a:srgbClr val="AB47BC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extrapolation!$S$15:$S$283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0.99811452885906005</c:v>
                </c:pt>
                <c:pt idx="2">
                  <c:v>0.99385545654162633</c:v>
                </c:pt>
                <c:pt idx="3">
                  <c:v>0.98778088011988519</c:v>
                </c:pt>
                <c:pt idx="4">
                  <c:v>0.98016677886859971</c:v>
                </c:pt>
                <c:pt idx="5">
                  <c:v>0.97121423699787313</c:v>
                </c:pt>
                <c:pt idx="6">
                  <c:v>0.96108922335252966</c:v>
                </c:pt>
                <c:pt idx="7">
                  <c:v>0.94993700431866068</c:v>
                </c:pt>
                <c:pt idx="8">
                  <c:v>0.93788858717339307</c:v>
                </c:pt>
                <c:pt idx="9">
                  <c:v>0.9250639391786466</c:v>
                </c:pt>
                <c:pt idx="10">
                  <c:v>0.91157371476622695</c:v>
                </c:pt>
                <c:pt idx="11">
                  <c:v>0.89752024017351406</c:v>
                </c:pt>
                <c:pt idx="12">
                  <c:v>0.8829981171057053</c:v>
                </c:pt>
                <c:pt idx="13">
                  <c:v>0.86809463262594599</c:v>
                </c:pt>
                <c:pt idx="14">
                  <c:v>0.85289007618778256</c:v>
                </c:pt>
                <c:pt idx="15">
                  <c:v>0.83745801888735083</c:v>
                </c:pt>
                <c:pt idx="16">
                  <c:v>0.82186558439142854</c:v>
                </c:pt>
                <c:pt idx="17">
                  <c:v>0.80617372619931027</c:v>
                </c:pt>
                <c:pt idx="18">
                  <c:v>0.79043751722538458</c:v>
                </c:pt>
                <c:pt idx="19">
                  <c:v>0.77470645264195559</c:v>
                </c:pt>
                <c:pt idx="20">
                  <c:v>0.75902476408694297</c:v>
                </c:pt>
                <c:pt idx="21">
                  <c:v>0.74343174188314831</c:v>
                </c:pt>
                <c:pt idx="22">
                  <c:v>0.72796206131963059</c:v>
                </c:pt>
                <c:pt idx="23">
                  <c:v>0.71264610898318348</c:v>
                </c:pt>
                <c:pt idx="24">
                  <c:v>0.69751030538508108</c:v>
                </c:pt>
                <c:pt idx="25">
                  <c:v>0.68257742056384707</c:v>
                </c:pt>
                <c:pt idx="26">
                  <c:v>0.66786687986534665</c:v>
                </c:pt>
                <c:pt idx="27">
                  <c:v>0.65339505764573236</c:v>
                </c:pt>
                <c:pt idx="28">
                  <c:v>0.63917555717156693</c:v>
                </c:pt>
                <c:pt idx="29">
                  <c:v>0.6252194754810686</c:v>
                </c:pt>
                <c:pt idx="30">
                  <c:v>0.61153565240768226</c:v>
                </c:pt>
                <c:pt idx="31">
                  <c:v>0.59813090334627939</c:v>
                </c:pt>
                <c:pt idx="32">
                  <c:v>0.58501023566229793</c:v>
                </c:pt>
                <c:pt idx="33">
                  <c:v>0.5721770489073037</c:v>
                </c:pt>
                <c:pt idx="34">
                  <c:v>0.55963331921504311</c:v>
                </c:pt>
                <c:pt idx="35">
                  <c:v>0.54737976841537372</c:v>
                </c:pt>
                <c:pt idx="36">
                  <c:v>0.53541601852526377</c:v>
                </c:pt>
                <c:pt idx="37">
                  <c:v>0.52374073236216534</c:v>
                </c:pt>
                <c:pt idx="38">
                  <c:v>0.51235174108108905</c:v>
                </c:pt>
                <c:pt idx="39">
                  <c:v>0.50124615946777662</c:v>
                </c:pt>
                <c:pt idx="40">
                  <c:v>0.49042048983117387</c:v>
                </c:pt>
                <c:pt idx="41">
                  <c:v>0.47987071533309827</c:v>
                </c:pt>
                <c:pt idx="42">
                  <c:v>0.4695923835751134</c:v>
                </c:pt>
                <c:pt idx="43">
                  <c:v>0.45958068123527701</c:v>
                </c:pt>
                <c:pt idx="44">
                  <c:v>0.4498305005131914</c:v>
                </c:pt>
                <c:pt idx="45">
                  <c:v>0.44033649810276621</c:v>
                </c:pt>
                <c:pt idx="46">
                  <c:v>0.431093147370118</c:v>
                </c:pt>
                <c:pt idx="47">
                  <c:v>0.42209478437041426</c:v>
                </c:pt>
                <c:pt idx="48">
                  <c:v>0.41333564829342012</c:v>
                </c:pt>
                <c:pt idx="49">
                  <c:v>0.40480991688382434</c:v>
                </c:pt>
                <c:pt idx="50">
                  <c:v>0.39651173733981421</c:v>
                </c:pt>
                <c:pt idx="51">
                  <c:v>0.38843525315229749</c:v>
                </c:pt>
                <c:pt idx="52">
                  <c:v>0.38057462730799313</c:v>
                </c:pt>
                <c:pt idx="53">
                  <c:v>0.3729240622425431</c:v>
                </c:pt>
                <c:pt idx="54">
                  <c:v>0.36547781689498887</c:v>
                </c:pt>
                <c:pt idx="55">
                  <c:v>0.35823022118245762</c:v>
                </c:pt>
                <c:pt idx="56">
                  <c:v>0.35117568818371958</c:v>
                </c:pt>
                <c:pt idx="57">
                  <c:v>0.34430872429239556</c:v>
                </c:pt>
                <c:pt idx="58">
                  <c:v>0.33762393757490489</c:v>
                </c:pt>
                <c:pt idx="59">
                  <c:v>0.33111604454469856</c:v>
                </c:pt>
                <c:pt idx="60">
                  <c:v>0.32477987554277987</c:v>
                </c:pt>
                <c:pt idx="61">
                  <c:v>0.31861037889488603</c:v>
                </c:pt>
                <c:pt idx="62">
                  <c:v>0.31260262399783917</c:v>
                </c:pt>
                <c:pt idx="63">
                  <c:v>0.30675180347137859</c:v>
                </c:pt>
                <c:pt idx="64">
                  <c:v>0.30105323449711885</c:v>
                </c:pt>
                <c:pt idx="65">
                  <c:v>0.29550235945301684</c:v>
                </c:pt>
                <c:pt idx="66">
                  <c:v>0.29009474593978019</c:v>
                </c:pt>
                <c:pt idx="67">
                  <c:v>0.28482608628487649</c:v>
                </c:pt>
                <c:pt idx="68">
                  <c:v>0.27969219660012357</c:v>
                </c:pt>
                <c:pt idx="69">
                  <c:v>0.27468901546014651</c:v>
                </c:pt>
                <c:pt idx="70">
                  <c:v>0.26981260226118375</c:v>
                </c:pt>
                <c:pt idx="71">
                  <c:v>0.26505913531275521</c:v>
                </c:pt>
                <c:pt idx="72">
                  <c:v>0.26042490970844412</c:v>
                </c:pt>
                <c:pt idx="73">
                  <c:v>0.25590633501647814</c:v>
                </c:pt>
                <c:pt idx="74">
                  <c:v>0.25149993282579997</c:v>
                </c:pt>
                <c:pt idx="75">
                  <c:v>0.24720233417889229</c:v>
                </c:pt>
                <c:pt idx="76">
                  <c:v>0.24301027691865484</c:v>
                </c:pt>
                <c:pt idx="77">
                  <c:v>0.23892060297312417</c:v>
                </c:pt>
                <c:pt idx="78">
                  <c:v>0.23493025559869318</c:v>
                </c:pt>
                <c:pt idx="79">
                  <c:v>0.23103627659972018</c:v>
                </c:pt>
                <c:pt idx="80">
                  <c:v>0.2272358035399534</c:v>
                </c:pt>
                <c:pt idx="81">
                  <c:v>0.22352606695901892</c:v>
                </c:pt>
                <c:pt idx="82">
                  <c:v>0.21990438760529768</c:v>
                </c:pt>
                <c:pt idx="83">
                  <c:v>0.21636817369480868</c:v>
                </c:pt>
                <c:pt idx="84">
                  <c:v>0.21291491820422229</c:v>
                </c:pt>
                <c:pt idx="85">
                  <c:v>0.20954219620479894</c:v>
                </c:pt>
                <c:pt idx="86">
                  <c:v>0.2062476622428901</c:v>
                </c:pt>
                <c:pt idx="87">
                  <c:v>0.20302904777161165</c:v>
                </c:pt>
                <c:pt idx="88">
                  <c:v>0.19988415863741543</c:v>
                </c:pt>
                <c:pt idx="89">
                  <c:v>0.19681087262448785</c:v>
                </c:pt>
                <c:pt idx="90">
                  <c:v>0.19380713705923688</c:v>
                </c:pt>
                <c:pt idx="91">
                  <c:v>0.19087096647652035</c:v>
                </c:pt>
                <c:pt idx="92">
                  <c:v>0.18800044034876223</c:v>
                </c:pt>
                <c:pt idx="93">
                  <c:v>0.18519370087865519</c:v>
                </c:pt>
                <c:pt idx="94">
                  <c:v>0.18244895085575527</c:v>
                </c:pt>
                <c:pt idx="95">
                  <c:v>0.17976445157695781</c:v>
                </c:pt>
                <c:pt idx="96">
                  <c:v>0.17713852083054507</c:v>
                </c:pt>
                <c:pt idx="97">
                  <c:v>0.17456953094326969</c:v>
                </c:pt>
                <c:pt idx="98">
                  <c:v>0.17205590688972661</c:v>
                </c:pt>
                <c:pt idx="99">
                  <c:v>0.16959612446309888</c:v>
                </c:pt>
                <c:pt idx="100">
                  <c:v>0.16718870850622089</c:v>
                </c:pt>
                <c:pt idx="101">
                  <c:v>0.16483223120178958</c:v>
                </c:pt>
                <c:pt idx="102">
                  <c:v>0.1625253104204567</c:v>
                </c:pt>
                <c:pt idx="103">
                  <c:v>0.16026660812545968</c:v>
                </c:pt>
                <c:pt idx="104">
                  <c:v>0.15805482883240063</c:v>
                </c:pt>
                <c:pt idx="105">
                  <c:v>0.15588871812272781</c:v>
                </c:pt>
                <c:pt idx="106">
                  <c:v>0.1537670612094531</c:v>
                </c:pt>
                <c:pt idx="107">
                  <c:v>0.15168868155361792</c:v>
                </c:pt>
                <c:pt idx="108">
                  <c:v>0.14965243953000759</c:v>
                </c:pt>
                <c:pt idx="109">
                  <c:v>0.14765723114061968</c:v>
                </c:pt>
                <c:pt idx="110">
                  <c:v>0.14570198677438909</c:v>
                </c:pt>
                <c:pt idx="111">
                  <c:v>0.14378567001169554</c:v>
                </c:pt>
                <c:pt idx="112">
                  <c:v>0.1419072764721831</c:v>
                </c:pt>
                <c:pt idx="113">
                  <c:v>0.14006583270445597</c:v>
                </c:pt>
                <c:pt idx="114">
                  <c:v>0.13826039511622928</c:v>
                </c:pt>
                <c:pt idx="115">
                  <c:v>0.13649004894354416</c:v>
                </c:pt>
                <c:pt idx="116">
                  <c:v>0.13475390725769021</c:v>
                </c:pt>
                <c:pt idx="117">
                  <c:v>0.13305111000850464</c:v>
                </c:pt>
                <c:pt idx="118">
                  <c:v>0.13138082310275312</c:v>
                </c:pt>
                <c:pt idx="119">
                  <c:v>0.12974223751633218</c:v>
                </c:pt>
                <c:pt idx="120">
                  <c:v>0.12813456843906601</c:v>
                </c:pt>
                <c:pt idx="121">
                  <c:v>0.12655705445090781</c:v>
                </c:pt>
                <c:pt idx="122">
                  <c:v>0.12500895672839249</c:v>
                </c:pt>
                <c:pt idx="123">
                  <c:v>0.12348955828021833</c:v>
                </c:pt>
                <c:pt idx="124">
                  <c:v>0.12199816321087605</c:v>
                </c:pt>
                <c:pt idx="125">
                  <c:v>0.1205340960112798</c:v>
                </c:pt>
                <c:pt idx="126">
                  <c:v>0.11909670087538085</c:v>
                </c:pt>
                <c:pt idx="127">
                  <c:v>0.11768534104179261</c:v>
                </c:pt>
                <c:pt idx="128">
                  <c:v>0.11629939815947614</c:v>
                </c:pt>
                <c:pt idx="129">
                  <c:v>0.11493827167657857</c:v>
                </c:pt>
                <c:pt idx="130">
                  <c:v>0.11360137825154455</c:v>
                </c:pt>
                <c:pt idx="131">
                  <c:v>0.11228815118565093</c:v>
                </c:pt>
                <c:pt idx="132">
                  <c:v>0.11099803987615273</c:v>
                </c:pt>
                <c:pt idx="133">
                  <c:v>0.10973050928925003</c:v>
                </c:pt>
                <c:pt idx="134">
                  <c:v>0.10848503945212096</c:v>
                </c:pt>
                <c:pt idx="135">
                  <c:v>0.10726112496329067</c:v>
                </c:pt>
                <c:pt idx="136">
                  <c:v>0.10605827452063787</c:v>
                </c:pt>
                <c:pt idx="137">
                  <c:v>0.10487601046635922</c:v>
                </c:pt>
                <c:pt idx="138">
                  <c:v>0.10371386834824972</c:v>
                </c:pt>
                <c:pt idx="139">
                  <c:v>0.10257139649666819</c:v>
                </c:pt>
                <c:pt idx="140">
                  <c:v>0.10144815561659411</c:v>
                </c:pt>
                <c:pt idx="141">
                  <c:v>0.10034371839419497</c:v>
                </c:pt>
                <c:pt idx="142">
                  <c:v>9.9257669117353384E-2</c:v>
                </c:pt>
                <c:pt idx="143">
                  <c:v>9.8189603309618179E-2</c:v>
                </c:pt>
                <c:pt idx="144">
                  <c:v>9.7139127377071172E-2</c:v>
                </c:pt>
                <c:pt idx="145">
                  <c:v>9.6105858267616251E-2</c:v>
                </c:pt>
                <c:pt idx="146">
                  <c:v>9.5089423142218313E-2</c:v>
                </c:pt>
                <c:pt idx="147">
                  <c:v>9.4089459057640407E-2</c:v>
                </c:pt>
                <c:pt idx="148">
                  <c:v>9.3105612660239798E-2</c:v>
                </c:pt>
                <c:pt idx="149">
                  <c:v>9.213753989040932E-2</c:v>
                </c:pt>
                <c:pt idx="150">
                  <c:v>9.1184905697258206E-2</c:v>
                </c:pt>
                <c:pt idx="151">
                  <c:v>9.0247383763146435E-2</c:v>
                </c:pt>
                <c:pt idx="152">
                  <c:v>8.9324656237704816E-2</c:v>
                </c:pt>
                <c:pt idx="153">
                  <c:v>8.8416413480982434E-2</c:v>
                </c:pt>
                <c:pt idx="154">
                  <c:v>8.7522353815377957E-2</c:v>
                </c:pt>
                <c:pt idx="155">
                  <c:v>8.6642183286031307E-2</c:v>
                </c:pt>
                <c:pt idx="156">
                  <c:v>8.5775615429353538E-2</c:v>
                </c:pt>
                <c:pt idx="157">
                  <c:v>8.4922371049398496E-2</c:v>
                </c:pt>
                <c:pt idx="158">
                  <c:v>8.4082178001779986E-2</c:v>
                </c:pt>
                <c:pt idx="159">
                  <c:v>8.3254770984858159E-2</c:v>
                </c:pt>
                <c:pt idx="160">
                  <c:v>8.2439891337925147E-2</c:v>
                </c:pt>
                <c:pt idx="161">
                  <c:v>8.1637286846132071E-2</c:v>
                </c:pt>
                <c:pt idx="162">
                  <c:v>8.0846711551910255E-2</c:v>
                </c:pt>
                <c:pt idx="163">
                  <c:v>8.0067925572648399E-2</c:v>
                </c:pt>
                <c:pt idx="164">
                  <c:v>7.9300694924395745E-2</c:v>
                </c:pt>
                <c:pt idx="165">
                  <c:v>7.8544791351374321E-2</c:v>
                </c:pt>
                <c:pt idx="166">
                  <c:v>7.7799992161085726E-2</c:v>
                </c:pt>
                <c:pt idx="167">
                  <c:v>7.706608006481204E-2</c:v>
                </c:pt>
                <c:pt idx="168">
                  <c:v>7.6342843023315829E-2</c:v>
                </c:pt>
                <c:pt idx="169">
                  <c:v>7.563007409754903E-2</c:v>
                </c:pt>
                <c:pt idx="170">
                  <c:v>7.4927571304195237E-2</c:v>
                </c:pt>
                <c:pt idx="171">
                  <c:v>7.4235137475867755E-2</c:v>
                </c:pt>
                <c:pt idx="172">
                  <c:v>7.3552580125799877E-2</c:v>
                </c:pt>
                <c:pt idx="173">
                  <c:v>7.2879711316867046E-2</c:v>
                </c:pt>
                <c:pt idx="174">
                  <c:v>7.2216347534785272E-2</c:v>
                </c:pt>
                <c:pt idx="175">
                  <c:v>7.156230956534082E-2</c:v>
                </c:pt>
                <c:pt idx="176">
                  <c:v>7.0917422375505926E-2</c:v>
                </c:pt>
                <c:pt idx="177">
                  <c:v>7.0281514998305664E-2</c:v>
                </c:pt>
                <c:pt idx="178">
                  <c:v>6.9654420421304597E-2</c:v>
                </c:pt>
                <c:pt idx="179">
                  <c:v>6.9035975478585448E-2</c:v>
                </c:pt>
                <c:pt idx="180">
                  <c:v>6.8426020746098479E-2</c:v>
                </c:pt>
                <c:pt idx="181">
                  <c:v>6.7824400440264845E-2</c:v>
                </c:pt>
                <c:pt idx="182">
                  <c:v>6.7230962319721463E-2</c:v>
                </c:pt>
                <c:pt idx="183">
                  <c:v>6.6645557590097756E-2</c:v>
                </c:pt>
                <c:pt idx="184">
                  <c:v>6.6068040811721102E-2</c:v>
                </c:pt>
                <c:pt idx="185">
                  <c:v>6.5498269810150375E-2</c:v>
                </c:pt>
                <c:pt idx="186">
                  <c:v>6.493610558944006E-2</c:v>
                </c:pt>
                <c:pt idx="187">
                  <c:v>6.438141224804339E-2</c:v>
                </c:pt>
                <c:pt idx="188">
                  <c:v>6.3834056897263056E-2</c:v>
                </c:pt>
                <c:pt idx="189">
                  <c:v>6.3293909582164923E-2</c:v>
                </c:pt>
                <c:pt idx="190">
                  <c:v>6.2760843204870437E-2</c:v>
                </c:pt>
                <c:pt idx="191">
                  <c:v>6.2234733450148669E-2</c:v>
                </c:pt>
                <c:pt idx="192">
                  <c:v>6.1715458713229775E-2</c:v>
                </c:pt>
                <c:pt idx="193">
                  <c:v>6.1202900029767318E-2</c:v>
                </c:pt>
                <c:pt idx="194">
                  <c:v>6.069694100787619E-2</c:v>
                </c:pt>
                <c:pt idx="195">
                  <c:v>6.0197467762177985E-2</c:v>
                </c:pt>
                <c:pt idx="196">
                  <c:v>5.9704368849788095E-2</c:v>
                </c:pt>
                <c:pt idx="197">
                  <c:v>5.9217535208178664E-2</c:v>
                </c:pt>
                <c:pt idx="198">
                  <c:v>5.8736860094858838E-2</c:v>
                </c:pt>
                <c:pt idx="199">
                  <c:v>5.8262239028808664E-2</c:v>
                </c:pt>
                <c:pt idx="200">
                  <c:v>5.7793569733613576E-2</c:v>
                </c:pt>
                <c:pt idx="201">
                  <c:v>5.7330752082241199E-2</c:v>
                </c:pt>
                <c:pt idx="202">
                  <c:v>5.6873688043408352E-2</c:v>
                </c:pt>
                <c:pt idx="203">
                  <c:v>5.6422281629487515E-2</c:v>
                </c:pt>
                <c:pt idx="204">
                  <c:v>5.5976438845901484E-2</c:v>
                </c:pt>
                <c:pt idx="205">
                  <c:v>5.5536067641959917E-2</c:v>
                </c:pt>
                <c:pt idx="206">
                  <c:v>5.5101077863091492E-2</c:v>
                </c:pt>
                <c:pt idx="207">
                  <c:v>5.4671381204426252E-2</c:v>
                </c:pt>
                <c:pt idx="208">
                  <c:v>5.4246891165685956E-2</c:v>
                </c:pt>
                <c:pt idx="209">
                  <c:v>5.3827523007341317E-2</c:v>
                </c:pt>
                <c:pt idx="210">
                  <c:v>5.3413193707995708E-2</c:v>
                </c:pt>
                <c:pt idx="211">
                  <c:v>5.3003821922955809E-2</c:v>
                </c:pt>
                <c:pt idx="212">
                  <c:v>5.259932794395443E-2</c:v>
                </c:pt>
                <c:pt idx="213">
                  <c:v>5.2199633659987157E-2</c:v>
                </c:pt>
                <c:pt idx="214">
                  <c:v>5.1804662519228897E-2</c:v>
                </c:pt>
                <c:pt idx="215">
                  <c:v>5.1414339491997654E-2</c:v>
                </c:pt>
                <c:pt idx="216">
                  <c:v>5.1028591034731591E-2</c:v>
                </c:pt>
                <c:pt idx="217">
                  <c:v>5.0647345054950138E-2</c:v>
                </c:pt>
                <c:pt idx="218">
                  <c:v>5.0270530877165986E-2</c:v>
                </c:pt>
                <c:pt idx="219">
                  <c:v>4.9898079209722598E-2</c:v>
                </c:pt>
                <c:pt idx="220">
                  <c:v>4.9529922112525493E-2</c:v>
                </c:pt>
                <c:pt idx="221">
                  <c:v>4.9165992965642454E-2</c:v>
                </c:pt>
                <c:pt idx="222">
                  <c:v>4.8806226438744965E-2</c:v>
                </c:pt>
                <c:pt idx="223">
                  <c:v>4.8450558461366776E-2</c:v>
                </c:pt>
                <c:pt idx="224">
                  <c:v>4.8098926193953076E-2</c:v>
                </c:pt>
                <c:pt idx="225">
                  <c:v>4.7751267999678569E-2</c:v>
                </c:pt>
                <c:pt idx="226">
                  <c:v>4.7407523417010239E-2</c:v>
                </c:pt>
                <c:pt idx="227">
                  <c:v>4.7067633132992816E-2</c:v>
                </c:pt>
                <c:pt idx="228">
                  <c:v>4.6731538957235773E-2</c:v>
                </c:pt>
                <c:pt idx="229">
                  <c:v>4.6399183796580409E-2</c:v>
                </c:pt>
                <c:pt idx="230">
                  <c:v>4.6070511630428163E-2</c:v>
                </c:pt>
                <c:pt idx="231">
                  <c:v>4.5745467486708873E-2</c:v>
                </c:pt>
                <c:pt idx="232">
                  <c:v>4.5423997418472313E-2</c:v>
                </c:pt>
                <c:pt idx="233">
                  <c:v>4.5106048481082989E-2</c:v>
                </c:pt>
                <c:pt idx="234">
                  <c:v>4.4791568710001811E-2</c:v>
                </c:pt>
                <c:pt idx="235">
                  <c:v>4.4480507099136792E-2</c:v>
                </c:pt>
                <c:pt idx="236">
                  <c:v>4.4172813579746888E-2</c:v>
                </c:pt>
                <c:pt idx="237">
                  <c:v>4.3868438999882582E-2</c:v>
                </c:pt>
                <c:pt idx="238">
                  <c:v>4.3567335104348355E-2</c:v>
                </c:pt>
                <c:pt idx="239">
                  <c:v>4.3269454515171481E-2</c:v>
                </c:pt>
                <c:pt idx="240">
                  <c:v>4.2974750712562487E-2</c:v>
                </c:pt>
                <c:pt idx="241">
                  <c:v>4.2683178016354524E-2</c:v>
                </c:pt>
                <c:pt idx="242">
                  <c:v>4.2394691567906595E-2</c:v>
                </c:pt>
                <c:pt idx="243">
                  <c:v>4.2109247312458568E-2</c:v>
                </c:pt>
                <c:pt idx="244">
                  <c:v>4.1826801981924157E-2</c:v>
                </c:pt>
                <c:pt idx="245">
                  <c:v>4.1547313078111166E-2</c:v>
                </c:pt>
                <c:pt idx="246">
                  <c:v>4.127073885635528E-2</c:v>
                </c:pt>
                <c:pt idx="247">
                  <c:v>4.0997038309556533E-2</c:v>
                </c:pt>
                <c:pt idx="248">
                  <c:v>4.0726171152608487E-2</c:v>
                </c:pt>
                <c:pt idx="249">
                  <c:v>4.0458097807206661E-2</c:v>
                </c:pt>
                <c:pt idx="250">
                  <c:v>4.0192779387027998E-2</c:v>
                </c:pt>
                <c:pt idx="251">
                  <c:v>3.9930177683269966E-2</c:v>
                </c:pt>
                <c:pt idx="252">
                  <c:v>3.967025515053979E-2</c:v>
                </c:pt>
                <c:pt idx="253">
                  <c:v>3.9412974893084297E-2</c:v>
                </c:pt>
                <c:pt idx="254">
                  <c:v>3.9158300651350411E-2</c:v>
                </c:pt>
                <c:pt idx="255">
                  <c:v>3.8906196788868502E-2</c:v>
                </c:pt>
                <c:pt idx="256">
                  <c:v>3.8656628279448421E-2</c:v>
                </c:pt>
                <c:pt idx="257">
                  <c:v>3.8409560694681016E-2</c:v>
                </c:pt>
                <c:pt idx="258">
                  <c:v>3.8164960191736083E-2</c:v>
                </c:pt>
                <c:pt idx="259">
                  <c:v>3.7922793501448969E-2</c:v>
                </c:pt>
                <c:pt idx="260">
                  <c:v>3.7683027916688067E-2</c:v>
                </c:pt>
                <c:pt idx="261">
                  <c:v>3.744563128099631E-2</c:v>
                </c:pt>
                <c:pt idx="262">
                  <c:v>3.721057197749833E-2</c:v>
                </c:pt>
                <c:pt idx="263">
                  <c:v>3.6977818918066466E-2</c:v>
                </c:pt>
                <c:pt idx="264">
                  <c:v>3.6747341532740084E-2</c:v>
                </c:pt>
                <c:pt idx="265">
                  <c:v>3.6519109759389226E-2</c:v>
                </c:pt>
                <c:pt idx="266">
                  <c:v>3.6293094033618176E-2</c:v>
                </c:pt>
                <c:pt idx="267">
                  <c:v>3.606926527890196E-2</c:v>
                </c:pt>
                <c:pt idx="268">
                  <c:v>3.5847594896948824E-2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35F-4210-B319-5D005264E760}"/>
            </c:ext>
          </c:extLst>
        </c:ser>
        <c:ser>
          <c:idx val="4"/>
          <c:order val="4"/>
          <c:tx>
            <c:v>Gompertz</c:v>
          </c:tx>
          <c:spPr>
            <a:ln w="28440">
              <a:solidFill>
                <a:srgbClr val="FFFF0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extrapolation!$T$15:$T$283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0.98939715248499538</c:v>
                </c:pt>
                <c:pt idx="2">
                  <c:v>0.97866580739003806</c:v>
                </c:pt>
                <c:pt idx="3">
                  <c:v>0.9678071112695863</c:v>
                </c:pt>
                <c:pt idx="4">
                  <c:v>0.95682235121550607</c:v>
                </c:pt>
                <c:pt idx="5">
                  <c:v>0.94571295918902842</c:v>
                </c:pt>
                <c:pt idx="6">
                  <c:v>0.93448051630623641</c:v>
                </c:pt>
                <c:pt idx="7">
                  <c:v>0.92312675706291114</c:v>
                </c:pt>
                <c:pt idx="8">
                  <c:v>0.91165357348370868</c:v>
                </c:pt>
                <c:pt idx="9">
                  <c:v>0.90006301917976428</c:v>
                </c:pt>
                <c:pt idx="10">
                  <c:v>0.8883573132979431</c:v>
                </c:pt>
                <c:pt idx="11">
                  <c:v>0.87653884434407026</c:v>
                </c:pt>
                <c:pt idx="12">
                  <c:v>0.86461017386159567</c:v>
                </c:pt>
                <c:pt idx="13">
                  <c:v>0.85257403994626835</c:v>
                </c:pt>
                <c:pt idx="14">
                  <c:v>0.8404333605765314</c:v>
                </c:pt>
                <c:pt idx="15">
                  <c:v>0.82819123673849926</c:v>
                </c:pt>
                <c:pt idx="16">
                  <c:v>0.81585095532355378</c:v>
                </c:pt>
                <c:pt idx="17">
                  <c:v>0.80341599177579837</c:v>
                </c:pt>
                <c:pt idx="18">
                  <c:v>0.79089001246584834</c:v>
                </c:pt>
                <c:pt idx="19">
                  <c:v>0.77827687676672597</c:v>
                </c:pt>
                <c:pt idx="20">
                  <c:v>0.76558063880696026</c:v>
                </c:pt>
                <c:pt idx="21">
                  <c:v>0.75280554887539775</c:v>
                </c:pt>
                <c:pt idx="22">
                  <c:v>0.73995605445170043</c:v>
                </c:pt>
                <c:pt idx="23">
                  <c:v>0.72703680083605859</c:v>
                </c:pt>
                <c:pt idx="24">
                  <c:v>0.71405263135129737</c:v>
                </c:pt>
                <c:pt idx="25">
                  <c:v>0.70100858709029712</c:v>
                </c:pt>
                <c:pt idx="26">
                  <c:v>0.68790990618151737</c:v>
                </c:pt>
                <c:pt idx="27">
                  <c:v>0.6747620225453973</c:v>
                </c:pt>
                <c:pt idx="28">
                  <c:v>0.66157056411453974</c:v>
                </c:pt>
                <c:pt idx="29">
                  <c:v>0.64834135049085462</c:v>
                </c:pt>
                <c:pt idx="30">
                  <c:v>0.6350803900132892</c:v>
                </c:pt>
                <c:pt idx="31">
                  <c:v>0.62179387621038029</c:v>
                </c:pt>
                <c:pt idx="32">
                  <c:v>0.60848818361267754</c:v>
                </c:pt>
                <c:pt idx="33">
                  <c:v>0.59516986290108809</c:v>
                </c:pt>
                <c:pt idx="34">
                  <c:v>0.58184563536842071</c:v>
                </c:pt>
                <c:pt idx="35">
                  <c:v>0.56852238667284716</c:v>
                </c:pt>
                <c:pt idx="36">
                  <c:v>0.55520715986369262</c:v>
                </c:pt>
                <c:pt idx="37">
                  <c:v>0.54190714766189285</c:v>
                </c:pt>
                <c:pt idx="38">
                  <c:v>0.52862968397965304</c:v>
                </c:pt>
                <c:pt idx="39">
                  <c:v>0.51538223466630162</c:v>
                </c:pt>
                <c:pt idx="40">
                  <c:v>0.5021723874700661</c:v>
                </c:pt>
                <c:pt idx="41">
                  <c:v>0.48900784120851881</c:v>
                </c:pt>
                <c:pt idx="42">
                  <c:v>0.47589639414374002</c:v>
                </c:pt>
                <c:pt idx="43">
                  <c:v>0.46284593156183912</c:v>
                </c:pt>
                <c:pt idx="44">
                  <c:v>0.44986441256035881</c:v>
                </c:pt>
                <c:pt idx="45">
                  <c:v>0.43695985605125021</c:v>
                </c:pt>
                <c:pt idx="46">
                  <c:v>0.42414032599156537</c:v>
                </c:pt>
                <c:pt idx="47">
                  <c:v>0.41141391585873116</c:v>
                </c:pt>
                <c:pt idx="48">
                  <c:v>0.39878873239226564</c:v>
                </c:pt>
                <c:pt idx="49">
                  <c:v>0.38627287862903048</c:v>
                </c:pt>
                <c:pt idx="50">
                  <c:v>0.37387443626458688</c:v>
                </c:pt>
                <c:pt idx="51">
                  <c:v>0.3616014473788931</c:v>
                </c:pt>
                <c:pt idx="52">
                  <c:v>0.34946189557045076</c:v>
                </c:pt>
                <c:pt idx="53">
                  <c:v>0.33746368654900655</c:v>
                </c:pt>
                <c:pt idx="54">
                  <c:v>0.3256146282430496</c:v>
                </c:pt>
                <c:pt idx="55">
                  <c:v>0.31392241048454239</c:v>
                </c:pt>
                <c:pt idx="56">
                  <c:v>0.30239458433955169</c:v>
                </c:pt>
                <c:pt idx="57">
                  <c:v>0.29103854115966682</c:v>
                </c:pt>
                <c:pt idx="58">
                  <c:v>0.27986149143522104</c:v>
                </c:pt>
                <c:pt idx="59">
                  <c:v>0.26887044353734807</c:v>
                </c:pt>
                <c:pt idx="60">
                  <c:v>0.25807218244171121</c:v>
                </c:pt>
                <c:pt idx="61">
                  <c:v>0.2474732485322971</c:v>
                </c:pt>
                <c:pt idx="62">
                  <c:v>0.23707991658887895</c:v>
                </c:pt>
                <c:pt idx="63">
                  <c:v>0.22689817506656484</c:v>
                </c:pt>
                <c:pt idx="64">
                  <c:v>0.21693370578016985</c:v>
                </c:pt>
                <c:pt idx="65">
                  <c:v>0.20719186410991344</c:v>
                </c:pt>
                <c:pt idx="66">
                  <c:v>0.19767765984806082</c:v>
                </c:pt>
                <c:pt idx="67">
                  <c:v>0.18839573880851992</c:v>
                </c:pt>
                <c:pt idx="68">
                  <c:v>0.17935036532299972</c:v>
                </c:pt>
                <c:pt idx="69">
                  <c:v>0.17054540574803786</c:v>
                </c:pt>
                <c:pt idx="70">
                  <c:v>0.16198431310696876</c:v>
                </c:pt>
                <c:pt idx="71">
                  <c:v>0.15367011298961453</c:v>
                </c:pt>
                <c:pt idx="72">
                  <c:v>0.14560539083012772</c:v>
                </c:pt>
                <c:pt idx="73">
                  <c:v>0.137792280679885</c:v>
                </c:pt>
                <c:pt idx="74">
                  <c:v>0.13023245558762134</c:v>
                </c:pt>
                <c:pt idx="75">
                  <c:v>0.12292711969303408</c:v>
                </c:pt>
                <c:pt idx="76">
                  <c:v>0.11587700213286342</c:v>
                </c:pt>
                <c:pt idx="77">
                  <c:v>0.10908235284995403</c:v>
                </c:pt>
                <c:pt idx="78">
                  <c:v>0.10254294038601708</c:v>
                </c:pt>
                <c:pt idx="79">
                  <c:v>9.6258051727766733E-2</c:v>
                </c:pt>
                <c:pt idx="80">
                  <c:v>9.0226494263829088E-2</c:v>
                </c:pt>
                <c:pt idx="81">
                  <c:v>8.444659989636763E-2</c:v>
                </c:pt>
                <c:pt idx="82">
                  <c:v>7.8916231336813636E-2</c:v>
                </c:pt>
                <c:pt idx="83">
                  <c:v>7.3632790599519007E-2</c:v>
                </c:pt>
                <c:pt idx="84">
                  <c:v>6.8593229690679977E-2</c:v>
                </c:pt>
                <c:pt idx="85">
                  <c:v>6.3794063472642923E-2</c:v>
                </c:pt>
                <c:pt idx="86">
                  <c:v>5.9231384665853801E-2</c:v>
                </c:pt>
                <c:pt idx="87">
                  <c:v>5.4900880932421042E-2</c:v>
                </c:pt>
                <c:pt idx="88">
                  <c:v>5.0797853966723538E-2</c:v>
                </c:pt>
                <c:pt idx="89">
                  <c:v>4.6917240499912208E-2</c:v>
                </c:pt>
                <c:pt idx="90">
                  <c:v>4.3253635106756651E-2</c:v>
                </c:pt>
                <c:pt idx="91">
                  <c:v>3.9801314685303568E-2</c:v>
                </c:pt>
                <c:pt idx="92">
                  <c:v>3.6554264462497842E-2</c:v>
                </c:pt>
                <c:pt idx="93">
                  <c:v>3.3506205362505696E-2</c:v>
                </c:pt>
                <c:pt idx="94">
                  <c:v>3.0650622559239071E-2</c:v>
                </c:pt>
                <c:pt idx="95">
                  <c:v>2.7980795020752229E-2</c:v>
                </c:pt>
                <c:pt idx="96">
                  <c:v>2.5489825841013586E-2</c:v>
                </c:pt>
                <c:pt idx="97">
                  <c:v>2.3170673144277742E-2</c:v>
                </c:pt>
                <c:pt idx="98">
                  <c:v>2.1016181339111643E-2</c:v>
                </c:pt>
                <c:pt idx="99">
                  <c:v>1.901911249325813E-2</c:v>
                </c:pt>
                <c:pt idx="100">
                  <c:v>1.7172177597114577E-2</c:v>
                </c:pt>
                <c:pt idx="101">
                  <c:v>1.5468067482805952E-2</c:v>
                </c:pt>
                <c:pt idx="102">
                  <c:v>1.3899483167731846E-2</c:v>
                </c:pt>
                <c:pt idx="103">
                  <c:v>1.2459165396133719E-2</c:v>
                </c:pt>
                <c:pt idx="104">
                  <c:v>1.1139923159672776E-2</c:v>
                </c:pt>
                <c:pt idx="105">
                  <c:v>9.9346609882037546E-3</c:v>
                </c:pt>
                <c:pt idx="106">
                  <c:v>8.8364048147962192E-3</c:v>
                </c:pt>
                <c:pt idx="107">
                  <c:v>7.8383262344664216E-3</c:v>
                </c:pt>
                <c:pt idx="108">
                  <c:v>6.9337649938631006E-3</c:v>
                </c:pt>
                <c:pt idx="109">
                  <c:v>6.116249569075821E-3</c:v>
                </c:pt>
                <c:pt idx="110">
                  <c:v>5.3795157105372545E-3</c:v>
                </c:pt>
                <c:pt idx="111">
                  <c:v>4.7175228573579338E-3</c:v>
                </c:pt>
                <c:pt idx="112">
                  <c:v>4.1244683480190078E-3</c:v>
                </c:pt>
                <c:pt idx="113">
                  <c:v>3.5947993797758276E-3</c:v>
                </c:pt>
                <c:pt idx="114">
                  <c:v>3.123222694991626E-3</c:v>
                </c:pt>
                <c:pt idx="115">
                  <c:v>2.7047119985089607E-3</c:v>
                </c:pt>
                <c:pt idx="116">
                  <c:v>2.3345131356529271E-3</c:v>
                </c:pt>
                <c:pt idx="117">
                  <c:v>2.0081470851219529E-3</c:v>
                </c:pt>
                <c:pt idx="118">
                  <c:v>1.7214108444505499E-3</c:v>
                </c:pt>
                <c:pt idx="119">
                  <c:v>1.4703763075340477E-3</c:v>
                </c:pt>
                <c:pt idx="120">
                  <c:v>1.2513872535315706E-3</c:v>
                </c:pt>
                <c:pt idx="121">
                  <c:v>1.0610545839925293E-3</c:v>
                </c:pt>
                <c:pt idx="122">
                  <c:v>8.962499600133093E-4</c:v>
                </c:pt>
                <c:pt idx="123">
                  <c:v>7.5409800341008084E-4</c:v>
                </c:pt>
                <c:pt idx="124">
                  <c:v>6.3196723513514366E-4</c:v>
                </c:pt>
                <c:pt idx="125">
                  <c:v>5.2745993037754484E-4</c:v>
                </c:pt>
                <c:pt idx="126">
                  <c:v>4.3840107294908177E-4</c:v>
                </c:pt>
                <c:pt idx="127">
                  <c:v>3.6282659170709983E-4</c:v>
                </c:pt>
                <c:pt idx="128">
                  <c:v>2.9897105901271234E-4</c:v>
                </c:pt>
                <c:pt idx="129">
                  <c:v>2.452550257373105E-4</c:v>
                </c:pt>
                <c:pt idx="130">
                  <c:v>2.0027215933680748E-4</c:v>
                </c:pt>
                <c:pt idx="131">
                  <c:v>1.627763412880524E-4</c:v>
                </c:pt>
                <c:pt idx="132">
                  <c:v>1.3166886804157825E-4</c:v>
                </c:pt>
                <c:pt idx="133">
                  <c:v>1.0598588593804213E-4</c:v>
                </c:pt>
                <c:pt idx="134">
                  <c:v>8.4886175632045325E-5</c:v>
                </c:pt>
                <c:pt idx="135">
                  <c:v>6.7639385846715304E-5</c:v>
                </c:pt>
                <c:pt idx="136">
                  <c:v>5.3614800125403723E-5</c:v>
                </c:pt>
                <c:pt idx="137">
                  <c:v>4.2270704021829421E-5</c:v>
                </c:pt>
                <c:pt idx="138">
                  <c:v>3.3144404224864301E-5</c:v>
                </c:pt>
                <c:pt idx="139">
                  <c:v>2.5842935766930995E-5</c:v>
                </c:pt>
                <c:pt idx="140">
                  <c:v>2.0034478996275524E-5</c:v>
                </c:pt>
                <c:pt idx="141">
                  <c:v>1.5440494640459876E-5</c:v>
                </c:pt>
                <c:pt idx="142">
                  <c:v>1.1828573241013762E-5</c:v>
                </c:pt>
                <c:pt idx="143">
                  <c:v>9.0059846369918709E-6</c:v>
                </c:pt>
                <c:pt idx="144">
                  <c:v>6.8139041074982365E-6</c:v>
                </c:pt>
                <c:pt idx="145">
                  <c:v>5.1222842900499407E-6</c:v>
                </c:pt>
                <c:pt idx="146">
                  <c:v>3.8253360666839094E-6</c:v>
                </c:pt>
                <c:pt idx="147">
                  <c:v>2.8375772046240816E-6</c:v>
                </c:pt>
                <c:pt idx="148">
                  <c:v>2.0904045682757113E-6</c:v>
                </c:pt>
                <c:pt idx="149">
                  <c:v>1.5291440692709855E-6</c:v>
                </c:pt>
                <c:pt idx="150">
                  <c:v>1.1105320528958473E-6</c:v>
                </c:pt>
                <c:pt idx="151">
                  <c:v>8.0058237791985621E-7</c:v>
                </c:pt>
                <c:pt idx="152">
                  <c:v>5.7279486879629637E-7</c:v>
                </c:pt>
                <c:pt idx="153">
                  <c:v>4.0666293790632904E-7</c:v>
                </c:pt>
                <c:pt idx="154">
                  <c:v>2.8644082776836857E-7</c:v>
                </c:pt>
                <c:pt idx="155">
                  <c:v>2.0013395409052805E-7</c:v>
                </c:pt>
                <c:pt idx="156">
                  <c:v>1.3867909792451852E-7</c:v>
                </c:pt>
                <c:pt idx="157">
                  <c:v>9.528457236157955E-8</c:v>
                </c:pt>
                <c:pt idx="158">
                  <c:v>6.4903867305751978E-8</c:v>
                </c:pt>
                <c:pt idx="159">
                  <c:v>4.3819564776760326E-8</c:v>
                </c:pt>
                <c:pt idx="160">
                  <c:v>2.9317445780965741E-8</c:v>
                </c:pt>
                <c:pt idx="161">
                  <c:v>1.9433625173620794E-8</c:v>
                </c:pt>
                <c:pt idx="162">
                  <c:v>1.2760217222332098E-8</c:v>
                </c:pt>
                <c:pt idx="163">
                  <c:v>8.297431050675928E-9</c:v>
                </c:pt>
                <c:pt idx="164">
                  <c:v>5.3421141280100204E-9</c:v>
                </c:pt>
                <c:pt idx="165">
                  <c:v>3.4046065754965011E-9</c:v>
                </c:pt>
                <c:pt idx="166">
                  <c:v>2.1473508202340706E-9</c:v>
                </c:pt>
                <c:pt idx="167">
                  <c:v>1.3400378008250281E-9</c:v>
                </c:pt>
                <c:pt idx="168">
                  <c:v>8.271844214486236E-10</c:v>
                </c:pt>
                <c:pt idx="169">
                  <c:v>5.0495154069230068E-10</c:v>
                </c:pt>
                <c:pt idx="170">
                  <c:v>3.0475258673901095E-10</c:v>
                </c:pt>
                <c:pt idx="171">
                  <c:v>1.8179467168447812E-10</c:v>
                </c:pt>
                <c:pt idx="172">
                  <c:v>1.0716032389297662E-10</c:v>
                </c:pt>
                <c:pt idx="173">
                  <c:v>6.240025585244692E-11</c:v>
                </c:pt>
                <c:pt idx="174">
                  <c:v>3.5885236541919146E-11</c:v>
                </c:pt>
                <c:pt idx="175">
                  <c:v>2.0374976894955543E-11</c:v>
                </c:pt>
                <c:pt idx="176">
                  <c:v>1.1418319536929466E-11</c:v>
                </c:pt>
                <c:pt idx="177">
                  <c:v>6.3139326424046102E-12</c:v>
                </c:pt>
                <c:pt idx="178">
                  <c:v>3.4439456051399359E-12</c:v>
                </c:pt>
                <c:pt idx="179">
                  <c:v>1.8523967697443697E-12</c:v>
                </c:pt>
                <c:pt idx="180">
                  <c:v>9.821838231615563E-13</c:v>
                </c:pt>
                <c:pt idx="181">
                  <c:v>5.1320273930019406E-13</c:v>
                </c:pt>
                <c:pt idx="182">
                  <c:v>2.6416523495990802E-13</c:v>
                </c:pt>
                <c:pt idx="183">
                  <c:v>1.3390677627773087E-13</c:v>
                </c:pt>
                <c:pt idx="184">
                  <c:v>6.6821444583267791E-14</c:v>
                </c:pt>
                <c:pt idx="185">
                  <c:v>3.2813929819181866E-14</c:v>
                </c:pt>
                <c:pt idx="186">
                  <c:v>1.5851440762462646E-14</c:v>
                </c:pt>
                <c:pt idx="187">
                  <c:v>7.5297865968132491E-15</c:v>
                </c:pt>
                <c:pt idx="188">
                  <c:v>3.5158596987854425E-15</c:v>
                </c:pt>
                <c:pt idx="189">
                  <c:v>1.6130319494300866E-15</c:v>
                </c:pt>
                <c:pt idx="190">
                  <c:v>7.2684299776100661E-16</c:v>
                </c:pt>
                <c:pt idx="191">
                  <c:v>3.2154668044062805E-16</c:v>
                </c:pt>
                <c:pt idx="192">
                  <c:v>1.3959460432238081E-16</c:v>
                </c:pt>
                <c:pt idx="193">
                  <c:v>5.9446399705772328E-17</c:v>
                </c:pt>
                <c:pt idx="194">
                  <c:v>2.4821132133124922E-17</c:v>
                </c:pt>
                <c:pt idx="195">
                  <c:v>1.0156849997178929E-17</c:v>
                </c:pt>
                <c:pt idx="196">
                  <c:v>4.071324020496707E-18</c:v>
                </c:pt>
                <c:pt idx="197">
                  <c:v>1.5978814588224117E-18</c:v>
                </c:pt>
                <c:pt idx="198">
                  <c:v>6.137252821791648E-19</c:v>
                </c:pt>
                <c:pt idx="199">
                  <c:v>2.305724720773869E-19</c:v>
                </c:pt>
                <c:pt idx="200">
                  <c:v>8.468827734737067E-20</c:v>
                </c:pt>
                <c:pt idx="201">
                  <c:v>3.0394488800850087E-20</c:v>
                </c:pt>
                <c:pt idx="202">
                  <c:v>1.0653447125307001E-20</c:v>
                </c:pt>
                <c:pt idx="203">
                  <c:v>3.6447852293255772E-21</c:v>
                </c:pt>
                <c:pt idx="204">
                  <c:v>1.2164588903379383E-21</c:v>
                </c:pt>
                <c:pt idx="205">
                  <c:v>3.9583870962344239E-22</c:v>
                </c:pt>
                <c:pt idx="206">
                  <c:v>1.2551057176796552E-22</c:v>
                </c:pt>
                <c:pt idx="207">
                  <c:v>3.8754630062762895E-23</c:v>
                </c:pt>
                <c:pt idx="208">
                  <c:v>1.1646143667498734E-23</c:v>
                </c:pt>
                <c:pt idx="209">
                  <c:v>3.4039551355691152E-24</c:v>
                </c:pt>
                <c:pt idx="210">
                  <c:v>9.6705292034219041E-25</c:v>
                </c:pt>
                <c:pt idx="211">
                  <c:v>2.6686802856174818E-25</c:v>
                </c:pt>
                <c:pt idx="212">
                  <c:v>7.1487701556378754E-26</c:v>
                </c:pt>
                <c:pt idx="213">
                  <c:v>1.8576182045958309E-26</c:v>
                </c:pt>
                <c:pt idx="214">
                  <c:v>4.6791492068076624E-27</c:v>
                </c:pt>
                <c:pt idx="215">
                  <c:v>1.1416962392228679E-27</c:v>
                </c:pt>
                <c:pt idx="216">
                  <c:v>2.6964241716935326E-28</c:v>
                </c:pt>
                <c:pt idx="217">
                  <c:v>6.1596093401929911E-29</c:v>
                </c:pt>
                <c:pt idx="218">
                  <c:v>1.3599133923438672E-29</c:v>
                </c:pt>
                <c:pt idx="219">
                  <c:v>2.8994828809271677E-30</c:v>
                </c:pt>
                <c:pt idx="220">
                  <c:v>5.9652858610881677E-31</c:v>
                </c:pt>
                <c:pt idx="221">
                  <c:v>1.1832744958377977E-31</c:v>
                </c:pt>
                <c:pt idx="222">
                  <c:v>2.2610862828978094E-32</c:v>
                </c:pt>
                <c:pt idx="223">
                  <c:v>4.1586421898026681E-33</c:v>
                </c:pt>
                <c:pt idx="224">
                  <c:v>7.3553867712784247E-34</c:v>
                </c:pt>
                <c:pt idx="225">
                  <c:v>1.2499335169063902E-34</c:v>
                </c:pt>
                <c:pt idx="226">
                  <c:v>2.0388937783496421E-35</c:v>
                </c:pt>
                <c:pt idx="227">
                  <c:v>3.1894673358631588E-36</c:v>
                </c:pt>
                <c:pt idx="228">
                  <c:v>4.7801078485367122E-37</c:v>
                </c:pt>
                <c:pt idx="229">
                  <c:v>6.8568337723355828E-38</c:v>
                </c:pt>
                <c:pt idx="230">
                  <c:v>9.404515529440449E-39</c:v>
                </c:pt>
                <c:pt idx="231">
                  <c:v>1.2320446812666915E-39</c:v>
                </c:pt>
                <c:pt idx="232">
                  <c:v>1.5400459237056761E-40</c:v>
                </c:pt>
                <c:pt idx="233">
                  <c:v>1.8347943943815517E-41</c:v>
                </c:pt>
                <c:pt idx="234">
                  <c:v>2.0811631422552205E-42</c:v>
                </c:pt>
                <c:pt idx="235">
                  <c:v>2.244900954796534E-43</c:v>
                </c:pt>
                <c:pt idx="236">
                  <c:v>2.300152096309293E-44</c:v>
                </c:pt>
                <c:pt idx="237">
                  <c:v>2.2359833749875935E-45</c:v>
                </c:pt>
                <c:pt idx="238">
                  <c:v>2.0597080166870734E-46</c:v>
                </c:pt>
                <c:pt idx="239">
                  <c:v>1.7956763686196571E-47</c:v>
                </c:pt>
                <c:pt idx="240">
                  <c:v>1.4797337378003053E-48</c:v>
                </c:pt>
                <c:pt idx="241">
                  <c:v>1.1510845244647099E-49</c:v>
                </c:pt>
                <c:pt idx="242">
                  <c:v>8.4415261462974253E-51</c:v>
                </c:pt>
                <c:pt idx="243">
                  <c:v>5.8281869975677835E-52</c:v>
                </c:pt>
                <c:pt idx="244">
                  <c:v>3.7830294354240381E-53</c:v>
                </c:pt>
                <c:pt idx="245">
                  <c:v>2.3052642225966424E-54</c:v>
                </c:pt>
                <c:pt idx="246">
                  <c:v>1.316870791457283E-55</c:v>
                </c:pt>
                <c:pt idx="247">
                  <c:v>7.0414026663931783E-57</c:v>
                </c:pt>
                <c:pt idx="248">
                  <c:v>3.5188916171936104E-58</c:v>
                </c:pt>
                <c:pt idx="249">
                  <c:v>1.6409869367281937E-59</c:v>
                </c:pt>
                <c:pt idx="250">
                  <c:v>7.1295652508061671E-61</c:v>
                </c:pt>
                <c:pt idx="251">
                  <c:v>2.8811761449401007E-62</c:v>
                </c:pt>
                <c:pt idx="252">
                  <c:v>1.0811828942920638E-63</c:v>
                </c:pt>
                <c:pt idx="253">
                  <c:v>3.7610412849929715E-65</c:v>
                </c:pt>
                <c:pt idx="254">
                  <c:v>1.2106997229872839E-66</c:v>
                </c:pt>
                <c:pt idx="255">
                  <c:v>3.6000328882287302E-68</c:v>
                </c:pt>
                <c:pt idx="256">
                  <c:v>9.8701213719600881E-70</c:v>
                </c:pt>
                <c:pt idx="257">
                  <c:v>2.4904077612608564E-71</c:v>
                </c:pt>
                <c:pt idx="258">
                  <c:v>5.7718829870123092E-73</c:v>
                </c:pt>
                <c:pt idx="259">
                  <c:v>1.2263419323507972E-74</c:v>
                </c:pt>
                <c:pt idx="260">
                  <c:v>2.3838607365091115E-76</c:v>
                </c:pt>
                <c:pt idx="261">
                  <c:v>4.2309075298049846E-78</c:v>
                </c:pt>
                <c:pt idx="262">
                  <c:v>6.8415901033464991E-80</c:v>
                </c:pt>
                <c:pt idx="263">
                  <c:v>1.0058144632801911E-81</c:v>
                </c:pt>
                <c:pt idx="264">
                  <c:v>1.3414080126876006E-83</c:v>
                </c:pt>
                <c:pt idx="265">
                  <c:v>1.6192314944679014E-85</c:v>
                </c:pt>
                <c:pt idx="266">
                  <c:v>1.7650714193005188E-87</c:v>
                </c:pt>
                <c:pt idx="267">
                  <c:v>1.7333972377431865E-89</c:v>
                </c:pt>
                <c:pt idx="268">
                  <c:v>1.5299243591439764E-91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35F-4210-B319-5D005264E760}"/>
            </c:ext>
          </c:extLst>
        </c:ser>
        <c:ser>
          <c:idx val="5"/>
          <c:order val="5"/>
          <c:tx>
            <c:strRef>
              <c:f>extrapolation!$U$14</c:f>
              <c:strCache>
                <c:ptCount val="1"/>
                <c:pt idx="0">
                  <c:v>Generalised gamma</c:v>
                </c:pt>
              </c:strCache>
            </c:strRef>
          </c:tx>
          <c:spPr>
            <a:ln w="28440">
              <a:solidFill>
                <a:srgbClr val="827979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extrapolation!$U$15:$U$283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0.99723515639720628</c:v>
                </c:pt>
                <c:pt idx="2">
                  <c:v>0.99183998974945142</c:v>
                </c:pt>
                <c:pt idx="3">
                  <c:v>0.9847267443455765</c:v>
                </c:pt>
                <c:pt idx="4">
                  <c:v>0.97627925533274229</c:v>
                </c:pt>
                <c:pt idx="5">
                  <c:v>0.96674303367445202</c:v>
                </c:pt>
                <c:pt idx="6">
                  <c:v>0.95629751380517369</c:v>
                </c:pt>
                <c:pt idx="7">
                  <c:v>0.94508330435543275</c:v>
                </c:pt>
                <c:pt idx="8">
                  <c:v>0.93321536718988363</c:v>
                </c:pt>
                <c:pt idx="9">
                  <c:v>0.92079037772928507</c:v>
                </c:pt>
                <c:pt idx="10">
                  <c:v>0.90789125137612547</c:v>
                </c:pt>
                <c:pt idx="11">
                  <c:v>0.89459012849046726</c:v>
                </c:pt>
                <c:pt idx="12">
                  <c:v>0.88095045055163645</c:v>
                </c:pt>
                <c:pt idx="13">
                  <c:v>0.86702846633589348</c:v>
                </c:pt>
                <c:pt idx="14">
                  <c:v>0.85287436261298011</c:v>
                </c:pt>
                <c:pt idx="15">
                  <c:v>0.83853313736226465</c:v>
                </c:pt>
                <c:pt idx="16">
                  <c:v>0.82404529041102637</c:v>
                </c:pt>
                <c:pt idx="17">
                  <c:v>0.8094473808719469</c:v>
                </c:pt>
                <c:pt idx="18">
                  <c:v>0.79477248499209452</c:v>
                </c:pt>
                <c:pt idx="19">
                  <c:v>0.78005057793573074</c:v>
                </c:pt>
                <c:pt idx="20">
                  <c:v>0.76530885636373647</c:v>
                </c:pt>
                <c:pt idx="21">
                  <c:v>0.75057201415760155</c:v>
                </c:pt>
                <c:pt idx="22">
                  <c:v>0.73586248050196668</c:v>
                </c:pt>
                <c:pt idx="23">
                  <c:v>0.72120062731821388</c:v>
                </c:pt>
                <c:pt idx="24">
                  <c:v>0.7066049514371211</c:v>
                </c:pt>
                <c:pt idx="25">
                  <c:v>0.69209223572002143</c:v>
                </c:pt>
                <c:pt idx="26">
                  <c:v>0.67767769245887166</c:v>
                </c:pt>
                <c:pt idx="27">
                  <c:v>0.66337509172078812</c:v>
                </c:pt>
                <c:pt idx="28">
                  <c:v>0.64919687679335003</c:v>
                </c:pt>
                <c:pt idx="29">
                  <c:v>0.63515426849227063</c:v>
                </c:pt>
                <c:pt idx="30">
                  <c:v>0.62125735978380692</c:v>
                </c:pt>
                <c:pt idx="31">
                  <c:v>0.60751520192958219</c:v>
                </c:pt>
                <c:pt idx="32">
                  <c:v>0.59393588316603618</c:v>
                </c:pt>
                <c:pt idx="33">
                  <c:v>0.5805266007732337</c:v>
                </c:pt>
                <c:pt idx="34">
                  <c:v>0.56729372725984195</c:v>
                </c:pt>
                <c:pt idx="35">
                  <c:v>0.5542428712863644</c:v>
                </c:pt>
                <c:pt idx="36">
                  <c:v>0.54137893386240166</c:v>
                </c:pt>
                <c:pt idx="37">
                  <c:v>0.52870616028203177</c:v>
                </c:pt>
                <c:pt idx="38">
                  <c:v>0.51622818820154603</c:v>
                </c:pt>
                <c:pt idx="39">
                  <c:v>0.50394809221344916</c:v>
                </c:pt>
                <c:pt idx="40">
                  <c:v>0.49186842522809093</c:v>
                </c:pt>
                <c:pt idx="41">
                  <c:v>0.47999125693812328</c:v>
                </c:pt>
                <c:pt idx="42">
                  <c:v>0.46831820961008752</c:v>
                </c:pt>
                <c:pt idx="43">
                  <c:v>0.45685049142086953</c:v>
                </c:pt>
                <c:pt idx="44">
                  <c:v>0.44558892753387813</c:v>
                </c:pt>
                <c:pt idx="45">
                  <c:v>0.43453398908991581</c:v>
                </c:pt>
                <c:pt idx="46">
                  <c:v>0.42368582027044754</c:v>
                </c:pt>
                <c:pt idx="47">
                  <c:v>0.41304426357582213</c:v>
                </c:pt>
                <c:pt idx="48">
                  <c:v>0.40260888344775159</c:v>
                </c:pt>
                <c:pt idx="49">
                  <c:v>0.39237898835363383</c:v>
                </c:pt>
                <c:pt idx="50">
                  <c:v>0.38235365143996403</c:v>
                </c:pt>
                <c:pt idx="51">
                  <c:v>0.3725317298528843</c:v>
                </c:pt>
                <c:pt idx="52">
                  <c:v>0.36291188281574793</c:v>
                </c:pt>
                <c:pt idx="53">
                  <c:v>0.35349258854623822</c:v>
                </c:pt>
                <c:pt idx="54">
                  <c:v>0.34427216008903649</c:v>
                </c:pt>
                <c:pt idx="55">
                  <c:v>0.33524876013415272</c:v>
                </c:pt>
                <c:pt idx="56">
                  <c:v>0.32642041488565998</c:v>
                </c:pt>
                <c:pt idx="57">
                  <c:v>0.31778502704083911</c:v>
                </c:pt>
                <c:pt idx="58">
                  <c:v>0.3093403879353076</c:v>
                </c:pt>
                <c:pt idx="59">
                  <c:v>0.30108418890578803</c:v>
                </c:pt>
                <c:pt idx="60">
                  <c:v>0.29301403191855069</c:v>
                </c:pt>
                <c:pt idx="61">
                  <c:v>0.28512743950824293</c:v>
                </c:pt>
                <c:pt idx="62">
                  <c:v>0.27742186406883573</c:v>
                </c:pt>
                <c:pt idx="63">
                  <c:v>0.26989469653561216</c:v>
                </c:pt>
                <c:pt idx="64">
                  <c:v>0.26254327449460524</c:v>
                </c:pt>
                <c:pt idx="65">
                  <c:v>0.25536488975352711</c:v>
                </c:pt>
                <c:pt idx="66">
                  <c:v>0.24835679540608679</c:v>
                </c:pt>
                <c:pt idx="67">
                  <c:v>0.24151621241957855</c:v>
                </c:pt>
                <c:pt idx="68">
                  <c:v>0.23484033577379049</c:v>
                </c:pt>
                <c:pt idx="69">
                  <c:v>0.22832634017754894</c:v>
                </c:pt>
                <c:pt idx="70">
                  <c:v>0.22197138538764438</c:v>
                </c:pt>
                <c:pt idx="71">
                  <c:v>0.2157726211533777</c:v>
                </c:pt>
                <c:pt idx="72">
                  <c:v>0.20972719180861621</c:v>
                </c:pt>
                <c:pt idx="73">
                  <c:v>0.20383224053193683</c:v>
                </c:pt>
                <c:pt idx="74">
                  <c:v>0.19808491329425604</c:v>
                </c:pt>
                <c:pt idx="75">
                  <c:v>0.19248236251221151</c:v>
                </c:pt>
                <c:pt idx="76">
                  <c:v>0.18702175042451863</c:v>
                </c:pt>
                <c:pt idx="77">
                  <c:v>0.18170025220754304</c:v>
                </c:pt>
                <c:pt idx="78">
                  <c:v>0.17651505884541274</c:v>
                </c:pt>
                <c:pt idx="79">
                  <c:v>0.17146337976911963</c:v>
                </c:pt>
                <c:pt idx="80">
                  <c:v>0.16654244527826756</c:v>
                </c:pt>
                <c:pt idx="81">
                  <c:v>0.16174950875834893</c:v>
                </c:pt>
                <c:pt idx="82">
                  <c:v>0.15708184870572217</c:v>
                </c:pt>
                <c:pt idx="83">
                  <c:v>0.15253677057178439</c:v>
                </c:pt>
                <c:pt idx="84">
                  <c:v>0.14811160843720783</c:v>
                </c:pt>
                <c:pt idx="85">
                  <c:v>0.14380372652650153</c:v>
                </c:pt>
                <c:pt idx="86">
                  <c:v>0.13961052057260359</c:v>
                </c:pt>
                <c:pt idx="87">
                  <c:v>0.13552941904066995</c:v>
                </c:pt>
                <c:pt idx="88">
                  <c:v>0.13155788421973691</c:v>
                </c:pt>
                <c:pt idx="89">
                  <c:v>0.12769341319044403</c:v>
                </c:pt>
                <c:pt idx="90">
                  <c:v>0.12393353867657542</c:v>
                </c:pt>
                <c:pt idx="91">
                  <c:v>0.12027582978773654</c:v>
                </c:pt>
                <c:pt idx="92">
                  <c:v>0.11671789266009758</c:v>
                </c:pt>
                <c:pt idx="93">
                  <c:v>0.11325737100175259</c:v>
                </c:pt>
                <c:pt idx="94">
                  <c:v>0.10989194654887946</c:v>
                </c:pt>
                <c:pt idx="95">
                  <c:v>0.10661933943855972</c:v>
                </c:pt>
                <c:pt idx="96">
                  <c:v>0.10343730850378408</c:v>
                </c:pt>
                <c:pt idx="97">
                  <c:v>0.10034365149587676</c:v>
                </c:pt>
                <c:pt idx="98">
                  <c:v>9.733620523927855E-2</c:v>
                </c:pt>
                <c:pt idx="99">
                  <c:v>9.4412845723357286E-2</c:v>
                </c:pt>
                <c:pt idx="100">
                  <c:v>9.1571488135656853E-2</c:v>
                </c:pt>
                <c:pt idx="101">
                  <c:v>8.8810086840756197E-2</c:v>
                </c:pt>
                <c:pt idx="102">
                  <c:v>8.6126635308671151E-2</c:v>
                </c:pt>
                <c:pt idx="103">
                  <c:v>8.3519165996509992E-2</c:v>
                </c:pt>
                <c:pt idx="104">
                  <c:v>8.098575018690668E-2</c:v>
                </c:pt>
                <c:pt idx="105">
                  <c:v>7.8524497786526481E-2</c:v>
                </c:pt>
                <c:pt idx="106">
                  <c:v>7.6133557087777692E-2</c:v>
                </c:pt>
                <c:pt idx="107">
                  <c:v>7.3811114496675767E-2</c:v>
                </c:pt>
                <c:pt idx="108">
                  <c:v>7.1555394229634417E-2</c:v>
                </c:pt>
                <c:pt idx="109">
                  <c:v>6.9364657981811573E-2</c:v>
                </c:pt>
                <c:pt idx="110">
                  <c:v>6.7237204569467357E-2</c:v>
                </c:pt>
                <c:pt idx="111">
                  <c:v>6.517136954867131E-2</c:v>
                </c:pt>
                <c:pt idx="112">
                  <c:v>6.3165524812537899E-2</c:v>
                </c:pt>
                <c:pt idx="113">
                  <c:v>6.1218078169058998E-2</c:v>
                </c:pt>
                <c:pt idx="114">
                  <c:v>5.9327472901464784E-2</c:v>
                </c:pt>
                <c:pt idx="115">
                  <c:v>5.749218731293948E-2</c:v>
                </c:pt>
                <c:pt idx="116">
                  <c:v>5.5710734257402916E-2</c:v>
                </c:pt>
                <c:pt idx="117">
                  <c:v>5.3981660657967501E-2</c:v>
                </c:pt>
                <c:pt idx="118">
                  <c:v>5.2303547014577068E-2</c:v>
                </c:pt>
                <c:pt idx="119">
                  <c:v>5.0675006902248354E-2</c:v>
                </c:pt>
                <c:pt idx="120">
                  <c:v>4.9094686461237491E-2</c:v>
                </c:pt>
                <c:pt idx="121">
                  <c:v>4.7561263880379068E-2</c:v>
                </c:pt>
                <c:pt idx="122">
                  <c:v>4.6073448874759393E-2</c:v>
                </c:pt>
                <c:pt idx="123">
                  <c:v>4.4629982158811754E-2</c:v>
                </c:pt>
                <c:pt idx="124">
                  <c:v>4.3229634915851411E-2</c:v>
                </c:pt>
                <c:pt idx="125">
                  <c:v>4.1871208265002346E-2</c:v>
                </c:pt>
                <c:pt idx="126">
                  <c:v>4.055353272639417E-2</c:v>
                </c:pt>
                <c:pt idx="127">
                  <c:v>3.927546768546164E-2</c:v>
                </c:pt>
                <c:pt idx="128">
                  <c:v>3.8035900857108729E-2</c:v>
                </c:pt>
                <c:pt idx="129">
                  <c:v>3.683374775045245E-2</c:v>
                </c:pt>
                <c:pt idx="130">
                  <c:v>3.5667951134808584E-2</c:v>
                </c:pt>
                <c:pt idx="131">
                  <c:v>3.453748050753136E-2</c:v>
                </c:pt>
                <c:pt idx="132">
                  <c:v>3.3441331564274757E-2</c:v>
                </c:pt>
                <c:pt idx="133">
                  <c:v>3.237852567220012E-2</c:v>
                </c:pt>
                <c:pt idx="134">
                  <c:v>3.1348109346613473E-2</c:v>
                </c:pt>
                <c:pt idx="135">
                  <c:v>3.0349153731474954E-2</c:v>
                </c:pt>
                <c:pt idx="136">
                  <c:v>2.9380754084190608E-2</c:v>
                </c:pt>
                <c:pt idx="137">
                  <c:v>2.8442029265059343E-2</c:v>
                </c:pt>
                <c:pt idx="138">
                  <c:v>2.7532121231715445E-2</c:v>
                </c:pt>
                <c:pt idx="139">
                  <c:v>2.6650194538877514E-2</c:v>
                </c:pt>
                <c:pt idx="140">
                  <c:v>2.5795435843685821E-2</c:v>
                </c:pt>
                <c:pt idx="141">
                  <c:v>2.4967053416882656E-2</c:v>
                </c:pt>
                <c:pt idx="142">
                  <c:v>2.4164276660062489E-2</c:v>
                </c:pt>
                <c:pt idx="143">
                  <c:v>2.3386355629199107E-2</c:v>
                </c:pt>
                <c:pt idx="144">
                  <c:v>2.2632560564630699E-2</c:v>
                </c:pt>
                <c:pt idx="145">
                  <c:v>2.190218142766398E-2</c:v>
                </c:pt>
                <c:pt idx="146">
                  <c:v>2.1194527443937572E-2</c:v>
                </c:pt>
                <c:pt idx="147">
                  <c:v>2.0508926653667769E-2</c:v>
                </c:pt>
                <c:pt idx="148">
                  <c:v>1.9844725468879831E-2</c:v>
                </c:pt>
                <c:pt idx="149">
                  <c:v>1.9201288237714609E-2</c:v>
                </c:pt>
                <c:pt idx="150">
                  <c:v>1.8577996815881459E-2</c:v>
                </c:pt>
                <c:pt idx="151">
                  <c:v>1.7974250145315507E-2</c:v>
                </c:pt>
                <c:pt idx="152">
                  <c:v>1.7389463840085995E-2</c:v>
                </c:pt>
                <c:pt idx="153">
                  <c:v>1.6823069779585031E-2</c:v>
                </c:pt>
                <c:pt idx="154">
                  <c:v>1.6274515709019055E-2</c:v>
                </c:pt>
                <c:pt idx="155">
                  <c:v>1.5743264847210559E-2</c:v>
                </c:pt>
                <c:pt idx="156">
                  <c:v>1.5228795501710968E-2</c:v>
                </c:pt>
                <c:pt idx="157">
                  <c:v>1.4730600691212681E-2</c:v>
                </c:pt>
                <c:pt idx="158">
                  <c:v>1.4248187775242727E-2</c:v>
                </c:pt>
                <c:pt idx="159">
                  <c:v>1.3781078091108956E-2</c:v>
                </c:pt>
                <c:pt idx="160">
                  <c:v>1.3328806598064347E-2</c:v>
                </c:pt>
                <c:pt idx="161">
                  <c:v>1.289092152864979E-2</c:v>
                </c:pt>
                <c:pt idx="162">
                  <c:v>1.2466984047162732E-2</c:v>
                </c:pt>
                <c:pt idx="163">
                  <c:v>1.2056567915201599E-2</c:v>
                </c:pt>
                <c:pt idx="164">
                  <c:v>1.1659259164224611E-2</c:v>
                </c:pt>
                <c:pt idx="165">
                  <c:v>1.1274655775057374E-2</c:v>
                </c:pt>
                <c:pt idx="166">
                  <c:v>1.0902367364282628E-2</c:v>
                </c:pt>
                <c:pt idx="167">
                  <c:v>1.0542014877436445E-2</c:v>
                </c:pt>
                <c:pt idx="168">
                  <c:v>1.0193230288935595E-2</c:v>
                </c:pt>
                <c:pt idx="169">
                  <c:v>9.8556563086547033E-3</c:v>
                </c:pt>
                <c:pt idx="170">
                  <c:v>9.5289460950704896E-3</c:v>
                </c:pt>
                <c:pt idx="171">
                  <c:v>9.2127629748861573E-3</c:v>
                </c:pt>
                <c:pt idx="172">
                  <c:v>8.906780169048556E-3</c:v>
                </c:pt>
                <c:pt idx="173">
                  <c:v>8.6106805250657503E-3</c:v>
                </c:pt>
                <c:pt idx="174">
                  <c:v>8.3241562555342874E-3</c:v>
                </c:pt>
                <c:pt idx="175">
                  <c:v>8.0469086827811287E-3</c:v>
                </c:pt>
                <c:pt idx="176">
                  <c:v>7.7786479895247673E-3</c:v>
                </c:pt>
                <c:pt idx="177">
                  <c:v>7.5190929754587188E-3</c:v>
                </c:pt>
                <c:pt idx="178">
                  <c:v>7.2679708196596859E-3</c:v>
                </c:pt>
                <c:pt idx="179">
                  <c:v>7.0250168487238085E-3</c:v>
                </c:pt>
                <c:pt idx="180">
                  <c:v>6.7899743105287458E-3</c:v>
                </c:pt>
                <c:pt idx="181">
                  <c:v>6.5625941535251142E-3</c:v>
                </c:pt>
                <c:pt idx="182">
                  <c:v>6.3426348114568043E-3</c:v>
                </c:pt>
                <c:pt idx="183">
                  <c:v>6.1298619934098131E-3</c:v>
                </c:pt>
                <c:pt idx="184">
                  <c:v>5.9240484790910042E-3</c:v>
                </c:pt>
                <c:pt idx="185">
                  <c:v>5.7249739192362092E-3</c:v>
                </c:pt>
                <c:pt idx="186">
                  <c:v>5.5324246410499711E-3</c:v>
                </c:pt>
                <c:pt idx="187">
                  <c:v>5.3461934585766757E-3</c:v>
                </c:pt>
                <c:pt idx="188">
                  <c:v>5.1660794879049288E-3</c:v>
                </c:pt>
                <c:pt idx="189">
                  <c:v>4.9918879671089211E-3</c:v>
                </c:pt>
                <c:pt idx="190">
                  <c:v>4.8234300808276398E-3</c:v>
                </c:pt>
                <c:pt idx="191">
                  <c:v>4.6605227893870005E-3</c:v>
                </c:pt>
                <c:pt idx="192">
                  <c:v>4.5029886623695337E-3</c:v>
                </c:pt>
                <c:pt idx="193">
                  <c:v>4.3506557165355897E-3</c:v>
                </c:pt>
                <c:pt idx="194">
                  <c:v>4.2033572580042478E-3</c:v>
                </c:pt>
                <c:pt idx="195">
                  <c:v>4.0609317286000035E-3</c:v>
                </c:pt>
                <c:pt idx="196">
                  <c:v>3.9232225562743084E-3</c:v>
                </c:pt>
                <c:pt idx="197">
                  <c:v>3.7900780095110331E-3</c:v>
                </c:pt>
                <c:pt idx="198">
                  <c:v>3.6613510556271489E-3</c:v>
                </c:pt>
                <c:pt idx="199">
                  <c:v>3.5368992228803631E-3</c:v>
                </c:pt>
                <c:pt idx="200">
                  <c:v>3.4165844662952249E-3</c:v>
                </c:pt>
                <c:pt idx="201">
                  <c:v>3.300273037125212E-3</c:v>
                </c:pt>
                <c:pt idx="202">
                  <c:v>3.1878353558629779E-3</c:v>
                </c:pt>
                <c:pt idx="203">
                  <c:v>3.0791458887176049E-3</c:v>
                </c:pt>
                <c:pt idx="204">
                  <c:v>2.9740830274771479E-3</c:v>
                </c:pt>
                <c:pt idx="205">
                  <c:v>2.8725289726740932E-3</c:v>
                </c:pt>
                <c:pt idx="206">
                  <c:v>2.774369619977346E-3</c:v>
                </c:pt>
                <c:pt idx="207">
                  <c:v>2.6794944497297024E-3</c:v>
                </c:pt>
                <c:pt idx="208">
                  <c:v>2.5877964195571979E-3</c:v>
                </c:pt>
                <c:pt idx="209">
                  <c:v>2.4991718599732815E-3</c:v>
                </c:pt>
                <c:pt idx="210">
                  <c:v>2.413520372905209E-3</c:v>
                </c:pt>
                <c:pt idx="211">
                  <c:v>2.3307447330692677E-3</c:v>
                </c:pt>
                <c:pt idx="212">
                  <c:v>2.2507507921246672E-3</c:v>
                </c:pt>
                <c:pt idx="213">
                  <c:v>2.1734473855351544E-3</c:v>
                </c:pt>
                <c:pt idx="214">
                  <c:v>2.0987462420719583E-3</c:v>
                </c:pt>
                <c:pt idx="215">
                  <c:v>2.0265618958887899E-3</c:v>
                </c:pt>
                <c:pt idx="216">
                  <c:v>1.9568116011048353E-3</c:v>
                </c:pt>
                <c:pt idx="217">
                  <c:v>1.8894152488311278E-3</c:v>
                </c:pt>
                <c:pt idx="218">
                  <c:v>1.8242952865759055E-3</c:v>
                </c:pt>
                <c:pt idx="219">
                  <c:v>1.7613766399701136E-3</c:v>
                </c:pt>
                <c:pt idx="220">
                  <c:v>1.7005866367491018E-3</c:v>
                </c:pt>
                <c:pt idx="221">
                  <c:v>1.641854932934228E-3</c:v>
                </c:pt>
                <c:pt idx="222">
                  <c:v>1.5851134411553058E-3</c:v>
                </c:pt>
                <c:pt idx="223">
                  <c:v>1.5302962610572735E-3</c:v>
                </c:pt>
                <c:pt idx="224">
                  <c:v>1.4773396117357951E-3</c:v>
                </c:pt>
                <c:pt idx="225">
                  <c:v>1.4261817661485043E-3</c:v>
                </c:pt>
                <c:pt idx="226">
                  <c:v>1.3767629874474885E-3</c:v>
                </c:pt>
                <c:pt idx="227">
                  <c:v>1.3290254671824986E-3</c:v>
                </c:pt>
                <c:pt idx="228">
                  <c:v>1.2829132653240372E-3</c:v>
                </c:pt>
                <c:pt idx="229">
                  <c:v>1.2383722520570295E-3</c:v>
                </c:pt>
                <c:pt idx="230">
                  <c:v>1.195350051296673E-3</c:v>
                </c:pt>
                <c:pt idx="231">
                  <c:v>1.1537959858791691E-3</c:v>
                </c:pt>
                <c:pt idx="232">
                  <c:v>1.113661024382262E-3</c:v>
                </c:pt>
                <c:pt idx="233">
                  <c:v>1.0748977295300666E-3</c:v>
                </c:pt>
                <c:pt idx="234">
                  <c:v>1.037460208138441E-3</c:v>
                </c:pt>
                <c:pt idx="235">
                  <c:v>1.0013040625581615E-3</c:v>
                </c:pt>
                <c:pt idx="236">
                  <c:v>9.6638634357404385E-4</c:v>
                </c:pt>
                <c:pt idx="237">
                  <c:v>9.3266550472037579E-4</c:v>
                </c:pt>
                <c:pt idx="238">
                  <c:v>9.0010135797191637E-4</c:v>
                </c:pt>
                <c:pt idx="239">
                  <c:v>8.6865503077171446E-4</c:v>
                </c:pt>
                <c:pt idx="240">
                  <c:v>8.3828892435811042E-4</c:v>
                </c:pt>
                <c:pt idx="241">
                  <c:v>8.0896667335639272E-4</c:v>
                </c:pt>
                <c:pt idx="242">
                  <c:v>7.8065310659458653E-4</c:v>
                </c:pt>
                <c:pt idx="243">
                  <c:v>7.5331420911362024E-4</c:v>
                </c:pt>
                <c:pt idx="244">
                  <c:v>7.2691708533367816E-4</c:v>
                </c:pt>
                <c:pt idx="245">
                  <c:v>7.0142992334643051E-4</c:v>
                </c:pt>
                <c:pt idx="246">
                  <c:v>6.768219602995007E-4</c:v>
                </c:pt>
                <c:pt idx="247">
                  <c:v>6.5306344884119572E-4</c:v>
                </c:pt>
                <c:pt idx="248">
                  <c:v>6.3012562459707766E-4</c:v>
                </c:pt>
                <c:pt idx="249">
                  <c:v>6.0798067464573613E-4</c:v>
                </c:pt>
                <c:pt idx="250">
                  <c:v>5.8660170696622771E-4</c:v>
                </c:pt>
                <c:pt idx="251">
                  <c:v>5.6596272082953814E-4</c:v>
                </c:pt>
                <c:pt idx="252">
                  <c:v>5.4603857810531231E-4</c:v>
                </c:pt>
                <c:pt idx="253">
                  <c:v>5.268049754565407E-4</c:v>
                </c:pt>
                <c:pt idx="254">
                  <c:v>5.0823841739888742E-4</c:v>
                </c:pt>
                <c:pt idx="255">
                  <c:v>4.9031619019557215E-4</c:v>
                </c:pt>
                <c:pt idx="256">
                  <c:v>4.7301633656604558E-4</c:v>
                </c:pt>
                <c:pt idx="257">
                  <c:v>4.5631763118325619E-4</c:v>
                </c:pt>
                <c:pt idx="258">
                  <c:v>4.4019955693630486E-4</c:v>
                </c:pt>
                <c:pt idx="259">
                  <c:v>4.2464228193517251E-4</c:v>
                </c:pt>
                <c:pt idx="260">
                  <c:v>4.0962663723664861E-4</c:v>
                </c:pt>
                <c:pt idx="261">
                  <c:v>3.9513409526914511E-4</c:v>
                </c:pt>
                <c:pt idx="262">
                  <c:v>3.8114674893519052E-4</c:v>
                </c:pt>
                <c:pt idx="263">
                  <c:v>3.6764729137228613E-4</c:v>
                </c:pt>
                <c:pt idx="264">
                  <c:v>3.5461899635169658E-4</c:v>
                </c:pt>
                <c:pt idx="265">
                  <c:v>3.4204569929618955E-4</c:v>
                </c:pt>
                <c:pt idx="266">
                  <c:v>3.299117788975181E-4</c:v>
                </c:pt>
                <c:pt idx="267">
                  <c:v>3.1820213931665897E-4</c:v>
                </c:pt>
                <c:pt idx="268">
                  <c:v>3.0690219294804422E-4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35F-4210-B319-5D005264E760}"/>
            </c:ext>
          </c:extLst>
        </c:ser>
        <c:ser>
          <c:idx val="6"/>
          <c:order val="6"/>
          <c:tx>
            <c:v>KM - Inavolisib</c:v>
          </c:tx>
          <c:spPr>
            <a:ln w="28440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extrapolation!$BR$8:$BR$42</c:f>
              <c:numCache>
                <c:formatCode>0.00</c:formatCode>
                <c:ptCount val="35"/>
                <c:pt idx="0">
                  <c:v>0</c:v>
                </c:pt>
                <c:pt idx="1">
                  <c:v>1.5</c:v>
                </c:pt>
                <c:pt idx="2">
                  <c:v>3</c:v>
                </c:pt>
                <c:pt idx="3">
                  <c:v>4.5</c:v>
                </c:pt>
                <c:pt idx="4">
                  <c:v>6</c:v>
                </c:pt>
                <c:pt idx="5">
                  <c:v>7.5</c:v>
                </c:pt>
                <c:pt idx="6">
                  <c:v>9</c:v>
                </c:pt>
                <c:pt idx="7">
                  <c:v>10.5</c:v>
                </c:pt>
                <c:pt idx="8">
                  <c:v>12</c:v>
                </c:pt>
                <c:pt idx="9">
                  <c:v>13.5</c:v>
                </c:pt>
                <c:pt idx="10">
                  <c:v>15</c:v>
                </c:pt>
                <c:pt idx="11">
                  <c:v>16.5</c:v>
                </c:pt>
                <c:pt idx="12">
                  <c:v>18</c:v>
                </c:pt>
                <c:pt idx="13">
                  <c:v>19.5</c:v>
                </c:pt>
                <c:pt idx="14">
                  <c:v>21</c:v>
                </c:pt>
                <c:pt idx="15">
                  <c:v>22.5</c:v>
                </c:pt>
                <c:pt idx="16">
                  <c:v>24</c:v>
                </c:pt>
                <c:pt idx="17">
                  <c:v>25.5</c:v>
                </c:pt>
                <c:pt idx="18">
                  <c:v>27</c:v>
                </c:pt>
                <c:pt idx="19">
                  <c:v>28.5</c:v>
                </c:pt>
                <c:pt idx="20">
                  <c:v>30</c:v>
                </c:pt>
                <c:pt idx="21">
                  <c:v>31.5</c:v>
                </c:pt>
                <c:pt idx="22">
                  <c:v>33</c:v>
                </c:pt>
                <c:pt idx="23">
                  <c:v>34.5</c:v>
                </c:pt>
                <c:pt idx="24">
                  <c:v>36</c:v>
                </c:pt>
                <c:pt idx="25">
                  <c:v>37.5</c:v>
                </c:pt>
                <c:pt idx="26">
                  <c:v>39</c:v>
                </c:pt>
                <c:pt idx="27">
                  <c:v>40.5</c:v>
                </c:pt>
                <c:pt idx="28">
                  <c:v>42</c:v>
                </c:pt>
                <c:pt idx="29">
                  <c:v>43.5</c:v>
                </c:pt>
                <c:pt idx="30">
                  <c:v>45</c:v>
                </c:pt>
                <c:pt idx="31">
                  <c:v>46.5</c:v>
                </c:pt>
                <c:pt idx="32">
                  <c:v>48</c:v>
                </c:pt>
                <c:pt idx="33">
                  <c:v>49.5</c:v>
                </c:pt>
                <c:pt idx="34">
                  <c:v>51</c:v>
                </c:pt>
              </c:numCache>
            </c:numRef>
          </c:xVal>
          <c:yVal>
            <c:numRef>
              <c:f>extrapolation!$BS$8:$BS$42</c:f>
              <c:numCache>
                <c:formatCode>0.0000</c:formatCode>
                <c:ptCount val="35"/>
                <c:pt idx="0">
                  <c:v>1</c:v>
                </c:pt>
                <c:pt idx="1">
                  <c:v>0.98760000000000003</c:v>
                </c:pt>
                <c:pt idx="2">
                  <c:v>0.98129999999999995</c:v>
                </c:pt>
                <c:pt idx="3">
                  <c:v>0.97489999999999999</c:v>
                </c:pt>
                <c:pt idx="4">
                  <c:v>0.96840000000000004</c:v>
                </c:pt>
                <c:pt idx="5">
                  <c:v>0.96840000000000004</c:v>
                </c:pt>
                <c:pt idx="6">
                  <c:v>0.94189999999999996</c:v>
                </c:pt>
                <c:pt idx="7">
                  <c:v>0.90210000000000001</c:v>
                </c:pt>
                <c:pt idx="8">
                  <c:v>0.88190000000000002</c:v>
                </c:pt>
                <c:pt idx="9">
                  <c:v>0.85470000000000002</c:v>
                </c:pt>
                <c:pt idx="10">
                  <c:v>0.81920000000000004</c:v>
                </c:pt>
                <c:pt idx="11">
                  <c:v>0.79759999999999998</c:v>
                </c:pt>
                <c:pt idx="12">
                  <c:v>0.75270000000000004</c:v>
                </c:pt>
                <c:pt idx="13">
                  <c:v>0.7298</c:v>
                </c:pt>
                <c:pt idx="14">
                  <c:v>0.69069999999999998</c:v>
                </c:pt>
                <c:pt idx="15">
                  <c:v>0.66700000000000004</c:v>
                </c:pt>
                <c:pt idx="16">
                  <c:v>0.65869999999999995</c:v>
                </c:pt>
                <c:pt idx="17">
                  <c:v>0.65010000000000001</c:v>
                </c:pt>
                <c:pt idx="18">
                  <c:v>0.63170000000000004</c:v>
                </c:pt>
                <c:pt idx="19">
                  <c:v>0.60329999999999995</c:v>
                </c:pt>
                <c:pt idx="20">
                  <c:v>0.57240000000000002</c:v>
                </c:pt>
                <c:pt idx="21">
                  <c:v>0.56140000000000001</c:v>
                </c:pt>
                <c:pt idx="22">
                  <c:v>0.54869999999999997</c:v>
                </c:pt>
                <c:pt idx="23">
                  <c:v>0.51039999999999996</c:v>
                </c:pt>
                <c:pt idx="24">
                  <c:v>0.48270000000000002</c:v>
                </c:pt>
                <c:pt idx="25">
                  <c:v>0.46860000000000002</c:v>
                </c:pt>
                <c:pt idx="26">
                  <c:v>0.43090000000000001</c:v>
                </c:pt>
                <c:pt idx="27">
                  <c:v>0.43090000000000001</c:v>
                </c:pt>
                <c:pt idx="28">
                  <c:v>0.43090000000000001</c:v>
                </c:pt>
                <c:pt idx="29">
                  <c:v>0.39779999999999999</c:v>
                </c:pt>
                <c:pt idx="30">
                  <c:v>0.39779999999999999</c:v>
                </c:pt>
                <c:pt idx="31">
                  <c:v>0.39779999999999999</c:v>
                </c:pt>
                <c:pt idx="32">
                  <c:v>0.39779999999999999</c:v>
                </c:pt>
                <c:pt idx="33">
                  <c:v>0.39779999999999999</c:v>
                </c:pt>
                <c:pt idx="34">
                  <c:v>0.39779999999999999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35F-4210-B319-5D005264E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315395"/>
        <c:axId val="12842604"/>
      </c:scatterChart>
      <c:valAx>
        <c:axId val="9531539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nl-NL" sz="12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nl-NL" sz="1200" b="1" strike="noStrike" spc="-1">
                    <a:solidFill>
                      <a:srgbClr val="000000"/>
                    </a:solidFill>
                    <a:latin typeface="Calibri"/>
                  </a:rPr>
                  <a:t>Time (months)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nl-NL"/>
          </a:p>
        </c:txPr>
        <c:crossAx val="12842604"/>
        <c:crosses val="autoZero"/>
        <c:crossBetween val="midCat"/>
      </c:valAx>
      <c:valAx>
        <c:axId val="12842604"/>
        <c:scaling>
          <c:orientation val="minMax"/>
          <c:max val="1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nl-NL" sz="12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nl-NL" sz="1200" b="1" strike="noStrike" spc="-1">
                    <a:solidFill>
                      <a:srgbClr val="000000"/>
                    </a:solidFill>
                    <a:latin typeface="Calibri"/>
                  </a:rPr>
                  <a:t>Survival probability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0%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nl-NL"/>
          </a:p>
        </c:txPr>
        <c:crossAx val="95315395"/>
        <c:crosses val="autoZero"/>
        <c:crossBetween val="midCat"/>
      </c:valAx>
    </c:plotArea>
    <c:legend>
      <c:legendPos val="b"/>
      <c:overlay val="1"/>
      <c:spPr>
        <a:noFill/>
        <a:ln w="0">
          <a:noFill/>
          <a:prstDash val="solid"/>
        </a:ln>
      </c:spPr>
      <c:txPr>
        <a:bodyPr/>
        <a:lstStyle/>
        <a:p>
          <a:pPr>
            <a:defRPr sz="1200" b="0" strike="noStrike" spc="-1">
              <a:solidFill>
                <a:srgbClr val="000000"/>
              </a:solidFill>
              <a:latin typeface="Calibri"/>
            </a:defRPr>
          </a:pPr>
          <a:endParaRPr lang="nl-NL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en-US"/>
  <c:roundedCorners val="1"/>
  <c:style val="2"/>
  <c:chart>
    <c:title>
      <c:tx>
        <c:rich>
          <a:bodyPr rot="0"/>
          <a:lstStyle/>
          <a:p>
            <a:pPr>
              <a:defRPr lang="nl-NL" sz="14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nl-NL" sz="1400" b="1" strike="noStrike" spc="-1">
                <a:solidFill>
                  <a:srgbClr val="000000"/>
                </a:solidFill>
                <a:latin typeface="Calibri"/>
              </a:rPr>
              <a:t>OS - Placebo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5023979315234204E-2"/>
          <c:y val="7.5377562028047504E-2"/>
          <c:w val="0.89169690145544001"/>
          <c:h val="0.75950647249190895"/>
        </c:manualLayout>
      </c:layout>
      <c:scatterChart>
        <c:scatterStyle val="lineMarker"/>
        <c:varyColors val="0"/>
        <c:ser>
          <c:idx val="0"/>
          <c:order val="0"/>
          <c:tx>
            <c:v>Exponential</c:v>
          </c:tx>
          <c:spPr>
            <a:ln w="28440">
              <a:solidFill>
                <a:srgbClr val="FF660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extrapolation!$V$15:$V$283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0.97901864865429911</c:v>
                </c:pt>
                <c:pt idx="2">
                  <c:v>0.95847751441288997</c:v>
                </c:pt>
                <c:pt idx="3">
                  <c:v>0.93836736092603912</c:v>
                </c:pt>
                <c:pt idx="4">
                  <c:v>0.91867914563511177</c:v>
                </c:pt>
                <c:pt idx="5">
                  <c:v>0.89940401570657325</c:v>
                </c:pt>
                <c:pt idx="6">
                  <c:v>0.88053330405129937</c:v>
                </c:pt>
                <c:pt idx="7">
                  <c:v>0.86205852542740824</c:v>
                </c:pt>
                <c:pt idx="8">
                  <c:v>0.843971372624859</c:v>
                </c:pt>
                <c:pt idx="9">
                  <c:v>0.82626371273010335</c:v>
                </c:pt>
                <c:pt idx="10">
                  <c:v>0.80892758346910987</c:v>
                </c:pt>
                <c:pt idx="11">
                  <c:v>0.79195518962711564</c:v>
                </c:pt>
                <c:pt idx="12">
                  <c:v>0.77533889954349799</c:v>
                </c:pt>
                <c:pt idx="13">
                  <c:v>0.7590712416801868</c:v>
                </c:pt>
                <c:pt idx="14">
                  <c:v>0.74314490126207733</c:v>
                </c:pt>
                <c:pt idx="15">
                  <c:v>0.72755271698793156</c:v>
                </c:pt>
                <c:pt idx="16">
                  <c:v>0.71228767781028846</c:v>
                </c:pt>
                <c:pt idx="17">
                  <c:v>0.6973429197829375</c:v>
                </c:pt>
                <c:pt idx="18">
                  <c:v>0.68271172297453475</c:v>
                </c:pt>
                <c:pt idx="19">
                  <c:v>0.66838750844697725</c:v>
                </c:pt>
                <c:pt idx="20">
                  <c:v>0.65436383529717368</c:v>
                </c:pt>
                <c:pt idx="21">
                  <c:v>0.64063439776088327</c:v>
                </c:pt>
                <c:pt idx="22">
                  <c:v>0.62719302237732077</c:v>
                </c:pt>
                <c:pt idx="23">
                  <c:v>0.61403366521325009</c:v>
                </c:pt>
                <c:pt idx="24">
                  <c:v>0.60115040914532247</c:v>
                </c:pt>
                <c:pt idx="25">
                  <c:v>0.58853746119943273</c:v>
                </c:pt>
                <c:pt idx="26">
                  <c:v>0.57618914994590054</c:v>
                </c:pt>
                <c:pt idx="27">
                  <c:v>0.56409992294930489</c:v>
                </c:pt>
                <c:pt idx="28">
                  <c:v>0.55226434427182269</c:v>
                </c:pt>
                <c:pt idx="29">
                  <c:v>0.54067709202895253</c:v>
                </c:pt>
                <c:pt idx="30">
                  <c:v>0.5293329559965213</c:v>
                </c:pt>
                <c:pt idx="31">
                  <c:v>0.51822683526789981</c:v>
                </c:pt>
                <c:pt idx="32">
                  <c:v>0.50735373596037336</c:v>
                </c:pt>
                <c:pt idx="33">
                  <c:v>0.49670876896963484</c:v>
                </c:pt>
                <c:pt idx="34">
                  <c:v>0.48628714777139237</c:v>
                </c:pt>
                <c:pt idx="35">
                  <c:v>0.47608418626910204</c:v>
                </c:pt>
                <c:pt idx="36">
                  <c:v>0.4660952966868579</c:v>
                </c:pt>
                <c:pt idx="37">
                  <c:v>0.45631598750649227</c:v>
                </c:pt>
                <c:pt idx="38">
                  <c:v>0.44674186144795808</c:v>
                </c:pt>
                <c:pt idx="39">
                  <c:v>0.43736861349208606</c:v>
                </c:pt>
                <c:pt idx="40">
                  <c:v>0.42819202894482661</c:v>
                </c:pt>
                <c:pt idx="41">
                  <c:v>0.41920798154210664</c:v>
                </c:pt>
                <c:pt idx="42">
                  <c:v>0.41041243159444962</c:v>
                </c:pt>
                <c:pt idx="43">
                  <c:v>0.40180142417052306</c:v>
                </c:pt>
                <c:pt idx="44">
                  <c:v>0.39337108731879838</c:v>
                </c:pt>
                <c:pt idx="45">
                  <c:v>0.38511763032652224</c:v>
                </c:pt>
                <c:pt idx="46">
                  <c:v>0.37703734201521777</c:v>
                </c:pt>
                <c:pt idx="47">
                  <c:v>0.36912658907194729</c:v>
                </c:pt>
                <c:pt idx="48">
                  <c:v>0.36138181441558859</c:v>
                </c:pt>
                <c:pt idx="49">
                  <c:v>0.3537995355973883</c:v>
                </c:pt>
                <c:pt idx="50">
                  <c:v>0.34637634323507371</c:v>
                </c:pt>
                <c:pt idx="51">
                  <c:v>0.33910889947981954</c:v>
                </c:pt>
                <c:pt idx="52">
                  <c:v>0.33199393651537951</c:v>
                </c:pt>
                <c:pt idx="53">
                  <c:v>0.32502825508870803</c:v>
                </c:pt>
                <c:pt idx="54">
                  <c:v>0.31820872307141174</c:v>
                </c:pt>
                <c:pt idx="55">
                  <c:v>0.31153227405138362</c:v>
                </c:pt>
                <c:pt idx="56">
                  <c:v>0.30499590595398635</c:v>
                </c:pt>
                <c:pt idx="57">
                  <c:v>0.29859667969216547</c:v>
                </c:pt>
                <c:pt idx="58">
                  <c:v>0.29233171784488438</c:v>
                </c:pt>
                <c:pt idx="59">
                  <c:v>0.28619820336328861</c:v>
                </c:pt>
                <c:pt idx="60">
                  <c:v>0.28019337830401514</c:v>
                </c:pt>
                <c:pt idx="61">
                  <c:v>0.27431454258907972</c:v>
                </c:pt>
                <c:pt idx="62">
                  <c:v>0.26855905279178299</c:v>
                </c:pt>
                <c:pt idx="63">
                  <c:v>0.26292432094808998</c:v>
                </c:pt>
                <c:pt idx="64">
                  <c:v>0.25740781339294827</c:v>
                </c:pt>
                <c:pt idx="65">
                  <c:v>0.25200704962102222</c:v>
                </c:pt>
                <c:pt idx="66">
                  <c:v>0.2467196011713301</c:v>
                </c:pt>
                <c:pt idx="67">
                  <c:v>0.24154309053528319</c:v>
                </c:pt>
                <c:pt idx="68">
                  <c:v>0.23647519008763601</c:v>
                </c:pt>
                <c:pt idx="69">
                  <c:v>0.23151362103986589</c:v>
                </c:pt>
                <c:pt idx="70">
                  <c:v>0.22665615241551304</c:v>
                </c:pt>
                <c:pt idx="71">
                  <c:v>0.22190060004701845</c:v>
                </c:pt>
                <c:pt idx="72">
                  <c:v>0.21724482559361008</c:v>
                </c:pt>
                <c:pt idx="73">
                  <c:v>0.21268673557979506</c:v>
                </c:pt>
                <c:pt idx="74">
                  <c:v>0.20822428045402522</c:v>
                </c:pt>
                <c:pt idx="75">
                  <c:v>0.20385545366711358</c:v>
                </c:pt>
                <c:pt idx="76">
                  <c:v>0.19957829076998657</c:v>
                </c:pt>
                <c:pt idx="77">
                  <c:v>0.19539086853036702</c:v>
                </c:pt>
                <c:pt idx="78">
                  <c:v>0.19129130406798978</c:v>
                </c:pt>
                <c:pt idx="79">
                  <c:v>0.18727775400796201</c:v>
                </c:pt>
                <c:pt idx="80">
                  <c:v>0.18334841365188723</c:v>
                </c:pt>
                <c:pt idx="81">
                  <c:v>0.17950151616638005</c:v>
                </c:pt>
                <c:pt idx="82">
                  <c:v>0.17573533178860726</c:v>
                </c:pt>
                <c:pt idx="83">
                  <c:v>0.17204816704849718</c:v>
                </c:pt>
                <c:pt idx="84">
                  <c:v>0.1684383640072688</c:v>
                </c:pt>
                <c:pt idx="85">
                  <c:v>0.16490429951193722</c:v>
                </c:pt>
                <c:pt idx="86">
                  <c:v>0.16144438446546058</c:v>
                </c:pt>
                <c:pt idx="87">
                  <c:v>0.15805706311220036</c:v>
                </c:pt>
                <c:pt idx="88">
                  <c:v>0.1547408123383737</c:v>
                </c:pt>
                <c:pt idx="89">
                  <c:v>0.15149414098718306</c:v>
                </c:pt>
                <c:pt idx="90">
                  <c:v>0.14831558918831583</c:v>
                </c:pt>
                <c:pt idx="91">
                  <c:v>0.14520372770151116</c:v>
                </c:pt>
                <c:pt idx="92">
                  <c:v>0.1421571572739003</c:v>
                </c:pt>
                <c:pt idx="93">
                  <c:v>0.13917450801083053</c:v>
                </c:pt>
                <c:pt idx="94">
                  <c:v>0.13625443875989024</c:v>
                </c:pt>
                <c:pt idx="95">
                  <c:v>0.13339563650785771</c:v>
                </c:pt>
                <c:pt idx="96">
                  <c:v>0.13059681579030291</c:v>
                </c:pt>
                <c:pt idx="97">
                  <c:v>0.12785671811357685</c:v>
                </c:pt>
                <c:pt idx="98">
                  <c:v>0.12517411138892762</c:v>
                </c:pt>
                <c:pt idx="99">
                  <c:v>0.12254778937849063</c:v>
                </c:pt>
                <c:pt idx="100">
                  <c:v>0.1199765711529016</c:v>
                </c:pt>
                <c:pt idx="101">
                  <c:v>0.11745930056029008</c:v>
                </c:pt>
                <c:pt idx="102">
                  <c:v>0.11499484570641434</c:v>
                </c:pt>
                <c:pt idx="103">
                  <c:v>0.11258209844570338</c:v>
                </c:pt>
                <c:pt idx="104">
                  <c:v>0.11021997388297783</c:v>
                </c:pt>
                <c:pt idx="105">
                  <c:v>0.10790740988562508</c:v>
                </c:pt>
                <c:pt idx="106">
                  <c:v>0.10564336660601026</c:v>
                </c:pt>
                <c:pt idx="107">
                  <c:v>0.10342682601390682</c:v>
                </c:pt>
                <c:pt idx="108">
                  <c:v>0.10125679143873839</c:v>
                </c:pt>
                <c:pt idx="109">
                  <c:v>9.9132287121423857E-2</c:v>
                </c:pt>
                <c:pt idx="110">
                  <c:v>9.7052357775626402E-2</c:v>
                </c:pt>
                <c:pt idx="111">
                  <c:v>9.5016068158207304E-2</c:v>
                </c:pt>
                <c:pt idx="112">
                  <c:v>9.3022502648692884E-2</c:v>
                </c:pt>
                <c:pt idx="113">
                  <c:v>9.1070764837564294E-2</c:v>
                </c:pt>
                <c:pt idx="114">
                  <c:v>8.9159977123185644E-2</c:v>
                </c:pt>
                <c:pt idx="115">
                  <c:v>8.7289280317189424E-2</c:v>
                </c:pt>
                <c:pt idx="116">
                  <c:v>8.5457833258141089E-2</c:v>
                </c:pt>
                <c:pt idx="117">
                  <c:v>8.366481243330974E-2</c:v>
                </c:pt>
                <c:pt idx="118">
                  <c:v>8.1909411608374297E-2</c:v>
                </c:pt>
                <c:pt idx="119">
                  <c:v>8.0190841464899396E-2</c:v>
                </c:pt>
                <c:pt idx="120">
                  <c:v>7.8508329245416925E-2</c:v>
                </c:pt>
                <c:pt idx="121">
                  <c:v>7.6861118405954859E-2</c:v>
                </c:pt>
                <c:pt idx="122">
                  <c:v>7.5248468275856031E-2</c:v>
                </c:pt>
                <c:pt idx="123">
                  <c:v>7.3669653724734455E-2</c:v>
                </c:pt>
                <c:pt idx="124">
                  <c:v>7.2123964836419668E-2</c:v>
                </c:pt>
                <c:pt idx="125">
                  <c:v>7.0610706589741765E-2</c:v>
                </c:pt>
                <c:pt idx="126">
                  <c:v>6.9129198546014223E-2</c:v>
                </c:pt>
                <c:pt idx="127">
                  <c:v>6.7678774543073583E-2</c:v>
                </c:pt>
                <c:pt idx="128">
                  <c:v>6.6258782395738861E-2</c:v>
                </c:pt>
                <c:pt idx="129">
                  <c:v>6.4868583602555527E-2</c:v>
                </c:pt>
                <c:pt idx="130">
                  <c:v>6.3507553058692351E-2</c:v>
                </c:pt>
                <c:pt idx="131">
                  <c:v>6.2175078774862183E-2</c:v>
                </c:pt>
                <c:pt idx="132">
                  <c:v>6.0870561602140189E-2</c:v>
                </c:pt>
                <c:pt idx="133">
                  <c:v>5.9593414962555546E-2</c:v>
                </c:pt>
                <c:pt idx="134">
                  <c:v>5.8343064585336016E-2</c:v>
                </c:pt>
                <c:pt idx="135">
                  <c:v>5.7118948248686179E-2</c:v>
                </c:pt>
                <c:pt idx="136">
                  <c:v>5.5920515526983579E-2</c:v>
                </c:pt>
                <c:pt idx="137">
                  <c:v>5.4747227543279209E-2</c:v>
                </c:pt>
                <c:pt idx="138">
                  <c:v>5.3598556726990633E-2</c:v>
                </c:pt>
                <c:pt idx="139">
                  <c:v>5.2473986576679156E-2</c:v>
                </c:pt>
                <c:pt idx="140">
                  <c:v>5.1373011427804274E-2</c:v>
                </c:pt>
                <c:pt idx="141">
                  <c:v>5.0295136225350798E-2</c:v>
                </c:pt>
                <c:pt idx="142">
                  <c:v>4.9239876301226844E-2</c:v>
                </c:pt>
                <c:pt idx="143">
                  <c:v>4.820675715633195E-2</c:v>
                </c:pt>
                <c:pt idx="144">
                  <c:v>4.7195314247198063E-2</c:v>
                </c:pt>
                <c:pt idx="145">
                  <c:v>4.6205092777106847E-2</c:v>
                </c:pt>
                <c:pt idx="146">
                  <c:v>4.5235647491589662E-2</c:v>
                </c:pt>
                <c:pt idx="147">
                  <c:v>4.4286542478218359E-2</c:v>
                </c:pt>
                <c:pt idx="148">
                  <c:v>4.335735097059655E-2</c:v>
                </c:pt>
                <c:pt idx="149">
                  <c:v>4.2447655156463572E-2</c:v>
                </c:pt>
                <c:pt idx="150">
                  <c:v>4.1557045989824688E-2</c:v>
                </c:pt>
                <c:pt idx="151">
                  <c:v>4.0685123007022705E-2</c:v>
                </c:pt>
                <c:pt idx="152">
                  <c:v>3.9831494146669297E-2</c:v>
                </c:pt>
                <c:pt idx="153">
                  <c:v>3.8995775573353812E-2</c:v>
                </c:pt>
                <c:pt idx="154">
                  <c:v>3.8177591505051171E-2</c:v>
                </c:pt>
                <c:pt idx="155">
                  <c:v>3.737657404415106E-2</c:v>
                </c:pt>
                <c:pt idx="156">
                  <c:v>3.6592363012032121E-2</c:v>
                </c:pt>
                <c:pt idx="157">
                  <c:v>3.5824605787107243E-2</c:v>
                </c:pt>
                <c:pt idx="158">
                  <c:v>3.5072957146266723E-2</c:v>
                </c:pt>
                <c:pt idx="159">
                  <c:v>3.4337079109648186E-2</c:v>
                </c:pt>
                <c:pt idx="160">
                  <c:v>3.3616640788663547E-2</c:v>
                </c:pt>
                <c:pt idx="161">
                  <c:v>3.2911318237214375E-2</c:v>
                </c:pt>
                <c:pt idx="162">
                  <c:v>3.2220794306029199E-2</c:v>
                </c:pt>
                <c:pt idx="163">
                  <c:v>3.1544758500056856E-2</c:v>
                </c:pt>
                <c:pt idx="164">
                  <c:v>3.0882906838851872E-2</c:v>
                </c:pt>
                <c:pt idx="165">
                  <c:v>3.0234941719889358E-2</c:v>
                </c:pt>
                <c:pt idx="166">
                  <c:v>2.9600571784747592E-2</c:v>
                </c:pt>
                <c:pt idx="167">
                  <c:v>2.8979511788098145E-2</c:v>
                </c:pt>
                <c:pt idx="168">
                  <c:v>2.8371482469445188E-2</c:v>
                </c:pt>
                <c:pt idx="169">
                  <c:v>2.7776210427555362E-2</c:v>
                </c:pt>
                <c:pt idx="170">
                  <c:v>2.7193427997522699E-2</c:v>
                </c:pt>
                <c:pt idx="171">
                  <c:v>2.6622873130412665E-2</c:v>
                </c:pt>
                <c:pt idx="172">
                  <c:v>2.6064289275431453E-2</c:v>
                </c:pt>
                <c:pt idx="173">
                  <c:v>2.5517425264567649E-2</c:v>
                </c:pt>
                <c:pt idx="174">
                  <c:v>2.4982035199654088E-2</c:v>
                </c:pt>
                <c:pt idx="175">
                  <c:v>2.4457878341799476E-2</c:v>
                </c:pt>
                <c:pt idx="176">
                  <c:v>2.3944719003139783E-2</c:v>
                </c:pt>
                <c:pt idx="177">
                  <c:v>2.3442326440860823E-2</c:v>
                </c:pt>
                <c:pt idx="178">
                  <c:v>2.2950474753444496E-2</c:v>
                </c:pt>
                <c:pt idx="179">
                  <c:v>2.2468942779091856E-2</c:v>
                </c:pt>
                <c:pt idx="180">
                  <c:v>2.1997513996277269E-2</c:v>
                </c:pt>
                <c:pt idx="181">
                  <c:v>2.1535976426389419E-2</c:v>
                </c:pt>
                <c:pt idx="182">
                  <c:v>2.1084122538414598E-2</c:v>
                </c:pt>
                <c:pt idx="183">
                  <c:v>2.0641749155620309E-2</c:v>
                </c:pt>
                <c:pt idx="184">
                  <c:v>2.0208657364196421E-2</c:v>
                </c:pt>
                <c:pt idx="185">
                  <c:v>1.9784652423813328E-2</c:v>
                </c:pt>
                <c:pt idx="186">
                  <c:v>1.9369543680056736E-2</c:v>
                </c:pt>
                <c:pt idx="187">
                  <c:v>1.8963144478699564E-2</c:v>
                </c:pt>
                <c:pt idx="188">
                  <c:v>1.8565272081772676E-2</c:v>
                </c:pt>
                <c:pt idx="189">
                  <c:v>1.8175747585396477E-2</c:v>
                </c:pt>
                <c:pt idx="190">
                  <c:v>1.7794395839336497E-2</c:v>
                </c:pt>
                <c:pt idx="191">
                  <c:v>1.7421045368246898E-2</c:v>
                </c:pt>
                <c:pt idx="192">
                  <c:v>1.7055528294566313E-2</c:v>
                </c:pt>
                <c:pt idx="193">
                  <c:v>1.6697680263031475E-2</c:v>
                </c:pt>
                <c:pt idx="194">
                  <c:v>1.6347340366774647E-2</c:v>
                </c:pt>
                <c:pt idx="195">
                  <c:v>1.6004351074971588E-2</c:v>
                </c:pt>
                <c:pt idx="196">
                  <c:v>1.5668558162007663E-2</c:v>
                </c:pt>
                <c:pt idx="197">
                  <c:v>1.5339810638130029E-2</c:v>
                </c:pt>
                <c:pt idx="198">
                  <c:v>1.50179606815549E-2</c:v>
                </c:pt>
                <c:pt idx="199">
                  <c:v>1.4702863571999287E-2</c:v>
                </c:pt>
                <c:pt idx="200">
                  <c:v>1.439437762560726E-2</c:v>
                </c:pt>
                <c:pt idx="201">
                  <c:v>1.4092364131241686E-2</c:v>
                </c:pt>
                <c:pt idx="202">
                  <c:v>1.3796687288112562E-2</c:v>
                </c:pt>
                <c:pt idx="203">
                  <c:v>1.3507214144713906E-2</c:v>
                </c:pt>
                <c:pt idx="204">
                  <c:v>1.3223814539042041E-2</c:v>
                </c:pt>
                <c:pt idx="205">
                  <c:v>1.294636104006801E-2</c:v>
                </c:pt>
                <c:pt idx="206">
                  <c:v>1.2674728890438048E-2</c:v>
                </c:pt>
                <c:pt idx="207">
                  <c:v>1.2408795950376271E-2</c:v>
                </c:pt>
                <c:pt idx="208">
                  <c:v>1.2148442642764315E-2</c:v>
                </c:pt>
                <c:pt idx="209">
                  <c:v>1.189355189937338E-2</c:v>
                </c:pt>
                <c:pt idx="210">
                  <c:v>1.1644009108224298E-2</c:v>
                </c:pt>
                <c:pt idx="211">
                  <c:v>1.1399702062052102E-2</c:v>
                </c:pt>
                <c:pt idx="212">
                  <c:v>1.1160520907851884E-2</c:v>
                </c:pt>
                <c:pt idx="213">
                  <c:v>1.0926358097483203E-2</c:v>
                </c:pt>
                <c:pt idx="214">
                  <c:v>1.0697108339310953E-2</c:v>
                </c:pt>
                <c:pt idx="215">
                  <c:v>1.0472668550860851E-2</c:v>
                </c:pt>
                <c:pt idx="216">
                  <c:v>1.0252937812468166E-2</c:v>
                </c:pt>
                <c:pt idx="217">
                  <c:v>1.0037817321899149E-2</c:v>
                </c:pt>
                <c:pt idx="218">
                  <c:v>9.8272103499244187E-3</c:v>
                </c:pt>
                <c:pt idx="219">
                  <c:v>9.6210221968245444E-3</c:v>
                </c:pt>
                <c:pt idx="220">
                  <c:v>9.4191601498081895E-3</c:v>
                </c:pt>
                <c:pt idx="221">
                  <c:v>9.2215334413236379E-3</c:v>
                </c:pt>
                <c:pt idx="222">
                  <c:v>9.0280532082450959E-3</c:v>
                </c:pt>
                <c:pt idx="223">
                  <c:v>8.838632451915223E-3</c:v>
                </c:pt>
                <c:pt idx="224">
                  <c:v>8.6531859990260744E-3</c:v>
                </c:pt>
                <c:pt idx="225">
                  <c:v>8.4716304633208148E-3</c:v>
                </c:pt>
                <c:pt idx="226">
                  <c:v>8.293884208098937E-3</c:v>
                </c:pt>
                <c:pt idx="227">
                  <c:v>8.1198673095082535E-3</c:v>
                </c:pt>
                <c:pt idx="228">
                  <c:v>7.9495015206069875E-3</c:v>
                </c:pt>
                <c:pt idx="229">
                  <c:v>7.7827102361799488E-3</c:v>
                </c:pt>
                <c:pt idx="230">
                  <c:v>7.6194184582928735E-3</c:v>
                </c:pt>
                <c:pt idx="231">
                  <c:v>7.4595527625695114E-3</c:v>
                </c:pt>
                <c:pt idx="232">
                  <c:v>7.3030412651762461E-3</c:v>
                </c:pt>
                <c:pt idx="233">
                  <c:v>7.1498135904994363E-3</c:v>
                </c:pt>
                <c:pt idx="234">
                  <c:v>6.9998008395008998E-3</c:v>
                </c:pt>
                <c:pt idx="235">
                  <c:v>6.8529355587373985E-3</c:v>
                </c:pt>
                <c:pt idx="236">
                  <c:v>6.7091517100300816E-3</c:v>
                </c:pt>
                <c:pt idx="237">
                  <c:v>6.5683846407703301E-3</c:v>
                </c:pt>
                <c:pt idx="238">
                  <c:v>6.4305710548486269E-3</c:v>
                </c:pt>
                <c:pt idx="239">
                  <c:v>6.2956489841933527E-3</c:v>
                </c:pt>
                <c:pt idx="240">
                  <c:v>6.1635577609067864E-3</c:v>
                </c:pt>
                <c:pt idx="241">
                  <c:v>6.034237989985679E-3</c:v>
                </c:pt>
                <c:pt idx="242">
                  <c:v>5.9076315226142132E-3</c:v>
                </c:pt>
                <c:pt idx="243">
                  <c:v>5.7836814300173062E-3</c:v>
                </c:pt>
                <c:pt idx="244">
                  <c:v>5.6623319778625111E-3</c:v>
                </c:pt>
                <c:pt idx="245">
                  <c:v>5.543528601198975E-3</c:v>
                </c:pt>
                <c:pt idx="246">
                  <c:v>5.4272178799222815E-3</c:v>
                </c:pt>
                <c:pt idx="247">
                  <c:v>5.3133475147539621E-3</c:v>
                </c:pt>
                <c:pt idx="248">
                  <c:v>5.2018663037251018E-3</c:v>
                </c:pt>
                <c:pt idx="249">
                  <c:v>5.0927241191532826E-3</c:v>
                </c:pt>
                <c:pt idx="250">
                  <c:v>4.9858718851026017E-3</c:v>
                </c:pt>
                <c:pt idx="251">
                  <c:v>4.8812615553166161E-3</c:v>
                </c:pt>
                <c:pt idx="252">
                  <c:v>4.778846091614255E-3</c:v>
                </c:pt>
                <c:pt idx="253">
                  <c:v>4.6785794427390663E-3</c:v>
                </c:pt>
                <c:pt idx="254">
                  <c:v>4.5804165236521836E-3</c:v>
                </c:pt>
                <c:pt idx="255">
                  <c:v>4.4843131952597834E-3</c:v>
                </c:pt>
                <c:pt idx="256">
                  <c:v>4.3902262445658742E-3</c:v>
                </c:pt>
                <c:pt idx="257">
                  <c:v>4.2981133652415246E-3</c:v>
                </c:pt>
                <c:pt idx="258">
                  <c:v>4.2079331386017348E-3</c:v>
                </c:pt>
                <c:pt idx="259">
                  <c:v>4.1196450149815168E-3</c:v>
                </c:pt>
                <c:pt idx="260">
                  <c:v>4.0332092955026244E-3</c:v>
                </c:pt>
                <c:pt idx="261">
                  <c:v>3.9485871142229366E-3</c:v>
                </c:pt>
                <c:pt idx="262">
                  <c:v>3.8657404206603177E-3</c:v>
                </c:pt>
                <c:pt idx="263">
                  <c:v>3.7846319626831655E-3</c:v>
                </c:pt>
                <c:pt idx="264">
                  <c:v>3.7052252697599435E-3</c:v>
                </c:pt>
                <c:pt idx="265">
                  <c:v>3.6274846365601404E-3</c:v>
                </c:pt>
                <c:pt idx="266">
                  <c:v>3.5513751068993395E-3</c:v>
                </c:pt>
                <c:pt idx="267">
                  <c:v>3.4768624580211079E-3</c:v>
                </c:pt>
                <c:pt idx="268">
                  <c:v>3.4039131852086893E-3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07-4D23-A160-FFBC66943734}"/>
            </c:ext>
          </c:extLst>
        </c:ser>
        <c:ser>
          <c:idx val="1"/>
          <c:order val="1"/>
          <c:tx>
            <c:v>Weibull</c:v>
          </c:tx>
          <c:spPr>
            <a:ln w="19080">
              <a:solidFill>
                <a:srgbClr val="2196F3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extrapolation!$W$15:$W$283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0.95506054328778112</c:v>
                </c:pt>
                <c:pt idx="2">
                  <c:v>0.9221228994066103</c:v>
                </c:pt>
                <c:pt idx="3">
                  <c:v>0.89317220019609456</c:v>
                </c:pt>
                <c:pt idx="4">
                  <c:v>0.86678753996248237</c:v>
                </c:pt>
                <c:pt idx="5">
                  <c:v>0.84231618682915088</c:v>
                </c:pt>
                <c:pt idx="6">
                  <c:v>0.81937896054293846</c:v>
                </c:pt>
                <c:pt idx="7">
                  <c:v>0.79772646993808227</c:v>
                </c:pt>
                <c:pt idx="8">
                  <c:v>0.77718135560596113</c:v>
                </c:pt>
                <c:pt idx="9">
                  <c:v>0.7576104927089522</c:v>
                </c:pt>
                <c:pt idx="10">
                  <c:v>0.73890993009217598</c:v>
                </c:pt>
                <c:pt idx="11">
                  <c:v>0.72099600939134434</c:v>
                </c:pt>
                <c:pt idx="12">
                  <c:v>0.70379978316212211</c:v>
                </c:pt>
                <c:pt idx="13">
                  <c:v>0.6872633266751742</c:v>
                </c:pt>
                <c:pt idx="14">
                  <c:v>0.67133720074644454</c:v>
                </c:pt>
                <c:pt idx="15">
                  <c:v>0.65597864745550605</c:v>
                </c:pt>
                <c:pt idx="16">
                  <c:v>0.64115027080651832</c:v>
                </c:pt>
                <c:pt idx="17">
                  <c:v>0.62681904884124584</c:v>
                </c:pt>
                <c:pt idx="18">
                  <c:v>0.61295557866056982</c:v>
                </c:pt>
                <c:pt idx="19">
                  <c:v>0.59953348907944248</c:v>
                </c:pt>
                <c:pt idx="20">
                  <c:v>0.58652897648857172</c:v>
                </c:pt>
                <c:pt idx="21">
                  <c:v>0.57392043295835138</c:v>
                </c:pt>
                <c:pt idx="22">
                  <c:v>0.56168814454524318</c:v>
                </c:pt>
                <c:pt idx="23">
                  <c:v>0.54981404381691057</c:v>
                </c:pt>
                <c:pt idx="24">
                  <c:v>0.53828150480837977</c:v>
                </c:pt>
                <c:pt idx="25">
                  <c:v>0.52707517158348915</c:v>
                </c:pt>
                <c:pt idx="26">
                  <c:v>0.51618081370240676</c:v>
                </c:pt>
                <c:pt idx="27">
                  <c:v>0.50558520344626789</c:v>
                </c:pt>
                <c:pt idx="28">
                  <c:v>0.49527601079606504</c:v>
                </c:pt>
                <c:pt idx="29">
                  <c:v>0.48524171302111407</c:v>
                </c:pt>
                <c:pt idx="30">
                  <c:v>0.47547151638265128</c:v>
                </c:pt>
                <c:pt idx="31">
                  <c:v>0.46595528795614144</c:v>
                </c:pt>
                <c:pt idx="32">
                  <c:v>0.45668349596119717</c:v>
                </c:pt>
                <c:pt idx="33">
                  <c:v>0.44764715728890908</c:v>
                </c:pt>
                <c:pt idx="34">
                  <c:v>0.43883779115341681</c:v>
                </c:pt>
                <c:pt idx="35">
                  <c:v>0.43024737798278601</c:v>
                </c:pt>
                <c:pt idx="36">
                  <c:v>0.42186832281487768</c:v>
                </c:pt>
                <c:pt idx="37">
                  <c:v>0.41369342258527986</c:v>
                </c:pt>
                <c:pt idx="38">
                  <c:v>0.40571583679284579</c:v>
                </c:pt>
                <c:pt idx="39">
                  <c:v>0.39792906110877796</c:v>
                </c:pt>
                <c:pt idx="40">
                  <c:v>0.39032690356121974</c:v>
                </c:pt>
                <c:pt idx="41">
                  <c:v>0.38290346298183509</c:v>
                </c:pt>
                <c:pt idx="42">
                  <c:v>0.37565310944612984</c:v>
                </c:pt>
                <c:pt idx="43">
                  <c:v>0.36857046647702996</c:v>
                </c:pt>
                <c:pt idx="44">
                  <c:v>0.36165039481290051</c:v>
                </c:pt>
                <c:pt idx="45">
                  <c:v>0.35488797756785201</c:v>
                </c:pt>
                <c:pt idx="46">
                  <c:v>0.34827850663473919</c:v>
                </c:pt>
                <c:pt idx="47">
                  <c:v>0.34181747020039899</c:v>
                </c:pt>
                <c:pt idx="48">
                  <c:v>0.33550054125901818</c:v>
                </c:pt>
                <c:pt idx="49">
                  <c:v>0.32932356702348431</c:v>
                </c:pt>
                <c:pt idx="50">
                  <c:v>0.32328255914657494</c:v>
                </c:pt>
                <c:pt idx="51">
                  <c:v>0.3173736846741852</c:v>
                </c:pt>
                <c:pt idx="52">
                  <c:v>0.31159325766173046</c:v>
                </c:pt>
                <c:pt idx="53">
                  <c:v>0.30593773139261349</c:v>
                </c:pt>
                <c:pt idx="54">
                  <c:v>0.30040369114438792</c:v>
                </c:pt>
                <c:pt idx="55">
                  <c:v>0.29498784745414053</c:v>
                </c:pt>
                <c:pt idx="56">
                  <c:v>0.28968702983974565</c:v>
                </c:pt>
                <c:pt idx="57">
                  <c:v>0.28449818093817714</c:v>
                </c:pt>
                <c:pt idx="58">
                  <c:v>0.27941835102601337</c:v>
                </c:pt>
                <c:pt idx="59">
                  <c:v>0.27444469289078238</c:v>
                </c:pt>
                <c:pt idx="60">
                  <c:v>0.26957445702488009</c:v>
                </c:pt>
                <c:pt idx="61">
                  <c:v>0.26480498711653117</c:v>
                </c:pt>
                <c:pt idx="62">
                  <c:v>0.26013371581469352</c:v>
                </c:pt>
                <c:pt idx="63">
                  <c:v>0.25555816074696641</c:v>
                </c:pt>
                <c:pt idx="64">
                  <c:v>0.25107592077149105</c:v>
                </c:pt>
                <c:pt idx="65">
                  <c:v>0.24668467244554904</c:v>
                </c:pt>
                <c:pt idx="66">
                  <c:v>0.24238216669510596</c:v>
                </c:pt>
                <c:pt idx="67">
                  <c:v>0.23816622567092521</c:v>
                </c:pt>
                <c:pt idx="68">
                  <c:v>0.23403473977811554</c:v>
                </c:pt>
                <c:pt idx="69">
                  <c:v>0.22998566486709451</c:v>
                </c:pt>
                <c:pt idx="70">
                  <c:v>0.22601701957494746</c:v>
                </c:pt>
                <c:pt idx="71">
                  <c:v>0.22212688280707474</c:v>
                </c:pt>
                <c:pt idx="72">
                  <c:v>0.21831339134983666</c:v>
                </c:pt>
                <c:pt idx="73">
                  <c:v>0.21457473760564663</c:v>
                </c:pt>
                <c:pt idx="74">
                  <c:v>0.2109091674426381</c:v>
                </c:pt>
                <c:pt idx="75">
                  <c:v>0.20731497815164118</c:v>
                </c:pt>
                <c:pt idx="76">
                  <c:v>0.20379051650376018</c:v>
                </c:pt>
                <c:pt idx="77">
                  <c:v>0.20033417690234978</c:v>
                </c:pt>
                <c:pt idx="78">
                  <c:v>0.19694439962364871</c:v>
                </c:pt>
                <c:pt idx="79">
                  <c:v>0.19361966914075163</c:v>
                </c:pt>
                <c:pt idx="80">
                  <c:v>0.1903585125259866</c:v>
                </c:pt>
                <c:pt idx="81">
                  <c:v>0.1871594979271117</c:v>
                </c:pt>
                <c:pt idx="82">
                  <c:v>0.1840212331130803</c:v>
                </c:pt>
                <c:pt idx="83">
                  <c:v>0.1809423640854031</c:v>
                </c:pt>
                <c:pt idx="84">
                  <c:v>0.17792157375142711</c:v>
                </c:pt>
                <c:pt idx="85">
                  <c:v>0.17495758065608391</c:v>
                </c:pt>
                <c:pt idx="86">
                  <c:v>0.17204913776890585</c:v>
                </c:pt>
                <c:pt idx="87">
                  <c:v>0.16919503132330824</c:v>
                </c:pt>
                <c:pt idx="88">
                  <c:v>0.16639407970534054</c:v>
                </c:pt>
                <c:pt idx="89">
                  <c:v>0.16364513238928632</c:v>
                </c:pt>
                <c:pt idx="90">
                  <c:v>0.16094706891766122</c:v>
                </c:pt>
                <c:pt idx="91">
                  <c:v>0.15829879792330884</c:v>
                </c:pt>
                <c:pt idx="92">
                  <c:v>0.15569925619144465</c:v>
                </c:pt>
                <c:pt idx="93">
                  <c:v>0.1531474077596246</c:v>
                </c:pt>
                <c:pt idx="94">
                  <c:v>0.15064224305373944</c:v>
                </c:pt>
                <c:pt idx="95">
                  <c:v>0.14818277805825716</c:v>
                </c:pt>
                <c:pt idx="96">
                  <c:v>0.14576805351902766</c:v>
                </c:pt>
                <c:pt idx="97">
                  <c:v>0.14339713417708064</c:v>
                </c:pt>
                <c:pt idx="98">
                  <c:v>0.14106910803192549</c:v>
                </c:pt>
                <c:pt idx="99">
                  <c:v>0.13878308563295433</c:v>
                </c:pt>
                <c:pt idx="100">
                  <c:v>0.13653819939762799</c:v>
                </c:pt>
                <c:pt idx="101">
                  <c:v>0.13433360295520042</c:v>
                </c:pt>
                <c:pt idx="102">
                  <c:v>0.13216847051480524</c:v>
                </c:pt>
                <c:pt idx="103">
                  <c:v>0.13004199625679144</c:v>
                </c:pt>
                <c:pt idx="104">
                  <c:v>0.12795339374626291</c:v>
                </c:pt>
                <c:pt idx="105">
                  <c:v>0.12590189536782465</c:v>
                </c:pt>
                <c:pt idx="106">
                  <c:v>0.12388675178059891</c:v>
                </c:pt>
                <c:pt idx="107">
                  <c:v>0.12190723139262026</c:v>
                </c:pt>
                <c:pt idx="108">
                  <c:v>0.11996261985376763</c:v>
                </c:pt>
                <c:pt idx="109">
                  <c:v>0.11805221956643544</c:v>
                </c:pt>
                <c:pt idx="110">
                  <c:v>0.11617534921318289</c:v>
                </c:pt>
                <c:pt idx="111">
                  <c:v>0.1143313433006496</c:v>
                </c:pt>
                <c:pt idx="112">
                  <c:v>0.11251955171904632</c:v>
                </c:pt>
                <c:pt idx="113">
                  <c:v>0.11073933931658245</c:v>
                </c:pt>
                <c:pt idx="114">
                  <c:v>0.10899008548820766</c:v>
                </c:pt>
                <c:pt idx="115">
                  <c:v>0.10727118377808478</c:v>
                </c:pt>
                <c:pt idx="116">
                  <c:v>0.10558204149523921</c:v>
                </c:pt>
                <c:pt idx="117">
                  <c:v>0.10392207934185226</c:v>
                </c:pt>
                <c:pt idx="118">
                  <c:v>0.10229073105369628</c:v>
                </c:pt>
                <c:pt idx="119">
                  <c:v>0.10068744305223096</c:v>
                </c:pt>
                <c:pt idx="120">
                  <c:v>9.9111674107902642E-2</c:v>
                </c:pt>
                <c:pt idx="121">
                  <c:v>9.7562895014212198E-2</c:v>
                </c:pt>
                <c:pt idx="122">
                  <c:v>9.6040588272134866E-2</c:v>
                </c:pt>
                <c:pt idx="123">
                  <c:v>9.4544247784494578E-2</c:v>
                </c:pt>
                <c:pt idx="124">
                  <c:v>9.3073378559915529E-2</c:v>
                </c:pt>
                <c:pt idx="125">
                  <c:v>9.1627496425990926E-2</c:v>
                </c:pt>
                <c:pt idx="126">
                  <c:v>9.0206127751319851E-2</c:v>
                </c:pt>
                <c:pt idx="127">
                  <c:v>8.8808809176086134E-2</c:v>
                </c:pt>
                <c:pt idx="128">
                  <c:v>8.7435087350863486E-2</c:v>
                </c:pt>
                <c:pt idx="129">
                  <c:v>8.6084518683344088E-2</c:v>
                </c:pt>
                <c:pt idx="130">
                  <c:v>8.4756669092704559E-2</c:v>
                </c:pt>
                <c:pt idx="131">
                  <c:v>8.3451113771331367E-2</c:v>
                </c:pt>
                <c:pt idx="132">
                  <c:v>8.2167436953643785E-2</c:v>
                </c:pt>
                <c:pt idx="133">
                  <c:v>8.0905231691760754E-2</c:v>
                </c:pt>
                <c:pt idx="134">
                  <c:v>7.9664099637769756E-2</c:v>
                </c:pt>
                <c:pt idx="135">
                  <c:v>7.8443650832366166E-2</c:v>
                </c:pt>
                <c:pt idx="136">
                  <c:v>7.7243503499640084E-2</c:v>
                </c:pt>
                <c:pt idx="137">
                  <c:v>7.606328384779952E-2</c:v>
                </c:pt>
                <c:pt idx="138">
                  <c:v>7.4902625875622422E-2</c:v>
                </c:pt>
                <c:pt idx="139">
                  <c:v>7.3761171184446125E-2</c:v>
                </c:pt>
                <c:pt idx="140">
                  <c:v>7.2638568795500652E-2</c:v>
                </c:pt>
                <c:pt idx="141">
                  <c:v>7.1534474972411208E-2</c:v>
                </c:pt>
                <c:pt idx="142">
                  <c:v>7.0448553048692422E-2</c:v>
                </c:pt>
                <c:pt idx="143">
                  <c:v>6.9380473260068548E-2</c:v>
                </c:pt>
                <c:pt idx="144">
                  <c:v>6.8329912581461733E-2</c:v>
                </c:pt>
                <c:pt idx="145">
                  <c:v>6.7296554568493719E-2</c:v>
                </c:pt>
                <c:pt idx="146">
                  <c:v>6.6280089203350878E-2</c:v>
                </c:pt>
                <c:pt idx="147">
                  <c:v>6.5280212744875582E-2</c:v>
                </c:pt>
                <c:pt idx="148">
                  <c:v>6.4296627582742211E-2</c:v>
                </c:pt>
                <c:pt idx="149">
                  <c:v>6.332904209559044E-2</c:v>
                </c:pt>
                <c:pt idx="150">
                  <c:v>6.2377170512987613E-2</c:v>
                </c:pt>
                <c:pt idx="151">
                  <c:v>6.1440732781096692E-2</c:v>
                </c:pt>
                <c:pt idx="152">
                  <c:v>6.0519454431938347E-2</c:v>
                </c:pt>
                <c:pt idx="153">
                  <c:v>5.961306645612742E-2</c:v>
                </c:pt>
                <c:pt idx="154">
                  <c:v>5.8721305178980852E-2</c:v>
                </c:pt>
                <c:pt idx="155">
                  <c:v>5.7843912139889209E-2</c:v>
                </c:pt>
                <c:pt idx="156">
                  <c:v>5.6980633974851584E-2</c:v>
                </c:pt>
                <c:pt idx="157">
                  <c:v>5.6131222302078558E-2</c:v>
                </c:pt>
                <c:pt idx="158">
                  <c:v>5.5295433610565888E-2</c:v>
                </c:pt>
                <c:pt idx="159">
                  <c:v>5.4473029151553776E-2</c:v>
                </c:pt>
                <c:pt idx="160">
                  <c:v>5.3663774832778025E-2</c:v>
                </c:pt>
                <c:pt idx="161">
                  <c:v>5.2867441115435405E-2</c:v>
                </c:pt>
                <c:pt idx="162">
                  <c:v>5.2083802913778565E-2</c:v>
                </c:pt>
                <c:pt idx="163">
                  <c:v>5.1312639497262232E-2</c:v>
                </c:pt>
                <c:pt idx="164">
                  <c:v>5.0553734395166895E-2</c:v>
                </c:pt>
                <c:pt idx="165">
                  <c:v>4.9806875303626E-2</c:v>
                </c:pt>
                <c:pt idx="166">
                  <c:v>4.9071853994985794E-2</c:v>
                </c:pt>
                <c:pt idx="167">
                  <c:v>4.8348466229430231E-2</c:v>
                </c:pt>
                <c:pt idx="168">
                  <c:v>4.7636511668806683E-2</c:v>
                </c:pt>
                <c:pt idx="169">
                  <c:v>4.6935793792585619E-2</c:v>
                </c:pt>
                <c:pt idx="170">
                  <c:v>4.6246119815896075E-2</c:v>
                </c:pt>
                <c:pt idx="171">
                  <c:v>4.5567300609575999E-2</c:v>
                </c:pt>
                <c:pt idx="172">
                  <c:v>4.4899150622180507E-2</c:v>
                </c:pt>
                <c:pt idx="173">
                  <c:v>4.4241487803892747E-2</c:v>
                </c:pt>
                <c:pt idx="174">
                  <c:v>4.3594133532282774E-2</c:v>
                </c:pt>
                <c:pt idx="175">
                  <c:v>4.2956912539864514E-2</c:v>
                </c:pt>
                <c:pt idx="176">
                  <c:v>4.2329652843398624E-2</c:v>
                </c:pt>
                <c:pt idx="177">
                  <c:v>4.1712185674893036E-2</c:v>
                </c:pt>
                <c:pt idx="178">
                  <c:v>4.1104345414256005E-2</c:v>
                </c:pt>
                <c:pt idx="179">
                  <c:v>4.0505969523553884E-2</c:v>
                </c:pt>
                <c:pt idx="180">
                  <c:v>3.991689848283031E-2</c:v>
                </c:pt>
                <c:pt idx="181">
                  <c:v>3.933697572744433E-2</c:v>
                </c:pt>
                <c:pt idx="182">
                  <c:v>3.8766047586887196E-2</c:v>
                </c:pt>
                <c:pt idx="183">
                  <c:v>3.8203963225034873E-2</c:v>
                </c:pt>
                <c:pt idx="184">
                  <c:v>3.7650574581801016E-2</c:v>
                </c:pt>
                <c:pt idx="185">
                  <c:v>3.7105736316150412E-2</c:v>
                </c:pt>
                <c:pt idx="186">
                  <c:v>3.6569305750437188E-2</c:v>
                </c:pt>
                <c:pt idx="187">
                  <c:v>3.6041142816032774E-2</c:v>
                </c:pt>
                <c:pt idx="188">
                  <c:v>3.5521110000209979E-2</c:v>
                </c:pt>
                <c:pt idx="189">
                  <c:v>3.500907229424749E-2</c:v>
                </c:pt>
                <c:pt idx="190">
                  <c:v>3.4504897142726226E-2</c:v>
                </c:pt>
                <c:pt idx="191">
                  <c:v>3.4008454393983881E-2</c:v>
                </c:pt>
                <c:pt idx="192">
                  <c:v>3.3519616251697609E-2</c:v>
                </c:pt>
                <c:pt idx="193">
                  <c:v>3.3038257227567203E-2</c:v>
                </c:pt>
                <c:pt idx="194">
                  <c:v>3.2564254095067961E-2</c:v>
                </c:pt>
                <c:pt idx="195">
                  <c:v>3.2097485844247896E-2</c:v>
                </c:pt>
                <c:pt idx="196">
                  <c:v>3.1637833637540087E-2</c:v>
                </c:pt>
                <c:pt idx="197">
                  <c:v>3.1185180766566671E-2</c:v>
                </c:pt>
                <c:pt idx="198">
                  <c:v>3.0739412609907913E-2</c:v>
                </c:pt>
                <c:pt idx="199">
                  <c:v>3.0300416591810996E-2</c:v>
                </c:pt>
                <c:pt idx="200">
                  <c:v>2.9868082141816521E-2</c:v>
                </c:pt>
                <c:pt idx="201">
                  <c:v>2.9442300655278621E-2</c:v>
                </c:pt>
                <c:pt idx="202">
                  <c:v>2.9022965454756595E-2</c:v>
                </c:pt>
                <c:pt idx="203">
                  <c:v>2.8609971752255499E-2</c:v>
                </c:pt>
                <c:pt idx="204">
                  <c:v>2.8203216612295488E-2</c:v>
                </c:pt>
                <c:pt idx="205">
                  <c:v>2.7802598915788828E-2</c:v>
                </c:pt>
                <c:pt idx="206">
                  <c:v>2.7408019324705012E-2</c:v>
                </c:pt>
                <c:pt idx="207">
                  <c:v>2.7019380247503107E-2</c:v>
                </c:pt>
                <c:pt idx="208">
                  <c:v>2.6636585805315305E-2</c:v>
                </c:pt>
                <c:pt idx="209">
                  <c:v>2.6259541798859781E-2</c:v>
                </c:pt>
                <c:pt idx="210">
                  <c:v>2.5888155676067986E-2</c:v>
                </c:pt>
                <c:pt idx="211">
                  <c:v>2.5522336500407351E-2</c:v>
                </c:pt>
                <c:pt idx="212">
                  <c:v>2.5161994919883093E-2</c:v>
                </c:pt>
                <c:pt idx="213">
                  <c:v>2.4807043136702619E-2</c:v>
                </c:pt>
                <c:pt idx="214">
                  <c:v>2.4457394877586778E-2</c:v>
                </c:pt>
                <c:pt idx="215">
                  <c:v>2.4112965364711449E-2</c:v>
                </c:pt>
                <c:pt idx="216">
                  <c:v>2.3773671287266623E-2</c:v>
                </c:pt>
                <c:pt idx="217">
                  <c:v>2.3439430773615499E-2</c:v>
                </c:pt>
                <c:pt idx="218">
                  <c:v>2.3110163364041154E-2</c:v>
                </c:pt>
                <c:pt idx="219">
                  <c:v>2.2785789984066347E-2</c:v>
                </c:pt>
                <c:pt idx="220">
                  <c:v>2.246623291833293E-2</c:v>
                </c:pt>
                <c:pt idx="221">
                  <c:v>2.2151415785027637E-2</c:v>
                </c:pt>
                <c:pt idx="222">
                  <c:v>2.1841263510841528E-2</c:v>
                </c:pt>
                <c:pt idx="223">
                  <c:v>2.1535702306450501E-2</c:v>
                </c:pt>
                <c:pt idx="224">
                  <c:v>2.1234659642504799E-2</c:v>
                </c:pt>
                <c:pt idx="225">
                  <c:v>2.0938064226115764E-2</c:v>
                </c:pt>
                <c:pt idx="226">
                  <c:v>2.0645845977828006E-2</c:v>
                </c:pt>
                <c:pt idx="227">
                  <c:v>2.0357936009066182E-2</c:v>
                </c:pt>
                <c:pt idx="228">
                  <c:v>2.0074266600044979E-2</c:v>
                </c:pt>
                <c:pt idx="229">
                  <c:v>1.979477117813221E-2</c:v>
                </c:pt>
                <c:pt idx="230">
                  <c:v>1.9519384296654205E-2</c:v>
                </c:pt>
                <c:pt idx="231">
                  <c:v>1.9248041614133411E-2</c:v>
                </c:pt>
                <c:pt idx="232">
                  <c:v>1.8980679873948945E-2</c:v>
                </c:pt>
                <c:pt idx="233">
                  <c:v>1.8717236884409464E-2</c:v>
                </c:pt>
                <c:pt idx="234">
                  <c:v>1.8457651499229986E-2</c:v>
                </c:pt>
                <c:pt idx="235">
                  <c:v>1.8201863598403173E-2</c:v>
                </c:pt>
                <c:pt idx="236">
                  <c:v>1.7949814069456147E-2</c:v>
                </c:pt>
                <c:pt idx="237">
                  <c:v>1.7701444789083625E-2</c:v>
                </c:pt>
                <c:pt idx="238">
                  <c:v>1.7456698605151102E-2</c:v>
                </c:pt>
                <c:pt idx="239">
                  <c:v>1.7215519319056263E-2</c:v>
                </c:pt>
                <c:pt idx="240">
                  <c:v>1.6977851668444371E-2</c:v>
                </c:pt>
                <c:pt idx="241">
                  <c:v>1.6743641310266975E-2</c:v>
                </c:pt>
                <c:pt idx="242">
                  <c:v>1.6512834804178016E-2</c:v>
                </c:pt>
                <c:pt idx="243">
                  <c:v>1.6285379596259267E-2</c:v>
                </c:pt>
                <c:pt idx="244">
                  <c:v>1.6061224003067216E-2</c:v>
                </c:pt>
                <c:pt idx="245">
                  <c:v>1.5840317195996028E-2</c:v>
                </c:pt>
                <c:pt idx="246">
                  <c:v>1.5622609185948084E-2</c:v>
                </c:pt>
                <c:pt idx="247">
                  <c:v>1.5408050808305492E-2</c:v>
                </c:pt>
                <c:pt idx="248">
                  <c:v>1.5196593708197663E-2</c:v>
                </c:pt>
                <c:pt idx="249">
                  <c:v>1.4988190326056002E-2</c:v>
                </c:pt>
                <c:pt idx="250">
                  <c:v>1.4782793883451795E-2</c:v>
                </c:pt>
                <c:pt idx="251">
                  <c:v>1.4580358369209578E-2</c:v>
                </c:pt>
                <c:pt idx="252">
                  <c:v>1.4380838525790873E-2</c:v>
                </c:pt>
                <c:pt idx="253">
                  <c:v>1.4184189835942416E-2</c:v>
                </c:pt>
                <c:pt idx="254">
                  <c:v>1.3990368509602648E-2</c:v>
                </c:pt>
                <c:pt idx="255">
                  <c:v>1.3799331471061695E-2</c:v>
                </c:pt>
                <c:pt idx="256">
                  <c:v>1.3611036346368718E-2</c:v>
                </c:pt>
                <c:pt idx="257">
                  <c:v>1.3425441450982232E-2</c:v>
                </c:pt>
                <c:pt idx="258">
                  <c:v>1.3242505777657202E-2</c:v>
                </c:pt>
                <c:pt idx="259">
                  <c:v>1.3062188984564521E-2</c:v>
                </c:pt>
                <c:pt idx="260">
                  <c:v>1.2884451383638185E-2</c:v>
                </c:pt>
                <c:pt idx="261">
                  <c:v>1.2709253929144449E-2</c:v>
                </c:pt>
                <c:pt idx="262">
                  <c:v>1.2536558206469765E-2</c:v>
                </c:pt>
                <c:pt idx="263">
                  <c:v>1.2366326421120564E-2</c:v>
                </c:pt>
                <c:pt idx="264">
                  <c:v>1.2198521387933743E-2</c:v>
                </c:pt>
                <c:pt idx="265">
                  <c:v>1.203310652049001E-2</c:v>
                </c:pt>
                <c:pt idx="266">
                  <c:v>1.1870045820728294E-2</c:v>
                </c:pt>
                <c:pt idx="267">
                  <c:v>1.1709303868756186E-2</c:v>
                </c:pt>
                <c:pt idx="268">
                  <c:v>1.1550845812851991E-2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507-4D23-A160-FFBC66943734}"/>
            </c:ext>
          </c:extLst>
        </c:ser>
        <c:ser>
          <c:idx val="2"/>
          <c:order val="2"/>
          <c:tx>
            <c:v>Log-normal</c:v>
          </c:tx>
          <c:spPr>
            <a:ln w="28440">
              <a:solidFill>
                <a:srgbClr val="4CAF5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extrapolation!$X$15:$X$283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0.99772418126853313</c:v>
                </c:pt>
                <c:pt idx="2">
                  <c:v>0.98834985612941362</c:v>
                </c:pt>
                <c:pt idx="3">
                  <c:v>0.97355472268969567</c:v>
                </c:pt>
                <c:pt idx="4">
                  <c:v>0.95541445373023237</c:v>
                </c:pt>
                <c:pt idx="5">
                  <c:v>0.93533001266435145</c:v>
                </c:pt>
                <c:pt idx="6">
                  <c:v>0.91420696815435387</c:v>
                </c:pt>
                <c:pt idx="7">
                  <c:v>0.89263306501262274</c:v>
                </c:pt>
                <c:pt idx="8">
                  <c:v>0.87099313286629165</c:v>
                </c:pt>
                <c:pt idx="9">
                  <c:v>0.84954033155216979</c:v>
                </c:pt>
                <c:pt idx="10">
                  <c:v>0.82844075743514944</c:v>
                </c:pt>
                <c:pt idx="11">
                  <c:v>0.80780195225028117</c:v>
                </c:pt>
                <c:pt idx="12">
                  <c:v>0.78769152358506278</c:v>
                </c:pt>
                <c:pt idx="13">
                  <c:v>0.76814955387190642</c:v>
                </c:pt>
                <c:pt idx="14">
                  <c:v>0.74919701838708863</c:v>
                </c:pt>
                <c:pt idx="15">
                  <c:v>0.73084158433536262</c:v>
                </c:pt>
                <c:pt idx="16">
                  <c:v>0.71308165829672054</c:v>
                </c:pt>
                <c:pt idx="17">
                  <c:v>0.69590924199496285</c:v>
                </c:pt>
                <c:pt idx="18">
                  <c:v>0.6793119650233419</c:v>
                </c:pt>
                <c:pt idx="19">
                  <c:v>0.6632745415223319</c:v>
                </c:pt>
                <c:pt idx="20">
                  <c:v>0.64777981895465264</c:v>
                </c:pt>
                <c:pt idx="21">
                  <c:v>0.63280953509525095</c:v>
                </c:pt>
                <c:pt idx="22">
                  <c:v>0.61834486446433901</c:v>
                </c:pt>
                <c:pt idx="23">
                  <c:v>0.60436681168659856</c:v>
                </c:pt>
                <c:pt idx="24">
                  <c:v>0.59085649288053199</c:v>
                </c:pt>
                <c:pt idx="25">
                  <c:v>0.57779533474419664</c:v>
                </c:pt>
                <c:pt idx="26">
                  <c:v>0.56516521292659616</c:v>
                </c:pt>
                <c:pt idx="27">
                  <c:v>0.55294854551174177</c:v>
                </c:pt>
                <c:pt idx="28">
                  <c:v>0.54112835329303977</c:v>
                </c:pt>
                <c:pt idx="29">
                  <c:v>0.52968829550228769</c:v>
                </c:pt>
                <c:pt idx="30">
                  <c:v>0.51861268745219502</c:v>
                </c:pt>
                <c:pt idx="31">
                  <c:v>0.50788650492597998</c:v>
                </c:pt>
                <c:pt idx="32">
                  <c:v>0.49749537894210283</c:v>
                </c:pt>
                <c:pt idx="33">
                  <c:v>0.48742558362298871</c:v>
                </c:pt>
                <c:pt idx="34">
                  <c:v>0.47766401922245949</c:v>
                </c:pt>
                <c:pt idx="35">
                  <c:v>0.46819819185893774</c:v>
                </c:pt>
                <c:pt idx="36">
                  <c:v>0.45901619111770309</c:v>
                </c:pt>
                <c:pt idx="37">
                  <c:v>0.4501066663944151</c:v>
                </c:pt>
                <c:pt idx="38">
                  <c:v>0.44145880263077375</c:v>
                </c:pt>
                <c:pt idx="39">
                  <c:v>0.43306229592454659</c:v>
                </c:pt>
                <c:pt idx="40">
                  <c:v>0.42490732936752407</c:v>
                </c:pt>
                <c:pt idx="41">
                  <c:v>0.41698454936675844</c:v>
                </c:pt>
                <c:pt idx="42">
                  <c:v>0.40928504262950804</c:v>
                </c:pt>
                <c:pt idx="43">
                  <c:v>0.40180031393520554</c:v>
                </c:pt>
                <c:pt idx="44">
                  <c:v>0.39452226477437158</c:v>
                </c:pt>
                <c:pt idx="45">
                  <c:v>0.3874431729015404</c:v>
                </c:pt>
                <c:pt idx="46">
                  <c:v>0.38055567282453229</c:v>
                </c:pt>
                <c:pt idx="47">
                  <c:v>0.37385273723395473</c:v>
                </c:pt>
                <c:pt idx="48">
                  <c:v>0.36732765936318046</c:v>
                </c:pt>
                <c:pt idx="49">
                  <c:v>0.36097403625916846</c:v>
                </c:pt>
                <c:pt idx="50">
                  <c:v>0.35478575293746062</c:v>
                </c:pt>
                <c:pt idx="51">
                  <c:v>0.34875696738987916</c:v>
                </c:pt>
                <c:pt idx="52">
                  <c:v>0.34288209641032286</c:v>
                </c:pt>
                <c:pt idx="53">
                  <c:v>0.33715580220222452</c:v>
                </c:pt>
                <c:pt idx="54">
                  <c:v>0.33157297973037292</c:v>
                </c:pt>
                <c:pt idx="55">
                  <c:v>0.32612874477967679</c:v>
                </c:pt>
                <c:pt idx="56">
                  <c:v>0.32081842268385929</c:v>
                </c:pt>
                <c:pt idx="57">
                  <c:v>0.31563753768789282</c:v>
                </c:pt>
                <c:pt idx="58">
                  <c:v>0.31058180290906723</c:v>
                </c:pt>
                <c:pt idx="59">
                  <c:v>0.30564711086288365</c:v>
                </c:pt>
                <c:pt idx="60">
                  <c:v>0.30082952452137202</c:v>
                </c:pt>
                <c:pt idx="61">
                  <c:v>0.29612526887292434</c:v>
                </c:pt>
                <c:pt idx="62">
                  <c:v>0.29153072295425442</c:v>
                </c:pt>
                <c:pt idx="63">
                  <c:v>0.28704241232662253</c:v>
                </c:pt>
                <c:pt idx="64">
                  <c:v>0.28265700196997379</c:v>
                </c:pt>
                <c:pt idx="65">
                  <c:v>0.2783712895701127</c:v>
                </c:pt>
                <c:pt idx="66">
                  <c:v>0.27418219917546527</c:v>
                </c:pt>
                <c:pt idx="67">
                  <c:v>0.27008677520135471</c:v>
                </c:pt>
                <c:pt idx="68">
                  <c:v>0.26608217676103707</c:v>
                </c:pt>
                <c:pt idx="69">
                  <c:v>0.26216567230399224</c:v>
                </c:pt>
                <c:pt idx="70">
                  <c:v>0.25833463454315986</c:v>
                </c:pt>
                <c:pt idx="71">
                  <c:v>0.25458653565393918</c:v>
                </c:pt>
                <c:pt idx="72">
                  <c:v>0.25091894272883275</c:v>
                </c:pt>
                <c:pt idx="73">
                  <c:v>0.24732951347261978</c:v>
                </c:pt>
                <c:pt idx="74">
                  <c:v>0.24381599212388894</c:v>
                </c:pt>
                <c:pt idx="75">
                  <c:v>0.24037620558964823</c:v>
                </c:pt>
                <c:pt idx="76">
                  <c:v>0.23700805978056017</c:v>
                </c:pt>
                <c:pt idx="77">
                  <c:v>0.23370953613513357</c:v>
                </c:pt>
                <c:pt idx="78">
                  <c:v>0.23047868832193208</c:v>
                </c:pt>
                <c:pt idx="79">
                  <c:v>0.22731363910954594</c:v>
                </c:pt>
                <c:pt idx="80">
                  <c:v>0.22421257739471523</c:v>
                </c:pt>
                <c:pt idx="81">
                  <c:v>0.22117375537958817</c:v>
                </c:pt>
                <c:pt idx="82">
                  <c:v>0.2181954858896642</c:v>
                </c:pt>
                <c:pt idx="83">
                  <c:v>0.21527613982448812</c:v>
                </c:pt>
                <c:pt idx="84">
                  <c:v>0.2124141437336623</c:v>
                </c:pt>
                <c:pt idx="85">
                  <c:v>0.20960797751118854</c:v>
                </c:pt>
                <c:pt idx="86">
                  <c:v>0.20685617220159291</c:v>
                </c:pt>
                <c:pt idx="87">
                  <c:v>0.20415730791167297</c:v>
                </c:pt>
                <c:pt idx="88">
                  <c:v>0.20151001182209693</c:v>
                </c:pt>
                <c:pt idx="89">
                  <c:v>0.19891295629341477</c:v>
                </c:pt>
                <c:pt idx="90">
                  <c:v>0.1963648570613894</c:v>
                </c:pt>
                <c:pt idx="91">
                  <c:v>0.19386447151684161</c:v>
                </c:pt>
                <c:pt idx="92">
                  <c:v>0.19141059706550401</c:v>
                </c:pt>
                <c:pt idx="93">
                  <c:v>0.18900206956363874</c:v>
                </c:pt>
                <c:pt idx="94">
                  <c:v>0.18663776182542335</c:v>
                </c:pt>
                <c:pt idx="95">
                  <c:v>0.1843165821983519</c:v>
                </c:pt>
                <c:pt idx="96">
                  <c:v>0.1820374732031047</c:v>
                </c:pt>
                <c:pt idx="97">
                  <c:v>0.1797994102345597</c:v>
                </c:pt>
                <c:pt idx="98">
                  <c:v>0.17760140032079863</c:v>
                </c:pt>
                <c:pt idx="99">
                  <c:v>0.17544248093715031</c:v>
                </c:pt>
                <c:pt idx="100">
                  <c:v>0.17332171887247594</c:v>
                </c:pt>
                <c:pt idx="101">
                  <c:v>0.17123820914506604</c:v>
                </c:pt>
                <c:pt idx="102">
                  <c:v>0.1691910739656608</c:v>
                </c:pt>
                <c:pt idx="103">
                  <c:v>0.16717946174524856</c:v>
                </c:pt>
                <c:pt idx="104">
                  <c:v>0.16520254614543106</c:v>
                </c:pt>
                <c:pt idx="105">
                  <c:v>0.16325952516925601</c:v>
                </c:pt>
                <c:pt idx="106">
                  <c:v>0.16134962029054889</c:v>
                </c:pt>
                <c:pt idx="107">
                  <c:v>0.15947207561986843</c:v>
                </c:pt>
                <c:pt idx="108">
                  <c:v>0.15762615710532213</c:v>
                </c:pt>
                <c:pt idx="109">
                  <c:v>0.15581115176657234</c:v>
                </c:pt>
                <c:pt idx="110">
                  <c:v>0.15402636696044647</c:v>
                </c:pt>
                <c:pt idx="111">
                  <c:v>0.15227112967666223</c:v>
                </c:pt>
                <c:pt idx="112">
                  <c:v>0.15054478586224418</c:v>
                </c:pt>
                <c:pt idx="113">
                  <c:v>0.14884669977329423</c:v>
                </c:pt>
                <c:pt idx="114">
                  <c:v>0.14717625335284423</c:v>
                </c:pt>
                <c:pt idx="115">
                  <c:v>0.14553284563358271</c:v>
                </c:pt>
                <c:pt idx="116">
                  <c:v>0.14391589216431844</c:v>
                </c:pt>
                <c:pt idx="117">
                  <c:v>0.14232482445909289</c:v>
                </c:pt>
                <c:pt idx="118">
                  <c:v>0.14075908946791837</c:v>
                </c:pt>
                <c:pt idx="119">
                  <c:v>0.13921814906816388</c:v>
                </c:pt>
                <c:pt idx="120">
                  <c:v>0.1377014795756637</c:v>
                </c:pt>
                <c:pt idx="121">
                  <c:v>0.13620857127467079</c:v>
                </c:pt>
                <c:pt idx="122">
                  <c:v>0.13473892796582099</c:v>
                </c:pt>
                <c:pt idx="123">
                  <c:v>0.13329206653131209</c:v>
                </c:pt>
                <c:pt idx="124">
                  <c:v>0.13186751651654705</c:v>
                </c:pt>
                <c:pt idx="125">
                  <c:v>0.13046481972752499</c:v>
                </c:pt>
                <c:pt idx="126">
                  <c:v>0.12908352984329574</c:v>
                </c:pt>
                <c:pt idx="127">
                  <c:v>0.12772321204283221</c:v>
                </c:pt>
                <c:pt idx="128">
                  <c:v>0.12638344264570489</c:v>
                </c:pt>
                <c:pt idx="129">
                  <c:v>0.12506380876596912</c:v>
                </c:pt>
                <c:pt idx="130">
                  <c:v>0.12376390797870762</c:v>
                </c:pt>
                <c:pt idx="131">
                  <c:v>0.12248334799869676</c:v>
                </c:pt>
                <c:pt idx="132">
                  <c:v>0.12122174637068883</c:v>
                </c:pt>
                <c:pt idx="133">
                  <c:v>0.11997873017082827</c:v>
                </c:pt>
                <c:pt idx="134">
                  <c:v>0.11875393571874049</c:v>
                </c:pt>
                <c:pt idx="135">
                  <c:v>0.11754700829985543</c:v>
                </c:pt>
                <c:pt idx="136">
                  <c:v>0.11635760189754796</c:v>
                </c:pt>
                <c:pt idx="137">
                  <c:v>0.11518537893469438</c:v>
                </c:pt>
                <c:pt idx="138">
                  <c:v>0.11403001002426516</c:v>
                </c:pt>
                <c:pt idx="139">
                  <c:v>0.1128911737285917</c:v>
                </c:pt>
                <c:pt idx="140">
                  <c:v>0.11176855632695715</c:v>
                </c:pt>
                <c:pt idx="141">
                  <c:v>0.11066185159118413</c:v>
                </c:pt>
                <c:pt idx="142">
                  <c:v>0.10957076056889936</c:v>
                </c:pt>
                <c:pt idx="143">
                  <c:v>0.10849499137417529</c:v>
                </c:pt>
                <c:pt idx="144">
                  <c:v>0.10743425898525838</c:v>
                </c:pt>
                <c:pt idx="145">
                  <c:v>0.10638828504911058</c:v>
                </c:pt>
                <c:pt idx="146">
                  <c:v>0.10535679769249617</c:v>
                </c:pt>
                <c:pt idx="147">
                  <c:v>0.10433953133936613</c:v>
                </c:pt>
                <c:pt idx="148">
                  <c:v>0.10333622653429475</c:v>
                </c:pt>
                <c:pt idx="149">
                  <c:v>0.10234662977174058</c:v>
                </c:pt>
                <c:pt idx="150">
                  <c:v>0.10137049333090964</c:v>
                </c:pt>
                <c:pt idx="151">
                  <c:v>0.10040757511600795</c:v>
                </c:pt>
                <c:pt idx="152">
                  <c:v>9.9457638501684986E-2</c:v>
                </c:pt>
                <c:pt idx="153">
                  <c:v>9.8520452183468499E-2</c:v>
                </c:pt>
                <c:pt idx="154">
                  <c:v>9.7595790033011331E-2</c:v>
                </c:pt>
                <c:pt idx="155">
                  <c:v>9.6683430957967498E-2</c:v>
                </c:pt>
                <c:pt idx="156">
                  <c:v>9.5783158766328258E-2</c:v>
                </c:pt>
                <c:pt idx="157">
                  <c:v>9.4894762035057534E-2</c:v>
                </c:pt>
                <c:pt idx="158">
                  <c:v>9.401803398286579E-2</c:v>
                </c:pt>
                <c:pt idx="159">
                  <c:v>9.3152772346977053E-2</c:v>
                </c:pt>
                <c:pt idx="160">
                  <c:v>9.2298779263739417E-2</c:v>
                </c:pt>
                <c:pt idx="161">
                  <c:v>9.1455861152945905E-2</c:v>
                </c:pt>
                <c:pt idx="162">
                  <c:v>9.062382860573226E-2</c:v>
                </c:pt>
                <c:pt idx="163">
                  <c:v>8.9802496275920629E-2</c:v>
                </c:pt>
                <c:pt idx="164">
                  <c:v>8.8991682774692826E-2</c:v>
                </c:pt>
                <c:pt idx="165">
                  <c:v>8.819121056847179E-2</c:v>
                </c:pt>
                <c:pt idx="166">
                  <c:v>8.7400905879900681E-2</c:v>
                </c:pt>
                <c:pt idx="167">
                  <c:v>8.6620598591810594E-2</c:v>
                </c:pt>
                <c:pt idx="168">
                  <c:v>8.5850122154074948E-2</c:v>
                </c:pt>
                <c:pt idx="169">
                  <c:v>8.508931349324711E-2</c:v>
                </c:pt>
                <c:pt idx="170">
                  <c:v>8.4338012924890515E-2</c:v>
                </c:pt>
                <c:pt idx="171">
                  <c:v>8.359606406850506E-2</c:v>
                </c:pt>
                <c:pt idx="172">
                  <c:v>8.2863313764962032E-2</c:v>
                </c:pt>
                <c:pt idx="173">
                  <c:v>8.2139611996365547E-2</c:v>
                </c:pt>
                <c:pt idx="174">
                  <c:v>8.142481180825345E-2</c:v>
                </c:pt>
                <c:pt idx="175">
                  <c:v>8.0718769234064291E-2</c:v>
                </c:pt>
                <c:pt idx="176">
                  <c:v>8.0021343221790331E-2</c:v>
                </c:pt>
                <c:pt idx="177">
                  <c:v>7.9332395562745628E-2</c:v>
                </c:pt>
                <c:pt idx="178">
                  <c:v>7.8651790822380163E-2</c:v>
                </c:pt>
                <c:pt idx="179">
                  <c:v>7.7979396273070711E-2</c:v>
                </c:pt>
                <c:pt idx="180">
                  <c:v>7.7315081828823184E-2</c:v>
                </c:pt>
                <c:pt idx="181">
                  <c:v>7.6658719981825829E-2</c:v>
                </c:pt>
                <c:pt idx="182">
                  <c:v>7.6010185740791991E-2</c:v>
                </c:pt>
                <c:pt idx="183">
                  <c:v>7.5369356571033275E-2</c:v>
                </c:pt>
                <c:pt idx="184">
                  <c:v>7.4736112336210025E-2</c:v>
                </c:pt>
                <c:pt idx="185">
                  <c:v>7.411033524170163E-2</c:v>
                </c:pt>
                <c:pt idx="186">
                  <c:v>7.3491909779548337E-2</c:v>
                </c:pt>
                <c:pt idx="187">
                  <c:v>7.2880722674911746E-2</c:v>
                </c:pt>
                <c:pt idx="188">
                  <c:v>7.227666283400791E-2</c:v>
                </c:pt>
                <c:pt idx="189">
                  <c:v>7.167962129346428E-2</c:v>
                </c:pt>
                <c:pt idx="190">
                  <c:v>7.1089491171058006E-2</c:v>
                </c:pt>
                <c:pt idx="191">
                  <c:v>7.0506167617790272E-2</c:v>
                </c:pt>
                <c:pt idx="192">
                  <c:v>6.9929547771257483E-2</c:v>
                </c:pt>
                <c:pt idx="193">
                  <c:v>6.9359530710275452E-2</c:v>
                </c:pt>
                <c:pt idx="194">
                  <c:v>6.8796017410721499E-2</c:v>
                </c:pt>
                <c:pt idx="195">
                  <c:v>6.8238910702554723E-2</c:v>
                </c:pt>
                <c:pt idx="196">
                  <c:v>6.7688115227978574E-2</c:v>
                </c:pt>
                <c:pt idx="197">
                  <c:v>6.714353740071155E-2</c:v>
                </c:pt>
                <c:pt idx="198">
                  <c:v>6.660508536633214E-2</c:v>
                </c:pt>
                <c:pt idx="199">
                  <c:v>6.6072668963664261E-2</c:v>
                </c:pt>
                <c:pt idx="200">
                  <c:v>6.5546199687174012E-2</c:v>
                </c:pt>
                <c:pt idx="201">
                  <c:v>6.5025590650344522E-2</c:v>
                </c:pt>
                <c:pt idx="202">
                  <c:v>6.4510756550002823E-2</c:v>
                </c:pt>
                <c:pt idx="203">
                  <c:v>6.4001613631567977E-2</c:v>
                </c:pt>
                <c:pt idx="204">
                  <c:v>6.3498079655192607E-2</c:v>
                </c:pt>
                <c:pt idx="205">
                  <c:v>6.3000073862775396E-2</c:v>
                </c:pt>
                <c:pt idx="206">
                  <c:v>6.2507516945813357E-2</c:v>
                </c:pt>
                <c:pt idx="207">
                  <c:v>6.202033101407356E-2</c:v>
                </c:pt>
                <c:pt idx="208">
                  <c:v>6.1538439565058445E-2</c:v>
                </c:pt>
                <c:pt idx="209">
                  <c:v>6.1061767454242077E-2</c:v>
                </c:pt>
                <c:pt idx="210">
                  <c:v>6.0590240866054468E-2</c:v>
                </c:pt>
                <c:pt idx="211">
                  <c:v>6.01237872855932E-2</c:v>
                </c:pt>
                <c:pt idx="212">
                  <c:v>5.966233547104105E-2</c:v>
                </c:pt>
                <c:pt idx="213">
                  <c:v>5.9205815426768726E-2</c:v>
                </c:pt>
                <c:pt idx="214">
                  <c:v>5.8754158377104848E-2</c:v>
                </c:pt>
                <c:pt idx="215">
                  <c:v>5.8307296740751746E-2</c:v>
                </c:pt>
                <c:pt idx="216">
                  <c:v>5.786516410583098E-2</c:v>
                </c:pt>
                <c:pt idx="217">
                  <c:v>5.7427695205540474E-2</c:v>
                </c:pt>
                <c:pt idx="218">
                  <c:v>5.6994825894403744E-2</c:v>
                </c:pt>
                <c:pt idx="219">
                  <c:v>5.6566493125098205E-2</c:v>
                </c:pt>
                <c:pt idx="220">
                  <c:v>5.6142634925844037E-2</c:v>
                </c:pt>
                <c:pt idx="221">
                  <c:v>5.5723190378338172E-2</c:v>
                </c:pt>
                <c:pt idx="222">
                  <c:v>5.5308099596219185E-2</c:v>
                </c:pt>
                <c:pt idx="223">
                  <c:v>5.4897303704047884E-2</c:v>
                </c:pt>
                <c:pt idx="224">
                  <c:v>5.4490744816789838E-2</c:v>
                </c:pt>
                <c:pt idx="225">
                  <c:v>5.4088366019784617E-2</c:v>
                </c:pt>
                <c:pt idx="226">
                  <c:v>5.3690111349191105E-2</c:v>
                </c:pt>
                <c:pt idx="227">
                  <c:v>5.3295925772893771E-2</c:v>
                </c:pt>
                <c:pt idx="228">
                  <c:v>5.2905755171857582E-2</c:v>
                </c:pt>
                <c:pt idx="229">
                  <c:v>5.2519546321920685E-2</c:v>
                </c:pt>
                <c:pt idx="230">
                  <c:v>5.2137246876012067E-2</c:v>
                </c:pt>
                <c:pt idx="231">
                  <c:v>5.1758805346782788E-2</c:v>
                </c:pt>
                <c:pt idx="232">
                  <c:v>5.138417108964044E-2</c:v>
                </c:pt>
                <c:pt idx="233">
                  <c:v>5.1013294286175626E-2</c:v>
                </c:pt>
                <c:pt idx="234">
                  <c:v>5.0646125927969465E-2</c:v>
                </c:pt>
                <c:pt idx="235">
                  <c:v>5.0282617800773921E-2</c:v>
                </c:pt>
                <c:pt idx="236">
                  <c:v>4.9922722469052272E-2</c:v>
                </c:pt>
                <c:pt idx="237">
                  <c:v>4.956639326087342E-2</c:v>
                </c:pt>
                <c:pt idx="238">
                  <c:v>4.9213584253148701E-2</c:v>
                </c:pt>
                <c:pt idx="239">
                  <c:v>4.8864250257202313E-2</c:v>
                </c:pt>
                <c:pt idx="240">
                  <c:v>4.8518346804667711E-2</c:v>
                </c:pt>
                <c:pt idx="241">
                  <c:v>4.8175830133701636E-2</c:v>
                </c:pt>
                <c:pt idx="242">
                  <c:v>4.7836657175505337E-2</c:v>
                </c:pt>
                <c:pt idx="243">
                  <c:v>4.7500785541149115E-2</c:v>
                </c:pt>
                <c:pt idx="244">
                  <c:v>4.7168173508687183E-2</c:v>
                </c:pt>
                <c:pt idx="245">
                  <c:v>4.6838780010560965E-2</c:v>
                </c:pt>
                <c:pt idx="246">
                  <c:v>4.6512564621279284E-2</c:v>
                </c:pt>
                <c:pt idx="247">
                  <c:v>4.6189487545369778E-2</c:v>
                </c:pt>
                <c:pt idx="248">
                  <c:v>4.5869509605596437E-2</c:v>
                </c:pt>
                <c:pt idx="249">
                  <c:v>4.5552592231433375E-2</c:v>
                </c:pt>
                <c:pt idx="250">
                  <c:v>4.5238697447790299E-2</c:v>
                </c:pt>
                <c:pt idx="251">
                  <c:v>4.4927787863984325E-2</c:v>
                </c:pt>
                <c:pt idx="252">
                  <c:v>4.4619826662948614E-2</c:v>
                </c:pt>
                <c:pt idx="253">
                  <c:v>4.4314777590676813E-2</c:v>
                </c:pt>
                <c:pt idx="254">
                  <c:v>4.4012604945891765E-2</c:v>
                </c:pt>
                <c:pt idx="255">
                  <c:v>4.3713273569938371E-2</c:v>
                </c:pt>
                <c:pt idx="256">
                  <c:v>4.3416748836891506E-2</c:v>
                </c:pt>
                <c:pt idx="257">
                  <c:v>4.3122996643874534E-2</c:v>
                </c:pt>
                <c:pt idx="258">
                  <c:v>4.2831983401585005E-2</c:v>
                </c:pt>
                <c:pt idx="259">
                  <c:v>4.2543676025019184E-2</c:v>
                </c:pt>
                <c:pt idx="260">
                  <c:v>4.2258041924393863E-2</c:v>
                </c:pt>
                <c:pt idx="261">
                  <c:v>4.1975048996259035E-2</c:v>
                </c:pt>
                <c:pt idx="262">
                  <c:v>4.1694665614796622E-2</c:v>
                </c:pt>
                <c:pt idx="263">
                  <c:v>4.1416860623301188E-2</c:v>
                </c:pt>
                <c:pt idx="264">
                  <c:v>4.1141603325839493E-2</c:v>
                </c:pt>
                <c:pt idx="265">
                  <c:v>4.0868863479081363E-2</c:v>
                </c:pt>
                <c:pt idx="266">
                  <c:v>4.0598611284301978E-2</c:v>
                </c:pt>
                <c:pt idx="267">
                  <c:v>4.0330817379548023E-2</c:v>
                </c:pt>
                <c:pt idx="268">
                  <c:v>4.0065452831965498E-2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507-4D23-A160-FFBC66943734}"/>
            </c:ext>
          </c:extLst>
        </c:ser>
        <c:ser>
          <c:idx val="3"/>
          <c:order val="3"/>
          <c:tx>
            <c:v>Log-logistic</c:v>
          </c:tx>
          <c:spPr>
            <a:ln w="28440">
              <a:solidFill>
                <a:srgbClr val="AB47BC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extrapolation!$Y$15:$Y$283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0.99363874963062504</c:v>
                </c:pt>
                <c:pt idx="2">
                  <c:v>0.98261860727270411</c:v>
                </c:pt>
                <c:pt idx="3">
                  <c:v>0.96894075826249171</c:v>
                </c:pt>
                <c:pt idx="4">
                  <c:v>0.95340261486792255</c:v>
                </c:pt>
                <c:pt idx="5">
                  <c:v>0.93651181659844984</c:v>
                </c:pt>
                <c:pt idx="6">
                  <c:v>0.91863764996582886</c:v>
                </c:pt>
                <c:pt idx="7">
                  <c:v>0.90006576278480666</c:v>
                </c:pt>
                <c:pt idx="8">
                  <c:v>0.88102419253795661</c:v>
                </c:pt>
                <c:pt idx="9">
                  <c:v>0.86169802655988104</c:v>
                </c:pt>
                <c:pt idx="10">
                  <c:v>0.842238707678446</c:v>
                </c:pt>
                <c:pt idx="11">
                  <c:v>0.82277048793994101</c:v>
                </c:pt>
                <c:pt idx="12">
                  <c:v>0.80339520788041519</c:v>
                </c:pt>
                <c:pt idx="13">
                  <c:v>0.78419600857296357</c:v>
                </c:pt>
                <c:pt idx="14">
                  <c:v>0.76524031390197167</c:v>
                </c:pt>
                <c:pt idx="15">
                  <c:v>0.74658228330658871</c:v>
                </c:pt>
                <c:pt idx="16">
                  <c:v>0.72826486126420209</c:v>
                </c:pt>
                <c:pt idx="17">
                  <c:v>0.71032150786069781</c:v>
                </c:pt>
                <c:pt idx="18">
                  <c:v>0.69277766991479828</c:v>
                </c:pt>
                <c:pt idx="19">
                  <c:v>0.67565203667793217</c:v>
                </c:pt>
                <c:pt idx="20">
                  <c:v>0.65895761409044895</c:v>
                </c:pt>
                <c:pt idx="21">
                  <c:v>0.64270264473261218</c:v>
                </c:pt>
                <c:pt idx="22">
                  <c:v>0.62689139572106711</c:v>
                </c:pt>
                <c:pt idx="23">
                  <c:v>0.61152483315030248</c:v>
                </c:pt>
                <c:pt idx="24">
                  <c:v>0.5966011988403368</c:v>
                </c:pt>
                <c:pt idx="25">
                  <c:v>0.58211650287084715</c:v>
                </c:pt>
                <c:pt idx="26">
                  <c:v>0.5680649435003895</c:v>
                </c:pt>
                <c:pt idx="27">
                  <c:v>0.55443926448704051</c:v>
                </c:pt>
                <c:pt idx="28">
                  <c:v>0.54123105847788122</c:v>
                </c:pt>
                <c:pt idx="29">
                  <c:v>0.52843102397434516</c:v>
                </c:pt>
                <c:pt idx="30">
                  <c:v>0.51602918237648776</c:v>
                </c:pt>
                <c:pt idx="31">
                  <c:v>0.50401506073767188</c:v>
                </c:pt>
                <c:pt idx="32">
                  <c:v>0.49237784510333232</c:v>
                </c:pt>
                <c:pt idx="33">
                  <c:v>0.48110650864812743</c:v>
                </c:pt>
                <c:pt idx="34">
                  <c:v>0.47018991825222262</c:v>
                </c:pt>
                <c:pt idx="35">
                  <c:v>0.45961692265884457</c:v>
                </c:pt>
                <c:pt idx="36">
                  <c:v>0.44937642492215585</c:v>
                </c:pt>
                <c:pt idx="37">
                  <c:v>0.43945744147872928</c:v>
                </c:pt>
                <c:pt idx="38">
                  <c:v>0.42984914985022027</c:v>
                </c:pt>
                <c:pt idx="39">
                  <c:v>0.42054092670285997</c:v>
                </c:pt>
                <c:pt idx="40">
                  <c:v>0.41152237774554895</c:v>
                </c:pt>
                <c:pt idx="41">
                  <c:v>0.40278336073763865</c:v>
                </c:pt>
                <c:pt idx="42">
                  <c:v>0.39431400269567202</c:v>
                </c:pt>
                <c:pt idx="43">
                  <c:v>0.38610471223153858</c:v>
                </c:pt>
                <c:pt idx="44">
                  <c:v>0.37814618781941889</c:v>
                </c:pt>
                <c:pt idx="45">
                  <c:v>0.37042942267259371</c:v>
                </c:pt>
                <c:pt idx="46">
                  <c:v>0.3629457068111473</c:v>
                </c:pt>
                <c:pt idx="47">
                  <c:v>0.35568662681561564</c:v>
                </c:pt>
                <c:pt idx="48">
                  <c:v>0.34864406368774969</c:v>
                </c:pt>
                <c:pt idx="49">
                  <c:v>0.34181018917617556</c:v>
                </c:pt>
                <c:pt idx="50">
                  <c:v>0.33517746087033751</c:v>
                </c:pt>
                <c:pt idx="51">
                  <c:v>0.32873861631948575</c:v>
                </c:pt>
                <c:pt idx="52">
                  <c:v>0.32248666639355172</c:v>
                </c:pt>
                <c:pt idx="53">
                  <c:v>0.31641488806855245</c:v>
                </c:pt>
                <c:pt idx="54">
                  <c:v>0.31051681678994181</c:v>
                </c:pt>
                <c:pt idx="55">
                  <c:v>0.30478623854234294</c:v>
                </c:pt>
                <c:pt idx="56">
                  <c:v>0.2992171817327548</c:v>
                </c:pt>
                <c:pt idx="57">
                  <c:v>0.29380390897614445</c:v>
                </c:pt>
                <c:pt idx="58">
                  <c:v>0.28854090885682721</c:v>
                </c:pt>
                <c:pt idx="59">
                  <c:v>0.28342288772584817</c:v>
                </c:pt>
                <c:pt idx="60">
                  <c:v>0.27844476158337095</c:v>
                </c:pt>
                <c:pt idx="61">
                  <c:v>0.27360164808557208</c:v>
                </c:pt>
                <c:pt idx="62">
                  <c:v>0.26888885870747758</c:v>
                </c:pt>
                <c:pt idx="63">
                  <c:v>0.26430189108638019</c:v>
                </c:pt>
                <c:pt idx="64">
                  <c:v>0.25983642156473208</c:v>
                </c:pt>
                <c:pt idx="65">
                  <c:v>0.25548829794658101</c:v>
                </c:pt>
                <c:pt idx="66">
                  <c:v>0.25125353247757115</c:v>
                </c:pt>
                <c:pt idx="67">
                  <c:v>0.24712829505515313</c:v>
                </c:pt>
                <c:pt idx="68">
                  <c:v>0.2431089066728338</c:v>
                </c:pt>
                <c:pt idx="69">
                  <c:v>0.23919183309997205</c:v>
                </c:pt>
                <c:pt idx="70">
                  <c:v>0.23537367879671478</c:v>
                </c:pt>
                <c:pt idx="71">
                  <c:v>0.23165118106210453</c:v>
                </c:pt>
                <c:pt idx="72">
                  <c:v>0.22802120441212853</c:v>
                </c:pt>
                <c:pt idx="73">
                  <c:v>0.22448073518346809</c:v>
                </c:pt>
                <c:pt idx="74">
                  <c:v>0.22102687635791071</c:v>
                </c:pt>
                <c:pt idx="75">
                  <c:v>0.21765684260177304</c:v>
                </c:pt>
                <c:pt idx="76">
                  <c:v>0.21436795551421886</c:v>
                </c:pt>
                <c:pt idx="77">
                  <c:v>0.21115763907802013</c:v>
                </c:pt>
                <c:pt idx="78">
                  <c:v>0.20802341530608223</c:v>
                </c:pt>
                <c:pt idx="79">
                  <c:v>0.20496290007691093</c:v>
                </c:pt>
                <c:pt idx="80">
                  <c:v>0.20197379915214062</c:v>
                </c:pt>
                <c:pt idx="81">
                  <c:v>0.19905390436922679</c:v>
                </c:pt>
                <c:pt idx="82">
                  <c:v>0.19620109000246322</c:v>
                </c:pt>
                <c:pt idx="83">
                  <c:v>0.19341330928555775</c:v>
                </c:pt>
                <c:pt idx="84">
                  <c:v>0.19068859108912831</c:v>
                </c:pt>
                <c:pt idx="85">
                  <c:v>0.18802503674661655</c:v>
                </c:pt>
                <c:pt idx="86">
                  <c:v>0.18542081702228602</c:v>
                </c:pt>
                <c:pt idx="87">
                  <c:v>0.18287416921514216</c:v>
                </c:pt>
                <c:pt idx="88">
                  <c:v>0.18038339439281398</c:v>
                </c:pt>
                <c:pt idx="89">
                  <c:v>0.1779468547496183</c:v>
                </c:pt>
                <c:pt idx="90">
                  <c:v>0.17556297108324484</c:v>
                </c:pt>
                <c:pt idx="91">
                  <c:v>0.17323022038469615</c:v>
                </c:pt>
                <c:pt idx="92">
                  <c:v>0.17094713353632357</c:v>
                </c:pt>
                <c:pt idx="93">
                  <c:v>0.16871229311300928</c:v>
                </c:pt>
                <c:pt idx="94">
                  <c:v>0.16652433128173882</c:v>
                </c:pt>
                <c:pt idx="95">
                  <c:v>0.16438192779501681</c:v>
                </c:pt>
                <c:pt idx="96">
                  <c:v>0.16228380807376303</c:v>
                </c:pt>
                <c:pt idx="97">
                  <c:v>0.16022874137552715</c:v>
                </c:pt>
                <c:pt idx="98">
                  <c:v>0.1582155390440349</c:v>
                </c:pt>
                <c:pt idx="99">
                  <c:v>0.15624305283626383</c:v>
                </c:pt>
                <c:pt idx="100">
                  <c:v>0.1543101733234174</c:v>
                </c:pt>
                <c:pt idx="101">
                  <c:v>0.15241582836233486</c:v>
                </c:pt>
                <c:pt idx="102">
                  <c:v>0.15055898163403367</c:v>
                </c:pt>
                <c:pt idx="103">
                  <c:v>0.1487386312462331</c:v>
                </c:pt>
                <c:pt idx="104">
                  <c:v>0.14695380839686623</c:v>
                </c:pt>
                <c:pt idx="105">
                  <c:v>0.14520357609571463</c:v>
                </c:pt>
                <c:pt idx="106">
                  <c:v>0.14348702794145066</c:v>
                </c:pt>
                <c:pt idx="107">
                  <c:v>0.14180328695149347</c:v>
                </c:pt>
                <c:pt idx="108">
                  <c:v>0.14015150444221208</c:v>
                </c:pt>
                <c:pt idx="109">
                  <c:v>0.13853085895713055</c:v>
                </c:pt>
                <c:pt idx="110">
                  <c:v>0.13694055524089632</c:v>
                </c:pt>
                <c:pt idx="111">
                  <c:v>0.13537982325689288</c:v>
                </c:pt>
                <c:pt idx="112">
                  <c:v>0.13384791724646619</c:v>
                </c:pt>
                <c:pt idx="113">
                  <c:v>0.13234411482784669</c:v>
                </c:pt>
                <c:pt idx="114">
                  <c:v>0.13086771613293274</c:v>
                </c:pt>
                <c:pt idx="115">
                  <c:v>0.12941804298019385</c:v>
                </c:pt>
                <c:pt idx="116">
                  <c:v>0.12799443808203748</c:v>
                </c:pt>
                <c:pt idx="117">
                  <c:v>0.12659626428506132</c:v>
                </c:pt>
                <c:pt idx="118">
                  <c:v>0.12522290384169288</c:v>
                </c:pt>
                <c:pt idx="119">
                  <c:v>0.12387375771178681</c:v>
                </c:pt>
                <c:pt idx="120">
                  <c:v>0.12254824489282377</c:v>
                </c:pt>
                <c:pt idx="121">
                  <c:v>0.12124580177741731</c:v>
                </c:pt>
                <c:pt idx="122">
                  <c:v>0.11996588153690138</c:v>
                </c:pt>
                <c:pt idx="123">
                  <c:v>0.11870795352982354</c:v>
                </c:pt>
                <c:pt idx="124">
                  <c:v>0.11747150273423498</c:v>
                </c:pt>
                <c:pt idx="125">
                  <c:v>0.11625602920271476</c:v>
                </c:pt>
                <c:pt idx="126">
                  <c:v>0.11506104753911736</c:v>
                </c:pt>
                <c:pt idx="127">
                  <c:v>0.1138860863960854</c:v>
                </c:pt>
                <c:pt idx="128">
                  <c:v>0.11273068799241089</c:v>
                </c:pt>
                <c:pt idx="129">
                  <c:v>0.1115944076493733</c:v>
                </c:pt>
                <c:pt idx="130">
                  <c:v>0.11047681334522476</c:v>
                </c:pt>
                <c:pt idx="131">
                  <c:v>0.10937748528703259</c:v>
                </c:pt>
                <c:pt idx="132">
                  <c:v>0.10829601549912397</c:v>
                </c:pt>
                <c:pt idx="133">
                  <c:v>0.10723200742741691</c:v>
                </c:pt>
                <c:pt idx="134">
                  <c:v>0.10618507555895229</c:v>
                </c:pt>
                <c:pt idx="135">
                  <c:v>0.10515484505597601</c:v>
                </c:pt>
                <c:pt idx="136">
                  <c:v>0.10414095140394866</c:v>
                </c:pt>
                <c:pt idx="137">
                  <c:v>0.10314304007289145</c:v>
                </c:pt>
                <c:pt idx="138">
                  <c:v>0.10216076619150233</c:v>
                </c:pt>
                <c:pt idx="139">
                  <c:v>0.10119379423350477</c:v>
                </c:pt>
                <c:pt idx="140">
                  <c:v>0.10024179771571312</c:v>
                </c:pt>
                <c:pt idx="141">
                  <c:v>9.9304458907327101E-2</c:v>
                </c:pt>
                <c:pt idx="142">
                  <c:v>9.8381468549985598E-2</c:v>
                </c:pt>
                <c:pt idx="143">
                  <c:v>9.7472525588132755E-2</c:v>
                </c:pt>
                <c:pt idx="144">
                  <c:v>9.6577336909272046E-2</c:v>
                </c:pt>
                <c:pt idx="145">
                  <c:v>9.5695617093701099E-2</c:v>
                </c:pt>
                <c:pt idx="146">
                  <c:v>9.4827088173337057E-2</c:v>
                </c:pt>
                <c:pt idx="147">
                  <c:v>9.3971479399263577E-2</c:v>
                </c:pt>
                <c:pt idx="148">
                  <c:v>9.3128527017644153E-2</c:v>
                </c:pt>
                <c:pt idx="149">
                  <c:v>9.2297974053663231E-2</c:v>
                </c:pt>
                <c:pt idx="150">
                  <c:v>9.147957010317237E-2</c:v>
                </c:pt>
                <c:pt idx="151">
                  <c:v>9.0673071131731245E-2</c:v>
                </c:pt>
                <c:pt idx="152">
                  <c:v>8.9878239280749034E-2</c:v>
                </c:pt>
                <c:pt idx="153">
                  <c:v>8.9094842680443917E-2</c:v>
                </c:pt>
                <c:pt idx="154">
                  <c:v>8.832265526934896E-2</c:v>
                </c:pt>
                <c:pt idx="155">
                  <c:v>8.7561456620109154E-2</c:v>
                </c:pt>
                <c:pt idx="156">
                  <c:v>8.6811031771319158E-2</c:v>
                </c:pt>
                <c:pt idx="157">
                  <c:v>8.6071171065168359E-2</c:v>
                </c:pt>
                <c:pt idx="158">
                  <c:v>8.5341669990665309E-2</c:v>
                </c:pt>
                <c:pt idx="159">
                  <c:v>8.4622329032226731E-2</c:v>
                </c:pt>
                <c:pt idx="160">
                  <c:v>8.3912953523422151E-2</c:v>
                </c:pt>
                <c:pt idx="161">
                  <c:v>8.3213353505677448E-2</c:v>
                </c:pt>
                <c:pt idx="162">
                  <c:v>8.2523343591747747E-2</c:v>
                </c:pt>
                <c:pt idx="163">
                  <c:v>8.1842742833775725E-2</c:v>
                </c:pt>
                <c:pt idx="164">
                  <c:v>8.1171374595763873E-2</c:v>
                </c:pt>
                <c:pt idx="165">
                  <c:v>8.0509066430292625E-2</c:v>
                </c:pt>
                <c:pt idx="166">
                  <c:v>7.9855649959324038E-2</c:v>
                </c:pt>
                <c:pt idx="167">
                  <c:v>7.9210960758939422E-2</c:v>
                </c:pt>
                <c:pt idx="168">
                  <c:v>7.8574838247863363E-2</c:v>
                </c:pt>
                <c:pt idx="169">
                  <c:v>7.7947125579631904E-2</c:v>
                </c:pt>
                <c:pt idx="170">
                  <c:v>7.7327669538273941E-2</c:v>
                </c:pt>
                <c:pt idx="171">
                  <c:v>7.6716320437371935E-2</c:v>
                </c:pt>
                <c:pt idx="172">
                  <c:v>7.6112932022380814E-2</c:v>
                </c:pt>
                <c:pt idx="173">
                  <c:v>7.5517361376085751E-2</c:v>
                </c:pt>
                <c:pt idx="174">
                  <c:v>7.4929468827082929E-2</c:v>
                </c:pt>
                <c:pt idx="175">
                  <c:v>7.4349117861176109E-2</c:v>
                </c:pt>
                <c:pt idx="176">
                  <c:v>7.3776175035581745E-2</c:v>
                </c:pt>
                <c:pt idx="177">
                  <c:v>7.321050989584281E-2</c:v>
                </c:pt>
                <c:pt idx="178">
                  <c:v>7.2651994895354871E-2</c:v>
                </c:pt>
                <c:pt idx="179">
                  <c:v>7.2100505317409913E-2</c:v>
                </c:pt>
                <c:pt idx="180">
                  <c:v>7.1555919199669554E-2</c:v>
                </c:pt>
                <c:pt idx="181">
                  <c:v>7.1018117260982006E-2</c:v>
                </c:pt>
                <c:pt idx="182">
                  <c:v>7.0486982830459247E-2</c:v>
                </c:pt>
                <c:pt idx="183">
                  <c:v>6.9962401778736374E-2</c:v>
                </c:pt>
                <c:pt idx="184">
                  <c:v>6.9444262451336447E-2</c:v>
                </c:pt>
                <c:pt idx="185">
                  <c:v>6.8932455604067258E-2</c:v>
                </c:pt>
                <c:pt idx="186">
                  <c:v>6.8426874340380306E-2</c:v>
                </c:pt>
                <c:pt idx="187">
                  <c:v>6.7927414050624205E-2</c:v>
                </c:pt>
                <c:pt idx="188">
                  <c:v>6.7433972353127439E-2</c:v>
                </c:pt>
                <c:pt idx="189">
                  <c:v>6.6946449037047176E-2</c:v>
                </c:pt>
                <c:pt idx="190">
                  <c:v>6.6464746006925743E-2</c:v>
                </c:pt>
                <c:pt idx="191">
                  <c:v>6.5988767228894782E-2</c:v>
                </c:pt>
                <c:pt idx="192">
                  <c:v>6.5518418678472995E-2</c:v>
                </c:pt>
                <c:pt idx="193">
                  <c:v>6.5053608289903045E-2</c:v>
                </c:pt>
                <c:pt idx="194">
                  <c:v>6.4594245906976266E-2</c:v>
                </c:pt>
                <c:pt idx="195">
                  <c:v>6.4140243235295546E-2</c:v>
                </c:pt>
                <c:pt idx="196">
                  <c:v>6.3691513795928564E-2</c:v>
                </c:pt>
                <c:pt idx="197">
                  <c:v>6.3247972880405096E-2</c:v>
                </c:pt>
                <c:pt idx="198">
                  <c:v>6.2809537507014901E-2</c:v>
                </c:pt>
                <c:pt idx="199">
                  <c:v>6.2376126378361922E-2</c:v>
                </c:pt>
                <c:pt idx="200">
                  <c:v>6.1947659840135366E-2</c:v>
                </c:pt>
                <c:pt idx="201">
                  <c:v>6.1524059841056862E-2</c:v>
                </c:pt>
                <c:pt idx="202">
                  <c:v>6.1105249893966353E-2</c:v>
                </c:pt>
                <c:pt idx="203">
                  <c:v>6.0691155038008843E-2</c:v>
                </c:pt>
                <c:pt idx="204">
                  <c:v>6.0281701801887431E-2</c:v>
                </c:pt>
                <c:pt idx="205">
                  <c:v>5.9876818168148396E-2</c:v>
                </c:pt>
                <c:pt idx="206">
                  <c:v>5.9476433538464879E-2</c:v>
                </c:pt>
                <c:pt idx="207">
                  <c:v>5.9080478699887425E-2</c:v>
                </c:pt>
                <c:pt idx="208">
                  <c:v>5.8688885792031055E-2</c:v>
                </c:pt>
                <c:pt idx="209">
                  <c:v>5.8301588275169521E-2</c:v>
                </c:pt>
                <c:pt idx="210">
                  <c:v>5.7918520899206703E-2</c:v>
                </c:pt>
                <c:pt idx="211">
                  <c:v>5.7539619673500138E-2</c:v>
                </c:pt>
                <c:pt idx="212">
                  <c:v>5.7164821837507519E-2</c:v>
                </c:pt>
                <c:pt idx="213">
                  <c:v>5.6794065832232142E-2</c:v>
                </c:pt>
                <c:pt idx="214">
                  <c:v>5.6427291272442628E-2</c:v>
                </c:pt>
                <c:pt idx="215">
                  <c:v>5.6064438919641316E-2</c:v>
                </c:pt>
                <c:pt idx="216">
                  <c:v>5.5705450655760547E-2</c:v>
                </c:pt>
                <c:pt idx="217">
                  <c:v>5.5350269457563391E-2</c:v>
                </c:pt>
                <c:pt idx="218">
                  <c:v>5.4998839371726421E-2</c:v>
                </c:pt>
                <c:pt idx="219">
                  <c:v>5.4651105490585911E-2</c:v>
                </c:pt>
                <c:pt idx="220">
                  <c:v>5.4307013928525757E-2</c:v>
                </c:pt>
                <c:pt idx="221">
                  <c:v>5.3966511798987905E-2</c:v>
                </c:pt>
                <c:pt idx="222">
                  <c:v>5.3629547192087498E-2</c:v>
                </c:pt>
                <c:pt idx="223">
                  <c:v>5.3296069152813437E-2</c:v>
                </c:pt>
                <c:pt idx="224">
                  <c:v>5.296602765979791E-2</c:v>
                </c:pt>
                <c:pt idx="225">
                  <c:v>5.2639373604636726E-2</c:v>
                </c:pt>
                <c:pt idx="226">
                  <c:v>5.2316058771745999E-2</c:v>
                </c:pt>
                <c:pt idx="227">
                  <c:v>5.199603581873731E-2</c:v>
                </c:pt>
                <c:pt idx="228">
                  <c:v>5.1679258257297557E-2</c:v>
                </c:pt>
                <c:pt idx="229">
                  <c:v>5.1365680434557782E-2</c:v>
                </c:pt>
                <c:pt idx="230">
                  <c:v>5.1055257514937627E-2</c:v>
                </c:pt>
                <c:pt idx="231">
                  <c:v>5.0747945462450456E-2</c:v>
                </c:pt>
                <c:pt idx="232">
                  <c:v>5.0443701023456779E-2</c:v>
                </c:pt>
                <c:pt idx="233">
                  <c:v>5.0142481709852554E-2</c:v>
                </c:pt>
                <c:pt idx="234">
                  <c:v>4.9844245782679722E-2</c:v>
                </c:pt>
                <c:pt idx="235">
                  <c:v>4.9548952236147414E-2</c:v>
                </c:pt>
                <c:pt idx="236">
                  <c:v>4.9256560782051248E-2</c:v>
                </c:pt>
                <c:pt idx="237">
                  <c:v>4.8967031834580406E-2</c:v>
                </c:pt>
                <c:pt idx="238">
                  <c:v>4.8680326495500754E-2</c:v>
                </c:pt>
                <c:pt idx="239">
                  <c:v>4.8396406539703271E-2</c:v>
                </c:pt>
                <c:pt idx="240">
                  <c:v>4.811523440110841E-2</c:v>
                </c:pt>
                <c:pt idx="241">
                  <c:v>4.7836773158915068E-2</c:v>
                </c:pt>
                <c:pt idx="242">
                  <c:v>4.7560986524185861E-2</c:v>
                </c:pt>
                <c:pt idx="243">
                  <c:v>4.7287838826758626E-2</c:v>
                </c:pt>
                <c:pt idx="244">
                  <c:v>4.701729500247457E-2</c:v>
                </c:pt>
                <c:pt idx="245">
                  <c:v>4.6749320580715757E-2</c:v>
                </c:pt>
                <c:pt idx="246">
                  <c:v>4.6483881672241892E-2</c:v>
                </c:pt>
                <c:pt idx="247">
                  <c:v>4.6220944957318981E-2</c:v>
                </c:pt>
                <c:pt idx="248">
                  <c:v>4.5960477674132152E-2</c:v>
                </c:pt>
                <c:pt idx="249">
                  <c:v>4.5702447607473752E-2</c:v>
                </c:pt>
                <c:pt idx="250">
                  <c:v>4.5446823077700094E-2</c:v>
                </c:pt>
                <c:pt idx="251">
                  <c:v>4.5193572929949924E-2</c:v>
                </c:pt>
                <c:pt idx="252">
                  <c:v>4.4942666523616337E-2</c:v>
                </c:pt>
                <c:pt idx="253">
                  <c:v>4.4694073722066303E-2</c:v>
                </c:pt>
                <c:pt idx="254">
                  <c:v>4.4447764882600688E-2</c:v>
                </c:pt>
                <c:pt idx="255">
                  <c:v>4.4203710846648495E-2</c:v>
                </c:pt>
                <c:pt idx="256">
                  <c:v>4.3961882930189239E-2</c:v>
                </c:pt>
                <c:pt idx="257">
                  <c:v>4.3722252914397075E-2</c:v>
                </c:pt>
                <c:pt idx="258">
                  <c:v>4.3484793036500935E-2</c:v>
                </c:pt>
                <c:pt idx="259">
                  <c:v>4.3249475980854761E-2</c:v>
                </c:pt>
                <c:pt idx="260">
                  <c:v>4.3016274870213055E-2</c:v>
                </c:pt>
                <c:pt idx="261">
                  <c:v>4.278516325720557E-2</c:v>
                </c:pt>
                <c:pt idx="262">
                  <c:v>4.2556115116006051E-2</c:v>
                </c:pt>
                <c:pt idx="263">
                  <c:v>4.2329104834190091E-2</c:v>
                </c:pt>
                <c:pt idx="264">
                  <c:v>4.2104107204777766E-2</c:v>
                </c:pt>
                <c:pt idx="265">
                  <c:v>4.1881097418455047E-2</c:v>
                </c:pt>
                <c:pt idx="266">
                  <c:v>4.1660051055970454E-2</c:v>
                </c:pt>
                <c:pt idx="267">
                  <c:v>4.1440944080702022E-2</c:v>
                </c:pt>
                <c:pt idx="268">
                  <c:v>4.122375283139014E-2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507-4D23-A160-FFBC66943734}"/>
            </c:ext>
          </c:extLst>
        </c:ser>
        <c:ser>
          <c:idx val="4"/>
          <c:order val="4"/>
          <c:tx>
            <c:v>Gompertz</c:v>
          </c:tx>
          <c:spPr>
            <a:ln w="28440">
              <a:solidFill>
                <a:srgbClr val="FFFF0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extrapolation!$Z$15:$Z$283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0.98273324509383964</c:v>
                </c:pt>
                <c:pt idx="2">
                  <c:v>0.96555636417224311</c:v>
                </c:pt>
                <c:pt idx="3">
                  <c:v>0.94847259702459141</c:v>
                </c:pt>
                <c:pt idx="4">
                  <c:v>0.93148517122393459</c:v>
                </c:pt>
                <c:pt idx="5">
                  <c:v>0.91459729987401683</c:v>
                </c:pt>
                <c:pt idx="6">
                  <c:v>0.89781217932349633</c:v>
                </c:pt>
                <c:pt idx="7">
                  <c:v>0.88113298684932706</c:v>
                </c:pt>
                <c:pt idx="8">
                  <c:v>0.86456287831135981</c:v>
                </c:pt>
                <c:pt idx="9">
                  <c:v>0.84810498578035565</c:v>
                </c:pt>
                <c:pt idx="10">
                  <c:v>0.83176241514169924</c:v>
                </c:pt>
                <c:pt idx="11">
                  <c:v>0.81553824367723282</c:v>
                </c:pt>
                <c:pt idx="12">
                  <c:v>0.79943551762773157</c:v>
                </c:pt>
                <c:pt idx="13">
                  <c:v>0.78345724973866182</c:v>
                </c:pt>
                <c:pt idx="14">
                  <c:v>0.76760641679197217</c:v>
                </c:pt>
                <c:pt idx="15">
                  <c:v>0.75188595712678596</c:v>
                </c:pt>
                <c:pt idx="16">
                  <c:v>0.73629876815196127</c:v>
                </c:pt>
                <c:pt idx="17">
                  <c:v>0.72084770385360497</c:v>
                </c:pt>
                <c:pt idx="18">
                  <c:v>0.70553557230072173</c:v>
                </c:pt>
                <c:pt idx="19">
                  <c:v>0.69036513315229331</c:v>
                </c:pt>
                <c:pt idx="20">
                  <c:v>0.67533909516916857</c:v>
                </c:pt>
                <c:pt idx="21">
                  <c:v>0.66046011373425562</c:v>
                </c:pt>
                <c:pt idx="22">
                  <c:v>0.6457307883845903</c:v>
                </c:pt>
                <c:pt idx="23">
                  <c:v>0.63115366035894549</c:v>
                </c:pt>
                <c:pt idx="24">
                  <c:v>0.61673121016473276</c:v>
                </c:pt>
                <c:pt idx="25">
                  <c:v>0.60246585516801987</c:v>
                </c:pt>
                <c:pt idx="26">
                  <c:v>0.58835994721056861</c:v>
                </c:pt>
                <c:pt idx="27">
                  <c:v>0.57441577025785651</c:v>
                </c:pt>
                <c:pt idx="28">
                  <c:v>0.56063553808211219</c:v>
                </c:pt>
                <c:pt idx="29">
                  <c:v>0.54702139198444677</c:v>
                </c:pt>
                <c:pt idx="30">
                  <c:v>0.53357539856020875</c:v>
                </c:pt>
                <c:pt idx="31">
                  <c:v>0.52029954751173024</c:v>
                </c:pt>
                <c:pt idx="32">
                  <c:v>0.50719574951266466</c:v>
                </c:pt>
                <c:pt idx="33">
                  <c:v>0.49426583412813591</c:v>
                </c:pt>
                <c:pt idx="34">
                  <c:v>0.48151154779493421</c:v>
                </c:pt>
                <c:pt idx="35">
                  <c:v>0.46893455186599914</c:v>
                </c:pt>
                <c:pt idx="36">
                  <c:v>0.45653642072342304</c:v>
                </c:pt>
                <c:pt idx="37">
                  <c:v>0.4443186399641933</c:v>
                </c:pt>
                <c:pt idx="38">
                  <c:v>0.43228260466286822</c:v>
                </c:pt>
                <c:pt idx="39">
                  <c:v>0.42042961771534132</c:v>
                </c:pt>
                <c:pt idx="40">
                  <c:v>0.40876088826780327</c:v>
                </c:pt>
                <c:pt idx="41">
                  <c:v>0.39727753023495166</c:v>
                </c:pt>
                <c:pt idx="42">
                  <c:v>0.38598056091142907</c:v>
                </c:pt>
                <c:pt idx="43">
                  <c:v>0.3748708996803819</c:v>
                </c:pt>
                <c:pt idx="44">
                  <c:v>0.36394936682294687</c:v>
                </c:pt>
                <c:pt idx="45">
                  <c:v>0.35321668243235621</c:v>
                </c:pt>
                <c:pt idx="46">
                  <c:v>0.34267346543623806</c:v>
                </c:pt>
                <c:pt idx="47">
                  <c:v>0.33232023273055461</c:v>
                </c:pt>
                <c:pt idx="48">
                  <c:v>0.32215739842847685</c:v>
                </c:pt>
                <c:pt idx="49">
                  <c:v>0.31218527322733475</c:v>
                </c:pt>
                <c:pt idx="50">
                  <c:v>0.30240406389661484</c:v>
                </c:pt>
                <c:pt idx="51">
                  <c:v>0.29281387288979099</c:v>
                </c:pt>
                <c:pt idx="52">
                  <c:v>0.28341469808258035</c:v>
                </c:pt>
                <c:pt idx="53">
                  <c:v>0.27420643264000927</c:v>
                </c:pt>
                <c:pt idx="54">
                  <c:v>0.26518886501445055</c:v>
                </c:pt>
                <c:pt idx="55">
                  <c:v>0.25636167907656565</c:v>
                </c:pt>
                <c:pt idx="56">
                  <c:v>0.24772445438083845</c:v>
                </c:pt>
                <c:pt idx="57">
                  <c:v>0.23927666656713206</c:v>
                </c:pt>
                <c:pt idx="58">
                  <c:v>0.23101768789943852</c:v>
                </c:pt>
                <c:pt idx="59">
                  <c:v>0.22294678794270859</c:v>
                </c:pt>
                <c:pt idx="60">
                  <c:v>0.21506313437836674</c:v>
                </c:pt>
                <c:pt idx="61">
                  <c:v>0.20736579395882271</c:v>
                </c:pt>
                <c:pt idx="62">
                  <c:v>0.19985373360098072</c:v>
                </c:pt>
                <c:pt idx="63">
                  <c:v>0.19252582161844226</c:v>
                </c:pt>
                <c:pt idx="64">
                  <c:v>0.18538082909177664</c:v>
                </c:pt>
                <c:pt idx="65">
                  <c:v>0.1784174313759069</c:v>
                </c:pt>
                <c:pt idx="66">
                  <c:v>0.17163420974333174</c:v>
                </c:pt>
                <c:pt idx="67">
                  <c:v>0.16502965316156584</c:v>
                </c:pt>
                <c:pt idx="68">
                  <c:v>0.15860216020284576</c:v>
                </c:pt>
                <c:pt idx="69">
                  <c:v>0.15235004108380387</c:v>
                </c:pt>
                <c:pt idx="70">
                  <c:v>0.14627151983247647</c:v>
                </c:pt>
                <c:pt idx="71">
                  <c:v>0.140364736579664</c:v>
                </c:pt>
                <c:pt idx="72">
                  <c:v>0.13462774997132615</c:v>
                </c:pt>
                <c:pt idx="73">
                  <c:v>0.12905853969835127</c:v>
                </c:pt>
                <c:pt idx="74">
                  <c:v>0.12365500913970721</c:v>
                </c:pt>
                <c:pt idx="75">
                  <c:v>0.1184149881146505</c:v>
                </c:pt>
                <c:pt idx="76">
                  <c:v>0.11333623573934457</c:v>
                </c:pt>
                <c:pt idx="77">
                  <c:v>0.10841644338292382</c:v>
                </c:pt>
                <c:pt idx="78">
                  <c:v>0.10365323771773041</c:v>
                </c:pt>
                <c:pt idx="79">
                  <c:v>9.9044183858155013E-2</c:v>
                </c:pt>
                <c:pt idx="80">
                  <c:v>9.4586788582225495E-2</c:v>
                </c:pt>
                <c:pt idx="81">
                  <c:v>9.027850362981471E-2</c:v>
                </c:pt>
                <c:pt idx="82">
                  <c:v>8.6116729071080172E-2</c:v>
                </c:pt>
                <c:pt idx="83">
                  <c:v>8.2098816738504943E-2</c:v>
                </c:pt>
                <c:pt idx="84">
                  <c:v>7.8222073715681767E-2</c:v>
                </c:pt>
                <c:pt idx="85">
                  <c:v>7.4483765875776042E-2</c:v>
                </c:pt>
                <c:pt idx="86">
                  <c:v>7.0881121462411489E-2</c:v>
                </c:pt>
                <c:pt idx="87">
                  <c:v>6.7411334705556158E-2</c:v>
                </c:pt>
                <c:pt idx="88">
                  <c:v>6.4071569464837594E-2</c:v>
                </c:pt>
                <c:pt idx="89">
                  <c:v>6.0858962892592586E-2</c:v>
                </c:pt>
                <c:pt idx="90">
                  <c:v>5.7770629108854901E-2</c:v>
                </c:pt>
                <c:pt idx="91">
                  <c:v>5.480366288040852E-2</c:v>
                </c:pt>
                <c:pt idx="92">
                  <c:v>5.1955143295981748E-2</c:v>
                </c:pt>
                <c:pt idx="93">
                  <c:v>4.9222137429633099E-2</c:v>
                </c:pt>
                <c:pt idx="94">
                  <c:v>4.6601703984378913E-2</c:v>
                </c:pt>
                <c:pt idx="95">
                  <c:v>4.4090896908142739E-2</c:v>
                </c:pt>
                <c:pt idx="96">
                  <c:v>4.1686768974158558E-2</c:v>
                </c:pt>
                <c:pt idx="97">
                  <c:v>3.9386375318046327E-2</c:v>
                </c:pt>
                <c:pt idx="98">
                  <c:v>3.7186776923884161E-2</c:v>
                </c:pt>
                <c:pt idx="99">
                  <c:v>3.5085044051743376E-2</c:v>
                </c:pt>
                <c:pt idx="100">
                  <c:v>3.307825959931416E-2</c:v>
                </c:pt>
                <c:pt idx="101">
                  <c:v>3.1163522390444832E-2</c:v>
                </c:pt>
                <c:pt idx="102">
                  <c:v>2.9337950383634639E-2</c:v>
                </c:pt>
                <c:pt idx="103">
                  <c:v>2.7598683793766482E-2</c:v>
                </c:pt>
                <c:pt idx="104">
                  <c:v>2.5942888120635471E-2</c:v>
                </c:pt>
                <c:pt idx="105">
                  <c:v>2.4367757078124899E-2</c:v>
                </c:pt>
                <c:pt idx="106">
                  <c:v>2.2870515418199362E-2</c:v>
                </c:pt>
                <c:pt idx="107">
                  <c:v>2.144842164422606E-2</c:v>
                </c:pt>
                <c:pt idx="108">
                  <c:v>2.0098770608496581E-2</c:v>
                </c:pt>
                <c:pt idx="109">
                  <c:v>1.8818895989203836E-2</c:v>
                </c:pt>
                <c:pt idx="110">
                  <c:v>1.760617264252853E-2</c:v>
                </c:pt>
                <c:pt idx="111">
                  <c:v>1.6458018825905221E-2</c:v>
                </c:pt>
                <c:pt idx="112">
                  <c:v>1.5371898288970003E-2</c:v>
                </c:pt>
                <c:pt idx="113">
                  <c:v>1.4345322229134655E-2</c:v>
                </c:pt>
                <c:pt idx="114">
                  <c:v>1.3375851109188399E-2</c:v>
                </c:pt>
                <c:pt idx="115">
                  <c:v>1.2461096334789947E-2</c:v>
                </c:pt>
                <c:pt idx="116">
                  <c:v>1.1598721790185517E-2</c:v>
                </c:pt>
                <c:pt idx="117">
                  <c:v>1.0786445230960635E-2</c:v>
                </c:pt>
                <c:pt idx="118">
                  <c:v>1.0022039533113775E-2</c:v>
                </c:pt>
                <c:pt idx="119">
                  <c:v>9.3033337982146667E-3</c:v>
                </c:pt>
                <c:pt idx="120">
                  <c:v>8.6282143148876025E-3</c:v>
                </c:pt>
                <c:pt idx="121">
                  <c:v>7.9946253773290395E-3</c:v>
                </c:pt>
                <c:pt idx="122">
                  <c:v>7.400569962034453E-3</c:v>
                </c:pt>
                <c:pt idx="123">
                  <c:v>6.8441102643632601E-3</c:v>
                </c:pt>
                <c:pt idx="124">
                  <c:v>6.3233680970156778E-3</c:v>
                </c:pt>
                <c:pt idx="125">
                  <c:v>5.8365251529250367E-3</c:v>
                </c:pt>
                <c:pt idx="126">
                  <c:v>5.3818231354851864E-3</c:v>
                </c:pt>
                <c:pt idx="127">
                  <c:v>4.957563759429913E-3</c:v>
                </c:pt>
                <c:pt idx="128">
                  <c:v>4.5621086260601452E-3</c:v>
                </c:pt>
                <c:pt idx="129">
                  <c:v>4.1938789768721004E-3</c:v>
                </c:pt>
                <c:pt idx="130">
                  <c:v>3.8513553299742908E-3</c:v>
                </c:pt>
                <c:pt idx="131">
                  <c:v>3.5330770039917634E-3</c:v>
                </c:pt>
                <c:pt idx="132">
                  <c:v>3.2376415344409983E-3</c:v>
                </c:pt>
                <c:pt idx="133">
                  <c:v>2.9637039878164738E-3</c:v>
                </c:pt>
                <c:pt idx="134">
                  <c:v>2.7099761788605169E-3</c:v>
                </c:pt>
                <c:pt idx="135">
                  <c:v>2.4752257966888813E-3</c:v>
                </c:pt>
                <c:pt idx="136">
                  <c:v>2.2582754456168604E-3</c:v>
                </c:pt>
                <c:pt idx="137">
                  <c:v>2.0580016066721924E-3</c:v>
                </c:pt>
                <c:pt idx="138">
                  <c:v>1.8733335258930531E-3</c:v>
                </c:pt>
                <c:pt idx="139">
                  <c:v>1.7032520355903928E-3</c:v>
                </c:pt>
                <c:pt idx="140">
                  <c:v>1.5467883148051111E-3</c:v>
                </c:pt>
                <c:pt idx="141">
                  <c:v>1.4030225952112185E-3</c:v>
                </c:pt>
                <c:pt idx="142">
                  <c:v>1.2710828187078452E-3</c:v>
                </c:pt>
                <c:pt idx="143">
                  <c:v>1.1501432529049849E-3</c:v>
                </c:pt>
                <c:pt idx="144">
                  <c:v>1.039423070642689E-3</c:v>
                </c:pt>
                <c:pt idx="145">
                  <c:v>9.381848995902416E-4</c:v>
                </c:pt>
                <c:pt idx="146">
                  <c:v>8.457333478535269E-4</c:v>
                </c:pt>
                <c:pt idx="147">
                  <c:v>7.614135113753602E-4</c:v>
                </c:pt>
                <c:pt idx="148">
                  <c:v>6.8460946874708399E-4</c:v>
                </c:pt>
                <c:pt idx="149">
                  <c:v>6.1474276886187135E-4</c:v>
                </c:pt>
                <c:pt idx="150">
                  <c:v>5.512709166321418E-4</c:v>
                </c:pt>
                <c:pt idx="151">
                  <c:v>4.9368586176762362E-4</c:v>
                </c:pt>
                <c:pt idx="152">
                  <c:v>4.4151249536846681E-4</c:v>
                </c:pt>
                <c:pt idx="153">
                  <c:v>3.9430715883131869E-4</c:v>
                </c:pt>
                <c:pt idx="154">
                  <c:v>3.5165616929775533E-4</c:v>
                </c:pt>
                <c:pt idx="155">
                  <c:v>3.1317436559554249E-4</c:v>
                </c:pt>
                <c:pt idx="156">
                  <c:v>2.7850367833620425E-4</c:v>
                </c:pt>
                <c:pt idx="157">
                  <c:v>2.4731172753928425E-4</c:v>
                </c:pt>
                <c:pt idx="158">
                  <c:v>2.1929045085644977E-4</c:v>
                </c:pt>
                <c:pt idx="159">
                  <c:v>1.9415476516931662E-4</c:v>
                </c:pt>
                <c:pt idx="160">
                  <c:v>1.7164126403547005E-4</c:v>
                </c:pt>
                <c:pt idx="161">
                  <c:v>1.5150695315941477E-4</c:v>
                </c:pt>
                <c:pt idx="162">
                  <c:v>1.335280257711474E-4</c:v>
                </c:pt>
                <c:pt idx="163">
                  <c:v>1.1749867950607443E-4</c:v>
                </c:pt>
                <c:pt idx="164">
                  <c:v>1.032299760980682E-4</c:v>
                </c:pt>
                <c:pt idx="165">
                  <c:v>9.0548744923767894E-5</c:v>
                </c:pt>
                <c:pt idx="166">
                  <c:v>7.929653117231339E-5</c:v>
                </c:pt>
                <c:pt idx="167">
                  <c:v>6.932858916176279E-5</c:v>
                </c:pt>
                <c:pt idx="168">
                  <c:v>6.0512921082543881E-5</c:v>
                </c:pt>
                <c:pt idx="169">
                  <c:v>5.2729361220421775E-5</c:v>
                </c:pt>
                <c:pt idx="170">
                  <c:v>4.5868705497448928E-5</c:v>
                </c:pt>
                <c:pt idx="171">
                  <c:v>3.9831885969828133E-5</c:v>
                </c:pt>
                <c:pt idx="172">
                  <c:v>3.4529189737108878E-5</c:v>
                </c:pt>
                <c:pt idx="173">
                  <c:v>2.9879521548040754E-5</c:v>
                </c:pt>
                <c:pt idx="174">
                  <c:v>2.5809709234903008E-5</c:v>
                </c:pt>
                <c:pt idx="175">
                  <c:v>2.2253850970383855E-5</c:v>
                </c:pt>
                <c:pt idx="176">
                  <c:v>1.9152703218982512E-5</c:v>
                </c:pt>
                <c:pt idx="177">
                  <c:v>1.6453108148355878E-5</c:v>
                </c:pt>
                <c:pt idx="178">
                  <c:v>1.4107459174699351E-5</c:v>
                </c:pt>
                <c:pt idx="179">
                  <c:v>1.2073203239775351E-5</c:v>
                </c:pt>
                <c:pt idx="180">
                  <c:v>1.0312378355084358E-5</c:v>
                </c:pt>
                <c:pt idx="181">
                  <c:v>8.7911849003416038E-6</c:v>
                </c:pt>
                <c:pt idx="182">
                  <c:v>7.4795891282103885E-6</c:v>
                </c:pt>
                <c:pt idx="183">
                  <c:v>6.3509573044440367E-6</c:v>
                </c:pt>
                <c:pt idx="184">
                  <c:v>5.3817189014050015E-6</c:v>
                </c:pt>
                <c:pt idx="185">
                  <c:v>4.5510572625544005E-6</c:v>
                </c:pt>
                <c:pt idx="186">
                  <c:v>3.8406261650681574E-6</c:v>
                </c:pt>
                <c:pt idx="187">
                  <c:v>3.2342907263596126E-6</c:v>
                </c:pt>
                <c:pt idx="188">
                  <c:v>2.7178911270806286E-6</c:v>
                </c:pt>
                <c:pt idx="189">
                  <c:v>2.2790276572320413E-6</c:v>
                </c:pt>
                <c:pt idx="190">
                  <c:v>1.9068656324527971E-6</c:v>
                </c:pt>
                <c:pt idx="191">
                  <c:v>1.5919587734975105E-6</c:v>
                </c:pt>
                <c:pt idx="192">
                  <c:v>1.3260896925004683E-6</c:v>
                </c:pt>
                <c:pt idx="193">
                  <c:v>1.1021261840406954E-6</c:v>
                </c:pt>
                <c:pt idx="194">
                  <c:v>9.138920764772946E-7</c:v>
                </c:pt>
                <c:pt idx="195">
                  <c:v>7.5605145877345346E-7</c:v>
                </c:pt>
                <c:pt idx="196">
                  <c:v>6.2400515937224255E-7</c:v>
                </c:pt>
                <c:pt idx="197">
                  <c:v>5.1379841597736107E-7</c:v>
                </c:pt>
                <c:pt idx="198">
                  <c:v>4.2203873773058827E-7</c:v>
                </c:pt>
                <c:pt idx="199">
                  <c:v>3.4582302372145911E-7</c:v>
                </c:pt>
                <c:pt idx="200">
                  <c:v>2.8267306352568164E-7</c:v>
                </c:pt>
                <c:pt idx="201">
                  <c:v>2.3047860611452196E-7</c:v>
                </c:pt>
                <c:pt idx="202">
                  <c:v>1.8744724262968271E-7</c:v>
                </c:pt>
                <c:pt idx="203">
                  <c:v>1.520604058537125E-7</c:v>
                </c:pt>
                <c:pt idx="204">
                  <c:v>1.2303484445228852E-7</c:v>
                </c:pt>
                <c:pt idx="205">
                  <c:v>9.9288983000403017E-8</c:v>
                </c:pt>
                <c:pt idx="206">
                  <c:v>7.9913629254722052E-8</c:v>
                </c:pt>
                <c:pt idx="207">
                  <c:v>6.4146537968912359E-8</c:v>
                </c:pt>
                <c:pt idx="208">
                  <c:v>5.135038567848881E-8</c:v>
                </c:pt>
                <c:pt idx="209">
                  <c:v>4.0993753255078374E-8</c:v>
                </c:pt>
                <c:pt idx="210">
                  <c:v>3.2634752629364896E-8</c:v>
                </c:pt>
                <c:pt idx="211">
                  <c:v>2.5906970920301293E-8</c:v>
                </c:pt>
                <c:pt idx="212">
                  <c:v>2.0507439324856902E-8</c:v>
                </c:pt>
                <c:pt idx="213">
                  <c:v>1.6186365580271945E-8</c:v>
                </c:pt>
                <c:pt idx="214">
                  <c:v>1.2738397691636391E-8</c:v>
                </c:pt>
                <c:pt idx="215">
                  <c:v>9.9952130198674419E-9</c:v>
                </c:pt>
                <c:pt idx="216">
                  <c:v>7.8192508601199296E-9</c:v>
                </c:pt>
                <c:pt idx="217">
                  <c:v>6.0984284295071656E-9</c:v>
                </c:pt>
                <c:pt idx="218">
                  <c:v>4.7416998541346836E-9</c:v>
                </c:pt>
                <c:pt idx="219">
                  <c:v>3.6753354318954285E-9</c:v>
                </c:pt>
                <c:pt idx="220">
                  <c:v>2.8398142846795121E-9</c:v>
                </c:pt>
                <c:pt idx="221">
                  <c:v>2.1872376374051599E-9</c:v>
                </c:pt>
                <c:pt idx="222">
                  <c:v>1.679182506021228E-9</c:v>
                </c:pt>
                <c:pt idx="223">
                  <c:v>1.2849266739106883E-9</c:v>
                </c:pt>
                <c:pt idx="224">
                  <c:v>9.7998561338104464E-10</c:v>
                </c:pt>
                <c:pt idx="225">
                  <c:v>7.4491058845796453E-10</c:v>
                </c:pt>
                <c:pt idx="226">
                  <c:v>5.64304673368338E-10</c:v>
                </c:pt>
                <c:pt idx="227">
                  <c:v>4.2601994774802113E-10</c:v>
                </c:pt>
                <c:pt idx="228">
                  <c:v>3.2050478763606625E-10</c:v>
                </c:pt>
                <c:pt idx="229">
                  <c:v>2.4027505643588201E-10</c:v>
                </c:pt>
                <c:pt idx="230">
                  <c:v>1.79487200660125E-10</c:v>
                </c:pt>
                <c:pt idx="231">
                  <c:v>1.3359485259097685E-10</c:v>
                </c:pt>
                <c:pt idx="232">
                  <c:v>9.9073610005472268E-11</c:v>
                </c:pt>
                <c:pt idx="233">
                  <c:v>7.3201268939496862E-11</c:v>
                </c:pt>
                <c:pt idx="234">
                  <c:v>5.3882989562548841E-11</c:v>
                </c:pt>
                <c:pt idx="235">
                  <c:v>3.9512731782025858E-11</c:v>
                </c:pt>
                <c:pt idx="236">
                  <c:v>2.8863854448290865E-11</c:v>
                </c:pt>
                <c:pt idx="237">
                  <c:v>2.1003072738403849E-11</c:v>
                </c:pt>
                <c:pt idx="238">
                  <c:v>1.5223050115980557E-11</c:v>
                </c:pt>
                <c:pt idx="239">
                  <c:v>1.098979719225429E-11</c:v>
                </c:pt>
                <c:pt idx="240">
                  <c:v>7.9017886025693603E-12</c:v>
                </c:pt>
                <c:pt idx="241">
                  <c:v>5.6583155864059708E-12</c:v>
                </c:pt>
                <c:pt idx="242">
                  <c:v>4.0350878067334944E-12</c:v>
                </c:pt>
                <c:pt idx="243">
                  <c:v>2.8655014962940252E-12</c:v>
                </c:pt>
                <c:pt idx="244">
                  <c:v>2.0263179985204326E-12</c:v>
                </c:pt>
                <c:pt idx="245">
                  <c:v>1.4267605244001282E-12</c:v>
                </c:pt>
                <c:pt idx="246">
                  <c:v>1.0002487408017748E-12</c:v>
                </c:pt>
                <c:pt idx="247">
                  <c:v>6.9816010360497517E-13</c:v>
                </c:pt>
                <c:pt idx="248">
                  <c:v>4.8514155680847261E-13</c:v>
                </c:pt>
                <c:pt idx="249">
                  <c:v>3.3560190801960307E-13</c:v>
                </c:pt>
                <c:pt idx="250">
                  <c:v>2.3109929463235669E-13</c:v>
                </c:pt>
                <c:pt idx="251">
                  <c:v>1.5840414235607908E-13</c:v>
                </c:pt>
                <c:pt idx="252">
                  <c:v>1.0806954477086942E-13</c:v>
                </c:pt>
                <c:pt idx="253">
                  <c:v>7.3381034897578309E-14</c:v>
                </c:pt>
                <c:pt idx="254">
                  <c:v>4.958868633480542E-14</c:v>
                </c:pt>
                <c:pt idx="255">
                  <c:v>3.334831217079534E-14</c:v>
                </c:pt>
                <c:pt idx="256">
                  <c:v>2.2316778368396392E-14</c:v>
                </c:pt>
                <c:pt idx="257">
                  <c:v>1.4860352469289123E-14</c:v>
                </c:pt>
                <c:pt idx="258">
                  <c:v>9.845549089201755E-15</c:v>
                </c:pt>
                <c:pt idx="259">
                  <c:v>6.4898837388997108E-15</c:v>
                </c:pt>
                <c:pt idx="260">
                  <c:v>4.255911831730636E-15</c:v>
                </c:pt>
                <c:pt idx="261">
                  <c:v>2.7763825467837781E-15</c:v>
                </c:pt>
                <c:pt idx="262">
                  <c:v>1.8016435482340354E-15</c:v>
                </c:pt>
                <c:pt idx="263">
                  <c:v>1.1628745709002582E-15</c:v>
                </c:pt>
                <c:pt idx="264">
                  <c:v>7.4652184045213939E-16</c:v>
                </c:pt>
                <c:pt idx="265">
                  <c:v>4.7661603684304301E-16</c:v>
                </c:pt>
                <c:pt idx="266">
                  <c:v>3.0260894322582204E-16</c:v>
                </c:pt>
                <c:pt idx="267">
                  <c:v>1.910521644577712E-16</c:v>
                </c:pt>
                <c:pt idx="268">
                  <c:v>1.1993584847052484E-16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507-4D23-A160-FFBC66943734}"/>
            </c:ext>
          </c:extLst>
        </c:ser>
        <c:ser>
          <c:idx val="5"/>
          <c:order val="5"/>
          <c:tx>
            <c:strRef>
              <c:f>extrapolation!$AA$14</c:f>
              <c:strCache>
                <c:ptCount val="1"/>
                <c:pt idx="0">
                  <c:v>Generalised gamma</c:v>
                </c:pt>
              </c:strCache>
            </c:strRef>
          </c:tx>
          <c:spPr>
            <a:ln w="28440">
              <a:solidFill>
                <a:srgbClr val="827979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extrapolation!$B$15:$B$283</c:f>
              <c:numCache>
                <c:formatCode>General</c:formatCode>
                <c:ptCount val="269"/>
                <c:pt idx="0">
                  <c:v>0</c:v>
                </c:pt>
                <c:pt idx="1">
                  <c:v>0.92307692307692313</c:v>
                </c:pt>
                <c:pt idx="2">
                  <c:v>1.8461538461538463</c:v>
                </c:pt>
                <c:pt idx="3">
                  <c:v>2.7692307692307692</c:v>
                </c:pt>
                <c:pt idx="4">
                  <c:v>3.6923076923076925</c:v>
                </c:pt>
                <c:pt idx="5">
                  <c:v>4.615384615384615</c:v>
                </c:pt>
                <c:pt idx="6">
                  <c:v>5.5384615384615383</c:v>
                </c:pt>
                <c:pt idx="7">
                  <c:v>6.4615384615384617</c:v>
                </c:pt>
                <c:pt idx="8">
                  <c:v>7.384615384615385</c:v>
                </c:pt>
                <c:pt idx="9">
                  <c:v>8.3076923076923084</c:v>
                </c:pt>
                <c:pt idx="10">
                  <c:v>9.2307692307692299</c:v>
                </c:pt>
                <c:pt idx="11">
                  <c:v>10.153846153846153</c:v>
                </c:pt>
                <c:pt idx="12">
                  <c:v>11.076923076923077</c:v>
                </c:pt>
                <c:pt idx="13">
                  <c:v>12</c:v>
                </c:pt>
                <c:pt idx="14">
                  <c:v>12.923076923076923</c:v>
                </c:pt>
                <c:pt idx="15">
                  <c:v>13.846153846153847</c:v>
                </c:pt>
                <c:pt idx="16">
                  <c:v>14.76923076923077</c:v>
                </c:pt>
                <c:pt idx="17">
                  <c:v>15.692307692307692</c:v>
                </c:pt>
                <c:pt idx="18">
                  <c:v>16.615384615384617</c:v>
                </c:pt>
                <c:pt idx="19">
                  <c:v>17.53846153846154</c:v>
                </c:pt>
                <c:pt idx="20">
                  <c:v>18.46153846153846</c:v>
                </c:pt>
                <c:pt idx="21">
                  <c:v>19.384615384615383</c:v>
                </c:pt>
                <c:pt idx="22">
                  <c:v>20.307692307692307</c:v>
                </c:pt>
                <c:pt idx="23">
                  <c:v>21.23076923076923</c:v>
                </c:pt>
                <c:pt idx="24">
                  <c:v>22.153846153846153</c:v>
                </c:pt>
                <c:pt idx="25">
                  <c:v>23.076923076923077</c:v>
                </c:pt>
                <c:pt idx="26">
                  <c:v>24</c:v>
                </c:pt>
                <c:pt idx="27">
                  <c:v>24.923076923076923</c:v>
                </c:pt>
                <c:pt idx="28">
                  <c:v>25.846153846153847</c:v>
                </c:pt>
                <c:pt idx="29">
                  <c:v>26.76923076923077</c:v>
                </c:pt>
                <c:pt idx="30">
                  <c:v>27.692307692307693</c:v>
                </c:pt>
                <c:pt idx="31">
                  <c:v>28.615384615384617</c:v>
                </c:pt>
                <c:pt idx="32">
                  <c:v>29.53846153846154</c:v>
                </c:pt>
                <c:pt idx="33">
                  <c:v>30.46153846153846</c:v>
                </c:pt>
                <c:pt idx="34">
                  <c:v>31.384615384615383</c:v>
                </c:pt>
                <c:pt idx="35">
                  <c:v>32.307692307692307</c:v>
                </c:pt>
                <c:pt idx="36">
                  <c:v>33.230769230769234</c:v>
                </c:pt>
                <c:pt idx="37">
                  <c:v>34.153846153846153</c:v>
                </c:pt>
                <c:pt idx="38">
                  <c:v>35.07692307692308</c:v>
                </c:pt>
                <c:pt idx="39">
                  <c:v>36</c:v>
                </c:pt>
                <c:pt idx="40">
                  <c:v>36.92307692307692</c:v>
                </c:pt>
                <c:pt idx="41">
                  <c:v>37.846153846153847</c:v>
                </c:pt>
                <c:pt idx="42">
                  <c:v>38.769230769230766</c:v>
                </c:pt>
                <c:pt idx="43">
                  <c:v>39.692307692307693</c:v>
                </c:pt>
                <c:pt idx="44">
                  <c:v>40.615384615384613</c:v>
                </c:pt>
                <c:pt idx="45">
                  <c:v>41.53846153846154</c:v>
                </c:pt>
                <c:pt idx="46">
                  <c:v>42.46153846153846</c:v>
                </c:pt>
                <c:pt idx="47">
                  <c:v>43.384615384615387</c:v>
                </c:pt>
                <c:pt idx="48">
                  <c:v>44.307692307692307</c:v>
                </c:pt>
                <c:pt idx="49">
                  <c:v>45.230769230769234</c:v>
                </c:pt>
                <c:pt idx="50">
                  <c:v>46.153846153846153</c:v>
                </c:pt>
                <c:pt idx="51">
                  <c:v>47.07692307692308</c:v>
                </c:pt>
                <c:pt idx="52">
                  <c:v>48</c:v>
                </c:pt>
                <c:pt idx="53">
                  <c:v>48.92307692307692</c:v>
                </c:pt>
                <c:pt idx="54">
                  <c:v>49.846153846153847</c:v>
                </c:pt>
                <c:pt idx="55">
                  <c:v>50.769230769230766</c:v>
                </c:pt>
                <c:pt idx="56">
                  <c:v>51.692307692307693</c:v>
                </c:pt>
                <c:pt idx="57">
                  <c:v>52.615384615384613</c:v>
                </c:pt>
                <c:pt idx="58">
                  <c:v>53.53846153846154</c:v>
                </c:pt>
                <c:pt idx="59">
                  <c:v>54.46153846153846</c:v>
                </c:pt>
                <c:pt idx="60">
                  <c:v>55.384615384615387</c:v>
                </c:pt>
                <c:pt idx="61">
                  <c:v>56.307692307692307</c:v>
                </c:pt>
                <c:pt idx="62">
                  <c:v>57.230769230769234</c:v>
                </c:pt>
                <c:pt idx="63">
                  <c:v>58.153846153846153</c:v>
                </c:pt>
                <c:pt idx="64">
                  <c:v>59.07692307692308</c:v>
                </c:pt>
                <c:pt idx="65">
                  <c:v>60</c:v>
                </c:pt>
                <c:pt idx="66">
                  <c:v>60.92307692307692</c:v>
                </c:pt>
                <c:pt idx="67">
                  <c:v>61.846153846153847</c:v>
                </c:pt>
                <c:pt idx="68">
                  <c:v>62.769230769230766</c:v>
                </c:pt>
                <c:pt idx="69">
                  <c:v>63.692307692307693</c:v>
                </c:pt>
                <c:pt idx="70">
                  <c:v>64.615384615384613</c:v>
                </c:pt>
                <c:pt idx="71">
                  <c:v>65.538461538461533</c:v>
                </c:pt>
                <c:pt idx="72">
                  <c:v>66.461538461538467</c:v>
                </c:pt>
                <c:pt idx="73">
                  <c:v>67.384615384615387</c:v>
                </c:pt>
                <c:pt idx="74">
                  <c:v>68.307692307692307</c:v>
                </c:pt>
                <c:pt idx="75">
                  <c:v>69.230769230769226</c:v>
                </c:pt>
                <c:pt idx="76">
                  <c:v>70.15384615384616</c:v>
                </c:pt>
                <c:pt idx="77">
                  <c:v>71.07692307692308</c:v>
                </c:pt>
                <c:pt idx="78">
                  <c:v>72</c:v>
                </c:pt>
                <c:pt idx="79">
                  <c:v>72.92307692307692</c:v>
                </c:pt>
                <c:pt idx="80">
                  <c:v>73.84615384615384</c:v>
                </c:pt>
                <c:pt idx="81">
                  <c:v>74.769230769230774</c:v>
                </c:pt>
                <c:pt idx="82">
                  <c:v>75.692307692307693</c:v>
                </c:pt>
                <c:pt idx="83">
                  <c:v>76.615384615384613</c:v>
                </c:pt>
                <c:pt idx="84">
                  <c:v>77.538461538461533</c:v>
                </c:pt>
                <c:pt idx="85">
                  <c:v>78.461538461538467</c:v>
                </c:pt>
                <c:pt idx="86">
                  <c:v>79.384615384615387</c:v>
                </c:pt>
                <c:pt idx="87">
                  <c:v>80.307692307692307</c:v>
                </c:pt>
                <c:pt idx="88">
                  <c:v>81.230769230769226</c:v>
                </c:pt>
                <c:pt idx="89">
                  <c:v>82.15384615384616</c:v>
                </c:pt>
                <c:pt idx="90">
                  <c:v>83.07692307692308</c:v>
                </c:pt>
                <c:pt idx="91">
                  <c:v>84</c:v>
                </c:pt>
                <c:pt idx="92">
                  <c:v>84.92307692307692</c:v>
                </c:pt>
                <c:pt idx="93">
                  <c:v>85.84615384615384</c:v>
                </c:pt>
                <c:pt idx="94">
                  <c:v>86.769230769230774</c:v>
                </c:pt>
                <c:pt idx="95">
                  <c:v>87.692307692307693</c:v>
                </c:pt>
                <c:pt idx="96">
                  <c:v>88.615384615384613</c:v>
                </c:pt>
                <c:pt idx="97">
                  <c:v>89.538461538461533</c:v>
                </c:pt>
                <c:pt idx="98">
                  <c:v>90.461538461538467</c:v>
                </c:pt>
                <c:pt idx="99">
                  <c:v>91.384615384615387</c:v>
                </c:pt>
                <c:pt idx="100">
                  <c:v>92.307692307692307</c:v>
                </c:pt>
                <c:pt idx="101">
                  <c:v>93.230769230769226</c:v>
                </c:pt>
                <c:pt idx="102">
                  <c:v>94.15384615384616</c:v>
                </c:pt>
                <c:pt idx="103">
                  <c:v>95.07692307692308</c:v>
                </c:pt>
                <c:pt idx="104">
                  <c:v>96</c:v>
                </c:pt>
                <c:pt idx="105">
                  <c:v>96.92307692307692</c:v>
                </c:pt>
                <c:pt idx="106">
                  <c:v>97.84615384615384</c:v>
                </c:pt>
                <c:pt idx="107">
                  <c:v>98.769230769230774</c:v>
                </c:pt>
                <c:pt idx="108">
                  <c:v>99.692307692307693</c:v>
                </c:pt>
                <c:pt idx="109">
                  <c:v>100.61538461538461</c:v>
                </c:pt>
                <c:pt idx="110">
                  <c:v>101.53846153846153</c:v>
                </c:pt>
                <c:pt idx="111">
                  <c:v>102.46153846153847</c:v>
                </c:pt>
                <c:pt idx="112">
                  <c:v>103.38461538461539</c:v>
                </c:pt>
                <c:pt idx="113">
                  <c:v>104.30769230769231</c:v>
                </c:pt>
                <c:pt idx="114">
                  <c:v>105.23076923076923</c:v>
                </c:pt>
                <c:pt idx="115">
                  <c:v>106.15384615384616</c:v>
                </c:pt>
                <c:pt idx="116">
                  <c:v>107.07692307692308</c:v>
                </c:pt>
                <c:pt idx="117">
                  <c:v>108</c:v>
                </c:pt>
                <c:pt idx="118">
                  <c:v>108.92307692307692</c:v>
                </c:pt>
                <c:pt idx="119">
                  <c:v>109.84615384615384</c:v>
                </c:pt>
                <c:pt idx="120">
                  <c:v>110.76923076923077</c:v>
                </c:pt>
                <c:pt idx="121">
                  <c:v>111.69230769230769</c:v>
                </c:pt>
                <c:pt idx="122">
                  <c:v>112.61538461538461</c:v>
                </c:pt>
                <c:pt idx="123">
                  <c:v>113.53846153846153</c:v>
                </c:pt>
                <c:pt idx="124">
                  <c:v>114.46153846153847</c:v>
                </c:pt>
                <c:pt idx="125">
                  <c:v>115.38461538461539</c:v>
                </c:pt>
                <c:pt idx="126">
                  <c:v>116.30769230769231</c:v>
                </c:pt>
                <c:pt idx="127">
                  <c:v>117.23076923076923</c:v>
                </c:pt>
                <c:pt idx="128">
                  <c:v>118.15384615384616</c:v>
                </c:pt>
                <c:pt idx="129">
                  <c:v>119.07692307692308</c:v>
                </c:pt>
                <c:pt idx="130">
                  <c:v>120</c:v>
                </c:pt>
                <c:pt idx="131">
                  <c:v>120.92307692307692</c:v>
                </c:pt>
                <c:pt idx="132">
                  <c:v>121.84615384615384</c:v>
                </c:pt>
                <c:pt idx="133">
                  <c:v>122.76923076923077</c:v>
                </c:pt>
                <c:pt idx="134">
                  <c:v>123.69230769230769</c:v>
                </c:pt>
                <c:pt idx="135">
                  <c:v>124.61538461538461</c:v>
                </c:pt>
                <c:pt idx="136">
                  <c:v>125.53846153846153</c:v>
                </c:pt>
                <c:pt idx="137">
                  <c:v>126.46153846153847</c:v>
                </c:pt>
                <c:pt idx="138">
                  <c:v>127.38461538461539</c:v>
                </c:pt>
                <c:pt idx="139">
                  <c:v>128.30769230769232</c:v>
                </c:pt>
                <c:pt idx="140">
                  <c:v>129.23076923076923</c:v>
                </c:pt>
                <c:pt idx="141">
                  <c:v>130.15384615384616</c:v>
                </c:pt>
                <c:pt idx="142">
                  <c:v>131.07692307692307</c:v>
                </c:pt>
                <c:pt idx="143">
                  <c:v>132</c:v>
                </c:pt>
                <c:pt idx="144">
                  <c:v>132.92307692307693</c:v>
                </c:pt>
                <c:pt idx="145">
                  <c:v>133.84615384615384</c:v>
                </c:pt>
                <c:pt idx="146">
                  <c:v>134.76923076923077</c:v>
                </c:pt>
                <c:pt idx="147">
                  <c:v>135.69230769230768</c:v>
                </c:pt>
                <c:pt idx="148">
                  <c:v>136.61538461538461</c:v>
                </c:pt>
                <c:pt idx="149">
                  <c:v>137.53846153846155</c:v>
                </c:pt>
                <c:pt idx="150">
                  <c:v>138.46153846153845</c:v>
                </c:pt>
                <c:pt idx="151">
                  <c:v>139.38461538461539</c:v>
                </c:pt>
                <c:pt idx="152">
                  <c:v>140.30769230769232</c:v>
                </c:pt>
                <c:pt idx="153">
                  <c:v>141.23076923076923</c:v>
                </c:pt>
                <c:pt idx="154">
                  <c:v>142.15384615384616</c:v>
                </c:pt>
                <c:pt idx="155">
                  <c:v>143.07692307692307</c:v>
                </c:pt>
                <c:pt idx="156">
                  <c:v>144</c:v>
                </c:pt>
                <c:pt idx="157">
                  <c:v>144.92307692307693</c:v>
                </c:pt>
                <c:pt idx="158">
                  <c:v>145.84615384615384</c:v>
                </c:pt>
                <c:pt idx="159">
                  <c:v>146.76923076923077</c:v>
                </c:pt>
                <c:pt idx="160">
                  <c:v>147.69230769230768</c:v>
                </c:pt>
                <c:pt idx="161">
                  <c:v>148.61538461538461</c:v>
                </c:pt>
                <c:pt idx="162">
                  <c:v>149.53846153846155</c:v>
                </c:pt>
                <c:pt idx="163">
                  <c:v>150.46153846153845</c:v>
                </c:pt>
                <c:pt idx="164">
                  <c:v>151.38461538461539</c:v>
                </c:pt>
                <c:pt idx="165">
                  <c:v>152.30769230769232</c:v>
                </c:pt>
                <c:pt idx="166">
                  <c:v>153.23076923076923</c:v>
                </c:pt>
                <c:pt idx="167">
                  <c:v>154.15384615384616</c:v>
                </c:pt>
                <c:pt idx="168">
                  <c:v>155.07692307692307</c:v>
                </c:pt>
                <c:pt idx="169">
                  <c:v>156</c:v>
                </c:pt>
                <c:pt idx="170">
                  <c:v>156.92307692307693</c:v>
                </c:pt>
                <c:pt idx="171">
                  <c:v>157.84615384615384</c:v>
                </c:pt>
                <c:pt idx="172">
                  <c:v>158.76923076923077</c:v>
                </c:pt>
                <c:pt idx="173">
                  <c:v>159.69230769230768</c:v>
                </c:pt>
                <c:pt idx="174">
                  <c:v>160.61538461538461</c:v>
                </c:pt>
                <c:pt idx="175">
                  <c:v>161.53846153846155</c:v>
                </c:pt>
                <c:pt idx="176">
                  <c:v>162.46153846153845</c:v>
                </c:pt>
                <c:pt idx="177">
                  <c:v>163.38461538461539</c:v>
                </c:pt>
                <c:pt idx="178">
                  <c:v>164.30769230769232</c:v>
                </c:pt>
                <c:pt idx="179">
                  <c:v>165.23076923076923</c:v>
                </c:pt>
                <c:pt idx="180">
                  <c:v>166.15384615384616</c:v>
                </c:pt>
                <c:pt idx="181">
                  <c:v>167.07692307692307</c:v>
                </c:pt>
                <c:pt idx="182">
                  <c:v>168</c:v>
                </c:pt>
                <c:pt idx="183">
                  <c:v>168.92307692307693</c:v>
                </c:pt>
                <c:pt idx="184">
                  <c:v>169.84615384615384</c:v>
                </c:pt>
                <c:pt idx="185">
                  <c:v>170.76923076923077</c:v>
                </c:pt>
                <c:pt idx="186">
                  <c:v>171.69230769230768</c:v>
                </c:pt>
                <c:pt idx="187">
                  <c:v>172.61538461538461</c:v>
                </c:pt>
                <c:pt idx="188">
                  <c:v>173.53846153846155</c:v>
                </c:pt>
                <c:pt idx="189">
                  <c:v>174.46153846153845</c:v>
                </c:pt>
                <c:pt idx="190">
                  <c:v>175.38461538461539</c:v>
                </c:pt>
                <c:pt idx="191">
                  <c:v>176.30769230769232</c:v>
                </c:pt>
                <c:pt idx="192">
                  <c:v>177.23076923076923</c:v>
                </c:pt>
                <c:pt idx="193">
                  <c:v>178.15384615384616</c:v>
                </c:pt>
                <c:pt idx="194">
                  <c:v>179.07692307692307</c:v>
                </c:pt>
                <c:pt idx="195">
                  <c:v>180</c:v>
                </c:pt>
                <c:pt idx="196">
                  <c:v>180.92307692307693</c:v>
                </c:pt>
                <c:pt idx="197">
                  <c:v>181.84615384615384</c:v>
                </c:pt>
                <c:pt idx="198">
                  <c:v>182.76923076923077</c:v>
                </c:pt>
                <c:pt idx="199">
                  <c:v>183.69230769230768</c:v>
                </c:pt>
                <c:pt idx="200">
                  <c:v>184.61538461538461</c:v>
                </c:pt>
                <c:pt idx="201">
                  <c:v>185.53846153846155</c:v>
                </c:pt>
                <c:pt idx="202">
                  <c:v>186.46153846153845</c:v>
                </c:pt>
                <c:pt idx="203">
                  <c:v>187.38461538461539</c:v>
                </c:pt>
                <c:pt idx="204">
                  <c:v>188.30769230769232</c:v>
                </c:pt>
                <c:pt idx="205">
                  <c:v>189.23076923076923</c:v>
                </c:pt>
                <c:pt idx="206">
                  <c:v>190.15384615384616</c:v>
                </c:pt>
                <c:pt idx="207">
                  <c:v>191.07692307692307</c:v>
                </c:pt>
                <c:pt idx="208">
                  <c:v>192</c:v>
                </c:pt>
                <c:pt idx="209">
                  <c:v>192.92307692307693</c:v>
                </c:pt>
                <c:pt idx="210">
                  <c:v>193.84615384615384</c:v>
                </c:pt>
                <c:pt idx="211">
                  <c:v>194.76923076923077</c:v>
                </c:pt>
                <c:pt idx="212">
                  <c:v>195.69230769230768</c:v>
                </c:pt>
                <c:pt idx="213">
                  <c:v>196.61538461538461</c:v>
                </c:pt>
                <c:pt idx="214">
                  <c:v>197.53846153846155</c:v>
                </c:pt>
                <c:pt idx="215">
                  <c:v>198.46153846153845</c:v>
                </c:pt>
                <c:pt idx="216">
                  <c:v>199.38461538461539</c:v>
                </c:pt>
                <c:pt idx="217">
                  <c:v>200.30769230769232</c:v>
                </c:pt>
                <c:pt idx="218">
                  <c:v>201.23076923076923</c:v>
                </c:pt>
                <c:pt idx="219">
                  <c:v>202.15384615384616</c:v>
                </c:pt>
                <c:pt idx="220">
                  <c:v>203.07692307692307</c:v>
                </c:pt>
                <c:pt idx="221">
                  <c:v>204</c:v>
                </c:pt>
                <c:pt idx="222">
                  <c:v>204.92307692307693</c:v>
                </c:pt>
                <c:pt idx="223">
                  <c:v>205.84615384615384</c:v>
                </c:pt>
                <c:pt idx="224">
                  <c:v>206.76923076923077</c:v>
                </c:pt>
                <c:pt idx="225">
                  <c:v>207.69230769230768</c:v>
                </c:pt>
                <c:pt idx="226">
                  <c:v>208.61538461538461</c:v>
                </c:pt>
                <c:pt idx="227">
                  <c:v>209.53846153846155</c:v>
                </c:pt>
                <c:pt idx="228">
                  <c:v>210.46153846153845</c:v>
                </c:pt>
                <c:pt idx="229">
                  <c:v>211.38461538461539</c:v>
                </c:pt>
                <c:pt idx="230">
                  <c:v>212.30769230769232</c:v>
                </c:pt>
                <c:pt idx="231">
                  <c:v>213.23076923076923</c:v>
                </c:pt>
                <c:pt idx="232">
                  <c:v>214.15384615384616</c:v>
                </c:pt>
                <c:pt idx="233">
                  <c:v>215.07692307692307</c:v>
                </c:pt>
                <c:pt idx="234">
                  <c:v>216</c:v>
                </c:pt>
                <c:pt idx="235">
                  <c:v>216.92307692307693</c:v>
                </c:pt>
                <c:pt idx="236">
                  <c:v>217.84615384615384</c:v>
                </c:pt>
                <c:pt idx="237">
                  <c:v>218.76923076923077</c:v>
                </c:pt>
                <c:pt idx="238">
                  <c:v>219.69230769230768</c:v>
                </c:pt>
                <c:pt idx="239">
                  <c:v>220.61538461538461</c:v>
                </c:pt>
                <c:pt idx="240">
                  <c:v>221.53846153846155</c:v>
                </c:pt>
                <c:pt idx="241">
                  <c:v>222.46153846153845</c:v>
                </c:pt>
                <c:pt idx="242">
                  <c:v>223.38461538461539</c:v>
                </c:pt>
                <c:pt idx="243">
                  <c:v>224.30769230769232</c:v>
                </c:pt>
                <c:pt idx="244">
                  <c:v>225.23076923076923</c:v>
                </c:pt>
                <c:pt idx="245">
                  <c:v>226.15384615384616</c:v>
                </c:pt>
                <c:pt idx="246">
                  <c:v>227.07692307692307</c:v>
                </c:pt>
                <c:pt idx="247">
                  <c:v>228</c:v>
                </c:pt>
                <c:pt idx="248">
                  <c:v>228.92307692307693</c:v>
                </c:pt>
                <c:pt idx="249">
                  <c:v>229.84615384615384</c:v>
                </c:pt>
                <c:pt idx="250">
                  <c:v>230.76923076923077</c:v>
                </c:pt>
                <c:pt idx="251">
                  <c:v>231.69230769230768</c:v>
                </c:pt>
                <c:pt idx="252">
                  <c:v>232.61538461538461</c:v>
                </c:pt>
                <c:pt idx="253">
                  <c:v>233.53846153846155</c:v>
                </c:pt>
                <c:pt idx="254">
                  <c:v>234.46153846153845</c:v>
                </c:pt>
                <c:pt idx="255">
                  <c:v>235.38461538461539</c:v>
                </c:pt>
                <c:pt idx="256">
                  <c:v>236.30769230769232</c:v>
                </c:pt>
                <c:pt idx="257">
                  <c:v>237.23076923076923</c:v>
                </c:pt>
                <c:pt idx="258">
                  <c:v>238.15384615384616</c:v>
                </c:pt>
                <c:pt idx="259">
                  <c:v>239.07692307692307</c:v>
                </c:pt>
                <c:pt idx="260">
                  <c:v>240</c:v>
                </c:pt>
                <c:pt idx="261">
                  <c:v>240.92307692307693</c:v>
                </c:pt>
                <c:pt idx="262">
                  <c:v>241.84615384615384</c:v>
                </c:pt>
                <c:pt idx="263">
                  <c:v>242.76923076923077</c:v>
                </c:pt>
                <c:pt idx="264">
                  <c:v>243.69230769230768</c:v>
                </c:pt>
                <c:pt idx="265">
                  <c:v>244.61538461538461</c:v>
                </c:pt>
                <c:pt idx="266">
                  <c:v>245.53846153846155</c:v>
                </c:pt>
                <c:pt idx="267">
                  <c:v>246.46153846153845</c:v>
                </c:pt>
                <c:pt idx="268">
                  <c:v>247.38461538461539</c:v>
                </c:pt>
              </c:numCache>
            </c:numRef>
          </c:xVal>
          <c:yVal>
            <c:numRef>
              <c:f>extrapolation!$AA$15:$AA$283</c:f>
              <c:numCache>
                <c:formatCode>0.0%</c:formatCode>
                <c:ptCount val="269"/>
                <c:pt idx="0" formatCode="0%">
                  <c:v>1</c:v>
                </c:pt>
                <c:pt idx="1">
                  <c:v>0.99523264369591158</c:v>
                </c:pt>
                <c:pt idx="2">
                  <c:v>0.98436818734524389</c:v>
                </c:pt>
                <c:pt idx="3">
                  <c:v>0.97001840978805032</c:v>
                </c:pt>
                <c:pt idx="4">
                  <c:v>0.95349382461792187</c:v>
                </c:pt>
                <c:pt idx="5">
                  <c:v>0.93558455497390514</c:v>
                </c:pt>
                <c:pt idx="6">
                  <c:v>0.91680818967069122</c:v>
                </c:pt>
                <c:pt idx="7">
                  <c:v>0.89752066975803391</c:v>
                </c:pt>
                <c:pt idx="8">
                  <c:v>0.87797456029061516</c:v>
                </c:pt>
                <c:pt idx="9">
                  <c:v>0.85835284958621061</c:v>
                </c:pt>
                <c:pt idx="10">
                  <c:v>0.8387899302153643</c:v>
                </c:pt>
                <c:pt idx="11">
                  <c:v>0.81938528889246898</c:v>
                </c:pt>
                <c:pt idx="12">
                  <c:v>0.80021278778653759</c:v>
                </c:pt>
                <c:pt idx="13">
                  <c:v>0.78132715101108796</c:v>
                </c:pt>
                <c:pt idx="14">
                  <c:v>0.76276861106708505</c:v>
                </c:pt>
                <c:pt idx="15">
                  <c:v>0.74456630577058192</c:v>
                </c:pt>
                <c:pt idx="16">
                  <c:v>0.72674080449729594</c:v>
                </c:pt>
                <c:pt idx="17">
                  <c:v>0.70930601432207674</c:v>
                </c:pt>
                <c:pt idx="18">
                  <c:v>0.69227063616993001</c:v>
                </c:pt>
                <c:pt idx="19">
                  <c:v>0.67563928908980997</c:v>
                </c:pt>
                <c:pt idx="20">
                  <c:v>0.65941338627180413</c:v>
                </c:pt>
                <c:pt idx="21">
                  <c:v>0.64359182303320506</c:v>
                </c:pt>
                <c:pt idx="22">
                  <c:v>0.62817152081222927</c:v>
                </c:pt>
                <c:pt idx="23">
                  <c:v>0.61314785980985376</c:v>
                </c:pt>
                <c:pt idx="24">
                  <c:v>0.59851502476666874</c:v>
                </c:pt>
                <c:pt idx="25">
                  <c:v>0.58426628244598433</c:v>
                </c:pt>
                <c:pt idx="26">
                  <c:v>0.5703942050472941</c:v>
                </c:pt>
                <c:pt idx="27">
                  <c:v>0.55689085054240195</c:v>
                </c:pt>
                <c:pt idx="28">
                  <c:v>0.54374790849836008</c:v>
                </c:pt>
                <c:pt idx="29">
                  <c:v>0.53095681810928097</c:v>
                </c:pt>
                <c:pt idx="30">
                  <c:v>0.5185088637491706</c:v>
                </c:pt>
                <c:pt idx="31">
                  <c:v>0.50639525226989546</c:v>
                </c:pt>
                <c:pt idx="32">
                  <c:v>0.49460717542246435</c:v>
                </c:pt>
                <c:pt idx="33">
                  <c:v>0.48313586011745469</c:v>
                </c:pt>
                <c:pt idx="34">
                  <c:v>0.47197260871844693</c:v>
                </c:pt>
                <c:pt idx="35">
                  <c:v>0.46110883114856904</c:v>
                </c:pt>
                <c:pt idx="36">
                  <c:v>0.45053607026033049</c:v>
                </c:pt>
                <c:pt idx="37">
                  <c:v>0.44024602165461113</c:v>
                </c:pt>
                <c:pt idx="38">
                  <c:v>0.43023054892176193</c:v>
                </c:pt>
                <c:pt idx="39">
                  <c:v>0.4204816951056245</c:v>
                </c:pt>
                <c:pt idx="40">
                  <c:v>0.41099169105135769</c:v>
                </c:pt>
                <c:pt idx="41">
                  <c:v>0.40175296118394399</c:v>
                </c:pt>
                <c:pt idx="42">
                  <c:v>0.39275812717084568</c:v>
                </c:pt>
                <c:pt idx="43">
                  <c:v>0.38400000984564175</c:v>
                </c:pt>
                <c:pt idx="44">
                  <c:v>0.37547162970626569</c:v>
                </c:pt>
                <c:pt idx="45">
                  <c:v>0.36716620624928176</c:v>
                </c:pt>
                <c:pt idx="46">
                  <c:v>0.35907715635838122</c:v>
                </c:pt>
                <c:pt idx="47">
                  <c:v>0.35119809192931661</c:v>
                </c:pt>
                <c:pt idx="48">
                  <c:v>0.34352281688359876</c:v>
                </c:pt>
                <c:pt idx="49">
                  <c:v>0.33604532369828233</c:v>
                </c:pt>
                <c:pt idx="50">
                  <c:v>0.32875978955829877</c:v>
                </c:pt>
                <c:pt idx="51">
                  <c:v>0.32166057222030053</c:v>
                </c:pt>
                <c:pt idx="52">
                  <c:v>0.31474220566228983</c:v>
                </c:pt>
                <c:pt idx="53">
                  <c:v>0.30799939558100309</c:v>
                </c:pt>
                <c:pt idx="54">
                  <c:v>0.30142701478860601</c:v>
                </c:pt>
                <c:pt idx="55">
                  <c:v>0.29502009855155853</c:v>
                </c:pt>
                <c:pt idx="56">
                  <c:v>0.2887738399071047</c:v>
                </c:pt>
                <c:pt idx="57">
                  <c:v>0.28268358498666224</c:v>
                </c:pt>
                <c:pt idx="58">
                  <c:v>0.27674482837011483</c:v>
                </c:pt>
                <c:pt idx="59">
                  <c:v>0.27095320849059945</c:v>
                </c:pt>
                <c:pt idx="60">
                  <c:v>0.26530450310563714</c:v>
                </c:pt>
                <c:pt idx="61">
                  <c:v>0.25979462484730431</c:v>
                </c:pt>
                <c:pt idx="62">
                  <c:v>0.25441961686147629</c:v>
                </c:pt>
                <c:pt idx="63">
                  <c:v>0.24917564854392849</c:v>
                </c:pt>
                <c:pt idx="64">
                  <c:v>0.24405901137920416</c:v>
                </c:pt>
                <c:pt idx="65">
                  <c:v>0.2390661148865485</c:v>
                </c:pt>
                <c:pt idx="66">
                  <c:v>0.23419348267589579</c:v>
                </c:pt>
                <c:pt idx="67">
                  <c:v>0.22943774861576216</c:v>
                </c:pt>
                <c:pt idx="68">
                  <c:v>0.22479565311398275</c:v>
                </c:pt>
                <c:pt idx="69">
                  <c:v>0.22026403951144269</c:v>
                </c:pt>
                <c:pt idx="70">
                  <c:v>0.21583985058831068</c:v>
                </c:pt>
                <c:pt idx="71">
                  <c:v>0.21152012518177776</c:v>
                </c:pt>
                <c:pt idx="72">
                  <c:v>0.20730199491383716</c:v>
                </c:pt>
                <c:pt idx="73">
                  <c:v>0.20318268102733072</c:v>
                </c:pt>
                <c:pt idx="74">
                  <c:v>0.1991594913281759</c:v>
                </c:pt>
                <c:pt idx="75">
                  <c:v>0.19522981723149102</c:v>
                </c:pt>
                <c:pt idx="76">
                  <c:v>0.19139113090915627</c:v>
                </c:pt>
                <c:pt idx="77">
                  <c:v>0.18764098253621897</c:v>
                </c:pt>
                <c:pt idx="78">
                  <c:v>0.18397699763346931</c:v>
                </c:pt>
                <c:pt idx="79">
                  <c:v>0.18039687450344455</c:v>
                </c:pt>
                <c:pt idx="80">
                  <c:v>0.17689838175708628</c:v>
                </c:pt>
                <c:pt idx="81">
                  <c:v>0.17347935592826136</c:v>
                </c:pt>
                <c:pt idx="82">
                  <c:v>0.17013769917336163</c:v>
                </c:pt>
                <c:pt idx="83">
                  <c:v>0.16687137705321309</c:v>
                </c:pt>
                <c:pt idx="84">
                  <c:v>0.1636784163945556</c:v>
                </c:pt>
                <c:pt idx="85">
                  <c:v>0.16055690322839833</c:v>
                </c:pt>
                <c:pt idx="86">
                  <c:v>0.15750498080260011</c:v>
                </c:pt>
                <c:pt idx="87">
                  <c:v>0.15452084766607577</c:v>
                </c:pt>
                <c:pt idx="88">
                  <c:v>0.15160275582209981</c:v>
                </c:pt>
                <c:pt idx="89">
                  <c:v>0.14874900894822407</c:v>
                </c:pt>
                <c:pt idx="90">
                  <c:v>0.14595796068041578</c:v>
                </c:pt>
                <c:pt idx="91">
                  <c:v>0.14322801295906407</c:v>
                </c:pt>
                <c:pt idx="92">
                  <c:v>0.14055761443459613</c:v>
                </c:pt>
                <c:pt idx="93">
                  <c:v>0.13794525893049558</c:v>
                </c:pt>
                <c:pt idx="94">
                  <c:v>0.13538948396160111</c:v>
                </c:pt>
                <c:pt idx="95">
                  <c:v>0.13288886930561894</c:v>
                </c:pt>
                <c:pt idx="96">
                  <c:v>0.13044203562586665</c:v>
                </c:pt>
                <c:pt idx="97">
                  <c:v>0.12804764314331951</c:v>
                </c:pt>
                <c:pt idx="98">
                  <c:v>0.12570439035611169</c:v>
                </c:pt>
                <c:pt idx="99">
                  <c:v>0.12341101280470257</c:v>
                </c:pt>
                <c:pt idx="100">
                  <c:v>0.12116628188098244</c:v>
                </c:pt>
                <c:pt idx="101">
                  <c:v>0.11896900367966068</c:v>
                </c:pt>
                <c:pt idx="102">
                  <c:v>0.11681801789033885</c:v>
                </c:pt>
                <c:pt idx="103">
                  <c:v>0.11471219672872734</c:v>
                </c:pt>
                <c:pt idx="104">
                  <c:v>0.11265044390552537</c:v>
                </c:pt>
                <c:pt idx="105">
                  <c:v>0.11063169363154235</c:v>
                </c:pt>
                <c:pt idx="106">
                  <c:v>0.10865490965768831</c:v>
                </c:pt>
                <c:pt idx="107">
                  <c:v>0.10671908434851862</c:v>
                </c:pt>
                <c:pt idx="108">
                  <c:v>0.10482323778806291</c:v>
                </c:pt>
                <c:pt idx="109">
                  <c:v>0.10296641691672781</c:v>
                </c:pt>
                <c:pt idx="110">
                  <c:v>0.10114769469809437</c:v>
                </c:pt>
                <c:pt idx="111">
                  <c:v>9.9366169314496933E-2</c:v>
                </c:pt>
                <c:pt idx="112">
                  <c:v>9.7620963390292803E-2</c:v>
                </c:pt>
                <c:pt idx="113">
                  <c:v>9.591122324179413E-2</c:v>
                </c:pt>
                <c:pt idx="114">
                  <c:v>9.4236118152859261E-2</c:v>
                </c:pt>
                <c:pt idx="115">
                  <c:v>9.2594839675187446E-2</c:v>
                </c:pt>
                <c:pt idx="116">
                  <c:v>9.09866009523983E-2</c:v>
                </c:pt>
                <c:pt idx="117">
                  <c:v>8.9410636067009941E-2</c:v>
                </c:pt>
                <c:pt idx="118">
                  <c:v>8.7866199409470047E-2</c:v>
                </c:pt>
                <c:pt idx="119">
                  <c:v>8.6352565068419262E-2</c:v>
                </c:pt>
                <c:pt idx="120">
                  <c:v>8.4869026241408685E-2</c:v>
                </c:pt>
                <c:pt idx="121">
                  <c:v>8.3414894665316264E-2</c:v>
                </c:pt>
                <c:pt idx="122">
                  <c:v>8.1989500065739462E-2</c:v>
                </c:pt>
                <c:pt idx="123">
                  <c:v>8.0592189624669519E-2</c:v>
                </c:pt>
                <c:pt idx="124">
                  <c:v>7.9222327465779951E-2</c:v>
                </c:pt>
                <c:pt idx="125">
                  <c:v>7.787929415668926E-2</c:v>
                </c:pt>
                <c:pt idx="126">
                  <c:v>7.656248622758044E-2</c:v>
                </c:pt>
                <c:pt idx="127">
                  <c:v>7.5271315705584319E-2</c:v>
                </c:pt>
                <c:pt idx="128">
                  <c:v>7.4005209664361526E-2</c:v>
                </c:pt>
                <c:pt idx="129">
                  <c:v>7.2763609788332739E-2</c:v>
                </c:pt>
                <c:pt idx="130">
                  <c:v>7.1545971951033183E-2</c:v>
                </c:pt>
                <c:pt idx="131">
                  <c:v>7.0351765807086464E-2</c:v>
                </c:pt>
                <c:pt idx="132">
                  <c:v>6.9180474397311453E-2</c:v>
                </c:pt>
                <c:pt idx="133">
                  <c:v>6.8031593766496812E-2</c:v>
                </c:pt>
                <c:pt idx="134">
                  <c:v>6.6904632593392632E-2</c:v>
                </c:pt>
                <c:pt idx="135">
                  <c:v>6.5799111832488766E-2</c:v>
                </c:pt>
                <c:pt idx="136">
                  <c:v>6.4714564367165384E-2</c:v>
                </c:pt>
                <c:pt idx="137">
                  <c:v>6.3650534673814541E-2</c:v>
                </c:pt>
                <c:pt idx="138">
                  <c:v>6.2606578496551935E-2</c:v>
                </c:pt>
                <c:pt idx="139">
                  <c:v>6.1582262532147158E-2</c:v>
                </c:pt>
                <c:pt idx="140">
                  <c:v>6.0577164124818728E-2</c:v>
                </c:pt>
                <c:pt idx="141">
                  <c:v>5.9590870970550158E-2</c:v>
                </c:pt>
                <c:pt idx="142">
                  <c:v>5.8622980830602578E-2</c:v>
                </c:pt>
                <c:pt idx="143">
                  <c:v>5.7673101253901238E-2</c:v>
                </c:pt>
                <c:pt idx="144">
                  <c:v>5.6740849307997054E-2</c:v>
                </c:pt>
                <c:pt idx="145">
                  <c:v>5.582585131830653E-2</c:v>
                </c:pt>
                <c:pt idx="146">
                  <c:v>5.4927742615349606E-2</c:v>
                </c:pt>
                <c:pt idx="147">
                  <c:v>5.404616728971301E-2</c:v>
                </c:pt>
                <c:pt idx="148">
                  <c:v>5.3180777954477509E-2</c:v>
                </c:pt>
                <c:pt idx="149">
                  <c:v>5.2331235514857521E-2</c:v>
                </c:pt>
                <c:pt idx="150">
                  <c:v>5.1497208944810469E-2</c:v>
                </c:pt>
                <c:pt idx="151">
                  <c:v>5.0678375070382198E-2</c:v>
                </c:pt>
                <c:pt idx="152">
                  <c:v>4.9874418359562744E-2</c:v>
                </c:pt>
                <c:pt idx="153">
                  <c:v>4.9085030718436284E-2</c:v>
                </c:pt>
                <c:pt idx="154">
                  <c:v>4.8309911293416885E-2</c:v>
                </c:pt>
                <c:pt idx="155">
                  <c:v>4.7548766279366994E-2</c:v>
                </c:pt>
                <c:pt idx="156">
                  <c:v>4.6801308733406599E-2</c:v>
                </c:pt>
                <c:pt idx="157">
                  <c:v>4.6067258394223654E-2</c:v>
                </c:pt>
                <c:pt idx="158">
                  <c:v>4.5346341506709131E-2</c:v>
                </c:pt>
                <c:pt idx="159">
                  <c:v>4.4638290651738632E-2</c:v>
                </c:pt>
                <c:pt idx="160">
                  <c:v>4.3942844580936224E-2</c:v>
                </c:pt>
                <c:pt idx="161">
                  <c:v>4.3259748056256875E-2</c:v>
                </c:pt>
                <c:pt idx="162">
                  <c:v>4.2588751694234261E-2</c:v>
                </c:pt>
                <c:pt idx="163">
                  <c:v>4.1929611814739309E-2</c:v>
                </c:pt>
                <c:pt idx="164">
                  <c:v>4.1282090294108897E-2</c:v>
                </c:pt>
                <c:pt idx="165">
                  <c:v>4.0645954422503183E-2</c:v>
                </c:pt>
                <c:pt idx="166">
                  <c:v>4.0020976765354432E-2</c:v>
                </c:pt>
                <c:pt idx="167">
                  <c:v>3.9406935028781565E-2</c:v>
                </c:pt>
                <c:pt idx="168">
                  <c:v>3.8803611928840853E-2</c:v>
                </c:pt>
                <c:pt idx="169">
                  <c:v>3.8210795064492764E-2</c:v>
                </c:pt>
                <c:pt idx="170">
                  <c:v>3.7628276794169135E-2</c:v>
                </c:pt>
                <c:pt idx="171">
                  <c:v>3.7055854115824682E-2</c:v>
                </c:pt>
                <c:pt idx="172">
                  <c:v>3.6493328550367576E-2</c:v>
                </c:pt>
                <c:pt idx="173">
                  <c:v>3.5940506028360186E-2</c:v>
                </c:pt>
                <c:pt idx="174">
                  <c:v>3.5397196779890394E-2</c:v>
                </c:pt>
                <c:pt idx="175">
                  <c:v>3.4863215227513678E-2</c:v>
                </c:pt>
                <c:pt idx="176">
                  <c:v>3.4338379882172809E-2</c:v>
                </c:pt>
                <c:pt idx="177">
                  <c:v>3.3822513242001584E-2</c:v>
                </c:pt>
                <c:pt idx="178">
                  <c:v>3.3315441693925196E-2</c:v>
                </c:pt>
                <c:pt idx="179">
                  <c:v>3.2816995417971784E-2</c:v>
                </c:pt>
                <c:pt idx="180">
                  <c:v>3.2327008294210424E-2</c:v>
                </c:pt>
                <c:pt idx="181">
                  <c:v>3.1845317812239093E-2</c:v>
                </c:pt>
                <c:pt idx="182">
                  <c:v>3.1371764983141093E-2</c:v>
                </c:pt>
                <c:pt idx="183">
                  <c:v>3.090619425383867E-2</c:v>
                </c:pt>
                <c:pt idx="184">
                  <c:v>3.0448453423771449E-2</c:v>
                </c:pt>
                <c:pt idx="185">
                  <c:v>2.9998393563825942E-2</c:v>
                </c:pt>
                <c:pt idx="186">
                  <c:v>2.9555868937453322E-2</c:v>
                </c:pt>
                <c:pt idx="187">
                  <c:v>2.9120736923908375E-2</c:v>
                </c:pt>
                <c:pt idx="188">
                  <c:v>2.8692857943545258E-2</c:v>
                </c:pt>
                <c:pt idx="189">
                  <c:v>2.8272095385110663E-2</c:v>
                </c:pt>
                <c:pt idx="190">
                  <c:v>2.7858315534974865E-2</c:v>
                </c:pt>
                <c:pt idx="191">
                  <c:v>2.7451387508242386E-2</c:v>
                </c:pt>
                <c:pt idx="192">
                  <c:v>2.7051183181688865E-2</c:v>
                </c:pt>
                <c:pt idx="193">
                  <c:v>2.6657577128469168E-2</c:v>
                </c:pt>
                <c:pt idx="194">
                  <c:v>2.6270446554544691E-2</c:v>
                </c:pt>
                <c:pt idx="195">
                  <c:v>2.5889671236781764E-2</c:v>
                </c:pt>
                <c:pt idx="196">
                  <c:v>2.5515133462669315E-2</c:v>
                </c:pt>
                <c:pt idx="197">
                  <c:v>2.5146717971612831E-2</c:v>
                </c:pt>
                <c:pt idx="198">
                  <c:v>2.4784311897755096E-2</c:v>
                </c:pt>
                <c:pt idx="199">
                  <c:v>2.4427804714282964E-2</c:v>
                </c:pt>
                <c:pt idx="200">
                  <c:v>2.4077088179174866E-2</c:v>
                </c:pt>
                <c:pt idx="201">
                  <c:v>2.3732056282349978E-2</c:v>
                </c:pt>
                <c:pt idx="202">
                  <c:v>2.3392605194177518E-2</c:v>
                </c:pt>
                <c:pt idx="203">
                  <c:v>2.3058633215308877E-2</c:v>
                </c:pt>
                <c:pt idx="204">
                  <c:v>2.2730040727792056E-2</c:v>
                </c:pt>
                <c:pt idx="205">
                  <c:v>2.2406730147436216E-2</c:v>
                </c:pt>
                <c:pt idx="206">
                  <c:v>2.2088605877388479E-2</c:v>
                </c:pt>
                <c:pt idx="207">
                  <c:v>2.1775574262888675E-2</c:v>
                </c:pt>
                <c:pt idx="208">
                  <c:v>2.1467543547169843E-2</c:v>
                </c:pt>
                <c:pt idx="209">
                  <c:v>2.1164423828473389E-2</c:v>
                </c:pt>
                <c:pt idx="210">
                  <c:v>2.086612701814472E-2</c:v>
                </c:pt>
                <c:pt idx="211">
                  <c:v>2.0572566799782477E-2</c:v>
                </c:pt>
                <c:pt idx="212">
                  <c:v>2.0283658589411169E-2</c:v>
                </c:pt>
                <c:pt idx="213">
                  <c:v>1.9999319496646573E-2</c:v>
                </c:pt>
                <c:pt idx="214">
                  <c:v>1.9719468286831243E-2</c:v>
                </c:pt>
                <c:pt idx="215">
                  <c:v>1.944402534410794E-2</c:v>
                </c:pt>
                <c:pt idx="216">
                  <c:v>1.91729126354101E-2</c:v>
                </c:pt>
                <c:pt idx="217">
                  <c:v>1.890605367534115E-2</c:v>
                </c:pt>
                <c:pt idx="218">
                  <c:v>1.8643373491918913E-2</c:v>
                </c:pt>
                <c:pt idx="219">
                  <c:v>1.8384798593162888E-2</c:v>
                </c:pt>
                <c:pt idx="220">
                  <c:v>1.8130256934500433E-2</c:v>
                </c:pt>
                <c:pt idx="221">
                  <c:v>1.7879677886969203E-2</c:v>
                </c:pt>
                <c:pt idx="222">
                  <c:v>1.7632992206196518E-2</c:v>
                </c:pt>
                <c:pt idx="223">
                  <c:v>1.739013200213102E-2</c:v>
                </c:pt>
                <c:pt idx="224">
                  <c:v>1.7151030709511073E-2</c:v>
                </c:pt>
                <c:pt idx="225">
                  <c:v>1.6915623059046037E-2</c:v>
                </c:pt>
                <c:pt idx="226">
                  <c:v>1.6683845049293655E-2</c:v>
                </c:pt>
                <c:pt idx="227">
                  <c:v>1.6455633919215007E-2</c:v>
                </c:pt>
                <c:pt idx="228">
                  <c:v>1.6230928121387045E-2</c:v>
                </c:pt>
                <c:pt idx="229">
                  <c:v>1.600966729585851E-2</c:v>
                </c:pt>
                <c:pt idx="230">
                  <c:v>1.5791792244629121E-2</c:v>
                </c:pt>
                <c:pt idx="231">
                  <c:v>1.5577244906737397E-2</c:v>
                </c:pt>
                <c:pt idx="232">
                  <c:v>1.536596833394055E-2</c:v>
                </c:pt>
                <c:pt idx="233">
                  <c:v>1.5157906666971255E-2</c:v>
                </c:pt>
                <c:pt idx="234">
                  <c:v>1.4953005112355533E-2</c:v>
                </c:pt>
                <c:pt idx="235">
                  <c:v>1.4751209919778185E-2</c:v>
                </c:pt>
                <c:pt idx="236">
                  <c:v>1.4552468359980031E-2</c:v>
                </c:pt>
                <c:pt idx="237">
                  <c:v>1.4356728703174837E-2</c:v>
                </c:pt>
                <c:pt idx="238">
                  <c:v>1.4163940197971403E-2</c:v>
                </c:pt>
                <c:pt idx="239">
                  <c:v>1.3974053050787916E-2</c:v>
                </c:pt>
                <c:pt idx="240">
                  <c:v>1.3787018405745921E-2</c:v>
                </c:pt>
                <c:pt idx="241">
                  <c:v>1.3602788325032256E-2</c:v>
                </c:pt>
                <c:pt idx="242">
                  <c:v>1.3421315769715392E-2</c:v>
                </c:pt>
                <c:pt idx="243">
                  <c:v>1.3242554581007093E-2</c:v>
                </c:pt>
                <c:pt idx="244">
                  <c:v>1.3066459461954727E-2</c:v>
                </c:pt>
                <c:pt idx="245">
                  <c:v>1.2892985959556458E-2</c:v>
                </c:pt>
                <c:pt idx="246">
                  <c:v>1.2722090447286671E-2</c:v>
                </c:pt>
                <c:pt idx="247">
                  <c:v>1.255373010802141E-2</c:v>
                </c:pt>
                <c:pt idx="248">
                  <c:v>1.2387862917355164E-2</c:v>
                </c:pt>
                <c:pt idx="249">
                  <c:v>1.2224447627297463E-2</c:v>
                </c:pt>
                <c:pt idx="250">
                  <c:v>1.206344375033952E-2</c:v>
                </c:pt>
                <c:pt idx="251">
                  <c:v>1.1904811543884675E-2</c:v>
                </c:pt>
                <c:pt idx="252">
                  <c:v>1.1748511995029132E-2</c:v>
                </c:pt>
                <c:pt idx="253">
                  <c:v>1.1594506805688187E-2</c:v>
                </c:pt>
                <c:pt idx="254">
                  <c:v>1.1442758378056528E-2</c:v>
                </c:pt>
                <c:pt idx="255">
                  <c:v>1.1293229800396043E-2</c:v>
                </c:pt>
                <c:pt idx="256">
                  <c:v>1.1145884833142938E-2</c:v>
                </c:pt>
                <c:pt idx="257">
                  <c:v>1.1000687895324601E-2</c:v>
                </c:pt>
                <c:pt idx="258">
                  <c:v>1.0857604051280667E-2</c:v>
                </c:pt>
                <c:pt idx="259">
                  <c:v>1.0716598997680293E-2</c:v>
                </c:pt>
                <c:pt idx="260">
                  <c:v>1.0577639050826315E-2</c:v>
                </c:pt>
                <c:pt idx="261">
                  <c:v>1.0440691134243507E-2</c:v>
                </c:pt>
                <c:pt idx="262">
                  <c:v>1.0305722766539294E-2</c:v>
                </c:pt>
                <c:pt idx="263">
                  <c:v>1.0172702049533244E-2</c:v>
                </c:pt>
                <c:pt idx="264">
                  <c:v>1.0041597656649137E-2</c:v>
                </c:pt>
                <c:pt idx="265">
                  <c:v>9.9123788215600417E-3</c:v>
                </c:pt>
                <c:pt idx="266">
                  <c:v>9.7850153270844231E-3</c:v>
                </c:pt>
                <c:pt idx="267">
                  <c:v>9.6594774943237205E-3</c:v>
                </c:pt>
                <c:pt idx="268">
                  <c:v>9.5357361720382894E-3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507-4D23-A160-FFBC66943734}"/>
            </c:ext>
          </c:extLst>
        </c:ser>
        <c:ser>
          <c:idx val="6"/>
          <c:order val="6"/>
          <c:tx>
            <c:v>KM- Placebo</c:v>
          </c:tx>
          <c:spPr>
            <a:ln w="28440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extrapolation!$BR$8:$BR$42</c:f>
              <c:numCache>
                <c:formatCode>0.00</c:formatCode>
                <c:ptCount val="35"/>
                <c:pt idx="0">
                  <c:v>0</c:v>
                </c:pt>
                <c:pt idx="1">
                  <c:v>1.5</c:v>
                </c:pt>
                <c:pt idx="2">
                  <c:v>3</c:v>
                </c:pt>
                <c:pt idx="3">
                  <c:v>4.5</c:v>
                </c:pt>
                <c:pt idx="4">
                  <c:v>6</c:v>
                </c:pt>
                <c:pt idx="5">
                  <c:v>7.5</c:v>
                </c:pt>
                <c:pt idx="6">
                  <c:v>9</c:v>
                </c:pt>
                <c:pt idx="7">
                  <c:v>10.5</c:v>
                </c:pt>
                <c:pt idx="8">
                  <c:v>12</c:v>
                </c:pt>
                <c:pt idx="9">
                  <c:v>13.5</c:v>
                </c:pt>
                <c:pt idx="10">
                  <c:v>15</c:v>
                </c:pt>
                <c:pt idx="11">
                  <c:v>16.5</c:v>
                </c:pt>
                <c:pt idx="12">
                  <c:v>18</c:v>
                </c:pt>
                <c:pt idx="13">
                  <c:v>19.5</c:v>
                </c:pt>
                <c:pt idx="14">
                  <c:v>21</c:v>
                </c:pt>
                <c:pt idx="15">
                  <c:v>22.5</c:v>
                </c:pt>
                <c:pt idx="16">
                  <c:v>24</c:v>
                </c:pt>
                <c:pt idx="17">
                  <c:v>25.5</c:v>
                </c:pt>
                <c:pt idx="18">
                  <c:v>27</c:v>
                </c:pt>
                <c:pt idx="19">
                  <c:v>28.5</c:v>
                </c:pt>
                <c:pt idx="20">
                  <c:v>30</c:v>
                </c:pt>
                <c:pt idx="21">
                  <c:v>31.5</c:v>
                </c:pt>
                <c:pt idx="22">
                  <c:v>33</c:v>
                </c:pt>
                <c:pt idx="23">
                  <c:v>34.5</c:v>
                </c:pt>
                <c:pt idx="24">
                  <c:v>36</c:v>
                </c:pt>
                <c:pt idx="25">
                  <c:v>37.5</c:v>
                </c:pt>
                <c:pt idx="26">
                  <c:v>39</c:v>
                </c:pt>
                <c:pt idx="27">
                  <c:v>40.5</c:v>
                </c:pt>
                <c:pt idx="28">
                  <c:v>42</c:v>
                </c:pt>
                <c:pt idx="29">
                  <c:v>43.5</c:v>
                </c:pt>
                <c:pt idx="30">
                  <c:v>45</c:v>
                </c:pt>
                <c:pt idx="31">
                  <c:v>46.5</c:v>
                </c:pt>
                <c:pt idx="32">
                  <c:v>48</c:v>
                </c:pt>
                <c:pt idx="33">
                  <c:v>49.5</c:v>
                </c:pt>
                <c:pt idx="34">
                  <c:v>51</c:v>
                </c:pt>
              </c:numCache>
            </c:numRef>
          </c:xVal>
          <c:yVal>
            <c:numRef>
              <c:f>extrapolation!$BT$8:$BT$42</c:f>
              <c:numCache>
                <c:formatCode>0.0000</c:formatCode>
                <c:ptCount val="35"/>
                <c:pt idx="0">
                  <c:v>1</c:v>
                </c:pt>
                <c:pt idx="1">
                  <c:v>0.98770000000000002</c:v>
                </c:pt>
                <c:pt idx="2">
                  <c:v>0.96889999999999998</c:v>
                </c:pt>
                <c:pt idx="3">
                  <c:v>0.93110000000000004</c:v>
                </c:pt>
                <c:pt idx="4">
                  <c:v>0.91820000000000002</c:v>
                </c:pt>
                <c:pt idx="5">
                  <c:v>0.86639999999999995</c:v>
                </c:pt>
                <c:pt idx="6">
                  <c:v>0.83379999999999999</c:v>
                </c:pt>
                <c:pt idx="7">
                  <c:v>0.80100000000000005</c:v>
                </c:pt>
                <c:pt idx="8">
                  <c:v>0.77470000000000006</c:v>
                </c:pt>
                <c:pt idx="9">
                  <c:v>0.74809999999999999</c:v>
                </c:pt>
                <c:pt idx="10">
                  <c:v>0.72070000000000001</c:v>
                </c:pt>
                <c:pt idx="11">
                  <c:v>0.69940000000000002</c:v>
                </c:pt>
                <c:pt idx="12">
                  <c:v>0.67749999999999999</c:v>
                </c:pt>
                <c:pt idx="13">
                  <c:v>0.66949999999999998</c:v>
                </c:pt>
                <c:pt idx="14">
                  <c:v>0.65310000000000001</c:v>
                </c:pt>
                <c:pt idx="15">
                  <c:v>0.60129999999999995</c:v>
                </c:pt>
                <c:pt idx="16">
                  <c:v>0.57430000000000003</c:v>
                </c:pt>
                <c:pt idx="17">
                  <c:v>0.52769999999999995</c:v>
                </c:pt>
                <c:pt idx="18">
                  <c:v>0.52769999999999995</c:v>
                </c:pt>
                <c:pt idx="19">
                  <c:v>0.49469999999999997</c:v>
                </c:pt>
                <c:pt idx="20">
                  <c:v>0.47220000000000001</c:v>
                </c:pt>
                <c:pt idx="21">
                  <c:v>0.46039999999999998</c:v>
                </c:pt>
                <c:pt idx="22">
                  <c:v>0.44800000000000001</c:v>
                </c:pt>
                <c:pt idx="23">
                  <c:v>0.44800000000000001</c:v>
                </c:pt>
                <c:pt idx="24">
                  <c:v>0.43480000000000002</c:v>
                </c:pt>
                <c:pt idx="25">
                  <c:v>0.42120000000000002</c:v>
                </c:pt>
                <c:pt idx="26">
                  <c:v>0.42120000000000002</c:v>
                </c:pt>
                <c:pt idx="27">
                  <c:v>0.39779999999999999</c:v>
                </c:pt>
                <c:pt idx="28">
                  <c:v>0.36720000000000003</c:v>
                </c:pt>
                <c:pt idx="29">
                  <c:v>0.36720000000000003</c:v>
                </c:pt>
                <c:pt idx="30">
                  <c:v>0.30599999999999999</c:v>
                </c:pt>
                <c:pt idx="31">
                  <c:v>0.30599999999999999</c:v>
                </c:pt>
                <c:pt idx="32">
                  <c:v>0.30599999999999999</c:v>
                </c:pt>
                <c:pt idx="33">
                  <c:v>0.30599999999999999</c:v>
                </c:pt>
                <c:pt idx="34">
                  <c:v>0.153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507-4D23-A160-FFBC66943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733322"/>
        <c:axId val="29234127"/>
      </c:scatterChart>
      <c:valAx>
        <c:axId val="3173332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nl-NL" sz="12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nl-NL" sz="1200" b="1" strike="noStrike" spc="-1">
                    <a:solidFill>
                      <a:srgbClr val="000000"/>
                    </a:solidFill>
                    <a:latin typeface="Calibri"/>
                  </a:rPr>
                  <a:t>Time (months)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Calibri"/>
              </a:defRPr>
            </a:pPr>
            <a:endParaRPr lang="nl-NL"/>
          </a:p>
        </c:txPr>
        <c:crossAx val="29234127"/>
        <c:crosses val="autoZero"/>
        <c:crossBetween val="midCat"/>
      </c:valAx>
      <c:valAx>
        <c:axId val="29234127"/>
        <c:scaling>
          <c:orientation val="minMax"/>
          <c:max val="1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nl-NL" sz="12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nl-NL" sz="1200" b="1" strike="noStrike" spc="-1">
                    <a:solidFill>
                      <a:srgbClr val="000000"/>
                    </a:solidFill>
                    <a:latin typeface="Calibri"/>
                  </a:rPr>
                  <a:t>Survival probability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0%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Calibri"/>
              </a:defRPr>
            </a:pPr>
            <a:endParaRPr lang="nl-NL"/>
          </a:p>
        </c:txPr>
        <c:crossAx val="31733322"/>
        <c:crosses val="autoZero"/>
        <c:crossBetween val="midCat"/>
      </c:valAx>
    </c:plotArea>
    <c:legend>
      <c:legendPos val="b"/>
      <c:overlay val="1"/>
      <c:spPr>
        <a:noFill/>
        <a:ln w="0">
          <a:noFill/>
          <a:prstDash val="solid"/>
        </a:ln>
      </c:spPr>
      <c:txPr>
        <a:bodyPr/>
        <a:lstStyle/>
        <a:p>
          <a:pPr>
            <a:defRPr sz="1200" b="0" strike="noStrike" spc="-1">
              <a:solidFill>
                <a:srgbClr val="000000"/>
              </a:solidFill>
              <a:latin typeface="Calibri"/>
            </a:defRPr>
          </a:pPr>
          <a:endParaRPr lang="nl-NL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en-US"/>
  <c:roundedCorners val="1"/>
  <c:style val="2"/>
  <c:chart>
    <c:title>
      <c:tx>
        <c:rich>
          <a:bodyPr rot="0"/>
          <a:lstStyle/>
          <a:p>
            <a:pPr>
              <a:defRPr lang="en-GB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GB" sz="1800" b="1" strike="noStrike" spc="-1">
                <a:solidFill>
                  <a:srgbClr val="000000"/>
                </a:solidFill>
                <a:latin typeface="Calibri"/>
              </a:rPr>
              <a:t>CE plane Inavolisib vs comparator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6.5764093605561E-2"/>
          <c:y val="0.100802716887928"/>
          <c:w val="0.90442915893292597"/>
          <c:h val="0.78697128743439304"/>
        </c:manualLayout>
      </c:layout>
      <c:scatterChart>
        <c:scatterStyle val="lineMarker"/>
        <c:varyColors val="0"/>
        <c:ser>
          <c:idx val="0"/>
          <c:order val="0"/>
          <c:tx>
            <c:v>PSA</c:v>
          </c:tx>
          <c:spPr>
            <a:ln w="28575">
              <a:noFill/>
            </a:ln>
          </c:spPr>
          <c:marker>
            <c:spPr>
              <a:ln>
                <a:prstDash val="solid"/>
              </a:ln>
            </c:spPr>
          </c:marker>
          <c:xVal>
            <c:numRef>
              <c:f>'CE-plane'!$A$2:$A$1001</c:f>
              <c:numCache>
                <c:formatCode>0.00</c:formatCode>
                <c:ptCount val="1000"/>
                <c:pt idx="0">
                  <c:v>0.31909805528831958</c:v>
                </c:pt>
                <c:pt idx="1">
                  <c:v>0.13947341884160114</c:v>
                </c:pt>
                <c:pt idx="2">
                  <c:v>-8.5285814768488954E-2</c:v>
                </c:pt>
                <c:pt idx="3">
                  <c:v>-4.0815347058308138E-2</c:v>
                </c:pt>
                <c:pt idx="4">
                  <c:v>0.30533355592639388</c:v>
                </c:pt>
                <c:pt idx="5">
                  <c:v>0.68564029314004049</c:v>
                </c:pt>
                <c:pt idx="6">
                  <c:v>0.16155685781735141</c:v>
                </c:pt>
                <c:pt idx="7">
                  <c:v>0.2107052932705078</c:v>
                </c:pt>
                <c:pt idx="8">
                  <c:v>0.62875456507794092</c:v>
                </c:pt>
                <c:pt idx="9">
                  <c:v>0.27560088369615765</c:v>
                </c:pt>
                <c:pt idx="10">
                  <c:v>0.29176602684958142</c:v>
                </c:pt>
                <c:pt idx="11">
                  <c:v>0.25721457733937836</c:v>
                </c:pt>
                <c:pt idx="12">
                  <c:v>0.41845569620978473</c:v>
                </c:pt>
                <c:pt idx="13">
                  <c:v>0.39111311611944277</c:v>
                </c:pt>
                <c:pt idx="14">
                  <c:v>0.57755870289623346</c:v>
                </c:pt>
                <c:pt idx="15">
                  <c:v>0.41085471464140655</c:v>
                </c:pt>
                <c:pt idx="16">
                  <c:v>0.50767739629589359</c:v>
                </c:pt>
                <c:pt idx="17">
                  <c:v>5.5248917846111301E-2</c:v>
                </c:pt>
                <c:pt idx="18">
                  <c:v>0.39703407829865855</c:v>
                </c:pt>
                <c:pt idx="19">
                  <c:v>0.79049218569406277</c:v>
                </c:pt>
                <c:pt idx="20">
                  <c:v>0.72277057921450405</c:v>
                </c:pt>
                <c:pt idx="21">
                  <c:v>0.55514808994976894</c:v>
                </c:pt>
                <c:pt idx="22">
                  <c:v>0.35241953288566608</c:v>
                </c:pt>
                <c:pt idx="23">
                  <c:v>-6.9768126201568137E-3</c:v>
                </c:pt>
                <c:pt idx="24">
                  <c:v>0.34521199219736998</c:v>
                </c:pt>
                <c:pt idx="25">
                  <c:v>0.46903098925611886</c:v>
                </c:pt>
                <c:pt idx="26">
                  <c:v>0.43522554892950138</c:v>
                </c:pt>
                <c:pt idx="27">
                  <c:v>0.18535654476946117</c:v>
                </c:pt>
                <c:pt idx="28">
                  <c:v>0.19565735132671147</c:v>
                </c:pt>
                <c:pt idx="29">
                  <c:v>0.55215984777190852</c:v>
                </c:pt>
                <c:pt idx="30">
                  <c:v>0.47450037511756227</c:v>
                </c:pt>
                <c:pt idx="31">
                  <c:v>0.74912752807293126</c:v>
                </c:pt>
                <c:pt idx="32">
                  <c:v>0.14113114397388316</c:v>
                </c:pt>
                <c:pt idx="33">
                  <c:v>0.49404638386898192</c:v>
                </c:pt>
                <c:pt idx="34">
                  <c:v>0.51066894960265352</c:v>
                </c:pt>
                <c:pt idx="35">
                  <c:v>1.3507300108833498E-2</c:v>
                </c:pt>
                <c:pt idx="36">
                  <c:v>0.14783456556950236</c:v>
                </c:pt>
                <c:pt idx="37">
                  <c:v>0.34606203637141242</c:v>
                </c:pt>
                <c:pt idx="38">
                  <c:v>0.65577588145960197</c:v>
                </c:pt>
                <c:pt idx="39">
                  <c:v>2.4925245906667115E-2</c:v>
                </c:pt>
                <c:pt idx="40">
                  <c:v>0.27896739088137057</c:v>
                </c:pt>
                <c:pt idx="41">
                  <c:v>0.19149650426329368</c:v>
                </c:pt>
                <c:pt idx="42">
                  <c:v>0.47813854486370122</c:v>
                </c:pt>
                <c:pt idx="43">
                  <c:v>0.31055206369896382</c:v>
                </c:pt>
                <c:pt idx="44">
                  <c:v>0.19317482374998329</c:v>
                </c:pt>
                <c:pt idx="45">
                  <c:v>0.21171480255127717</c:v>
                </c:pt>
                <c:pt idx="46">
                  <c:v>4.9426256397386403E-2</c:v>
                </c:pt>
                <c:pt idx="47">
                  <c:v>0.31002607160723472</c:v>
                </c:pt>
                <c:pt idx="48">
                  <c:v>0.19956519630031178</c:v>
                </c:pt>
                <c:pt idx="49">
                  <c:v>0.41687167622066967</c:v>
                </c:pt>
                <c:pt idx="50">
                  <c:v>0.5111121067708948</c:v>
                </c:pt>
                <c:pt idx="51">
                  <c:v>0.42614978160732386</c:v>
                </c:pt>
                <c:pt idx="52">
                  <c:v>0.48306972651811897</c:v>
                </c:pt>
                <c:pt idx="53">
                  <c:v>0.56483121514192947</c:v>
                </c:pt>
                <c:pt idx="54">
                  <c:v>-0.10813633718489868</c:v>
                </c:pt>
                <c:pt idx="55">
                  <c:v>0.18757018466667885</c:v>
                </c:pt>
                <c:pt idx="56">
                  <c:v>0.82879836751749636</c:v>
                </c:pt>
                <c:pt idx="57">
                  <c:v>0.14451232727531105</c:v>
                </c:pt>
                <c:pt idx="58">
                  <c:v>0.29897707847291066</c:v>
                </c:pt>
                <c:pt idx="59">
                  <c:v>0.56946373788138827</c:v>
                </c:pt>
                <c:pt idx="60">
                  <c:v>0.31204240019385132</c:v>
                </c:pt>
                <c:pt idx="61">
                  <c:v>0.60228927914572239</c:v>
                </c:pt>
                <c:pt idx="62">
                  <c:v>0.69315217682809971</c:v>
                </c:pt>
                <c:pt idx="63">
                  <c:v>0.3476881132945433</c:v>
                </c:pt>
                <c:pt idx="64">
                  <c:v>0.66299497211134084</c:v>
                </c:pt>
                <c:pt idx="65">
                  <c:v>0.40537524832369964</c:v>
                </c:pt>
                <c:pt idx="66">
                  <c:v>5.7564441536146038E-2</c:v>
                </c:pt>
                <c:pt idx="67">
                  <c:v>0.68920125151372735</c:v>
                </c:pt>
                <c:pt idx="68">
                  <c:v>0.33136294753440954</c:v>
                </c:pt>
                <c:pt idx="69">
                  <c:v>0.20817555498386309</c:v>
                </c:pt>
                <c:pt idx="70">
                  <c:v>0.28501051321582382</c:v>
                </c:pt>
                <c:pt idx="71">
                  <c:v>5.6062753925933961E-2</c:v>
                </c:pt>
                <c:pt idx="72">
                  <c:v>0.60289534428480973</c:v>
                </c:pt>
                <c:pt idx="73">
                  <c:v>0.61205964396174251</c:v>
                </c:pt>
                <c:pt idx="74">
                  <c:v>0.57477802781264975</c:v>
                </c:pt>
                <c:pt idx="75">
                  <c:v>0.34854126227529747</c:v>
                </c:pt>
                <c:pt idx="76">
                  <c:v>0.29151663501913294</c:v>
                </c:pt>
                <c:pt idx="77">
                  <c:v>0.52303753475644754</c:v>
                </c:pt>
                <c:pt idx="78">
                  <c:v>0.5186124216210457</c:v>
                </c:pt>
                <c:pt idx="79">
                  <c:v>0.51039404137353861</c:v>
                </c:pt>
                <c:pt idx="80">
                  <c:v>0.64478864619836873</c:v>
                </c:pt>
                <c:pt idx="81">
                  <c:v>0.10505404087916004</c:v>
                </c:pt>
                <c:pt idx="82">
                  <c:v>0.55079116670760886</c:v>
                </c:pt>
                <c:pt idx="83">
                  <c:v>0.30086896218804693</c:v>
                </c:pt>
                <c:pt idx="84">
                  <c:v>0.47658983514860465</c:v>
                </c:pt>
                <c:pt idx="85">
                  <c:v>0.42946323703271228</c:v>
                </c:pt>
                <c:pt idx="86">
                  <c:v>0.68055652120876253</c:v>
                </c:pt>
                <c:pt idx="87">
                  <c:v>0.13095162624860324</c:v>
                </c:pt>
                <c:pt idx="88">
                  <c:v>0.12260744118629363</c:v>
                </c:pt>
                <c:pt idx="89">
                  <c:v>0.61978105069150002</c:v>
                </c:pt>
                <c:pt idx="90">
                  <c:v>0.15665627325187259</c:v>
                </c:pt>
                <c:pt idx="91">
                  <c:v>0.57665401990650089</c:v>
                </c:pt>
                <c:pt idx="92">
                  <c:v>0.28801578724217647</c:v>
                </c:pt>
                <c:pt idx="93">
                  <c:v>0.37565014021157306</c:v>
                </c:pt>
                <c:pt idx="94">
                  <c:v>0.16602252222360425</c:v>
                </c:pt>
                <c:pt idx="95">
                  <c:v>0.63930157837550983</c:v>
                </c:pt>
                <c:pt idx="96">
                  <c:v>0.68290357225941056</c:v>
                </c:pt>
                <c:pt idx="97">
                  <c:v>0.22364257420957934</c:v>
                </c:pt>
                <c:pt idx="98">
                  <c:v>0.11253022714520666</c:v>
                </c:pt>
                <c:pt idx="99">
                  <c:v>7.7510679530233606E-2</c:v>
                </c:pt>
                <c:pt idx="100">
                  <c:v>0.32822872669916547</c:v>
                </c:pt>
                <c:pt idx="101">
                  <c:v>0.16927595990595456</c:v>
                </c:pt>
                <c:pt idx="102">
                  <c:v>0.18030389640500655</c:v>
                </c:pt>
                <c:pt idx="103">
                  <c:v>0.2734136695831646</c:v>
                </c:pt>
                <c:pt idx="104">
                  <c:v>0.41502303933491236</c:v>
                </c:pt>
                <c:pt idx="105">
                  <c:v>0.38309474659789133</c:v>
                </c:pt>
                <c:pt idx="106">
                  <c:v>0.29020606212039435</c:v>
                </c:pt>
                <c:pt idx="107">
                  <c:v>-0.18574561079903784</c:v>
                </c:pt>
                <c:pt idx="108">
                  <c:v>0.25251988137894443</c:v>
                </c:pt>
                <c:pt idx="109">
                  <c:v>0.52064987775028504</c:v>
                </c:pt>
                <c:pt idx="110">
                  <c:v>-6.825336412194094E-2</c:v>
                </c:pt>
                <c:pt idx="111">
                  <c:v>0.18329845834051861</c:v>
                </c:pt>
                <c:pt idx="112">
                  <c:v>0.38887641415980578</c:v>
                </c:pt>
                <c:pt idx="113">
                  <c:v>0.17019992282330687</c:v>
                </c:pt>
                <c:pt idx="114">
                  <c:v>0.3692905722793971</c:v>
                </c:pt>
                <c:pt idx="115">
                  <c:v>0.56359392739703207</c:v>
                </c:pt>
                <c:pt idx="116">
                  <c:v>0.55813191807986184</c:v>
                </c:pt>
                <c:pt idx="117">
                  <c:v>0.39428573003087664</c:v>
                </c:pt>
                <c:pt idx="118">
                  <c:v>0.60196299596617919</c:v>
                </c:pt>
                <c:pt idx="119">
                  <c:v>0.46846841894340496</c:v>
                </c:pt>
                <c:pt idx="120">
                  <c:v>0.2923440782200597</c:v>
                </c:pt>
                <c:pt idx="121">
                  <c:v>0.6954188447706029</c:v>
                </c:pt>
                <c:pt idx="122">
                  <c:v>0.62274886173073929</c:v>
                </c:pt>
                <c:pt idx="123">
                  <c:v>0.49922937304988801</c:v>
                </c:pt>
                <c:pt idx="124">
                  <c:v>0.39641928818447747</c:v>
                </c:pt>
                <c:pt idx="125">
                  <c:v>0.28982863807140724</c:v>
                </c:pt>
                <c:pt idx="126">
                  <c:v>0.21026689415984956</c:v>
                </c:pt>
                <c:pt idx="127">
                  <c:v>0.56715600224811391</c:v>
                </c:pt>
                <c:pt idx="128">
                  <c:v>0.1746993025164838</c:v>
                </c:pt>
                <c:pt idx="129">
                  <c:v>0.30831578451906339</c:v>
                </c:pt>
                <c:pt idx="130">
                  <c:v>0.67576534709813396</c:v>
                </c:pt>
                <c:pt idx="131">
                  <c:v>0.34896605793022717</c:v>
                </c:pt>
                <c:pt idx="132">
                  <c:v>0.38067576570250372</c:v>
                </c:pt>
                <c:pt idx="133">
                  <c:v>0.75565946509734339</c:v>
                </c:pt>
                <c:pt idx="134">
                  <c:v>0.5096244016146656</c:v>
                </c:pt>
                <c:pt idx="135">
                  <c:v>0.38739547734561963</c:v>
                </c:pt>
                <c:pt idx="136">
                  <c:v>0.46562082776432456</c:v>
                </c:pt>
                <c:pt idx="137">
                  <c:v>0.32703013465703012</c:v>
                </c:pt>
                <c:pt idx="138">
                  <c:v>-2.748271129460278E-2</c:v>
                </c:pt>
                <c:pt idx="139">
                  <c:v>0.25014898653350293</c:v>
                </c:pt>
                <c:pt idx="140">
                  <c:v>0.81279869643306402</c:v>
                </c:pt>
                <c:pt idx="141">
                  <c:v>3.7494461339536489E-2</c:v>
                </c:pt>
                <c:pt idx="142">
                  <c:v>-0.11748561179414807</c:v>
                </c:pt>
                <c:pt idx="143">
                  <c:v>0.61563380707913584</c:v>
                </c:pt>
                <c:pt idx="144">
                  <c:v>0.52927290922636905</c:v>
                </c:pt>
                <c:pt idx="145">
                  <c:v>0.49511362369619327</c:v>
                </c:pt>
                <c:pt idx="146">
                  <c:v>0.80437440971635055</c:v>
                </c:pt>
                <c:pt idx="147">
                  <c:v>0.32835204305220267</c:v>
                </c:pt>
                <c:pt idx="148">
                  <c:v>7.5907789911950019E-2</c:v>
                </c:pt>
                <c:pt idx="149">
                  <c:v>0.68763068166825869</c:v>
                </c:pt>
                <c:pt idx="150">
                  <c:v>0.43400982187069426</c:v>
                </c:pt>
                <c:pt idx="151">
                  <c:v>0.14775915847729948</c:v>
                </c:pt>
                <c:pt idx="152">
                  <c:v>0.40692627901802769</c:v>
                </c:pt>
                <c:pt idx="153">
                  <c:v>0.35192898127646366</c:v>
                </c:pt>
                <c:pt idx="154">
                  <c:v>0.35379111716415457</c:v>
                </c:pt>
                <c:pt idx="155">
                  <c:v>4.2655551044270545E-2</c:v>
                </c:pt>
                <c:pt idx="156">
                  <c:v>8.9740823031561057E-2</c:v>
                </c:pt>
                <c:pt idx="157">
                  <c:v>0.5237006072769228</c:v>
                </c:pt>
                <c:pt idx="158">
                  <c:v>0.6185739756705968</c:v>
                </c:pt>
                <c:pt idx="159">
                  <c:v>0.55945707532860123</c:v>
                </c:pt>
                <c:pt idx="160">
                  <c:v>0.65477570244485284</c:v>
                </c:pt>
                <c:pt idx="161">
                  <c:v>0.78261610167601825</c:v>
                </c:pt>
                <c:pt idx="162">
                  <c:v>0.62252858834515212</c:v>
                </c:pt>
                <c:pt idx="163">
                  <c:v>-0.24976893972511993</c:v>
                </c:pt>
                <c:pt idx="164">
                  <c:v>0.76268037306713388</c:v>
                </c:pt>
                <c:pt idx="165">
                  <c:v>0.585617176044813</c:v>
                </c:pt>
                <c:pt idx="166">
                  <c:v>0.21233499563518965</c:v>
                </c:pt>
                <c:pt idx="167">
                  <c:v>0.38531942669389463</c:v>
                </c:pt>
                <c:pt idx="168">
                  <c:v>0.71861780646354934</c:v>
                </c:pt>
                <c:pt idx="169">
                  <c:v>0.76900957412496584</c:v>
                </c:pt>
                <c:pt idx="170">
                  <c:v>0.72821866446076511</c:v>
                </c:pt>
                <c:pt idx="171">
                  <c:v>0.6625090911407554</c:v>
                </c:pt>
                <c:pt idx="172">
                  <c:v>0.36361628494046028</c:v>
                </c:pt>
                <c:pt idx="173">
                  <c:v>0.17568709066201071</c:v>
                </c:pt>
                <c:pt idx="174">
                  <c:v>0.39483379859919054</c:v>
                </c:pt>
                <c:pt idx="175">
                  <c:v>0.55819162125203081</c:v>
                </c:pt>
                <c:pt idx="176">
                  <c:v>3.8360146764750969E-2</c:v>
                </c:pt>
                <c:pt idx="177">
                  <c:v>0.80608425940431783</c:v>
                </c:pt>
                <c:pt idx="178">
                  <c:v>0.41965435930893813</c:v>
                </c:pt>
                <c:pt idx="179">
                  <c:v>0.21997283641242804</c:v>
                </c:pt>
                <c:pt idx="180">
                  <c:v>0.2919418936171807</c:v>
                </c:pt>
                <c:pt idx="181">
                  <c:v>7.2043340251282117E-4</c:v>
                </c:pt>
                <c:pt idx="182">
                  <c:v>0.67901902926295543</c:v>
                </c:pt>
                <c:pt idx="183">
                  <c:v>0.29945106179965997</c:v>
                </c:pt>
                <c:pt idx="184">
                  <c:v>1.0752119244006439</c:v>
                </c:pt>
                <c:pt idx="185">
                  <c:v>0.41208932807438003</c:v>
                </c:pt>
                <c:pt idx="186">
                  <c:v>0.6122285681937385</c:v>
                </c:pt>
                <c:pt idx="187">
                  <c:v>0.16435509833013962</c:v>
                </c:pt>
                <c:pt idx="188">
                  <c:v>0.21851320594482404</c:v>
                </c:pt>
                <c:pt idx="189">
                  <c:v>0.36086636296443642</c:v>
                </c:pt>
                <c:pt idx="190">
                  <c:v>0.60727338192269187</c:v>
                </c:pt>
                <c:pt idx="191">
                  <c:v>0.54585727019807884</c:v>
                </c:pt>
                <c:pt idx="192">
                  <c:v>0.61690486225290009</c:v>
                </c:pt>
                <c:pt idx="193">
                  <c:v>0.35673909961407535</c:v>
                </c:pt>
                <c:pt idx="194">
                  <c:v>0.91091991424468688</c:v>
                </c:pt>
                <c:pt idx="195">
                  <c:v>3.5430373312154373E-2</c:v>
                </c:pt>
                <c:pt idx="196">
                  <c:v>0.38772214047140396</c:v>
                </c:pt>
                <c:pt idx="197">
                  <c:v>0.21799010609013925</c:v>
                </c:pt>
                <c:pt idx="198">
                  <c:v>0.67836180379074151</c:v>
                </c:pt>
                <c:pt idx="199">
                  <c:v>0.74685670935830206</c:v>
                </c:pt>
                <c:pt idx="200">
                  <c:v>1.6176457214882145E-2</c:v>
                </c:pt>
                <c:pt idx="201">
                  <c:v>0.55027450575912207</c:v>
                </c:pt>
                <c:pt idx="202">
                  <c:v>0.49142382026551035</c:v>
                </c:pt>
                <c:pt idx="203">
                  <c:v>0.16512204293217536</c:v>
                </c:pt>
                <c:pt idx="204">
                  <c:v>0.69776809105631843</c:v>
                </c:pt>
                <c:pt idx="205">
                  <c:v>0.1337308731165292</c:v>
                </c:pt>
                <c:pt idx="206">
                  <c:v>1.2738427477112773</c:v>
                </c:pt>
                <c:pt idx="207">
                  <c:v>0.37575487917718386</c:v>
                </c:pt>
                <c:pt idx="208">
                  <c:v>0.49501223484733003</c:v>
                </c:pt>
                <c:pt idx="209">
                  <c:v>0.49851405079422584</c:v>
                </c:pt>
                <c:pt idx="210">
                  <c:v>0.40311927607167064</c:v>
                </c:pt>
                <c:pt idx="211">
                  <c:v>0.45544418269417997</c:v>
                </c:pt>
                <c:pt idx="212">
                  <c:v>0.38581312802135104</c:v>
                </c:pt>
                <c:pt idx="213">
                  <c:v>0.66971380228471578</c:v>
                </c:pt>
                <c:pt idx="214">
                  <c:v>1.1123747368125958</c:v>
                </c:pt>
                <c:pt idx="215">
                  <c:v>0.63311066689434803</c:v>
                </c:pt>
                <c:pt idx="216">
                  <c:v>0.10771028906716484</c:v>
                </c:pt>
                <c:pt idx="217">
                  <c:v>0.34632915932547759</c:v>
                </c:pt>
                <c:pt idx="218">
                  <c:v>0.25972702951012305</c:v>
                </c:pt>
                <c:pt idx="219">
                  <c:v>0.63097014491097658</c:v>
                </c:pt>
                <c:pt idx="220">
                  <c:v>0.68152222372723892</c:v>
                </c:pt>
                <c:pt idx="221">
                  <c:v>0.65961785397912376</c:v>
                </c:pt>
                <c:pt idx="222">
                  <c:v>0.54929078783050889</c:v>
                </c:pt>
                <c:pt idx="223">
                  <c:v>0.75482895974220421</c:v>
                </c:pt>
                <c:pt idx="224">
                  <c:v>0.65645843923580283</c:v>
                </c:pt>
                <c:pt idx="225">
                  <c:v>0.94959520440384404</c:v>
                </c:pt>
                <c:pt idx="226">
                  <c:v>0.20840249755281404</c:v>
                </c:pt>
                <c:pt idx="227">
                  <c:v>1.1669952040309184E-2</c:v>
                </c:pt>
                <c:pt idx="228">
                  <c:v>0.49095066244129937</c:v>
                </c:pt>
                <c:pt idx="229">
                  <c:v>-5.337396283124507E-2</c:v>
                </c:pt>
                <c:pt idx="230">
                  <c:v>0.7359324522347066</c:v>
                </c:pt>
                <c:pt idx="231">
                  <c:v>0.36371532066014778</c:v>
                </c:pt>
                <c:pt idx="232">
                  <c:v>0.4319075632328957</c:v>
                </c:pt>
                <c:pt idx="233">
                  <c:v>0.62053121146890078</c:v>
                </c:pt>
                <c:pt idx="234">
                  <c:v>0.4119074289232163</c:v>
                </c:pt>
                <c:pt idx="235">
                  <c:v>0.50272756858695811</c:v>
                </c:pt>
                <c:pt idx="236">
                  <c:v>0.92260207828624141</c:v>
                </c:pt>
                <c:pt idx="237">
                  <c:v>0.42314635446204818</c:v>
                </c:pt>
                <c:pt idx="238">
                  <c:v>0.49528713214078213</c:v>
                </c:pt>
                <c:pt idx="239">
                  <c:v>0.30913322403991561</c:v>
                </c:pt>
                <c:pt idx="240">
                  <c:v>0.85959917468081581</c:v>
                </c:pt>
                <c:pt idx="241">
                  <c:v>0.96938211418698739</c:v>
                </c:pt>
                <c:pt idx="242">
                  <c:v>0.44774556316252734</c:v>
                </c:pt>
                <c:pt idx="243">
                  <c:v>0.21964389948881902</c:v>
                </c:pt>
                <c:pt idx="244">
                  <c:v>0.40023126216086569</c:v>
                </c:pt>
                <c:pt idx="245">
                  <c:v>0.71165341313590824</c:v>
                </c:pt>
                <c:pt idx="246">
                  <c:v>0.5485251830205673</c:v>
                </c:pt>
                <c:pt idx="247">
                  <c:v>-0.15760821279916204</c:v>
                </c:pt>
                <c:pt idx="248">
                  <c:v>0.13160972835240514</c:v>
                </c:pt>
                <c:pt idx="249">
                  <c:v>0.32319195162620762</c:v>
                </c:pt>
                <c:pt idx="250">
                  <c:v>-2.8862137624782402E-2</c:v>
                </c:pt>
                <c:pt idx="251">
                  <c:v>0.19752285586133667</c:v>
                </c:pt>
                <c:pt idx="252">
                  <c:v>0.48690996520445262</c:v>
                </c:pt>
                <c:pt idx="253">
                  <c:v>0.312234584253412</c:v>
                </c:pt>
                <c:pt idx="254">
                  <c:v>0.41017088140246827</c:v>
                </c:pt>
                <c:pt idx="255">
                  <c:v>0.83745438883774037</c:v>
                </c:pt>
                <c:pt idx="256">
                  <c:v>0.77201341231998932</c:v>
                </c:pt>
                <c:pt idx="257">
                  <c:v>0.6478319618334798</c:v>
                </c:pt>
                <c:pt idx="258">
                  <c:v>0.49621043560686262</c:v>
                </c:pt>
                <c:pt idx="259">
                  <c:v>0.65004475369283021</c:v>
                </c:pt>
                <c:pt idx="260">
                  <c:v>0.18949416710857259</c:v>
                </c:pt>
                <c:pt idx="261">
                  <c:v>0.13351300155997547</c:v>
                </c:pt>
                <c:pt idx="262">
                  <c:v>0.40266374140850303</c:v>
                </c:pt>
                <c:pt idx="263">
                  <c:v>3.2543923800077756E-2</c:v>
                </c:pt>
                <c:pt idx="264">
                  <c:v>0.25437421738640076</c:v>
                </c:pt>
                <c:pt idx="265">
                  <c:v>8.5382745238133051E-2</c:v>
                </c:pt>
                <c:pt idx="266">
                  <c:v>0.64158400828045092</c:v>
                </c:pt>
                <c:pt idx="267">
                  <c:v>0.50580538674070241</c:v>
                </c:pt>
                <c:pt idx="268">
                  <c:v>0.15358853965083386</c:v>
                </c:pt>
                <c:pt idx="269">
                  <c:v>0.30376994781371036</c:v>
                </c:pt>
                <c:pt idx="270">
                  <c:v>0.57103801416149613</c:v>
                </c:pt>
                <c:pt idx="271">
                  <c:v>0.55056735438460747</c:v>
                </c:pt>
                <c:pt idx="272">
                  <c:v>0.39420974026552402</c:v>
                </c:pt>
                <c:pt idx="273">
                  <c:v>2.011330252168797E-2</c:v>
                </c:pt>
                <c:pt idx="274">
                  <c:v>-0.10038803378397088</c:v>
                </c:pt>
                <c:pt idx="275">
                  <c:v>0.46597033912750074</c:v>
                </c:pt>
                <c:pt idx="276">
                  <c:v>0.65853936114167633</c:v>
                </c:pt>
                <c:pt idx="277">
                  <c:v>0.4662458258901494</c:v>
                </c:pt>
                <c:pt idx="278">
                  <c:v>0.61684946018654641</c:v>
                </c:pt>
                <c:pt idx="279">
                  <c:v>0.3909179173230517</c:v>
                </c:pt>
                <c:pt idx="280">
                  <c:v>0.31389930951534728</c:v>
                </c:pt>
                <c:pt idx="281">
                  <c:v>0.32963341625308384</c:v>
                </c:pt>
                <c:pt idx="282">
                  <c:v>0.76427835089913221</c:v>
                </c:pt>
                <c:pt idx="283">
                  <c:v>0.26466110476549387</c:v>
                </c:pt>
                <c:pt idx="284">
                  <c:v>0.79085214064362241</c:v>
                </c:pt>
                <c:pt idx="285">
                  <c:v>4.9038775681081059E-2</c:v>
                </c:pt>
                <c:pt idx="286">
                  <c:v>0.64425653499452196</c:v>
                </c:pt>
                <c:pt idx="287">
                  <c:v>0.39203390905658342</c:v>
                </c:pt>
                <c:pt idx="288">
                  <c:v>0.87969233050715667</c:v>
                </c:pt>
                <c:pt idx="289">
                  <c:v>0.31778519709180508</c:v>
                </c:pt>
                <c:pt idx="290">
                  <c:v>0.22679173659522656</c:v>
                </c:pt>
                <c:pt idx="291">
                  <c:v>8.4234767899395768E-2</c:v>
                </c:pt>
                <c:pt idx="292">
                  <c:v>0.47948306681738684</c:v>
                </c:pt>
                <c:pt idx="293">
                  <c:v>0.20860758356705356</c:v>
                </c:pt>
                <c:pt idx="294">
                  <c:v>0.49171191298984507</c:v>
                </c:pt>
                <c:pt idx="295">
                  <c:v>0.4108713746819026</c:v>
                </c:pt>
                <c:pt idx="296">
                  <c:v>0.52285778340992151</c:v>
                </c:pt>
                <c:pt idx="297">
                  <c:v>0.50839814549448414</c:v>
                </c:pt>
                <c:pt idx="298">
                  <c:v>7.4389755532218604E-2</c:v>
                </c:pt>
                <c:pt idx="299">
                  <c:v>0.41905249551723589</c:v>
                </c:pt>
                <c:pt idx="300">
                  <c:v>0.53127963852200333</c:v>
                </c:pt>
                <c:pt idx="301">
                  <c:v>0.57186952355227616</c:v>
                </c:pt>
                <c:pt idx="302">
                  <c:v>0.35770444231204657</c:v>
                </c:pt>
                <c:pt idx="303">
                  <c:v>0.71687637545114002</c:v>
                </c:pt>
                <c:pt idx="304">
                  <c:v>0.5656140165224226</c:v>
                </c:pt>
                <c:pt idx="305">
                  <c:v>0.32347275724301428</c:v>
                </c:pt>
                <c:pt idx="306">
                  <c:v>0.4399861562076488</c:v>
                </c:pt>
                <c:pt idx="307">
                  <c:v>0.90147428341863689</c:v>
                </c:pt>
                <c:pt idx="308">
                  <c:v>0.72011969272923348</c:v>
                </c:pt>
                <c:pt idx="309">
                  <c:v>0.62507874684378661</c:v>
                </c:pt>
                <c:pt idx="310">
                  <c:v>1.5135826304558453E-2</c:v>
                </c:pt>
                <c:pt idx="311">
                  <c:v>0.43219470314002129</c:v>
                </c:pt>
                <c:pt idx="312">
                  <c:v>0.66497367104436145</c:v>
                </c:pt>
                <c:pt idx="313">
                  <c:v>0.12222143444136568</c:v>
                </c:pt>
                <c:pt idx="314">
                  <c:v>-3.4456908783694562E-2</c:v>
                </c:pt>
                <c:pt idx="315">
                  <c:v>0.80051616574505413</c:v>
                </c:pt>
                <c:pt idx="316">
                  <c:v>4.2851513971967403E-2</c:v>
                </c:pt>
                <c:pt idx="317">
                  <c:v>0.54146865603568983</c:v>
                </c:pt>
                <c:pt idx="318">
                  <c:v>0.17752996226484496</c:v>
                </c:pt>
                <c:pt idx="319">
                  <c:v>0.59669301503521277</c:v>
                </c:pt>
                <c:pt idx="320">
                  <c:v>1.1709136622021528</c:v>
                </c:pt>
                <c:pt idx="321">
                  <c:v>0.74617511490458321</c:v>
                </c:pt>
                <c:pt idx="322">
                  <c:v>0.4907404798592081</c:v>
                </c:pt>
                <c:pt idx="323">
                  <c:v>0.27747936441846877</c:v>
                </c:pt>
                <c:pt idx="324">
                  <c:v>0.18387593496246657</c:v>
                </c:pt>
                <c:pt idx="325">
                  <c:v>5.9942301576232371E-2</c:v>
                </c:pt>
                <c:pt idx="326">
                  <c:v>0.40261081108522201</c:v>
                </c:pt>
                <c:pt idx="327">
                  <c:v>0.33054729550833084</c:v>
                </c:pt>
                <c:pt idx="328">
                  <c:v>9.2696454402598771E-2</c:v>
                </c:pt>
                <c:pt idx="329">
                  <c:v>0.40796440060027184</c:v>
                </c:pt>
                <c:pt idx="330">
                  <c:v>0.30148305052409219</c:v>
                </c:pt>
                <c:pt idx="331">
                  <c:v>0.82530877951269055</c:v>
                </c:pt>
                <c:pt idx="332">
                  <c:v>0.46811650911621538</c:v>
                </c:pt>
                <c:pt idx="333">
                  <c:v>0.36502506261111667</c:v>
                </c:pt>
                <c:pt idx="334">
                  <c:v>0.23216793636366262</c:v>
                </c:pt>
                <c:pt idx="335">
                  <c:v>0.18554627591845696</c:v>
                </c:pt>
                <c:pt idx="336">
                  <c:v>0.50931219437386055</c:v>
                </c:pt>
                <c:pt idx="337">
                  <c:v>0.39540196926976234</c:v>
                </c:pt>
                <c:pt idx="338">
                  <c:v>0.41800777688795288</c:v>
                </c:pt>
                <c:pt idx="339">
                  <c:v>0.52003703641597476</c:v>
                </c:pt>
                <c:pt idx="340">
                  <c:v>0.43565999384934928</c:v>
                </c:pt>
                <c:pt idx="341">
                  <c:v>0.11985014658362259</c:v>
                </c:pt>
                <c:pt idx="342">
                  <c:v>0.81391271276890897</c:v>
                </c:pt>
                <c:pt idx="343">
                  <c:v>0.49162658908457413</c:v>
                </c:pt>
                <c:pt idx="344">
                  <c:v>0.75915958456640675</c:v>
                </c:pt>
                <c:pt idx="345">
                  <c:v>0.56585632480078152</c:v>
                </c:pt>
                <c:pt idx="346">
                  <c:v>0.42274023647459247</c:v>
                </c:pt>
                <c:pt idx="347">
                  <c:v>0.11255066784674428</c:v>
                </c:pt>
                <c:pt idx="348">
                  <c:v>0.4303163910581238</c:v>
                </c:pt>
                <c:pt idx="349">
                  <c:v>0.44531300587383127</c:v>
                </c:pt>
                <c:pt idx="350">
                  <c:v>0.14791088504170968</c:v>
                </c:pt>
                <c:pt idx="351">
                  <c:v>0.25047356120790898</c:v>
                </c:pt>
                <c:pt idx="352">
                  <c:v>0.47286046391476644</c:v>
                </c:pt>
                <c:pt idx="353">
                  <c:v>0.61132553693929514</c:v>
                </c:pt>
                <c:pt idx="354">
                  <c:v>0.1403421374578655</c:v>
                </c:pt>
                <c:pt idx="355">
                  <c:v>0.46322789370460105</c:v>
                </c:pt>
                <c:pt idx="356">
                  <c:v>0.89551466651095391</c:v>
                </c:pt>
                <c:pt idx="357">
                  <c:v>0.40275480732137181</c:v>
                </c:pt>
                <c:pt idx="358">
                  <c:v>0.41099712174197345</c:v>
                </c:pt>
                <c:pt idx="359">
                  <c:v>0.31328544871455044</c:v>
                </c:pt>
                <c:pt idx="360">
                  <c:v>0.32566892008296344</c:v>
                </c:pt>
                <c:pt idx="361">
                  <c:v>0.75814342751925645</c:v>
                </c:pt>
                <c:pt idx="362">
                  <c:v>0.14630099649943329</c:v>
                </c:pt>
                <c:pt idx="363">
                  <c:v>0.64954744710578893</c:v>
                </c:pt>
                <c:pt idx="364">
                  <c:v>0.31170393781517136</c:v>
                </c:pt>
                <c:pt idx="365">
                  <c:v>0.41163444111111014</c:v>
                </c:pt>
                <c:pt idx="366">
                  <c:v>0.27343819439955364</c:v>
                </c:pt>
                <c:pt idx="367">
                  <c:v>0.21814885026807929</c:v>
                </c:pt>
                <c:pt idx="368">
                  <c:v>0.32201317539679231</c:v>
                </c:pt>
                <c:pt idx="369">
                  <c:v>5.4191490136670684E-2</c:v>
                </c:pt>
                <c:pt idx="370">
                  <c:v>0.3415531088414312</c:v>
                </c:pt>
                <c:pt idx="371">
                  <c:v>0.60875839426176492</c:v>
                </c:pt>
                <c:pt idx="372">
                  <c:v>0.37519969405018871</c:v>
                </c:pt>
                <c:pt idx="373">
                  <c:v>9.2778073940247285E-2</c:v>
                </c:pt>
                <c:pt idx="374">
                  <c:v>0.63240073781119155</c:v>
                </c:pt>
                <c:pt idx="375">
                  <c:v>0.58318944392565752</c:v>
                </c:pt>
                <c:pt idx="376">
                  <c:v>0.62880160813534847</c:v>
                </c:pt>
                <c:pt idx="377">
                  <c:v>0.1499136026904142</c:v>
                </c:pt>
                <c:pt idx="378">
                  <c:v>0.14971655831536124</c:v>
                </c:pt>
                <c:pt idx="379">
                  <c:v>0.95780546916779707</c:v>
                </c:pt>
                <c:pt idx="380">
                  <c:v>0.21771526249580608</c:v>
                </c:pt>
                <c:pt idx="381">
                  <c:v>0.46621988800558523</c:v>
                </c:pt>
                <c:pt idx="382">
                  <c:v>-0.31561289777383061</c:v>
                </c:pt>
                <c:pt idx="383">
                  <c:v>7.1164442259791016E-2</c:v>
                </c:pt>
                <c:pt idx="384">
                  <c:v>0.36309505063396763</c:v>
                </c:pt>
                <c:pt idx="385">
                  <c:v>0.75491421738652065</c:v>
                </c:pt>
                <c:pt idx="386">
                  <c:v>0.22297289888674143</c:v>
                </c:pt>
                <c:pt idx="387">
                  <c:v>0.20885556351179302</c:v>
                </c:pt>
                <c:pt idx="388">
                  <c:v>0.20500800608759695</c:v>
                </c:pt>
                <c:pt idx="389">
                  <c:v>0.65772007959551027</c:v>
                </c:pt>
                <c:pt idx="390">
                  <c:v>0.10575153751898325</c:v>
                </c:pt>
                <c:pt idx="391">
                  <c:v>0.44746676704339805</c:v>
                </c:pt>
                <c:pt idx="392">
                  <c:v>0.23868509922131498</c:v>
                </c:pt>
                <c:pt idx="393">
                  <c:v>0.32575335631675184</c:v>
                </c:pt>
                <c:pt idx="394">
                  <c:v>0.21980481163957544</c:v>
                </c:pt>
                <c:pt idx="395">
                  <c:v>0.27279333687878737</c:v>
                </c:pt>
                <c:pt idx="396">
                  <c:v>0.40641006415195813</c:v>
                </c:pt>
                <c:pt idx="397">
                  <c:v>0.35109407459998065</c:v>
                </c:pt>
                <c:pt idx="398">
                  <c:v>0.54813077311518166</c:v>
                </c:pt>
                <c:pt idx="399">
                  <c:v>-0.11877155794052596</c:v>
                </c:pt>
                <c:pt idx="400">
                  <c:v>0.46523903961987001</c:v>
                </c:pt>
                <c:pt idx="401">
                  <c:v>-0.15027319754833801</c:v>
                </c:pt>
                <c:pt idx="402">
                  <c:v>-0.11376347899009343</c:v>
                </c:pt>
                <c:pt idx="403">
                  <c:v>0.4252996202154522</c:v>
                </c:pt>
                <c:pt idx="404">
                  <c:v>0.58399235417136208</c:v>
                </c:pt>
                <c:pt idx="405">
                  <c:v>7.0702761104932677E-2</c:v>
                </c:pt>
                <c:pt idx="406">
                  <c:v>0.83632394421980694</c:v>
                </c:pt>
                <c:pt idx="407">
                  <c:v>0.96209656654175024</c:v>
                </c:pt>
                <c:pt idx="408">
                  <c:v>0.36651722366114869</c:v>
                </c:pt>
                <c:pt idx="409">
                  <c:v>0.20910557121001982</c:v>
                </c:pt>
                <c:pt idx="410">
                  <c:v>0.71159887782667575</c:v>
                </c:pt>
                <c:pt idx="411">
                  <c:v>9.1660247418106966E-2</c:v>
                </c:pt>
                <c:pt idx="412">
                  <c:v>-0.11985014506105895</c:v>
                </c:pt>
                <c:pt idx="413">
                  <c:v>1.1413544269768785</c:v>
                </c:pt>
                <c:pt idx="414">
                  <c:v>0.39544168935485491</c:v>
                </c:pt>
                <c:pt idx="415">
                  <c:v>0.54399204259557088</c:v>
                </c:pt>
                <c:pt idx="416">
                  <c:v>4.4879530983377158E-2</c:v>
                </c:pt>
                <c:pt idx="417">
                  <c:v>0.69819387431578361</c:v>
                </c:pt>
                <c:pt idx="418">
                  <c:v>0.44378971818204738</c:v>
                </c:pt>
                <c:pt idx="419">
                  <c:v>1.5600068909490172E-2</c:v>
                </c:pt>
                <c:pt idx="420">
                  <c:v>0.60668640053478917</c:v>
                </c:pt>
                <c:pt idx="421">
                  <c:v>0.49345866776552327</c:v>
                </c:pt>
                <c:pt idx="422">
                  <c:v>0.27505273024268595</c:v>
                </c:pt>
                <c:pt idx="423">
                  <c:v>0.51020018697224101</c:v>
                </c:pt>
                <c:pt idx="424">
                  <c:v>0.32824523421937246</c:v>
                </c:pt>
                <c:pt idx="425">
                  <c:v>0.57599297147712125</c:v>
                </c:pt>
                <c:pt idx="426">
                  <c:v>-4.9238745268991746E-2</c:v>
                </c:pt>
                <c:pt idx="427">
                  <c:v>0.92172384371630645</c:v>
                </c:pt>
                <c:pt idx="428">
                  <c:v>0.22926590285433157</c:v>
                </c:pt>
                <c:pt idx="429">
                  <c:v>0.35235729297915852</c:v>
                </c:pt>
                <c:pt idx="430">
                  <c:v>0.38659854547555605</c:v>
                </c:pt>
                <c:pt idx="431">
                  <c:v>-0.10010206170004832</c:v>
                </c:pt>
                <c:pt idx="432">
                  <c:v>0.38805699276834416</c:v>
                </c:pt>
                <c:pt idx="433">
                  <c:v>8.4837860085873018E-2</c:v>
                </c:pt>
                <c:pt idx="434">
                  <c:v>0.29265774876879425</c:v>
                </c:pt>
                <c:pt idx="435">
                  <c:v>1.0892740136397516</c:v>
                </c:pt>
                <c:pt idx="436">
                  <c:v>0.50851992299010407</c:v>
                </c:pt>
                <c:pt idx="437">
                  <c:v>0.71824010099203806</c:v>
                </c:pt>
                <c:pt idx="438">
                  <c:v>0.40793350474718792</c:v>
                </c:pt>
                <c:pt idx="439">
                  <c:v>8.5774410300845982E-2</c:v>
                </c:pt>
                <c:pt idx="440">
                  <c:v>-8.7580544298544893E-2</c:v>
                </c:pt>
                <c:pt idx="441">
                  <c:v>0.45820480578600975</c:v>
                </c:pt>
                <c:pt idx="442">
                  <c:v>0.53187436892788309</c:v>
                </c:pt>
                <c:pt idx="443">
                  <c:v>0.66303552302789059</c:v>
                </c:pt>
                <c:pt idx="444">
                  <c:v>-0.13411439293867122</c:v>
                </c:pt>
                <c:pt idx="445">
                  <c:v>0.76554336638100606</c:v>
                </c:pt>
                <c:pt idx="446">
                  <c:v>0.69663461051463682</c:v>
                </c:pt>
                <c:pt idx="447">
                  <c:v>0.48727201990386027</c:v>
                </c:pt>
                <c:pt idx="448">
                  <c:v>0.41844022644167711</c:v>
                </c:pt>
                <c:pt idx="449">
                  <c:v>0.6225925710181337</c:v>
                </c:pt>
                <c:pt idx="450">
                  <c:v>0.42359400639510536</c:v>
                </c:pt>
                <c:pt idx="451">
                  <c:v>0.36761074445233799</c:v>
                </c:pt>
                <c:pt idx="452">
                  <c:v>0.34253651803418483</c:v>
                </c:pt>
                <c:pt idx="453">
                  <c:v>0.44589508692785973</c:v>
                </c:pt>
                <c:pt idx="454">
                  <c:v>0.40173598233914953</c:v>
                </c:pt>
                <c:pt idx="455">
                  <c:v>0.38917813281787295</c:v>
                </c:pt>
                <c:pt idx="456">
                  <c:v>0.44300793168969888</c:v>
                </c:pt>
                <c:pt idx="457">
                  <c:v>4.2825513331590237E-2</c:v>
                </c:pt>
                <c:pt idx="458">
                  <c:v>0.60328288066321001</c:v>
                </c:pt>
                <c:pt idx="459">
                  <c:v>4.3705737906527986E-2</c:v>
                </c:pt>
                <c:pt idx="460">
                  <c:v>0.19833001684126961</c:v>
                </c:pt>
                <c:pt idx="461">
                  <c:v>0.6240200483181364</c:v>
                </c:pt>
                <c:pt idx="462">
                  <c:v>0.64933740270186346</c:v>
                </c:pt>
                <c:pt idx="463">
                  <c:v>0.8323188845474685</c:v>
                </c:pt>
                <c:pt idx="464">
                  <c:v>0.42389106569524593</c:v>
                </c:pt>
                <c:pt idx="465">
                  <c:v>0.8924299608298536</c:v>
                </c:pt>
                <c:pt idx="466">
                  <c:v>9.9901161387603299E-3</c:v>
                </c:pt>
                <c:pt idx="467">
                  <c:v>0.21902525021991259</c:v>
                </c:pt>
                <c:pt idx="468">
                  <c:v>4.9234566451467732E-2</c:v>
                </c:pt>
                <c:pt idx="469">
                  <c:v>0.26998845205247957</c:v>
                </c:pt>
                <c:pt idx="470">
                  <c:v>0.99870257403617391</c:v>
                </c:pt>
                <c:pt idx="471">
                  <c:v>0.17344163387744915</c:v>
                </c:pt>
                <c:pt idx="472">
                  <c:v>0.32802797558520913</c:v>
                </c:pt>
                <c:pt idx="473">
                  <c:v>0.17284676222321016</c:v>
                </c:pt>
                <c:pt idx="474">
                  <c:v>0.68615384807970914</c:v>
                </c:pt>
                <c:pt idx="475">
                  <c:v>0.47327296833042221</c:v>
                </c:pt>
                <c:pt idx="476">
                  <c:v>0.80947049999253995</c:v>
                </c:pt>
                <c:pt idx="477">
                  <c:v>0.51516175398574049</c:v>
                </c:pt>
                <c:pt idx="478">
                  <c:v>0.14059232996537308</c:v>
                </c:pt>
                <c:pt idx="479">
                  <c:v>0.13484684250562462</c:v>
                </c:pt>
                <c:pt idx="480">
                  <c:v>0.13275735462494698</c:v>
                </c:pt>
                <c:pt idx="481">
                  <c:v>0.40283573684170282</c:v>
                </c:pt>
                <c:pt idx="482">
                  <c:v>7.032046667580838E-2</c:v>
                </c:pt>
                <c:pt idx="483">
                  <c:v>0.57262125904654093</c:v>
                </c:pt>
                <c:pt idx="484">
                  <c:v>0.468417668347195</c:v>
                </c:pt>
                <c:pt idx="485">
                  <c:v>0.5791489011957387</c:v>
                </c:pt>
                <c:pt idx="486">
                  <c:v>0.37642293429906992</c:v>
                </c:pt>
                <c:pt idx="487">
                  <c:v>0.61186535243175033</c:v>
                </c:pt>
                <c:pt idx="488">
                  <c:v>0.41799059876406019</c:v>
                </c:pt>
                <c:pt idx="489">
                  <c:v>0.13659703250690702</c:v>
                </c:pt>
                <c:pt idx="490">
                  <c:v>0.58070439893720005</c:v>
                </c:pt>
                <c:pt idx="491">
                  <c:v>0.71960547248701356</c:v>
                </c:pt>
                <c:pt idx="492">
                  <c:v>0.27840018709864678</c:v>
                </c:pt>
                <c:pt idx="493">
                  <c:v>1.1491977034843615E-2</c:v>
                </c:pt>
                <c:pt idx="494">
                  <c:v>0.18714108817448194</c:v>
                </c:pt>
                <c:pt idx="495">
                  <c:v>0.41517817777976873</c:v>
                </c:pt>
                <c:pt idx="496">
                  <c:v>0.46327609803008674</c:v>
                </c:pt>
                <c:pt idx="497">
                  <c:v>0.71724931915780554</c:v>
                </c:pt>
                <c:pt idx="498">
                  <c:v>0.41149777708107793</c:v>
                </c:pt>
                <c:pt idx="499">
                  <c:v>0.29418432733166577</c:v>
                </c:pt>
                <c:pt idx="500">
                  <c:v>0.59470267388918652</c:v>
                </c:pt>
                <c:pt idx="501">
                  <c:v>0.66896537282370305</c:v>
                </c:pt>
                <c:pt idx="502">
                  <c:v>2.3279384291318372E-2</c:v>
                </c:pt>
                <c:pt idx="503">
                  <c:v>0.6021360477399913</c:v>
                </c:pt>
                <c:pt idx="504">
                  <c:v>0.41081135529856194</c:v>
                </c:pt>
                <c:pt idx="505">
                  <c:v>-0.28693726410033005</c:v>
                </c:pt>
                <c:pt idx="506">
                  <c:v>0.11967965323447949</c:v>
                </c:pt>
                <c:pt idx="507">
                  <c:v>6.4555099853822462E-2</c:v>
                </c:pt>
                <c:pt idx="508">
                  <c:v>1.0219606747614576</c:v>
                </c:pt>
                <c:pt idx="509">
                  <c:v>0.9761941979472839</c:v>
                </c:pt>
                <c:pt idx="510">
                  <c:v>0.7763667180473488</c:v>
                </c:pt>
                <c:pt idx="511">
                  <c:v>0.77049705725244477</c:v>
                </c:pt>
                <c:pt idx="512">
                  <c:v>0.6951161189308479</c:v>
                </c:pt>
                <c:pt idx="513">
                  <c:v>0.77940381900126132</c:v>
                </c:pt>
                <c:pt idx="514">
                  <c:v>0.71254695875129515</c:v>
                </c:pt>
                <c:pt idx="515">
                  <c:v>0.56007552814329387</c:v>
                </c:pt>
                <c:pt idx="516">
                  <c:v>0.44754711220119026</c:v>
                </c:pt>
                <c:pt idx="517">
                  <c:v>0.59061023269725954</c:v>
                </c:pt>
                <c:pt idx="518">
                  <c:v>0.59407953004195946</c:v>
                </c:pt>
                <c:pt idx="519">
                  <c:v>1.3216692299979016E-2</c:v>
                </c:pt>
                <c:pt idx="520">
                  <c:v>0.89672511756912865</c:v>
                </c:pt>
                <c:pt idx="521">
                  <c:v>0.32891407352078761</c:v>
                </c:pt>
                <c:pt idx="522">
                  <c:v>0.35149064042355205</c:v>
                </c:pt>
                <c:pt idx="523">
                  <c:v>0.74888988723799654</c:v>
                </c:pt>
                <c:pt idx="524">
                  <c:v>0.55246904429378674</c:v>
                </c:pt>
                <c:pt idx="525">
                  <c:v>0.44975187755599721</c:v>
                </c:pt>
                <c:pt idx="526">
                  <c:v>0.38403750115765733</c:v>
                </c:pt>
                <c:pt idx="527">
                  <c:v>0.2387800251481762</c:v>
                </c:pt>
                <c:pt idx="528">
                  <c:v>-1.984068405738082E-2</c:v>
                </c:pt>
                <c:pt idx="529">
                  <c:v>0.1216804782575327</c:v>
                </c:pt>
                <c:pt idx="530">
                  <c:v>0.31923800628134336</c:v>
                </c:pt>
                <c:pt idx="531">
                  <c:v>0.21185337505733459</c:v>
                </c:pt>
                <c:pt idx="532">
                  <c:v>0.3438077389375076</c:v>
                </c:pt>
                <c:pt idx="533">
                  <c:v>0.35708624176478043</c:v>
                </c:pt>
                <c:pt idx="534">
                  <c:v>0.6377138038335064</c:v>
                </c:pt>
                <c:pt idx="535">
                  <c:v>0.61473074362407765</c:v>
                </c:pt>
                <c:pt idx="536">
                  <c:v>0.23624962444923314</c:v>
                </c:pt>
                <c:pt idx="537">
                  <c:v>0.98676963337145596</c:v>
                </c:pt>
                <c:pt idx="538">
                  <c:v>0.24886180247162493</c:v>
                </c:pt>
                <c:pt idx="539">
                  <c:v>0.30998095137750248</c:v>
                </c:pt>
                <c:pt idx="540">
                  <c:v>0.61996424316953513</c:v>
                </c:pt>
                <c:pt idx="541">
                  <c:v>0.94505514866055673</c:v>
                </c:pt>
                <c:pt idx="542">
                  <c:v>0.39957014538479552</c:v>
                </c:pt>
                <c:pt idx="543">
                  <c:v>0.69479120738323097</c:v>
                </c:pt>
                <c:pt idx="544">
                  <c:v>0.20067681336214083</c:v>
                </c:pt>
                <c:pt idx="545">
                  <c:v>0.6375388019704018</c:v>
                </c:pt>
                <c:pt idx="546">
                  <c:v>0.75456199635113297</c:v>
                </c:pt>
                <c:pt idx="547">
                  <c:v>0.71622065330463824</c:v>
                </c:pt>
                <c:pt idx="548">
                  <c:v>0.16974837151458466</c:v>
                </c:pt>
                <c:pt idx="549">
                  <c:v>0.59879010346617978</c:v>
                </c:pt>
                <c:pt idx="550">
                  <c:v>0.33374036614574765</c:v>
                </c:pt>
                <c:pt idx="551">
                  <c:v>1.2137519671901793</c:v>
                </c:pt>
                <c:pt idx="552">
                  <c:v>2.9532945764035645E-2</c:v>
                </c:pt>
                <c:pt idx="553">
                  <c:v>0.10326755353022987</c:v>
                </c:pt>
                <c:pt idx="554">
                  <c:v>0.8969341686707295</c:v>
                </c:pt>
                <c:pt idx="555">
                  <c:v>0.53957880067843567</c:v>
                </c:pt>
                <c:pt idx="556">
                  <c:v>0.58971008034237604</c:v>
                </c:pt>
                <c:pt idx="557">
                  <c:v>0.17963561455372345</c:v>
                </c:pt>
                <c:pt idx="558">
                  <c:v>0.47106576387282262</c:v>
                </c:pt>
                <c:pt idx="559">
                  <c:v>0.49427995918527268</c:v>
                </c:pt>
                <c:pt idx="560">
                  <c:v>0.47001861919805688</c:v>
                </c:pt>
                <c:pt idx="561">
                  <c:v>0.68058125141404657</c:v>
                </c:pt>
                <c:pt idx="562">
                  <c:v>0.70406419959767597</c:v>
                </c:pt>
                <c:pt idx="563">
                  <c:v>0.2277940489688155</c:v>
                </c:pt>
                <c:pt idx="564">
                  <c:v>0.69105501464573127</c:v>
                </c:pt>
                <c:pt idx="565">
                  <c:v>0.44256583524104887</c:v>
                </c:pt>
                <c:pt idx="566">
                  <c:v>0.80283616687581416</c:v>
                </c:pt>
                <c:pt idx="567">
                  <c:v>0.53325489925734493</c:v>
                </c:pt>
                <c:pt idx="568">
                  <c:v>0.33965210207586516</c:v>
                </c:pt>
                <c:pt idx="569">
                  <c:v>0.96458965219277659</c:v>
                </c:pt>
                <c:pt idx="570">
                  <c:v>0.30325630884998844</c:v>
                </c:pt>
                <c:pt idx="571">
                  <c:v>0.25034193790188786</c:v>
                </c:pt>
                <c:pt idx="572">
                  <c:v>0.91792259859268155</c:v>
                </c:pt>
                <c:pt idx="573">
                  <c:v>0.44802464094231498</c:v>
                </c:pt>
                <c:pt idx="574">
                  <c:v>0.60262861430263115</c:v>
                </c:pt>
                <c:pt idx="575">
                  <c:v>0.67033523446514476</c:v>
                </c:pt>
                <c:pt idx="576">
                  <c:v>0.3640302965657285</c:v>
                </c:pt>
                <c:pt idx="577">
                  <c:v>0.39157131129106371</c:v>
                </c:pt>
                <c:pt idx="578">
                  <c:v>0.30715345927719007</c:v>
                </c:pt>
                <c:pt idx="579">
                  <c:v>0.68084993043652942</c:v>
                </c:pt>
                <c:pt idx="580">
                  <c:v>0.28493377101279238</c:v>
                </c:pt>
                <c:pt idx="581">
                  <c:v>0.25543900647608364</c:v>
                </c:pt>
                <c:pt idx="582">
                  <c:v>6.4740306628856104E-2</c:v>
                </c:pt>
                <c:pt idx="583">
                  <c:v>0.61069335552660187</c:v>
                </c:pt>
                <c:pt idx="584">
                  <c:v>0.31993213149741662</c:v>
                </c:pt>
                <c:pt idx="585">
                  <c:v>0.11757030906139709</c:v>
                </c:pt>
                <c:pt idx="586">
                  <c:v>0.70813930849025608</c:v>
                </c:pt>
                <c:pt idx="587">
                  <c:v>0.54481605797768218</c:v>
                </c:pt>
                <c:pt idx="588">
                  <c:v>0.358036528635155</c:v>
                </c:pt>
                <c:pt idx="589">
                  <c:v>8.7944831176767657E-2</c:v>
                </c:pt>
                <c:pt idx="590">
                  <c:v>0.61072104889124246</c:v>
                </c:pt>
                <c:pt idx="591">
                  <c:v>-0.13542282648708737</c:v>
                </c:pt>
                <c:pt idx="592">
                  <c:v>0.35812722156114418</c:v>
                </c:pt>
                <c:pt idx="593">
                  <c:v>0.5746158705600477</c:v>
                </c:pt>
                <c:pt idx="594">
                  <c:v>0.4535946648988407</c:v>
                </c:pt>
                <c:pt idx="595">
                  <c:v>0.20238728734708866</c:v>
                </c:pt>
                <c:pt idx="596">
                  <c:v>0.11437133161617474</c:v>
                </c:pt>
                <c:pt idx="597">
                  <c:v>0.36154756913015396</c:v>
                </c:pt>
                <c:pt idx="598">
                  <c:v>0.65730061020329877</c:v>
                </c:pt>
                <c:pt idx="599">
                  <c:v>0.54152410861918243</c:v>
                </c:pt>
                <c:pt idx="600">
                  <c:v>0.58796228107147464</c:v>
                </c:pt>
                <c:pt idx="601">
                  <c:v>0.66215599070832409</c:v>
                </c:pt>
                <c:pt idx="602">
                  <c:v>0.48933348156166367</c:v>
                </c:pt>
                <c:pt idx="603">
                  <c:v>0.28136791751534096</c:v>
                </c:pt>
                <c:pt idx="604">
                  <c:v>0.21726018866612362</c:v>
                </c:pt>
                <c:pt idx="605">
                  <c:v>0.7139792382728225</c:v>
                </c:pt>
                <c:pt idx="606">
                  <c:v>6.8645884204744156E-2</c:v>
                </c:pt>
                <c:pt idx="607">
                  <c:v>0.37628204824529776</c:v>
                </c:pt>
                <c:pt idx="608">
                  <c:v>0.40072795058870758</c:v>
                </c:pt>
                <c:pt idx="609">
                  <c:v>0.43697584378777687</c:v>
                </c:pt>
                <c:pt idx="610">
                  <c:v>0.52215297085080259</c:v>
                </c:pt>
                <c:pt idx="611">
                  <c:v>0.71908142217788251</c:v>
                </c:pt>
                <c:pt idx="612">
                  <c:v>0.59894551053863943</c:v>
                </c:pt>
                <c:pt idx="613">
                  <c:v>-1.2215888949431708E-3</c:v>
                </c:pt>
                <c:pt idx="614">
                  <c:v>0.55148321192071226</c:v>
                </c:pt>
                <c:pt idx="615">
                  <c:v>1.0603128369110628</c:v>
                </c:pt>
                <c:pt idx="616">
                  <c:v>0.79213522826104521</c:v>
                </c:pt>
                <c:pt idx="617">
                  <c:v>0.28846720042607465</c:v>
                </c:pt>
                <c:pt idx="618">
                  <c:v>0.47818432187547399</c:v>
                </c:pt>
                <c:pt idx="619">
                  <c:v>0.29395415512437628</c:v>
                </c:pt>
                <c:pt idx="620">
                  <c:v>0.4981998043728697</c:v>
                </c:pt>
                <c:pt idx="621">
                  <c:v>0.83563850845891352</c:v>
                </c:pt>
                <c:pt idx="622">
                  <c:v>0.8347715994807392</c:v>
                </c:pt>
                <c:pt idx="623">
                  <c:v>0.45401775190968552</c:v>
                </c:pt>
                <c:pt idx="624">
                  <c:v>8.634055311452471E-2</c:v>
                </c:pt>
                <c:pt idx="625">
                  <c:v>0.27394175206196669</c:v>
                </c:pt>
                <c:pt idx="626">
                  <c:v>8.0722999983765753E-2</c:v>
                </c:pt>
                <c:pt idx="627">
                  <c:v>0.17622750532996356</c:v>
                </c:pt>
                <c:pt idx="628">
                  <c:v>0.8118184460609319</c:v>
                </c:pt>
                <c:pt idx="629">
                  <c:v>0.39804296213897183</c:v>
                </c:pt>
                <c:pt idx="630">
                  <c:v>0.42398660683365019</c:v>
                </c:pt>
                <c:pt idx="631">
                  <c:v>0.22666570019876331</c:v>
                </c:pt>
                <c:pt idx="632">
                  <c:v>0.3944166784860994</c:v>
                </c:pt>
                <c:pt idx="633">
                  <c:v>0.40656651862094284</c:v>
                </c:pt>
                <c:pt idx="634">
                  <c:v>-0.27732720339586026</c:v>
                </c:pt>
                <c:pt idx="635">
                  <c:v>0.73536755962878853</c:v>
                </c:pt>
                <c:pt idx="636">
                  <c:v>0.52946847216871173</c:v>
                </c:pt>
                <c:pt idx="637">
                  <c:v>0.57079670284380368</c:v>
                </c:pt>
                <c:pt idx="638">
                  <c:v>0.47706991198432336</c:v>
                </c:pt>
                <c:pt idx="639">
                  <c:v>0.32131652408631473</c:v>
                </c:pt>
                <c:pt idx="640">
                  <c:v>-5.0518151102576514E-2</c:v>
                </c:pt>
                <c:pt idx="641">
                  <c:v>0.64004838146182452</c:v>
                </c:pt>
                <c:pt idx="642">
                  <c:v>5.6478932798508463E-2</c:v>
                </c:pt>
                <c:pt idx="643">
                  <c:v>-0.14783927046150502</c:v>
                </c:pt>
                <c:pt idx="644">
                  <c:v>0.48886644091623355</c:v>
                </c:pt>
                <c:pt idx="645">
                  <c:v>0.5907428902121703</c:v>
                </c:pt>
                <c:pt idx="646">
                  <c:v>0.69010240798106515</c:v>
                </c:pt>
                <c:pt idx="647">
                  <c:v>0.21986221797556205</c:v>
                </c:pt>
                <c:pt idx="648">
                  <c:v>0.5409808434110932</c:v>
                </c:pt>
                <c:pt idx="649">
                  <c:v>0.66609866828646824</c:v>
                </c:pt>
                <c:pt idx="650">
                  <c:v>1.1586346042734341E-2</c:v>
                </c:pt>
                <c:pt idx="651">
                  <c:v>0.6485414474607647</c:v>
                </c:pt>
                <c:pt idx="652">
                  <c:v>0.28892692035956502</c:v>
                </c:pt>
                <c:pt idx="653">
                  <c:v>0.31377820769967268</c:v>
                </c:pt>
                <c:pt idx="654">
                  <c:v>0.13544335714824163</c:v>
                </c:pt>
                <c:pt idx="655">
                  <c:v>0.58112866888777459</c:v>
                </c:pt>
                <c:pt idx="656">
                  <c:v>0.37035313467127962</c:v>
                </c:pt>
                <c:pt idx="657">
                  <c:v>0.71036759324369947</c:v>
                </c:pt>
                <c:pt idx="658">
                  <c:v>0.65456499317762162</c:v>
                </c:pt>
                <c:pt idx="659">
                  <c:v>0.44006018762408416</c:v>
                </c:pt>
                <c:pt idx="660">
                  <c:v>0.46764296474918643</c:v>
                </c:pt>
                <c:pt idx="661">
                  <c:v>0.66985054241748032</c:v>
                </c:pt>
                <c:pt idx="662">
                  <c:v>0.38867264279978997</c:v>
                </c:pt>
                <c:pt idx="663">
                  <c:v>0.24764444811561415</c:v>
                </c:pt>
                <c:pt idx="664">
                  <c:v>0.46594130717688009</c:v>
                </c:pt>
                <c:pt idx="665">
                  <c:v>0.52261412236781757</c:v>
                </c:pt>
                <c:pt idx="666">
                  <c:v>2.6947806062233237E-2</c:v>
                </c:pt>
                <c:pt idx="667">
                  <c:v>0.18098118151727527</c:v>
                </c:pt>
                <c:pt idx="668">
                  <c:v>-8.6268450251726136E-2</c:v>
                </c:pt>
                <c:pt idx="669">
                  <c:v>0.59568712606580432</c:v>
                </c:pt>
                <c:pt idx="670">
                  <c:v>0.27281850347407843</c:v>
                </c:pt>
                <c:pt idx="671">
                  <c:v>0.4912270271280732</c:v>
                </c:pt>
                <c:pt idx="672">
                  <c:v>0.30958429022740486</c:v>
                </c:pt>
                <c:pt idx="673">
                  <c:v>8.7887136176737268E-2</c:v>
                </c:pt>
                <c:pt idx="674">
                  <c:v>-0.13949378912342558</c:v>
                </c:pt>
                <c:pt idx="675">
                  <c:v>0.35086066721637188</c:v>
                </c:pt>
                <c:pt idx="676">
                  <c:v>0.42599220070277699</c:v>
                </c:pt>
                <c:pt idx="677">
                  <c:v>0.26822810655859097</c:v>
                </c:pt>
                <c:pt idx="678">
                  <c:v>0.1709206277805797</c:v>
                </c:pt>
                <c:pt idx="679">
                  <c:v>0.27318050123186888</c:v>
                </c:pt>
                <c:pt idx="680">
                  <c:v>0.66852385526234404</c:v>
                </c:pt>
                <c:pt idx="681">
                  <c:v>0.82050369944870516</c:v>
                </c:pt>
                <c:pt idx="682">
                  <c:v>0.36754931710128735</c:v>
                </c:pt>
                <c:pt idx="683">
                  <c:v>0.4937604982088577</c:v>
                </c:pt>
                <c:pt idx="684">
                  <c:v>0.52610831757800236</c:v>
                </c:pt>
                <c:pt idx="685">
                  <c:v>0.43550713786216066</c:v>
                </c:pt>
                <c:pt idx="686">
                  <c:v>0.31636341263592849</c:v>
                </c:pt>
                <c:pt idx="687">
                  <c:v>0.52805339523102246</c:v>
                </c:pt>
                <c:pt idx="688">
                  <c:v>0.44288298668508475</c:v>
                </c:pt>
                <c:pt idx="689">
                  <c:v>0.48339925757232471</c:v>
                </c:pt>
                <c:pt idx="690">
                  <c:v>0.60826660047354064</c:v>
                </c:pt>
                <c:pt idx="691">
                  <c:v>0.26152146490713868</c:v>
                </c:pt>
                <c:pt idx="692">
                  <c:v>-5.7950846406130907E-2</c:v>
                </c:pt>
                <c:pt idx="693">
                  <c:v>0.12374142740886374</c:v>
                </c:pt>
                <c:pt idx="694">
                  <c:v>0.44172383691534645</c:v>
                </c:pt>
                <c:pt idx="695">
                  <c:v>0.39299589600130291</c:v>
                </c:pt>
                <c:pt idx="696">
                  <c:v>0.38250011784980131</c:v>
                </c:pt>
                <c:pt idx="697">
                  <c:v>0.1951857193771982</c:v>
                </c:pt>
                <c:pt idx="698">
                  <c:v>0.55582935937867006</c:v>
                </c:pt>
                <c:pt idx="699">
                  <c:v>-2.2218822336799171E-3</c:v>
                </c:pt>
                <c:pt idx="700">
                  <c:v>0.20056427060261206</c:v>
                </c:pt>
                <c:pt idx="701">
                  <c:v>0.98532152023633346</c:v>
                </c:pt>
                <c:pt idx="702">
                  <c:v>5.0554006733498635E-2</c:v>
                </c:pt>
                <c:pt idx="703">
                  <c:v>0.75172274671185746</c:v>
                </c:pt>
                <c:pt idx="704">
                  <c:v>0.23531173057165056</c:v>
                </c:pt>
                <c:pt idx="705">
                  <c:v>0.46558110173909562</c:v>
                </c:pt>
                <c:pt idx="706">
                  <c:v>0.71813724698964743</c:v>
                </c:pt>
                <c:pt idx="707">
                  <c:v>0.58245294362412858</c:v>
                </c:pt>
                <c:pt idx="708">
                  <c:v>0.55011885013730377</c:v>
                </c:pt>
                <c:pt idx="709">
                  <c:v>0.57267663046272332</c:v>
                </c:pt>
                <c:pt idx="710">
                  <c:v>0.99621273096329488</c:v>
                </c:pt>
                <c:pt idx="711">
                  <c:v>0.24481849606469996</c:v>
                </c:pt>
                <c:pt idx="712">
                  <c:v>0.50284989395035629</c:v>
                </c:pt>
                <c:pt idx="713">
                  <c:v>0.63802595680074825</c:v>
                </c:pt>
                <c:pt idx="714">
                  <c:v>0.2822755964426733</c:v>
                </c:pt>
                <c:pt idx="715">
                  <c:v>0.35668362716829716</c:v>
                </c:pt>
                <c:pt idx="716">
                  <c:v>0.23632096331878749</c:v>
                </c:pt>
                <c:pt idx="717">
                  <c:v>0.29375883325958885</c:v>
                </c:pt>
                <c:pt idx="718">
                  <c:v>0.29048421826747228</c:v>
                </c:pt>
                <c:pt idx="719">
                  <c:v>0.65328793448546607</c:v>
                </c:pt>
                <c:pt idx="720">
                  <c:v>0.40597234855308129</c:v>
                </c:pt>
                <c:pt idx="721">
                  <c:v>0.34675205181837132</c:v>
                </c:pt>
                <c:pt idx="722">
                  <c:v>0.30813224036437603</c:v>
                </c:pt>
                <c:pt idx="723">
                  <c:v>0.73655669539345192</c:v>
                </c:pt>
                <c:pt idx="724">
                  <c:v>0.57823360821893122</c:v>
                </c:pt>
                <c:pt idx="725">
                  <c:v>0.59859023213868734</c:v>
                </c:pt>
                <c:pt idx="726">
                  <c:v>0.13487873738548428</c:v>
                </c:pt>
                <c:pt idx="727">
                  <c:v>0.29546269644972556</c:v>
                </c:pt>
                <c:pt idx="728">
                  <c:v>0.32603090146156388</c:v>
                </c:pt>
                <c:pt idx="729">
                  <c:v>0.33757978500179053</c:v>
                </c:pt>
                <c:pt idx="730">
                  <c:v>0.74820937362561923</c:v>
                </c:pt>
                <c:pt idx="731">
                  <c:v>0.27764838011900927</c:v>
                </c:pt>
                <c:pt idx="732">
                  <c:v>0.35867423814722743</c:v>
                </c:pt>
                <c:pt idx="733">
                  <c:v>0.90084622092110322</c:v>
                </c:pt>
                <c:pt idx="734">
                  <c:v>0.46704041484285819</c:v>
                </c:pt>
                <c:pt idx="735">
                  <c:v>0.47223006942307366</c:v>
                </c:pt>
                <c:pt idx="736">
                  <c:v>0.24224092443670298</c:v>
                </c:pt>
                <c:pt idx="737">
                  <c:v>0.56643682077984669</c:v>
                </c:pt>
                <c:pt idx="738">
                  <c:v>0.6501128157173075</c:v>
                </c:pt>
                <c:pt idx="739">
                  <c:v>2.8870589879516739E-2</c:v>
                </c:pt>
                <c:pt idx="740">
                  <c:v>0.76969947633951641</c:v>
                </c:pt>
                <c:pt idx="741">
                  <c:v>0.57063187400635673</c:v>
                </c:pt>
                <c:pt idx="742">
                  <c:v>0.11486655317725303</c:v>
                </c:pt>
                <c:pt idx="743">
                  <c:v>8.0632391019975991E-2</c:v>
                </c:pt>
                <c:pt idx="744">
                  <c:v>0.75062794741999239</c:v>
                </c:pt>
                <c:pt idx="745">
                  <c:v>0.56982995508582368</c:v>
                </c:pt>
                <c:pt idx="746">
                  <c:v>0.50786888259262364</c:v>
                </c:pt>
                <c:pt idx="747">
                  <c:v>0.6138635487105133</c:v>
                </c:pt>
                <c:pt idx="748">
                  <c:v>0.20220383189265778</c:v>
                </c:pt>
                <c:pt idx="749">
                  <c:v>0.20431422794655862</c:v>
                </c:pt>
                <c:pt idx="750">
                  <c:v>0.73696948216531677</c:v>
                </c:pt>
                <c:pt idx="751">
                  <c:v>9.2340885490351798E-2</c:v>
                </c:pt>
                <c:pt idx="752">
                  <c:v>0.4472866760915486</c:v>
                </c:pt>
                <c:pt idx="753">
                  <c:v>0.27945175133812716</c:v>
                </c:pt>
                <c:pt idx="754">
                  <c:v>0.10316106713738771</c:v>
                </c:pt>
                <c:pt idx="755">
                  <c:v>0.21735451505970316</c:v>
                </c:pt>
                <c:pt idx="756">
                  <c:v>0.61389567494380337</c:v>
                </c:pt>
                <c:pt idx="757">
                  <c:v>-3.0101002103594787E-2</c:v>
                </c:pt>
                <c:pt idx="758">
                  <c:v>-9.7222764405865636E-2</c:v>
                </c:pt>
                <c:pt idx="759">
                  <c:v>0.28497853559162944</c:v>
                </c:pt>
                <c:pt idx="760">
                  <c:v>0.26212848895673635</c:v>
                </c:pt>
                <c:pt idx="761">
                  <c:v>0.36177320394440882</c:v>
                </c:pt>
                <c:pt idx="762">
                  <c:v>0.39640050072309574</c:v>
                </c:pt>
                <c:pt idx="763">
                  <c:v>0.33714197126219791</c:v>
                </c:pt>
                <c:pt idx="764">
                  <c:v>0.1144744796272863</c:v>
                </c:pt>
                <c:pt idx="765">
                  <c:v>0.41385795901915667</c:v>
                </c:pt>
                <c:pt idx="766">
                  <c:v>0.17793674207132426</c:v>
                </c:pt>
                <c:pt idx="767">
                  <c:v>0.42388108845239314</c:v>
                </c:pt>
                <c:pt idx="768">
                  <c:v>0.25649386114165607</c:v>
                </c:pt>
                <c:pt idx="769">
                  <c:v>3.9064190745559557E-2</c:v>
                </c:pt>
                <c:pt idx="770">
                  <c:v>0.66150973718887229</c:v>
                </c:pt>
                <c:pt idx="771">
                  <c:v>0.52497041789726806</c:v>
                </c:pt>
                <c:pt idx="772">
                  <c:v>0.74064815008408624</c:v>
                </c:pt>
                <c:pt idx="773">
                  <c:v>-0.10601898017378053</c:v>
                </c:pt>
                <c:pt idx="774">
                  <c:v>0.24967304183541028</c:v>
                </c:pt>
                <c:pt idx="775">
                  <c:v>-3.3198057849087359E-2</c:v>
                </c:pt>
                <c:pt idx="776">
                  <c:v>0.2571665460357575</c:v>
                </c:pt>
                <c:pt idx="777">
                  <c:v>1.1943510969060527</c:v>
                </c:pt>
                <c:pt idx="778">
                  <c:v>2.8649651196686943E-2</c:v>
                </c:pt>
                <c:pt idx="779">
                  <c:v>-3.3639340886986169E-3</c:v>
                </c:pt>
                <c:pt idx="780">
                  <c:v>0.57843969051153477</c:v>
                </c:pt>
                <c:pt idx="781">
                  <c:v>0.29507579923779437</c:v>
                </c:pt>
                <c:pt idx="782">
                  <c:v>0.16103716456098094</c:v>
                </c:pt>
                <c:pt idx="783">
                  <c:v>0.37707039669406095</c:v>
                </c:pt>
                <c:pt idx="784">
                  <c:v>0.36543565785577981</c:v>
                </c:pt>
                <c:pt idx="785">
                  <c:v>0.55971853922968795</c:v>
                </c:pt>
                <c:pt idx="786">
                  <c:v>0.35150077965744986</c:v>
                </c:pt>
                <c:pt idx="787">
                  <c:v>0.34907265706035062</c:v>
                </c:pt>
                <c:pt idx="788">
                  <c:v>0.68037058969938591</c:v>
                </c:pt>
                <c:pt idx="789">
                  <c:v>0.36038400986912267</c:v>
                </c:pt>
                <c:pt idx="790">
                  <c:v>0.15128286358907062</c:v>
                </c:pt>
                <c:pt idx="791">
                  <c:v>-3.2229287813927421E-3</c:v>
                </c:pt>
                <c:pt idx="792">
                  <c:v>0.43531230394881337</c:v>
                </c:pt>
                <c:pt idx="793">
                  <c:v>0.51881508626848261</c:v>
                </c:pt>
                <c:pt idx="794">
                  <c:v>0.12839611487894542</c:v>
                </c:pt>
                <c:pt idx="795">
                  <c:v>0.2721758172189741</c:v>
                </c:pt>
                <c:pt idx="796">
                  <c:v>0.44572468883841454</c:v>
                </c:pt>
                <c:pt idx="797">
                  <c:v>0.2559414514552496</c:v>
                </c:pt>
                <c:pt idx="798">
                  <c:v>0.65049117276734325</c:v>
                </c:pt>
                <c:pt idx="799">
                  <c:v>0.51807888844033423</c:v>
                </c:pt>
                <c:pt idx="800">
                  <c:v>0.24229084475389584</c:v>
                </c:pt>
                <c:pt idx="801">
                  <c:v>0.51865800584084321</c:v>
                </c:pt>
                <c:pt idx="802">
                  <c:v>1.0126968084415635</c:v>
                </c:pt>
                <c:pt idx="803">
                  <c:v>0.6146624392231872</c:v>
                </c:pt>
                <c:pt idx="804">
                  <c:v>0.50564917335268023</c:v>
                </c:pt>
                <c:pt idx="805">
                  <c:v>-0.29237859390523546</c:v>
                </c:pt>
                <c:pt idx="806">
                  <c:v>0.38874227105885462</c:v>
                </c:pt>
                <c:pt idx="807">
                  <c:v>0.65915621130471314</c:v>
                </c:pt>
                <c:pt idx="808">
                  <c:v>0.59939104929099507</c:v>
                </c:pt>
                <c:pt idx="809">
                  <c:v>0.5888059414414446</c:v>
                </c:pt>
                <c:pt idx="810">
                  <c:v>0.25579301395674348</c:v>
                </c:pt>
                <c:pt idx="811">
                  <c:v>0.57148525620025215</c:v>
                </c:pt>
                <c:pt idx="812">
                  <c:v>0.14171714539670477</c:v>
                </c:pt>
                <c:pt idx="813">
                  <c:v>-0.12832325021087287</c:v>
                </c:pt>
                <c:pt idx="814">
                  <c:v>1.135283033201695E-2</c:v>
                </c:pt>
                <c:pt idx="815">
                  <c:v>0.42113700833845091</c:v>
                </c:pt>
                <c:pt idx="816">
                  <c:v>0.30674559797486234</c:v>
                </c:pt>
                <c:pt idx="817">
                  <c:v>0.24921300000884772</c:v>
                </c:pt>
                <c:pt idx="818">
                  <c:v>0.53029192997929009</c:v>
                </c:pt>
                <c:pt idx="819">
                  <c:v>0.44011176740801528</c:v>
                </c:pt>
                <c:pt idx="820">
                  <c:v>0.10739312735402562</c:v>
                </c:pt>
                <c:pt idx="821">
                  <c:v>0.74937285013258559</c:v>
                </c:pt>
                <c:pt idx="822">
                  <c:v>0.19380712448009474</c:v>
                </c:pt>
                <c:pt idx="823">
                  <c:v>0.44714837323837209</c:v>
                </c:pt>
                <c:pt idx="824">
                  <c:v>0.57551221103423567</c:v>
                </c:pt>
                <c:pt idx="825">
                  <c:v>0.48707293346581171</c:v>
                </c:pt>
                <c:pt idx="826">
                  <c:v>0.26942626536731673</c:v>
                </c:pt>
                <c:pt idx="827">
                  <c:v>0.33358037473598889</c:v>
                </c:pt>
                <c:pt idx="828">
                  <c:v>-0.17952843335329671</c:v>
                </c:pt>
                <c:pt idx="829">
                  <c:v>0.26347650000035916</c:v>
                </c:pt>
                <c:pt idx="830">
                  <c:v>0.36328653579188508</c:v>
                </c:pt>
                <c:pt idx="831">
                  <c:v>0.58909689770452234</c:v>
                </c:pt>
                <c:pt idx="832">
                  <c:v>0.49258011383351441</c:v>
                </c:pt>
                <c:pt idx="833">
                  <c:v>0.4307752901534827</c:v>
                </c:pt>
                <c:pt idx="834">
                  <c:v>0.26752364492785707</c:v>
                </c:pt>
                <c:pt idx="835">
                  <c:v>0.84206488333851448</c:v>
                </c:pt>
                <c:pt idx="836">
                  <c:v>0.18226054414355186</c:v>
                </c:pt>
                <c:pt idx="837">
                  <c:v>0.5294657403993055</c:v>
                </c:pt>
                <c:pt idx="838">
                  <c:v>0.59286059693538196</c:v>
                </c:pt>
                <c:pt idx="839">
                  <c:v>0.26876379731735112</c:v>
                </c:pt>
                <c:pt idx="840">
                  <c:v>1.4296062753013161</c:v>
                </c:pt>
                <c:pt idx="841">
                  <c:v>0.78431541152799467</c:v>
                </c:pt>
                <c:pt idx="842">
                  <c:v>0.6833135953692806</c:v>
                </c:pt>
                <c:pt idx="843">
                  <c:v>0.48644203537781827</c:v>
                </c:pt>
                <c:pt idx="844">
                  <c:v>0.40683760588109275</c:v>
                </c:pt>
                <c:pt idx="845">
                  <c:v>0.67235880516281021</c:v>
                </c:pt>
                <c:pt idx="846">
                  <c:v>0.59442534464845842</c:v>
                </c:pt>
                <c:pt idx="847">
                  <c:v>0.5867124612995247</c:v>
                </c:pt>
                <c:pt idx="848">
                  <c:v>0.54357614231590423</c:v>
                </c:pt>
                <c:pt idx="849">
                  <c:v>0.44414282142650507</c:v>
                </c:pt>
                <c:pt idx="850">
                  <c:v>0.291881892152831</c:v>
                </c:pt>
                <c:pt idx="851">
                  <c:v>0.49456250048083139</c:v>
                </c:pt>
                <c:pt idx="852">
                  <c:v>0.42370871004076704</c:v>
                </c:pt>
                <c:pt idx="853">
                  <c:v>0.38379168338888903</c:v>
                </c:pt>
                <c:pt idx="854">
                  <c:v>0.55034728010094458</c:v>
                </c:pt>
                <c:pt idx="855">
                  <c:v>0.6039156542941968</c:v>
                </c:pt>
                <c:pt idx="856">
                  <c:v>0.92577809252665855</c:v>
                </c:pt>
                <c:pt idx="857">
                  <c:v>-9.6625571221335527E-2</c:v>
                </c:pt>
                <c:pt idx="858">
                  <c:v>0.68381461794458787</c:v>
                </c:pt>
                <c:pt idx="859">
                  <c:v>-5.318430334632307E-3</c:v>
                </c:pt>
                <c:pt idx="860">
                  <c:v>0.41168221962903062</c:v>
                </c:pt>
                <c:pt idx="861">
                  <c:v>0.65185978271355394</c:v>
                </c:pt>
                <c:pt idx="862">
                  <c:v>0.39419860175790955</c:v>
                </c:pt>
                <c:pt idx="863">
                  <c:v>0.53299946448891511</c:v>
                </c:pt>
                <c:pt idx="864">
                  <c:v>0.82607029295599288</c:v>
                </c:pt>
                <c:pt idx="865">
                  <c:v>0.24582592753156529</c:v>
                </c:pt>
                <c:pt idx="866">
                  <c:v>0.39097846117404167</c:v>
                </c:pt>
                <c:pt idx="867">
                  <c:v>0.10193925251877678</c:v>
                </c:pt>
                <c:pt idx="868">
                  <c:v>0.76173157662083302</c:v>
                </c:pt>
                <c:pt idx="869">
                  <c:v>0.50580530319476802</c:v>
                </c:pt>
                <c:pt idx="870">
                  <c:v>0.48226984039341136</c:v>
                </c:pt>
                <c:pt idx="871">
                  <c:v>0.75237604603495511</c:v>
                </c:pt>
                <c:pt idx="872">
                  <c:v>0.24915483232686109</c:v>
                </c:pt>
                <c:pt idx="873">
                  <c:v>0.27386818663405621</c:v>
                </c:pt>
                <c:pt idx="874">
                  <c:v>-0.16017364050847149</c:v>
                </c:pt>
                <c:pt idx="875">
                  <c:v>0.51318207142233829</c:v>
                </c:pt>
                <c:pt idx="876">
                  <c:v>0.12851860854024633</c:v>
                </c:pt>
                <c:pt idx="877">
                  <c:v>0.27695049053836573</c:v>
                </c:pt>
                <c:pt idx="878">
                  <c:v>0.79244349516354706</c:v>
                </c:pt>
                <c:pt idx="879">
                  <c:v>-8.8917538193264534E-2</c:v>
                </c:pt>
                <c:pt idx="880">
                  <c:v>0.23432629541602878</c:v>
                </c:pt>
                <c:pt idx="881">
                  <c:v>0.17206985844848344</c:v>
                </c:pt>
                <c:pt idx="882">
                  <c:v>0.37670821048342251</c:v>
                </c:pt>
                <c:pt idx="883">
                  <c:v>0.78479684194204613</c:v>
                </c:pt>
                <c:pt idx="884">
                  <c:v>0.85854709080320335</c:v>
                </c:pt>
                <c:pt idx="885">
                  <c:v>0.39485409959214879</c:v>
                </c:pt>
                <c:pt idx="886">
                  <c:v>0.15964731074135319</c:v>
                </c:pt>
                <c:pt idx="887">
                  <c:v>0.62831808422595747</c:v>
                </c:pt>
                <c:pt idx="888">
                  <c:v>0.20988170558340213</c:v>
                </c:pt>
                <c:pt idx="889">
                  <c:v>-1.9481245319991292E-2</c:v>
                </c:pt>
                <c:pt idx="890">
                  <c:v>-0.17869007794554426</c:v>
                </c:pt>
                <c:pt idx="891">
                  <c:v>0.5372215318926794</c:v>
                </c:pt>
                <c:pt idx="892">
                  <c:v>0.81162959058023265</c:v>
                </c:pt>
                <c:pt idx="893">
                  <c:v>0.2784284417131766</c:v>
                </c:pt>
                <c:pt idx="894">
                  <c:v>0.35022264779844736</c:v>
                </c:pt>
                <c:pt idx="895">
                  <c:v>0.45733714575123496</c:v>
                </c:pt>
                <c:pt idx="896">
                  <c:v>0.62603178258554615</c:v>
                </c:pt>
                <c:pt idx="897">
                  <c:v>0.2317474091329712</c:v>
                </c:pt>
                <c:pt idx="898">
                  <c:v>1.2051965583589661</c:v>
                </c:pt>
                <c:pt idx="899">
                  <c:v>0.41113686894749213</c:v>
                </c:pt>
                <c:pt idx="900">
                  <c:v>0.60666107870308528</c:v>
                </c:pt>
                <c:pt idx="901">
                  <c:v>0.72846320974707623</c:v>
                </c:pt>
                <c:pt idx="902">
                  <c:v>0.7390131535780684</c:v>
                </c:pt>
                <c:pt idx="903">
                  <c:v>0.60596088682146942</c:v>
                </c:pt>
                <c:pt idx="904">
                  <c:v>0.38455846702549001</c:v>
                </c:pt>
                <c:pt idx="905">
                  <c:v>0.68879907160246745</c:v>
                </c:pt>
                <c:pt idx="906">
                  <c:v>0.53097699558630707</c:v>
                </c:pt>
                <c:pt idx="907">
                  <c:v>0.30103533043003683</c:v>
                </c:pt>
                <c:pt idx="908">
                  <c:v>0.38807270567195884</c:v>
                </c:pt>
                <c:pt idx="909">
                  <c:v>4.9078827525005586E-2</c:v>
                </c:pt>
                <c:pt idx="910">
                  <c:v>0.60997062817078618</c:v>
                </c:pt>
                <c:pt idx="911">
                  <c:v>0.71616084483433706</c:v>
                </c:pt>
                <c:pt idx="912">
                  <c:v>0.83842041636422104</c:v>
                </c:pt>
                <c:pt idx="913">
                  <c:v>0.50154800274030409</c:v>
                </c:pt>
                <c:pt idx="914">
                  <c:v>0.71122295302357252</c:v>
                </c:pt>
                <c:pt idx="915">
                  <c:v>0.43994508590441583</c:v>
                </c:pt>
                <c:pt idx="916">
                  <c:v>0.58083505038748973</c:v>
                </c:pt>
                <c:pt idx="917">
                  <c:v>0.83356462266806952</c:v>
                </c:pt>
                <c:pt idx="918">
                  <c:v>0.12850272615414271</c:v>
                </c:pt>
                <c:pt idx="919">
                  <c:v>0.71429105452571973</c:v>
                </c:pt>
                <c:pt idx="920">
                  <c:v>0.67327871446608434</c:v>
                </c:pt>
                <c:pt idx="921">
                  <c:v>0.70926147839709919</c:v>
                </c:pt>
                <c:pt idx="922">
                  <c:v>0.51516068301534901</c:v>
                </c:pt>
                <c:pt idx="923">
                  <c:v>0.53237760505945309</c:v>
                </c:pt>
                <c:pt idx="924">
                  <c:v>0.20059876549673739</c:v>
                </c:pt>
                <c:pt idx="925">
                  <c:v>0.26798206575650241</c:v>
                </c:pt>
                <c:pt idx="926">
                  <c:v>0.80730207532125187</c:v>
                </c:pt>
                <c:pt idx="927">
                  <c:v>0.61287584139267892</c:v>
                </c:pt>
                <c:pt idx="928">
                  <c:v>0.25796683156554145</c:v>
                </c:pt>
                <c:pt idx="929">
                  <c:v>0.41958202298658387</c:v>
                </c:pt>
                <c:pt idx="930">
                  <c:v>0.44761157391256079</c:v>
                </c:pt>
                <c:pt idx="931">
                  <c:v>0.50172399255285294</c:v>
                </c:pt>
                <c:pt idx="932">
                  <c:v>0.32501660359933782</c:v>
                </c:pt>
                <c:pt idx="933">
                  <c:v>0.48343314066140697</c:v>
                </c:pt>
                <c:pt idx="934">
                  <c:v>0.3734590236239006</c:v>
                </c:pt>
                <c:pt idx="935">
                  <c:v>0.27702088225075716</c:v>
                </c:pt>
                <c:pt idx="936">
                  <c:v>-6.3797979528354531E-2</c:v>
                </c:pt>
                <c:pt idx="937">
                  <c:v>0.7244120905484579</c:v>
                </c:pt>
                <c:pt idx="938">
                  <c:v>0.29063971881288442</c:v>
                </c:pt>
                <c:pt idx="939">
                  <c:v>6.4546450027448188E-2</c:v>
                </c:pt>
                <c:pt idx="940">
                  <c:v>0.31914760059307312</c:v>
                </c:pt>
                <c:pt idx="941">
                  <c:v>9.0068985588644512E-2</c:v>
                </c:pt>
                <c:pt idx="942">
                  <c:v>0.4461772383743674</c:v>
                </c:pt>
                <c:pt idx="943">
                  <c:v>0.76954647282647293</c:v>
                </c:pt>
                <c:pt idx="944">
                  <c:v>4.852633266282913E-2</c:v>
                </c:pt>
                <c:pt idx="945">
                  <c:v>0.87333689962747796</c:v>
                </c:pt>
                <c:pt idx="946">
                  <c:v>0.45240941258535594</c:v>
                </c:pt>
                <c:pt idx="947">
                  <c:v>0.57729260011448713</c:v>
                </c:pt>
                <c:pt idx="948">
                  <c:v>0.46227175891428995</c:v>
                </c:pt>
                <c:pt idx="949">
                  <c:v>2.7216359667684209E-2</c:v>
                </c:pt>
                <c:pt idx="950">
                  <c:v>0.62724521360204699</c:v>
                </c:pt>
                <c:pt idx="951">
                  <c:v>0.68593428535616097</c:v>
                </c:pt>
                <c:pt idx="952">
                  <c:v>0.21957678637931766</c:v>
                </c:pt>
                <c:pt idx="953">
                  <c:v>3.6812186203830422E-2</c:v>
                </c:pt>
                <c:pt idx="954">
                  <c:v>0.65452832834260599</c:v>
                </c:pt>
                <c:pt idx="955">
                  <c:v>0.40042156703423837</c:v>
                </c:pt>
                <c:pt idx="956">
                  <c:v>0.37053434447713562</c:v>
                </c:pt>
                <c:pt idx="957">
                  <c:v>0.6092895121315669</c:v>
                </c:pt>
                <c:pt idx="958">
                  <c:v>0.74335041114692757</c:v>
                </c:pt>
                <c:pt idx="959">
                  <c:v>0.44460738106880937</c:v>
                </c:pt>
                <c:pt idx="960">
                  <c:v>0.17427820234931124</c:v>
                </c:pt>
                <c:pt idx="961">
                  <c:v>0.50483508416340417</c:v>
                </c:pt>
                <c:pt idx="962">
                  <c:v>0.57346001353695719</c:v>
                </c:pt>
                <c:pt idx="963">
                  <c:v>0.42996708301866171</c:v>
                </c:pt>
                <c:pt idx="964">
                  <c:v>0.52549667507607878</c:v>
                </c:pt>
                <c:pt idx="965">
                  <c:v>0.78023369580790369</c:v>
                </c:pt>
                <c:pt idx="966">
                  <c:v>0.17411694271208278</c:v>
                </c:pt>
                <c:pt idx="967">
                  <c:v>0.37385189552590026</c:v>
                </c:pt>
                <c:pt idx="968">
                  <c:v>0.48990506244998633</c:v>
                </c:pt>
                <c:pt idx="969">
                  <c:v>0.27126323336270097</c:v>
                </c:pt>
                <c:pt idx="970">
                  <c:v>0.16963920132589827</c:v>
                </c:pt>
                <c:pt idx="971">
                  <c:v>4.993554969402636E-2</c:v>
                </c:pt>
                <c:pt idx="972">
                  <c:v>0.34881786996889685</c:v>
                </c:pt>
                <c:pt idx="973">
                  <c:v>0.26582903096608046</c:v>
                </c:pt>
                <c:pt idx="974">
                  <c:v>0.479185640826713</c:v>
                </c:pt>
                <c:pt idx="975">
                  <c:v>0.443951270823157</c:v>
                </c:pt>
                <c:pt idx="976">
                  <c:v>0.56398407430854425</c:v>
                </c:pt>
                <c:pt idx="977">
                  <c:v>0.49052018908323269</c:v>
                </c:pt>
                <c:pt idx="978">
                  <c:v>0.55235024471600536</c:v>
                </c:pt>
                <c:pt idx="979">
                  <c:v>0.29064633385674554</c:v>
                </c:pt>
                <c:pt idx="980">
                  <c:v>0.67211207671111239</c:v>
                </c:pt>
                <c:pt idx="981">
                  <c:v>0.36953645852888473</c:v>
                </c:pt>
                <c:pt idx="982">
                  <c:v>0.34100917096495209</c:v>
                </c:pt>
                <c:pt idx="983">
                  <c:v>0.46180188295139146</c:v>
                </c:pt>
                <c:pt idx="984">
                  <c:v>0.23585566886273268</c:v>
                </c:pt>
                <c:pt idx="985">
                  <c:v>8.5618809302845378E-2</c:v>
                </c:pt>
                <c:pt idx="986">
                  <c:v>0.6081604285161033</c:v>
                </c:pt>
                <c:pt idx="987">
                  <c:v>0.27997771311793507</c:v>
                </c:pt>
                <c:pt idx="988">
                  <c:v>0.5151921693933792</c:v>
                </c:pt>
                <c:pt idx="989">
                  <c:v>0.14735526426419066</c:v>
                </c:pt>
                <c:pt idx="990">
                  <c:v>0.64428261682229859</c:v>
                </c:pt>
                <c:pt idx="991">
                  <c:v>0.62108420430761724</c:v>
                </c:pt>
                <c:pt idx="992">
                  <c:v>0.8068656621973298</c:v>
                </c:pt>
                <c:pt idx="993">
                  <c:v>0.2221736909061871</c:v>
                </c:pt>
                <c:pt idx="994">
                  <c:v>0.49895334196732</c:v>
                </c:pt>
                <c:pt idx="995">
                  <c:v>0.35039985949469443</c:v>
                </c:pt>
                <c:pt idx="996">
                  <c:v>0.56199274397809429</c:v>
                </c:pt>
                <c:pt idx="997">
                  <c:v>0.80375294369541672</c:v>
                </c:pt>
                <c:pt idx="998">
                  <c:v>0.15825689149333311</c:v>
                </c:pt>
                <c:pt idx="999">
                  <c:v>0.38755459410696869</c:v>
                </c:pt>
              </c:numCache>
            </c:numRef>
          </c:xVal>
          <c:yVal>
            <c:numRef>
              <c:f>'CE-plane'!$B$2:$B$1001</c:f>
              <c:numCache>
                <c:formatCode>0.00</c:formatCode>
                <c:ptCount val="1000"/>
                <c:pt idx="0">
                  <c:v>407365.10959025193</c:v>
                </c:pt>
                <c:pt idx="1">
                  <c:v>392946.01379324554</c:v>
                </c:pt>
                <c:pt idx="2">
                  <c:v>357418.54655915638</c:v>
                </c:pt>
                <c:pt idx="3">
                  <c:v>371905.1933592764</c:v>
                </c:pt>
                <c:pt idx="4">
                  <c:v>439264.48308019701</c:v>
                </c:pt>
                <c:pt idx="5">
                  <c:v>522045.54991897783</c:v>
                </c:pt>
                <c:pt idx="6">
                  <c:v>352829.16323479317</c:v>
                </c:pt>
                <c:pt idx="7">
                  <c:v>391762.40230365499</c:v>
                </c:pt>
                <c:pt idx="8">
                  <c:v>477601.95278171403</c:v>
                </c:pt>
                <c:pt idx="9">
                  <c:v>442002.93391911103</c:v>
                </c:pt>
                <c:pt idx="10">
                  <c:v>412835.40017314069</c:v>
                </c:pt>
                <c:pt idx="11">
                  <c:v>384572.15907129063</c:v>
                </c:pt>
                <c:pt idx="12">
                  <c:v>392295.72228704818</c:v>
                </c:pt>
                <c:pt idx="13">
                  <c:v>368297.36685077153</c:v>
                </c:pt>
                <c:pt idx="14">
                  <c:v>532989.24398542475</c:v>
                </c:pt>
                <c:pt idx="15">
                  <c:v>434823.22947125993</c:v>
                </c:pt>
                <c:pt idx="16">
                  <c:v>435617.80854456965</c:v>
                </c:pt>
                <c:pt idx="17">
                  <c:v>423648.0006739184</c:v>
                </c:pt>
                <c:pt idx="18">
                  <c:v>417715.78489986708</c:v>
                </c:pt>
                <c:pt idx="19">
                  <c:v>480157.07193504763</c:v>
                </c:pt>
                <c:pt idx="20">
                  <c:v>491606.19125639671</c:v>
                </c:pt>
                <c:pt idx="21">
                  <c:v>404201.37253225641</c:v>
                </c:pt>
                <c:pt idx="22">
                  <c:v>406463.59475966182</c:v>
                </c:pt>
                <c:pt idx="23">
                  <c:v>468858.54377545964</c:v>
                </c:pt>
                <c:pt idx="24">
                  <c:v>430526.98976892105</c:v>
                </c:pt>
                <c:pt idx="25">
                  <c:v>454313.47112917603</c:v>
                </c:pt>
                <c:pt idx="26">
                  <c:v>407628.87970637117</c:v>
                </c:pt>
                <c:pt idx="27">
                  <c:v>423410.82086971821</c:v>
                </c:pt>
                <c:pt idx="28">
                  <c:v>485191.84823773592</c:v>
                </c:pt>
                <c:pt idx="29">
                  <c:v>539403.11665879237</c:v>
                </c:pt>
                <c:pt idx="30">
                  <c:v>425231.53083624982</c:v>
                </c:pt>
                <c:pt idx="31">
                  <c:v>456281.3367644219</c:v>
                </c:pt>
                <c:pt idx="32">
                  <c:v>333032.94000599475</c:v>
                </c:pt>
                <c:pt idx="33">
                  <c:v>431350.97552666039</c:v>
                </c:pt>
                <c:pt idx="34">
                  <c:v>476432.48203785019</c:v>
                </c:pt>
                <c:pt idx="35">
                  <c:v>450274.5015213287</c:v>
                </c:pt>
                <c:pt idx="36">
                  <c:v>378481.74190349987</c:v>
                </c:pt>
                <c:pt idx="37">
                  <c:v>460799.29169290647</c:v>
                </c:pt>
                <c:pt idx="38">
                  <c:v>487296.69664340117</c:v>
                </c:pt>
                <c:pt idx="39">
                  <c:v>385002.25837924005</c:v>
                </c:pt>
                <c:pt idx="40">
                  <c:v>421207.00897658698</c:v>
                </c:pt>
                <c:pt idx="41">
                  <c:v>403101.07499838667</c:v>
                </c:pt>
                <c:pt idx="42">
                  <c:v>470044.11247307702</c:v>
                </c:pt>
                <c:pt idx="43">
                  <c:v>488626.66201541957</c:v>
                </c:pt>
                <c:pt idx="44">
                  <c:v>390843.14980505139</c:v>
                </c:pt>
                <c:pt idx="45">
                  <c:v>396859.95907820982</c:v>
                </c:pt>
                <c:pt idx="46">
                  <c:v>420450.63173168764</c:v>
                </c:pt>
                <c:pt idx="47">
                  <c:v>407053.81980764843</c:v>
                </c:pt>
                <c:pt idx="48">
                  <c:v>367847.19253465917</c:v>
                </c:pt>
                <c:pt idx="49">
                  <c:v>460527.34638761531</c:v>
                </c:pt>
                <c:pt idx="50">
                  <c:v>446132.24914200103</c:v>
                </c:pt>
                <c:pt idx="51">
                  <c:v>493329.33281424589</c:v>
                </c:pt>
                <c:pt idx="52">
                  <c:v>387001.8495494168</c:v>
                </c:pt>
                <c:pt idx="53">
                  <c:v>509694.47074901441</c:v>
                </c:pt>
                <c:pt idx="54">
                  <c:v>464880.46415573667</c:v>
                </c:pt>
                <c:pt idx="55">
                  <c:v>462351.11817767215</c:v>
                </c:pt>
                <c:pt idx="56">
                  <c:v>589194.07718574174</c:v>
                </c:pt>
                <c:pt idx="57">
                  <c:v>419136.45736573229</c:v>
                </c:pt>
                <c:pt idx="58">
                  <c:v>371249.17425876937</c:v>
                </c:pt>
                <c:pt idx="59">
                  <c:v>506568.52374295518</c:v>
                </c:pt>
                <c:pt idx="60">
                  <c:v>404331.41371471388</c:v>
                </c:pt>
                <c:pt idx="61">
                  <c:v>392727.10834736237</c:v>
                </c:pt>
                <c:pt idx="62">
                  <c:v>647984.57782830158</c:v>
                </c:pt>
                <c:pt idx="63">
                  <c:v>405062.46111061831</c:v>
                </c:pt>
                <c:pt idx="64">
                  <c:v>456690.51154931297</c:v>
                </c:pt>
                <c:pt idx="65">
                  <c:v>402734.13244234549</c:v>
                </c:pt>
                <c:pt idx="66">
                  <c:v>389314.40593205625</c:v>
                </c:pt>
                <c:pt idx="67">
                  <c:v>479355.29692660732</c:v>
                </c:pt>
                <c:pt idx="68">
                  <c:v>395757.38607464451</c:v>
                </c:pt>
                <c:pt idx="69">
                  <c:v>479119.81198722514</c:v>
                </c:pt>
                <c:pt idx="70">
                  <c:v>407844.1790237762</c:v>
                </c:pt>
                <c:pt idx="71">
                  <c:v>313239.6784251068</c:v>
                </c:pt>
                <c:pt idx="72">
                  <c:v>425623.453607517</c:v>
                </c:pt>
                <c:pt idx="73">
                  <c:v>435331.19587952446</c:v>
                </c:pt>
                <c:pt idx="74">
                  <c:v>485305.41907767666</c:v>
                </c:pt>
                <c:pt idx="75">
                  <c:v>455241.7223446776</c:v>
                </c:pt>
                <c:pt idx="76">
                  <c:v>347133.75591157633</c:v>
                </c:pt>
                <c:pt idx="77">
                  <c:v>574784.70900451904</c:v>
                </c:pt>
                <c:pt idx="78">
                  <c:v>393092.29723913025</c:v>
                </c:pt>
                <c:pt idx="79">
                  <c:v>474960.24640736741</c:v>
                </c:pt>
                <c:pt idx="80">
                  <c:v>413917.78691380838</c:v>
                </c:pt>
                <c:pt idx="81">
                  <c:v>357042.61073085747</c:v>
                </c:pt>
                <c:pt idx="82">
                  <c:v>458207.1191790204</c:v>
                </c:pt>
                <c:pt idx="83">
                  <c:v>425476.01517896226</c:v>
                </c:pt>
                <c:pt idx="84">
                  <c:v>373523.99145100266</c:v>
                </c:pt>
                <c:pt idx="85">
                  <c:v>379890.84926954564</c:v>
                </c:pt>
                <c:pt idx="86">
                  <c:v>447463.60635756952</c:v>
                </c:pt>
                <c:pt idx="87">
                  <c:v>332304.58102127496</c:v>
                </c:pt>
                <c:pt idx="88">
                  <c:v>449952.60580481461</c:v>
                </c:pt>
                <c:pt idx="89">
                  <c:v>460361.5339753587</c:v>
                </c:pt>
                <c:pt idx="90">
                  <c:v>409858.60295468499</c:v>
                </c:pt>
                <c:pt idx="91">
                  <c:v>400083.72323064244</c:v>
                </c:pt>
                <c:pt idx="92">
                  <c:v>457804.71732691175</c:v>
                </c:pt>
                <c:pt idx="93">
                  <c:v>410414.90173904086</c:v>
                </c:pt>
                <c:pt idx="94">
                  <c:v>408250.82004202716</c:v>
                </c:pt>
                <c:pt idx="95">
                  <c:v>448076.44035456324</c:v>
                </c:pt>
                <c:pt idx="96">
                  <c:v>429322.99070257496</c:v>
                </c:pt>
                <c:pt idx="97">
                  <c:v>476325.02506697725</c:v>
                </c:pt>
                <c:pt idx="98">
                  <c:v>390243.87300503254</c:v>
                </c:pt>
                <c:pt idx="99">
                  <c:v>408775.25867590419</c:v>
                </c:pt>
                <c:pt idx="100">
                  <c:v>519201.74022116442</c:v>
                </c:pt>
                <c:pt idx="101">
                  <c:v>414063.97846805642</c:v>
                </c:pt>
                <c:pt idx="102">
                  <c:v>404115.00783140515</c:v>
                </c:pt>
                <c:pt idx="103">
                  <c:v>527838.34581877035</c:v>
                </c:pt>
                <c:pt idx="104">
                  <c:v>487596.01178771124</c:v>
                </c:pt>
                <c:pt idx="105">
                  <c:v>436661.32709042117</c:v>
                </c:pt>
                <c:pt idx="106">
                  <c:v>413045.56270948076</c:v>
                </c:pt>
                <c:pt idx="107">
                  <c:v>365263.52125621156</c:v>
                </c:pt>
                <c:pt idx="108">
                  <c:v>407843.58220031799</c:v>
                </c:pt>
                <c:pt idx="109">
                  <c:v>468584.54439509229</c:v>
                </c:pt>
                <c:pt idx="110">
                  <c:v>387899.03464893531</c:v>
                </c:pt>
                <c:pt idx="111">
                  <c:v>370211.75899529818</c:v>
                </c:pt>
                <c:pt idx="112">
                  <c:v>389732.03767175821</c:v>
                </c:pt>
                <c:pt idx="113">
                  <c:v>397454.60273514036</c:v>
                </c:pt>
                <c:pt idx="114">
                  <c:v>469985.05828114774</c:v>
                </c:pt>
                <c:pt idx="115">
                  <c:v>433522.26346361038</c:v>
                </c:pt>
                <c:pt idx="116">
                  <c:v>461551.39479713119</c:v>
                </c:pt>
                <c:pt idx="117">
                  <c:v>407591.88946046599</c:v>
                </c:pt>
                <c:pt idx="118">
                  <c:v>470749.47625933221</c:v>
                </c:pt>
                <c:pt idx="119">
                  <c:v>542997.51644194813</c:v>
                </c:pt>
                <c:pt idx="120">
                  <c:v>454854.83633763547</c:v>
                </c:pt>
                <c:pt idx="121">
                  <c:v>422874.16337155021</c:v>
                </c:pt>
                <c:pt idx="122">
                  <c:v>488068.59020643175</c:v>
                </c:pt>
                <c:pt idx="123">
                  <c:v>394994.1736884556</c:v>
                </c:pt>
                <c:pt idx="124">
                  <c:v>415001.34923208336</c:v>
                </c:pt>
                <c:pt idx="125">
                  <c:v>371975.80771537172</c:v>
                </c:pt>
                <c:pt idx="126">
                  <c:v>356188.78914565104</c:v>
                </c:pt>
                <c:pt idx="127">
                  <c:v>399897.26838985097</c:v>
                </c:pt>
                <c:pt idx="128">
                  <c:v>398170.72293633368</c:v>
                </c:pt>
                <c:pt idx="129">
                  <c:v>496732.33129520505</c:v>
                </c:pt>
                <c:pt idx="130">
                  <c:v>454585.44442772772</c:v>
                </c:pt>
                <c:pt idx="131">
                  <c:v>482526.49946225772</c:v>
                </c:pt>
                <c:pt idx="132">
                  <c:v>405085.81912916724</c:v>
                </c:pt>
                <c:pt idx="133">
                  <c:v>466395.75387971289</c:v>
                </c:pt>
                <c:pt idx="134">
                  <c:v>410909.77601684362</c:v>
                </c:pt>
                <c:pt idx="135">
                  <c:v>376930.15980449098</c:v>
                </c:pt>
                <c:pt idx="136">
                  <c:v>469882.38847597153</c:v>
                </c:pt>
                <c:pt idx="137">
                  <c:v>465514.72920949635</c:v>
                </c:pt>
                <c:pt idx="138">
                  <c:v>387344.09674468229</c:v>
                </c:pt>
                <c:pt idx="139">
                  <c:v>480430.55625250208</c:v>
                </c:pt>
                <c:pt idx="140">
                  <c:v>478388.79825634428</c:v>
                </c:pt>
                <c:pt idx="141">
                  <c:v>371060.56155004888</c:v>
                </c:pt>
                <c:pt idx="142">
                  <c:v>345526.50516102114</c:v>
                </c:pt>
                <c:pt idx="143">
                  <c:v>445513.24313113827</c:v>
                </c:pt>
                <c:pt idx="144">
                  <c:v>531422.03797204117</c:v>
                </c:pt>
                <c:pt idx="145">
                  <c:v>464380.16243556776</c:v>
                </c:pt>
                <c:pt idx="146">
                  <c:v>470192.90402047965</c:v>
                </c:pt>
                <c:pt idx="147">
                  <c:v>415975.60535953601</c:v>
                </c:pt>
                <c:pt idx="148">
                  <c:v>414545.28107068595</c:v>
                </c:pt>
                <c:pt idx="149">
                  <c:v>500248.39929467993</c:v>
                </c:pt>
                <c:pt idx="150">
                  <c:v>398942.3406581484</c:v>
                </c:pt>
                <c:pt idx="151">
                  <c:v>454309.64197705372</c:v>
                </c:pt>
                <c:pt idx="152">
                  <c:v>493844.30158729956</c:v>
                </c:pt>
                <c:pt idx="153">
                  <c:v>390560.94812248251</c:v>
                </c:pt>
                <c:pt idx="154">
                  <c:v>401115.11328374792</c:v>
                </c:pt>
                <c:pt idx="155">
                  <c:v>382107.75281070801</c:v>
                </c:pt>
                <c:pt idx="156">
                  <c:v>383643.77723129035</c:v>
                </c:pt>
                <c:pt idx="157">
                  <c:v>416588.55280747253</c:v>
                </c:pt>
                <c:pt idx="158">
                  <c:v>421147.01526429108</c:v>
                </c:pt>
                <c:pt idx="159">
                  <c:v>456351.62333031045</c:v>
                </c:pt>
                <c:pt idx="160">
                  <c:v>548415.18801215908</c:v>
                </c:pt>
                <c:pt idx="161">
                  <c:v>506922.41881963855</c:v>
                </c:pt>
                <c:pt idx="162">
                  <c:v>499196.68209964538</c:v>
                </c:pt>
                <c:pt idx="163">
                  <c:v>387063.10834206676</c:v>
                </c:pt>
                <c:pt idx="164">
                  <c:v>496059.62963255728</c:v>
                </c:pt>
                <c:pt idx="165">
                  <c:v>397031.13969665766</c:v>
                </c:pt>
                <c:pt idx="166">
                  <c:v>386282.19513664534</c:v>
                </c:pt>
                <c:pt idx="167">
                  <c:v>477260.00050259411</c:v>
                </c:pt>
                <c:pt idx="168">
                  <c:v>447886.41160162393</c:v>
                </c:pt>
                <c:pt idx="169">
                  <c:v>447104.0669585063</c:v>
                </c:pt>
                <c:pt idx="170">
                  <c:v>485721.35778067284</c:v>
                </c:pt>
                <c:pt idx="171">
                  <c:v>438389.45142208633</c:v>
                </c:pt>
                <c:pt idx="172">
                  <c:v>466687.72565727442</c:v>
                </c:pt>
                <c:pt idx="173">
                  <c:v>372762.86982887483</c:v>
                </c:pt>
                <c:pt idx="174">
                  <c:v>443377.28210585553</c:v>
                </c:pt>
                <c:pt idx="175">
                  <c:v>473691.04604114615</c:v>
                </c:pt>
                <c:pt idx="176">
                  <c:v>367889.28216111526</c:v>
                </c:pt>
                <c:pt idx="177">
                  <c:v>551130.49882235331</c:v>
                </c:pt>
                <c:pt idx="178">
                  <c:v>584379.86356243049</c:v>
                </c:pt>
                <c:pt idx="179">
                  <c:v>368308.19050073589</c:v>
                </c:pt>
                <c:pt idx="180">
                  <c:v>420661.46679957118</c:v>
                </c:pt>
                <c:pt idx="181">
                  <c:v>380923.05844225257</c:v>
                </c:pt>
                <c:pt idx="182">
                  <c:v>444232.53471511789</c:v>
                </c:pt>
                <c:pt idx="183">
                  <c:v>484983.13527532067</c:v>
                </c:pt>
                <c:pt idx="184">
                  <c:v>551423.76560315443</c:v>
                </c:pt>
                <c:pt idx="185">
                  <c:v>478252.19175196253</c:v>
                </c:pt>
                <c:pt idx="186">
                  <c:v>478872.56156952749</c:v>
                </c:pt>
                <c:pt idx="187">
                  <c:v>430899.68676688615</c:v>
                </c:pt>
                <c:pt idx="188">
                  <c:v>410295.2524774482</c:v>
                </c:pt>
                <c:pt idx="189">
                  <c:v>405769.79081629479</c:v>
                </c:pt>
                <c:pt idx="190">
                  <c:v>421910.38293443382</c:v>
                </c:pt>
                <c:pt idx="191">
                  <c:v>460195.5537670448</c:v>
                </c:pt>
                <c:pt idx="192">
                  <c:v>506431.10715470789</c:v>
                </c:pt>
                <c:pt idx="193">
                  <c:v>375895.19847924856</c:v>
                </c:pt>
                <c:pt idx="194">
                  <c:v>431680.78889618686</c:v>
                </c:pt>
                <c:pt idx="195">
                  <c:v>368476.25212462025</c:v>
                </c:pt>
                <c:pt idx="196">
                  <c:v>554295.46170240117</c:v>
                </c:pt>
                <c:pt idx="197">
                  <c:v>412923.07185145904</c:v>
                </c:pt>
                <c:pt idx="198">
                  <c:v>424088.26969853952</c:v>
                </c:pt>
                <c:pt idx="199">
                  <c:v>479906.63944835641</c:v>
                </c:pt>
                <c:pt idx="200">
                  <c:v>360206.93921460176</c:v>
                </c:pt>
                <c:pt idx="201">
                  <c:v>407137.80713837722</c:v>
                </c:pt>
                <c:pt idx="202">
                  <c:v>388076.73842741293</c:v>
                </c:pt>
                <c:pt idx="203">
                  <c:v>424777.16765515611</c:v>
                </c:pt>
                <c:pt idx="204">
                  <c:v>440388.91429485881</c:v>
                </c:pt>
                <c:pt idx="205">
                  <c:v>401770.57356518891</c:v>
                </c:pt>
                <c:pt idx="206">
                  <c:v>541456.82001169608</c:v>
                </c:pt>
                <c:pt idx="207">
                  <c:v>506802.87430844695</c:v>
                </c:pt>
                <c:pt idx="208">
                  <c:v>452316.04392352025</c:v>
                </c:pt>
                <c:pt idx="209">
                  <c:v>459899.6833275354</c:v>
                </c:pt>
                <c:pt idx="210">
                  <c:v>386308.57509268954</c:v>
                </c:pt>
                <c:pt idx="211">
                  <c:v>399049.23440110119</c:v>
                </c:pt>
                <c:pt idx="212">
                  <c:v>384283.58653548249</c:v>
                </c:pt>
                <c:pt idx="213">
                  <c:v>464893.21269279544</c:v>
                </c:pt>
                <c:pt idx="214">
                  <c:v>611598.88768585434</c:v>
                </c:pt>
                <c:pt idx="215">
                  <c:v>483786.04871509306</c:v>
                </c:pt>
                <c:pt idx="216">
                  <c:v>408150.91743477562</c:v>
                </c:pt>
                <c:pt idx="217">
                  <c:v>345569.87372949807</c:v>
                </c:pt>
                <c:pt idx="218">
                  <c:v>421173.78364975145</c:v>
                </c:pt>
                <c:pt idx="219">
                  <c:v>559502.83937403839</c:v>
                </c:pt>
                <c:pt idx="220">
                  <c:v>437632.52494443121</c:v>
                </c:pt>
                <c:pt idx="221">
                  <c:v>489057.68999848986</c:v>
                </c:pt>
                <c:pt idx="222">
                  <c:v>468957.66177414375</c:v>
                </c:pt>
                <c:pt idx="223">
                  <c:v>429173.23960846337</c:v>
                </c:pt>
                <c:pt idx="224">
                  <c:v>557045.3667443071</c:v>
                </c:pt>
                <c:pt idx="225">
                  <c:v>546990.63248052297</c:v>
                </c:pt>
                <c:pt idx="226">
                  <c:v>423440.5007010579</c:v>
                </c:pt>
                <c:pt idx="227">
                  <c:v>363429.19583956175</c:v>
                </c:pt>
                <c:pt idx="228">
                  <c:v>535446.05944722914</c:v>
                </c:pt>
                <c:pt idx="229">
                  <c:v>370681.00685211585</c:v>
                </c:pt>
                <c:pt idx="230">
                  <c:v>561317.37195833342</c:v>
                </c:pt>
                <c:pt idx="231">
                  <c:v>432079.55305351433</c:v>
                </c:pt>
                <c:pt idx="232">
                  <c:v>466756.31105444545</c:v>
                </c:pt>
                <c:pt idx="233">
                  <c:v>524818.54208511603</c:v>
                </c:pt>
                <c:pt idx="234">
                  <c:v>364820.70220957958</c:v>
                </c:pt>
                <c:pt idx="235">
                  <c:v>407401.86847383587</c:v>
                </c:pt>
                <c:pt idx="236">
                  <c:v>503474.61535650492</c:v>
                </c:pt>
                <c:pt idx="237">
                  <c:v>481397.83413482574</c:v>
                </c:pt>
                <c:pt idx="238">
                  <c:v>413907.8826729611</c:v>
                </c:pt>
                <c:pt idx="239">
                  <c:v>503202.76869082195</c:v>
                </c:pt>
                <c:pt idx="240">
                  <c:v>479752.98460957676</c:v>
                </c:pt>
                <c:pt idx="241">
                  <c:v>531177.58677384118</c:v>
                </c:pt>
                <c:pt idx="242">
                  <c:v>487337.66532910382</c:v>
                </c:pt>
                <c:pt idx="243">
                  <c:v>425321.27542092057</c:v>
                </c:pt>
                <c:pt idx="244">
                  <c:v>494941.94867928571</c:v>
                </c:pt>
                <c:pt idx="245">
                  <c:v>494049.24382649723</c:v>
                </c:pt>
                <c:pt idx="246">
                  <c:v>482838.9386357711</c:v>
                </c:pt>
                <c:pt idx="247">
                  <c:v>404356.73939114949</c:v>
                </c:pt>
                <c:pt idx="248">
                  <c:v>433789.56946462067</c:v>
                </c:pt>
                <c:pt idx="249">
                  <c:v>379613.1758434677</c:v>
                </c:pt>
                <c:pt idx="250">
                  <c:v>425735.50628883805</c:v>
                </c:pt>
                <c:pt idx="251">
                  <c:v>427346.74530653236</c:v>
                </c:pt>
                <c:pt idx="252">
                  <c:v>433043.13725262566</c:v>
                </c:pt>
                <c:pt idx="253">
                  <c:v>395230.50917963911</c:v>
                </c:pt>
                <c:pt idx="254">
                  <c:v>407904.96928385901</c:v>
                </c:pt>
                <c:pt idx="255">
                  <c:v>448117.94760632911</c:v>
                </c:pt>
                <c:pt idx="256">
                  <c:v>390432.81208699627</c:v>
                </c:pt>
                <c:pt idx="257">
                  <c:v>468147.2658239883</c:v>
                </c:pt>
                <c:pt idx="258">
                  <c:v>480842.13651390106</c:v>
                </c:pt>
                <c:pt idx="259">
                  <c:v>561212.85497090558</c:v>
                </c:pt>
                <c:pt idx="260">
                  <c:v>462595.70495998848</c:v>
                </c:pt>
                <c:pt idx="261">
                  <c:v>373027.5413689937</c:v>
                </c:pt>
                <c:pt idx="262">
                  <c:v>416564.22703527118</c:v>
                </c:pt>
                <c:pt idx="263">
                  <c:v>585884.08043597348</c:v>
                </c:pt>
                <c:pt idx="264">
                  <c:v>372067.43741793773</c:v>
                </c:pt>
                <c:pt idx="265">
                  <c:v>471911.58039176709</c:v>
                </c:pt>
                <c:pt idx="266">
                  <c:v>421987.6331502673</c:v>
                </c:pt>
                <c:pt idx="267">
                  <c:v>478425.16947657219</c:v>
                </c:pt>
                <c:pt idx="268">
                  <c:v>497916.91597566538</c:v>
                </c:pt>
                <c:pt idx="269">
                  <c:v>365288.62225310667</c:v>
                </c:pt>
                <c:pt idx="270">
                  <c:v>443921.95807398658</c:v>
                </c:pt>
                <c:pt idx="271">
                  <c:v>455097.90764074872</c:v>
                </c:pt>
                <c:pt idx="272">
                  <c:v>485528.28985879291</c:v>
                </c:pt>
                <c:pt idx="273">
                  <c:v>438510.81548323494</c:v>
                </c:pt>
                <c:pt idx="274">
                  <c:v>406006.06570076587</c:v>
                </c:pt>
                <c:pt idx="275">
                  <c:v>407745.95833652123</c:v>
                </c:pt>
                <c:pt idx="276">
                  <c:v>391042.44470544549</c:v>
                </c:pt>
                <c:pt idx="277">
                  <c:v>480378.99692084291</c:v>
                </c:pt>
                <c:pt idx="278">
                  <c:v>488178.02969662414</c:v>
                </c:pt>
                <c:pt idx="279">
                  <c:v>462793.08379632724</c:v>
                </c:pt>
                <c:pt idx="280">
                  <c:v>413459.66714523296</c:v>
                </c:pt>
                <c:pt idx="281">
                  <c:v>428880.36640059884</c:v>
                </c:pt>
                <c:pt idx="282">
                  <c:v>524177.09520455613</c:v>
                </c:pt>
                <c:pt idx="283">
                  <c:v>556290.79942576785</c:v>
                </c:pt>
                <c:pt idx="284">
                  <c:v>440679.52836042515</c:v>
                </c:pt>
                <c:pt idx="285">
                  <c:v>386077.76682599395</c:v>
                </c:pt>
                <c:pt idx="286">
                  <c:v>543815.68725078902</c:v>
                </c:pt>
                <c:pt idx="287">
                  <c:v>512491.41275430372</c:v>
                </c:pt>
                <c:pt idx="288">
                  <c:v>649124.75108265865</c:v>
                </c:pt>
                <c:pt idx="289">
                  <c:v>449255.15109077544</c:v>
                </c:pt>
                <c:pt idx="290">
                  <c:v>365323.21031228761</c:v>
                </c:pt>
                <c:pt idx="291">
                  <c:v>473349.13875563786</c:v>
                </c:pt>
                <c:pt idx="292">
                  <c:v>488752.89589106303</c:v>
                </c:pt>
                <c:pt idx="293">
                  <c:v>445190.71921589941</c:v>
                </c:pt>
                <c:pt idx="294">
                  <c:v>427917.37547840748</c:v>
                </c:pt>
                <c:pt idx="295">
                  <c:v>466265.20263527706</c:v>
                </c:pt>
                <c:pt idx="296">
                  <c:v>529129.31109551026</c:v>
                </c:pt>
                <c:pt idx="297">
                  <c:v>434400.29388455953</c:v>
                </c:pt>
                <c:pt idx="298">
                  <c:v>430153.12727971707</c:v>
                </c:pt>
                <c:pt idx="299">
                  <c:v>483883.8226939434</c:v>
                </c:pt>
                <c:pt idx="300">
                  <c:v>515527.81428099488</c:v>
                </c:pt>
                <c:pt idx="301">
                  <c:v>459579.73054972128</c:v>
                </c:pt>
                <c:pt idx="302">
                  <c:v>509325.57859729184</c:v>
                </c:pt>
                <c:pt idx="303">
                  <c:v>442456.27956434275</c:v>
                </c:pt>
                <c:pt idx="304">
                  <c:v>553428.38176419295</c:v>
                </c:pt>
                <c:pt idx="305">
                  <c:v>393608.60427304759</c:v>
                </c:pt>
                <c:pt idx="306">
                  <c:v>403466.6221751679</c:v>
                </c:pt>
                <c:pt idx="307">
                  <c:v>521746.05670032569</c:v>
                </c:pt>
                <c:pt idx="308">
                  <c:v>545915.8687505495</c:v>
                </c:pt>
                <c:pt idx="309">
                  <c:v>523365.92227529373</c:v>
                </c:pt>
                <c:pt idx="310">
                  <c:v>363138.99244281382</c:v>
                </c:pt>
                <c:pt idx="311">
                  <c:v>452348.23070087866</c:v>
                </c:pt>
                <c:pt idx="312">
                  <c:v>394140.4542034039</c:v>
                </c:pt>
                <c:pt idx="313">
                  <c:v>408747.04208498041</c:v>
                </c:pt>
                <c:pt idx="314">
                  <c:v>357145.51298652182</c:v>
                </c:pt>
                <c:pt idx="315">
                  <c:v>542453.63365151023</c:v>
                </c:pt>
                <c:pt idx="316">
                  <c:v>366645.64832539571</c:v>
                </c:pt>
                <c:pt idx="317">
                  <c:v>455270.38630481734</c:v>
                </c:pt>
                <c:pt idx="318">
                  <c:v>373252.01578536653</c:v>
                </c:pt>
                <c:pt idx="319">
                  <c:v>449488.1985721552</c:v>
                </c:pt>
                <c:pt idx="320">
                  <c:v>512676.3914752056</c:v>
                </c:pt>
                <c:pt idx="321">
                  <c:v>576283.08961381391</c:v>
                </c:pt>
                <c:pt idx="322">
                  <c:v>460822.81104725029</c:v>
                </c:pt>
                <c:pt idx="323">
                  <c:v>437101.48490257445</c:v>
                </c:pt>
                <c:pt idx="324">
                  <c:v>396388.15078821813</c:v>
                </c:pt>
                <c:pt idx="325">
                  <c:v>335654.74200908607</c:v>
                </c:pt>
                <c:pt idx="326">
                  <c:v>419896.13703449571</c:v>
                </c:pt>
                <c:pt idx="327">
                  <c:v>421199.6712048878</c:v>
                </c:pt>
                <c:pt idx="328">
                  <c:v>479836.53760578798</c:v>
                </c:pt>
                <c:pt idx="329">
                  <c:v>614321.66134652775</c:v>
                </c:pt>
                <c:pt idx="330">
                  <c:v>354536.26082634594</c:v>
                </c:pt>
                <c:pt idx="331">
                  <c:v>523516.94375238859</c:v>
                </c:pt>
                <c:pt idx="332">
                  <c:v>387319.0571734499</c:v>
                </c:pt>
                <c:pt idx="333">
                  <c:v>403350.24951291515</c:v>
                </c:pt>
                <c:pt idx="334">
                  <c:v>476461.19305489009</c:v>
                </c:pt>
                <c:pt idx="335">
                  <c:v>419799.96357214591</c:v>
                </c:pt>
                <c:pt idx="336">
                  <c:v>422733.4140896863</c:v>
                </c:pt>
                <c:pt idx="337">
                  <c:v>456159.92971130088</c:v>
                </c:pt>
                <c:pt idx="338">
                  <c:v>442682.54911904177</c:v>
                </c:pt>
                <c:pt idx="339">
                  <c:v>527495.80534886313</c:v>
                </c:pt>
                <c:pt idx="340">
                  <c:v>453219.69585182919</c:v>
                </c:pt>
                <c:pt idx="341">
                  <c:v>435880.86437671684</c:v>
                </c:pt>
                <c:pt idx="342">
                  <c:v>445559.49823128677</c:v>
                </c:pt>
                <c:pt idx="343">
                  <c:v>399064.14097017952</c:v>
                </c:pt>
                <c:pt idx="344">
                  <c:v>502436.30131207034</c:v>
                </c:pt>
                <c:pt idx="345">
                  <c:v>465539.29023702181</c:v>
                </c:pt>
                <c:pt idx="346">
                  <c:v>379030.98827609641</c:v>
                </c:pt>
                <c:pt idx="347">
                  <c:v>414703.62474217999</c:v>
                </c:pt>
                <c:pt idx="348">
                  <c:v>467261.76063076349</c:v>
                </c:pt>
                <c:pt idx="349">
                  <c:v>427921.34695318039</c:v>
                </c:pt>
                <c:pt idx="350">
                  <c:v>510164.49551299907</c:v>
                </c:pt>
                <c:pt idx="351">
                  <c:v>432634.67446151946</c:v>
                </c:pt>
                <c:pt idx="352">
                  <c:v>473000.30262225075</c:v>
                </c:pt>
                <c:pt idx="353">
                  <c:v>446570.03224755876</c:v>
                </c:pt>
                <c:pt idx="354">
                  <c:v>330683.41242814198</c:v>
                </c:pt>
                <c:pt idx="355">
                  <c:v>473096.05136237398</c:v>
                </c:pt>
                <c:pt idx="356">
                  <c:v>569350.93329705228</c:v>
                </c:pt>
                <c:pt idx="357">
                  <c:v>400489.36903721769</c:v>
                </c:pt>
                <c:pt idx="358">
                  <c:v>429521.85533614497</c:v>
                </c:pt>
                <c:pt idx="359">
                  <c:v>395781.66745784192</c:v>
                </c:pt>
                <c:pt idx="360">
                  <c:v>402371.75801895082</c:v>
                </c:pt>
                <c:pt idx="361">
                  <c:v>459881.04920526932</c:v>
                </c:pt>
                <c:pt idx="362">
                  <c:v>361141.68362958345</c:v>
                </c:pt>
                <c:pt idx="363">
                  <c:v>502082.08368078689</c:v>
                </c:pt>
                <c:pt idx="364">
                  <c:v>432983.24831369688</c:v>
                </c:pt>
                <c:pt idx="365">
                  <c:v>454037.15028035594</c:v>
                </c:pt>
                <c:pt idx="366">
                  <c:v>448281.72136673785</c:v>
                </c:pt>
                <c:pt idx="367">
                  <c:v>405332.2871847304</c:v>
                </c:pt>
                <c:pt idx="368">
                  <c:v>459738.22019929218</c:v>
                </c:pt>
                <c:pt idx="369">
                  <c:v>355554.4552285184</c:v>
                </c:pt>
                <c:pt idx="370">
                  <c:v>354222.67005219648</c:v>
                </c:pt>
                <c:pt idx="371">
                  <c:v>414510.87297126855</c:v>
                </c:pt>
                <c:pt idx="372">
                  <c:v>453145.12838355405</c:v>
                </c:pt>
                <c:pt idx="373">
                  <c:v>465561.30415255949</c:v>
                </c:pt>
                <c:pt idx="374">
                  <c:v>442234.39738619543</c:v>
                </c:pt>
                <c:pt idx="375">
                  <c:v>414399.50786608062</c:v>
                </c:pt>
                <c:pt idx="376">
                  <c:v>399627.15197031107</c:v>
                </c:pt>
                <c:pt idx="377">
                  <c:v>483602.7350773511</c:v>
                </c:pt>
                <c:pt idx="378">
                  <c:v>366084.7217388429</c:v>
                </c:pt>
                <c:pt idx="379">
                  <c:v>478438.18720781535</c:v>
                </c:pt>
                <c:pt idx="380">
                  <c:v>416137.89166698576</c:v>
                </c:pt>
                <c:pt idx="381">
                  <c:v>404157.67487487383</c:v>
                </c:pt>
                <c:pt idx="382">
                  <c:v>339236.599481021</c:v>
                </c:pt>
                <c:pt idx="383">
                  <c:v>420998.25408104446</c:v>
                </c:pt>
                <c:pt idx="384">
                  <c:v>404119.17305802257</c:v>
                </c:pt>
                <c:pt idx="385">
                  <c:v>472353.41057036561</c:v>
                </c:pt>
                <c:pt idx="386">
                  <c:v>365878.92722141801</c:v>
                </c:pt>
                <c:pt idx="387">
                  <c:v>505046.8123645329</c:v>
                </c:pt>
                <c:pt idx="388">
                  <c:v>478133.11213315767</c:v>
                </c:pt>
                <c:pt idx="389">
                  <c:v>434120.79237017961</c:v>
                </c:pt>
                <c:pt idx="390">
                  <c:v>372130.31980216142</c:v>
                </c:pt>
                <c:pt idx="391">
                  <c:v>484166.66665267473</c:v>
                </c:pt>
                <c:pt idx="392">
                  <c:v>402191.27267579979</c:v>
                </c:pt>
                <c:pt idx="393">
                  <c:v>402968.65872497531</c:v>
                </c:pt>
                <c:pt idx="394">
                  <c:v>354730.74762292649</c:v>
                </c:pt>
                <c:pt idx="395">
                  <c:v>518890.51277940022</c:v>
                </c:pt>
                <c:pt idx="396">
                  <c:v>417262.28167768277</c:v>
                </c:pt>
                <c:pt idx="397">
                  <c:v>470459.77249385003</c:v>
                </c:pt>
                <c:pt idx="398">
                  <c:v>372538.20049858902</c:v>
                </c:pt>
                <c:pt idx="399">
                  <c:v>352340.02376242937</c:v>
                </c:pt>
                <c:pt idx="400">
                  <c:v>450432.68310750223</c:v>
                </c:pt>
                <c:pt idx="401">
                  <c:v>404926.78179024206</c:v>
                </c:pt>
                <c:pt idx="402">
                  <c:v>422059.65701012569</c:v>
                </c:pt>
                <c:pt idx="403">
                  <c:v>398955.30924771418</c:v>
                </c:pt>
                <c:pt idx="404">
                  <c:v>509032.69218185788</c:v>
                </c:pt>
                <c:pt idx="405">
                  <c:v>456722.30874741339</c:v>
                </c:pt>
                <c:pt idx="406">
                  <c:v>527524.02700277278</c:v>
                </c:pt>
                <c:pt idx="407">
                  <c:v>610725.48488170584</c:v>
                </c:pt>
                <c:pt idx="408">
                  <c:v>530894.31805124693</c:v>
                </c:pt>
                <c:pt idx="409">
                  <c:v>521032.9029644808</c:v>
                </c:pt>
                <c:pt idx="410">
                  <c:v>582077.89858025603</c:v>
                </c:pt>
                <c:pt idx="411">
                  <c:v>403311.70094901853</c:v>
                </c:pt>
                <c:pt idx="412">
                  <c:v>357864.21984359674</c:v>
                </c:pt>
                <c:pt idx="413">
                  <c:v>496677.43569458771</c:v>
                </c:pt>
                <c:pt idx="414">
                  <c:v>367273.87850522087</c:v>
                </c:pt>
                <c:pt idx="415">
                  <c:v>456926.26867157011</c:v>
                </c:pt>
                <c:pt idx="416">
                  <c:v>390684.06584610266</c:v>
                </c:pt>
                <c:pt idx="417">
                  <c:v>422296.93955691042</c:v>
                </c:pt>
                <c:pt idx="418">
                  <c:v>435081.78032196581</c:v>
                </c:pt>
                <c:pt idx="419">
                  <c:v>448827.4879126423</c:v>
                </c:pt>
                <c:pt idx="420">
                  <c:v>425000.91382379894</c:v>
                </c:pt>
                <c:pt idx="421">
                  <c:v>423007.17853943794</c:v>
                </c:pt>
                <c:pt idx="422">
                  <c:v>407883.93987306918</c:v>
                </c:pt>
                <c:pt idx="423">
                  <c:v>462406.8809727006</c:v>
                </c:pt>
                <c:pt idx="424">
                  <c:v>430684.11967819586</c:v>
                </c:pt>
                <c:pt idx="425">
                  <c:v>431351.07261726813</c:v>
                </c:pt>
                <c:pt idx="426">
                  <c:v>362463.73282428336</c:v>
                </c:pt>
                <c:pt idx="427">
                  <c:v>431249.25437537598</c:v>
                </c:pt>
                <c:pt idx="428">
                  <c:v>369681.3977962567</c:v>
                </c:pt>
                <c:pt idx="429">
                  <c:v>507313.71459223708</c:v>
                </c:pt>
                <c:pt idx="430">
                  <c:v>505237.78229140496</c:v>
                </c:pt>
                <c:pt idx="431">
                  <c:v>371173.79142642498</c:v>
                </c:pt>
                <c:pt idx="432">
                  <c:v>408964.65668645728</c:v>
                </c:pt>
                <c:pt idx="433">
                  <c:v>441744.70772383339</c:v>
                </c:pt>
                <c:pt idx="434">
                  <c:v>357160.07801033661</c:v>
                </c:pt>
                <c:pt idx="435">
                  <c:v>535085.00127535081</c:v>
                </c:pt>
                <c:pt idx="436">
                  <c:v>408582.68019119219</c:v>
                </c:pt>
                <c:pt idx="437">
                  <c:v>537043.43437207188</c:v>
                </c:pt>
                <c:pt idx="438">
                  <c:v>406990.15482814366</c:v>
                </c:pt>
                <c:pt idx="439">
                  <c:v>385623.24881458213</c:v>
                </c:pt>
                <c:pt idx="440">
                  <c:v>433397.13943829644</c:v>
                </c:pt>
                <c:pt idx="441">
                  <c:v>407021.88667579833</c:v>
                </c:pt>
                <c:pt idx="442">
                  <c:v>422843.31016881333</c:v>
                </c:pt>
                <c:pt idx="443">
                  <c:v>563620.22019145463</c:v>
                </c:pt>
                <c:pt idx="444">
                  <c:v>396798.2016287772</c:v>
                </c:pt>
                <c:pt idx="445">
                  <c:v>443531.48188415624</c:v>
                </c:pt>
                <c:pt idx="446">
                  <c:v>483386.83381891978</c:v>
                </c:pt>
                <c:pt idx="447">
                  <c:v>496296.7205542333</c:v>
                </c:pt>
                <c:pt idx="448">
                  <c:v>523416.23094796855</c:v>
                </c:pt>
                <c:pt idx="449">
                  <c:v>502006.59063414589</c:v>
                </c:pt>
                <c:pt idx="450">
                  <c:v>417744.21336364571</c:v>
                </c:pt>
                <c:pt idx="451">
                  <c:v>369412.96625238133</c:v>
                </c:pt>
                <c:pt idx="452">
                  <c:v>482096.79232704767</c:v>
                </c:pt>
                <c:pt idx="453">
                  <c:v>393013.74134310207</c:v>
                </c:pt>
                <c:pt idx="454">
                  <c:v>364009.15820193663</c:v>
                </c:pt>
                <c:pt idx="455">
                  <c:v>435502.77362275042</c:v>
                </c:pt>
                <c:pt idx="456">
                  <c:v>508149.95917562884</c:v>
                </c:pt>
                <c:pt idx="457">
                  <c:v>437579.97525631328</c:v>
                </c:pt>
                <c:pt idx="458">
                  <c:v>567388.41765712015</c:v>
                </c:pt>
                <c:pt idx="459">
                  <c:v>356293.7840200793</c:v>
                </c:pt>
                <c:pt idx="460">
                  <c:v>449775.75218843372</c:v>
                </c:pt>
                <c:pt idx="461">
                  <c:v>519566.46310915216</c:v>
                </c:pt>
                <c:pt idx="462">
                  <c:v>527598.34296821849</c:v>
                </c:pt>
                <c:pt idx="463">
                  <c:v>501296.7743357186</c:v>
                </c:pt>
                <c:pt idx="464">
                  <c:v>418106.01254838565</c:v>
                </c:pt>
                <c:pt idx="465">
                  <c:v>467389.99929067935</c:v>
                </c:pt>
                <c:pt idx="466">
                  <c:v>441446.39246985235</c:v>
                </c:pt>
                <c:pt idx="467">
                  <c:v>453000.73342866503</c:v>
                </c:pt>
                <c:pt idx="468">
                  <c:v>397576.26682192343</c:v>
                </c:pt>
                <c:pt idx="469">
                  <c:v>427013.89273854566</c:v>
                </c:pt>
                <c:pt idx="470">
                  <c:v>570287.5174618084</c:v>
                </c:pt>
                <c:pt idx="471">
                  <c:v>371725.40834740858</c:v>
                </c:pt>
                <c:pt idx="472">
                  <c:v>477439.07587353513</c:v>
                </c:pt>
                <c:pt idx="473">
                  <c:v>489255.03338293207</c:v>
                </c:pt>
                <c:pt idx="474">
                  <c:v>411862.16249913804</c:v>
                </c:pt>
                <c:pt idx="475">
                  <c:v>419913.34042438504</c:v>
                </c:pt>
                <c:pt idx="476">
                  <c:v>500580.69356340647</c:v>
                </c:pt>
                <c:pt idx="477">
                  <c:v>373621.67062689899</c:v>
                </c:pt>
                <c:pt idx="478">
                  <c:v>403909.77264670201</c:v>
                </c:pt>
                <c:pt idx="479">
                  <c:v>372612.52093324863</c:v>
                </c:pt>
                <c:pt idx="480">
                  <c:v>372229.08618410904</c:v>
                </c:pt>
                <c:pt idx="481">
                  <c:v>363026.88751511171</c:v>
                </c:pt>
                <c:pt idx="482">
                  <c:v>393222.57212633139</c:v>
                </c:pt>
                <c:pt idx="483">
                  <c:v>455357.47379013384</c:v>
                </c:pt>
                <c:pt idx="484">
                  <c:v>433158.98163023108</c:v>
                </c:pt>
                <c:pt idx="485">
                  <c:v>433870.4407314813</c:v>
                </c:pt>
                <c:pt idx="486">
                  <c:v>438404.95518949913</c:v>
                </c:pt>
                <c:pt idx="487">
                  <c:v>455467.33322019852</c:v>
                </c:pt>
                <c:pt idx="488">
                  <c:v>519149.91901722632</c:v>
                </c:pt>
                <c:pt idx="489">
                  <c:v>332867.16246503865</c:v>
                </c:pt>
                <c:pt idx="490">
                  <c:v>466840.10079885239</c:v>
                </c:pt>
                <c:pt idx="491">
                  <c:v>492023.38866543071</c:v>
                </c:pt>
                <c:pt idx="492">
                  <c:v>423537.1089719109</c:v>
                </c:pt>
                <c:pt idx="493">
                  <c:v>418295.97622741939</c:v>
                </c:pt>
                <c:pt idx="494">
                  <c:v>399978.82475732442</c:v>
                </c:pt>
                <c:pt idx="495">
                  <c:v>427458.94710724789</c:v>
                </c:pt>
                <c:pt idx="496">
                  <c:v>492101.74060122797</c:v>
                </c:pt>
                <c:pt idx="497">
                  <c:v>447386.11602649261</c:v>
                </c:pt>
                <c:pt idx="498">
                  <c:v>503349.17634709249</c:v>
                </c:pt>
                <c:pt idx="499">
                  <c:v>479747.04367042193</c:v>
                </c:pt>
                <c:pt idx="500">
                  <c:v>524690.31372923218</c:v>
                </c:pt>
                <c:pt idx="501">
                  <c:v>494253.32244396635</c:v>
                </c:pt>
                <c:pt idx="502">
                  <c:v>453505.70103434578</c:v>
                </c:pt>
                <c:pt idx="503">
                  <c:v>462832.67933474225</c:v>
                </c:pt>
                <c:pt idx="504">
                  <c:v>429292.48440207198</c:v>
                </c:pt>
                <c:pt idx="505">
                  <c:v>356456.38888310897</c:v>
                </c:pt>
                <c:pt idx="506">
                  <c:v>438369.2551192317</c:v>
                </c:pt>
                <c:pt idx="507">
                  <c:v>449341.52500848699</c:v>
                </c:pt>
                <c:pt idx="508">
                  <c:v>466072.59912107396</c:v>
                </c:pt>
                <c:pt idx="509">
                  <c:v>521443.99938393087</c:v>
                </c:pt>
                <c:pt idx="510">
                  <c:v>476840.51328193187</c:v>
                </c:pt>
                <c:pt idx="511">
                  <c:v>574144.67324945028</c:v>
                </c:pt>
                <c:pt idx="512">
                  <c:v>514117.05247475812</c:v>
                </c:pt>
                <c:pt idx="513">
                  <c:v>540291.38958604704</c:v>
                </c:pt>
                <c:pt idx="514">
                  <c:v>444241.84662000701</c:v>
                </c:pt>
                <c:pt idx="515">
                  <c:v>596565.11704915634</c:v>
                </c:pt>
                <c:pt idx="516">
                  <c:v>484547.66356204136</c:v>
                </c:pt>
                <c:pt idx="517">
                  <c:v>390026.04061859113</c:v>
                </c:pt>
                <c:pt idx="518">
                  <c:v>432827.46786015836</c:v>
                </c:pt>
                <c:pt idx="519">
                  <c:v>350208.14011131716</c:v>
                </c:pt>
                <c:pt idx="520">
                  <c:v>471799.31297088583</c:v>
                </c:pt>
                <c:pt idx="521">
                  <c:v>349088.70859832538</c:v>
                </c:pt>
                <c:pt idx="522">
                  <c:v>424210.43583551992</c:v>
                </c:pt>
                <c:pt idx="523">
                  <c:v>486626.97558363376</c:v>
                </c:pt>
                <c:pt idx="524">
                  <c:v>556285.42960667936</c:v>
                </c:pt>
                <c:pt idx="525">
                  <c:v>416286.10197664093</c:v>
                </c:pt>
                <c:pt idx="526">
                  <c:v>459674.36750392086</c:v>
                </c:pt>
                <c:pt idx="527">
                  <c:v>507992.86065912596</c:v>
                </c:pt>
                <c:pt idx="528">
                  <c:v>299457.11835075787</c:v>
                </c:pt>
                <c:pt idx="529">
                  <c:v>539155.75311817648</c:v>
                </c:pt>
                <c:pt idx="530">
                  <c:v>529278.90840866184</c:v>
                </c:pt>
                <c:pt idx="531">
                  <c:v>366904.26941448724</c:v>
                </c:pt>
                <c:pt idx="532">
                  <c:v>427222.54721550172</c:v>
                </c:pt>
                <c:pt idx="533">
                  <c:v>444163.14038406045</c:v>
                </c:pt>
                <c:pt idx="534">
                  <c:v>485184.00366443011</c:v>
                </c:pt>
                <c:pt idx="535">
                  <c:v>457449.74750713288</c:v>
                </c:pt>
                <c:pt idx="536">
                  <c:v>352799.16701831587</c:v>
                </c:pt>
                <c:pt idx="537">
                  <c:v>538654.62973886658</c:v>
                </c:pt>
                <c:pt idx="538">
                  <c:v>484595.62038850039</c:v>
                </c:pt>
                <c:pt idx="539">
                  <c:v>438259.32520700485</c:v>
                </c:pt>
                <c:pt idx="540">
                  <c:v>443704.28563678334</c:v>
                </c:pt>
                <c:pt idx="541">
                  <c:v>552548.75229047646</c:v>
                </c:pt>
                <c:pt idx="542">
                  <c:v>537261.8447271788</c:v>
                </c:pt>
                <c:pt idx="543">
                  <c:v>382966.18636926718</c:v>
                </c:pt>
                <c:pt idx="544">
                  <c:v>454709.1121370279</c:v>
                </c:pt>
                <c:pt idx="545">
                  <c:v>497655.86679557781</c:v>
                </c:pt>
                <c:pt idx="546">
                  <c:v>530495.00441636611</c:v>
                </c:pt>
                <c:pt idx="547">
                  <c:v>554359.78717832279</c:v>
                </c:pt>
                <c:pt idx="548">
                  <c:v>418392.30276239919</c:v>
                </c:pt>
                <c:pt idx="549">
                  <c:v>574829.95532095793</c:v>
                </c:pt>
                <c:pt idx="550">
                  <c:v>352199.0348543406</c:v>
                </c:pt>
                <c:pt idx="551">
                  <c:v>644888.52833615988</c:v>
                </c:pt>
                <c:pt idx="552">
                  <c:v>385925.27304865385</c:v>
                </c:pt>
                <c:pt idx="553">
                  <c:v>418226.94903238397</c:v>
                </c:pt>
                <c:pt idx="554">
                  <c:v>550826.3231658712</c:v>
                </c:pt>
                <c:pt idx="555">
                  <c:v>531685.07137984922</c:v>
                </c:pt>
                <c:pt idx="556">
                  <c:v>559551.1451274429</c:v>
                </c:pt>
                <c:pt idx="557">
                  <c:v>430950.33326343296</c:v>
                </c:pt>
                <c:pt idx="558">
                  <c:v>417354.05393643718</c:v>
                </c:pt>
                <c:pt idx="559">
                  <c:v>457323.69224989734</c:v>
                </c:pt>
                <c:pt idx="560">
                  <c:v>449102.83420754661</c:v>
                </c:pt>
                <c:pt idx="561">
                  <c:v>487851.88467282505</c:v>
                </c:pt>
                <c:pt idx="562">
                  <c:v>609036.88146786392</c:v>
                </c:pt>
                <c:pt idx="563">
                  <c:v>437512.28244432097</c:v>
                </c:pt>
                <c:pt idx="564">
                  <c:v>462099.29533714883</c:v>
                </c:pt>
                <c:pt idx="565">
                  <c:v>446154.8293885981</c:v>
                </c:pt>
                <c:pt idx="566">
                  <c:v>568653.61902215658</c:v>
                </c:pt>
                <c:pt idx="567">
                  <c:v>391395.0944809154</c:v>
                </c:pt>
                <c:pt idx="568">
                  <c:v>520352.09186197643</c:v>
                </c:pt>
                <c:pt idx="569">
                  <c:v>535664.33697746939</c:v>
                </c:pt>
                <c:pt idx="570">
                  <c:v>447708.79501152184</c:v>
                </c:pt>
                <c:pt idx="571">
                  <c:v>529493.74647542252</c:v>
                </c:pt>
                <c:pt idx="572">
                  <c:v>547873.19160919823</c:v>
                </c:pt>
                <c:pt idx="573">
                  <c:v>384288.38737139868</c:v>
                </c:pt>
                <c:pt idx="574">
                  <c:v>409236.48040867085</c:v>
                </c:pt>
                <c:pt idx="575">
                  <c:v>490893.06142370054</c:v>
                </c:pt>
                <c:pt idx="576">
                  <c:v>393186.1406476585</c:v>
                </c:pt>
                <c:pt idx="577">
                  <c:v>393469.76663315733</c:v>
                </c:pt>
                <c:pt idx="578">
                  <c:v>435803.88739496132</c:v>
                </c:pt>
                <c:pt idx="579">
                  <c:v>452408.00208519801</c:v>
                </c:pt>
                <c:pt idx="580">
                  <c:v>471821.37409925711</c:v>
                </c:pt>
                <c:pt idx="581">
                  <c:v>442280.5013580168</c:v>
                </c:pt>
                <c:pt idx="582">
                  <c:v>368663.48212612333</c:v>
                </c:pt>
                <c:pt idx="583">
                  <c:v>424342.88780952897</c:v>
                </c:pt>
                <c:pt idx="584">
                  <c:v>452986.09684432915</c:v>
                </c:pt>
                <c:pt idx="585">
                  <c:v>411590.9580234412</c:v>
                </c:pt>
                <c:pt idx="586">
                  <c:v>591321.89138459391</c:v>
                </c:pt>
                <c:pt idx="587">
                  <c:v>484289.97012525145</c:v>
                </c:pt>
                <c:pt idx="588">
                  <c:v>338261.61010225193</c:v>
                </c:pt>
                <c:pt idx="589">
                  <c:v>410177.54581068177</c:v>
                </c:pt>
                <c:pt idx="590">
                  <c:v>418707.84479962621</c:v>
                </c:pt>
                <c:pt idx="591">
                  <c:v>432560.82207146852</c:v>
                </c:pt>
                <c:pt idx="592">
                  <c:v>508949.6474591326</c:v>
                </c:pt>
                <c:pt idx="593">
                  <c:v>481264.38088506437</c:v>
                </c:pt>
                <c:pt idx="594">
                  <c:v>440435.83947862935</c:v>
                </c:pt>
                <c:pt idx="595">
                  <c:v>451819.23307591962</c:v>
                </c:pt>
                <c:pt idx="596">
                  <c:v>399694.87237802648</c:v>
                </c:pt>
                <c:pt idx="597">
                  <c:v>447070.21892033319</c:v>
                </c:pt>
                <c:pt idx="598">
                  <c:v>544767.69001730601</c:v>
                </c:pt>
                <c:pt idx="599">
                  <c:v>505546.41522963974</c:v>
                </c:pt>
                <c:pt idx="600">
                  <c:v>489350.93425413442</c:v>
                </c:pt>
                <c:pt idx="601">
                  <c:v>503845.81899918767</c:v>
                </c:pt>
                <c:pt idx="602">
                  <c:v>459293.32468080742</c:v>
                </c:pt>
                <c:pt idx="603">
                  <c:v>361437.07214225543</c:v>
                </c:pt>
                <c:pt idx="604">
                  <c:v>438224.7083241911</c:v>
                </c:pt>
                <c:pt idx="605">
                  <c:v>519609.46253409976</c:v>
                </c:pt>
                <c:pt idx="606">
                  <c:v>400691.23296964774</c:v>
                </c:pt>
                <c:pt idx="607">
                  <c:v>397697.22840632242</c:v>
                </c:pt>
                <c:pt idx="608">
                  <c:v>547458.72352256649</c:v>
                </c:pt>
                <c:pt idx="609">
                  <c:v>426236.6618827784</c:v>
                </c:pt>
                <c:pt idx="610">
                  <c:v>417861.56437309459</c:v>
                </c:pt>
                <c:pt idx="611">
                  <c:v>500129.07238399447</c:v>
                </c:pt>
                <c:pt idx="612">
                  <c:v>472060.04726626445</c:v>
                </c:pt>
                <c:pt idx="613">
                  <c:v>389040.11916884989</c:v>
                </c:pt>
                <c:pt idx="614">
                  <c:v>426039.30889583408</c:v>
                </c:pt>
                <c:pt idx="615">
                  <c:v>471138.91420270735</c:v>
                </c:pt>
                <c:pt idx="616">
                  <c:v>596117.65092930023</c:v>
                </c:pt>
                <c:pt idx="617">
                  <c:v>359024.72150148038</c:v>
                </c:pt>
                <c:pt idx="618">
                  <c:v>449513.91159710195</c:v>
                </c:pt>
                <c:pt idx="619">
                  <c:v>423861.75632025959</c:v>
                </c:pt>
                <c:pt idx="620">
                  <c:v>373808.00387242506</c:v>
                </c:pt>
                <c:pt idx="621">
                  <c:v>459614.53545076028</c:v>
                </c:pt>
                <c:pt idx="622">
                  <c:v>514478.26439978159</c:v>
                </c:pt>
                <c:pt idx="623">
                  <c:v>379890.02315807447</c:v>
                </c:pt>
                <c:pt idx="624">
                  <c:v>369828.59767415322</c:v>
                </c:pt>
                <c:pt idx="625">
                  <c:v>406584.43743027933</c:v>
                </c:pt>
                <c:pt idx="626">
                  <c:v>350564.43036321795</c:v>
                </c:pt>
                <c:pt idx="627">
                  <c:v>448740.51157236926</c:v>
                </c:pt>
                <c:pt idx="628">
                  <c:v>602723.43186962942</c:v>
                </c:pt>
                <c:pt idx="629">
                  <c:v>457447.38164354971</c:v>
                </c:pt>
                <c:pt idx="630">
                  <c:v>503377.64936419576</c:v>
                </c:pt>
                <c:pt idx="631">
                  <c:v>446619.63685775676</c:v>
                </c:pt>
                <c:pt idx="632">
                  <c:v>388364.24248692376</c:v>
                </c:pt>
                <c:pt idx="633">
                  <c:v>566590.60799624515</c:v>
                </c:pt>
                <c:pt idx="634">
                  <c:v>417222.28713740653</c:v>
                </c:pt>
                <c:pt idx="635">
                  <c:v>499968.97220027359</c:v>
                </c:pt>
                <c:pt idx="636">
                  <c:v>428654.55882804393</c:v>
                </c:pt>
                <c:pt idx="637">
                  <c:v>434660.94274775387</c:v>
                </c:pt>
                <c:pt idx="638">
                  <c:v>453177.87641069078</c:v>
                </c:pt>
                <c:pt idx="639">
                  <c:v>392539.4356019682</c:v>
                </c:pt>
                <c:pt idx="640">
                  <c:v>377676.18807919353</c:v>
                </c:pt>
                <c:pt idx="641">
                  <c:v>520700.67596752924</c:v>
                </c:pt>
                <c:pt idx="642">
                  <c:v>416394.43551874167</c:v>
                </c:pt>
                <c:pt idx="643">
                  <c:v>310724.44134967192</c:v>
                </c:pt>
                <c:pt idx="644">
                  <c:v>422656.24631256179</c:v>
                </c:pt>
                <c:pt idx="645">
                  <c:v>426408.77079451666</c:v>
                </c:pt>
                <c:pt idx="646">
                  <c:v>445207.99456868228</c:v>
                </c:pt>
                <c:pt idx="647">
                  <c:v>461575.11692473141</c:v>
                </c:pt>
                <c:pt idx="648">
                  <c:v>445393.94443744153</c:v>
                </c:pt>
                <c:pt idx="649">
                  <c:v>440301.10304368543</c:v>
                </c:pt>
                <c:pt idx="650">
                  <c:v>412853.92541941605</c:v>
                </c:pt>
                <c:pt idx="651">
                  <c:v>490758.45604326297</c:v>
                </c:pt>
                <c:pt idx="652">
                  <c:v>467675.37434293318</c:v>
                </c:pt>
                <c:pt idx="653">
                  <c:v>339661.69163979357</c:v>
                </c:pt>
                <c:pt idx="654">
                  <c:v>345036.78271288145</c:v>
                </c:pt>
                <c:pt idx="655">
                  <c:v>431549.15571933798</c:v>
                </c:pt>
                <c:pt idx="656">
                  <c:v>561405.78673753759</c:v>
                </c:pt>
                <c:pt idx="657">
                  <c:v>498542.13108659931</c:v>
                </c:pt>
                <c:pt idx="658">
                  <c:v>404138.63625244808</c:v>
                </c:pt>
                <c:pt idx="659">
                  <c:v>486044.69371042406</c:v>
                </c:pt>
                <c:pt idx="660">
                  <c:v>448177.65286647185</c:v>
                </c:pt>
                <c:pt idx="661">
                  <c:v>527883.32400329667</c:v>
                </c:pt>
                <c:pt idx="662">
                  <c:v>438343.3776856371</c:v>
                </c:pt>
                <c:pt idx="663">
                  <c:v>404361.82568890194</c:v>
                </c:pt>
                <c:pt idx="664">
                  <c:v>380403.7006404266</c:v>
                </c:pt>
                <c:pt idx="665">
                  <c:v>537692.23318664404</c:v>
                </c:pt>
                <c:pt idx="666">
                  <c:v>451527.01609186269</c:v>
                </c:pt>
                <c:pt idx="667">
                  <c:v>493171.33477891976</c:v>
                </c:pt>
                <c:pt idx="668">
                  <c:v>406224.51997937291</c:v>
                </c:pt>
                <c:pt idx="669">
                  <c:v>517191.13508274785</c:v>
                </c:pt>
                <c:pt idx="670">
                  <c:v>456939.26965046331</c:v>
                </c:pt>
                <c:pt idx="671">
                  <c:v>451584.81990505045</c:v>
                </c:pt>
                <c:pt idx="672">
                  <c:v>425614.69408348919</c:v>
                </c:pt>
                <c:pt idx="673">
                  <c:v>409381.48659751803</c:v>
                </c:pt>
                <c:pt idx="674">
                  <c:v>400606.98690616176</c:v>
                </c:pt>
                <c:pt idx="675">
                  <c:v>504633.23968097987</c:v>
                </c:pt>
                <c:pt idx="676">
                  <c:v>338955.34167350183</c:v>
                </c:pt>
                <c:pt idx="677">
                  <c:v>484637.25763627107</c:v>
                </c:pt>
                <c:pt idx="678">
                  <c:v>437037.80673381203</c:v>
                </c:pt>
                <c:pt idx="679">
                  <c:v>541535.96510470554</c:v>
                </c:pt>
                <c:pt idx="680">
                  <c:v>465672.80037483491</c:v>
                </c:pt>
                <c:pt idx="681">
                  <c:v>543114.10497324588</c:v>
                </c:pt>
                <c:pt idx="682">
                  <c:v>420871.41141859558</c:v>
                </c:pt>
                <c:pt idx="683">
                  <c:v>427565.65884489415</c:v>
                </c:pt>
                <c:pt idx="684">
                  <c:v>514793.66765516455</c:v>
                </c:pt>
                <c:pt idx="685">
                  <c:v>407121.38114831515</c:v>
                </c:pt>
                <c:pt idx="686">
                  <c:v>442235.00552756927</c:v>
                </c:pt>
                <c:pt idx="687">
                  <c:v>454689.50677729584</c:v>
                </c:pt>
                <c:pt idx="688">
                  <c:v>399571.71303748328</c:v>
                </c:pt>
                <c:pt idx="689">
                  <c:v>545543.62692261022</c:v>
                </c:pt>
                <c:pt idx="690">
                  <c:v>541476.44630734844</c:v>
                </c:pt>
                <c:pt idx="691">
                  <c:v>334011.18737598497</c:v>
                </c:pt>
                <c:pt idx="692">
                  <c:v>330626.69848893466</c:v>
                </c:pt>
                <c:pt idx="693">
                  <c:v>371702.6748693015</c:v>
                </c:pt>
                <c:pt idx="694">
                  <c:v>494978.54588978284</c:v>
                </c:pt>
                <c:pt idx="695">
                  <c:v>472966.5580799178</c:v>
                </c:pt>
                <c:pt idx="696">
                  <c:v>428060.63059533585</c:v>
                </c:pt>
                <c:pt idx="697">
                  <c:v>516085.53027969366</c:v>
                </c:pt>
                <c:pt idx="698">
                  <c:v>443818.82898663846</c:v>
                </c:pt>
                <c:pt idx="699">
                  <c:v>419455.55169589887</c:v>
                </c:pt>
                <c:pt idx="700">
                  <c:v>407929.91118773492</c:v>
                </c:pt>
                <c:pt idx="701">
                  <c:v>436851.90583904408</c:v>
                </c:pt>
                <c:pt idx="702">
                  <c:v>384501.35161445662</c:v>
                </c:pt>
                <c:pt idx="703">
                  <c:v>519014.45090985665</c:v>
                </c:pt>
                <c:pt idx="704">
                  <c:v>395448.63624521915</c:v>
                </c:pt>
                <c:pt idx="705">
                  <c:v>489715.4443378998</c:v>
                </c:pt>
                <c:pt idx="706">
                  <c:v>555927.47543540073</c:v>
                </c:pt>
                <c:pt idx="707">
                  <c:v>495472.16515538108</c:v>
                </c:pt>
                <c:pt idx="708">
                  <c:v>407300.59978820983</c:v>
                </c:pt>
                <c:pt idx="709">
                  <c:v>479729.36526284216</c:v>
                </c:pt>
                <c:pt idx="710">
                  <c:v>643880.02964831144</c:v>
                </c:pt>
                <c:pt idx="711">
                  <c:v>395660.28144286748</c:v>
                </c:pt>
                <c:pt idx="712">
                  <c:v>443012.38226202317</c:v>
                </c:pt>
                <c:pt idx="713">
                  <c:v>402487.40149927809</c:v>
                </c:pt>
                <c:pt idx="714">
                  <c:v>332903.97501717671</c:v>
                </c:pt>
                <c:pt idx="715">
                  <c:v>408056.30682826543</c:v>
                </c:pt>
                <c:pt idx="716">
                  <c:v>426326.54966343363</c:v>
                </c:pt>
                <c:pt idx="717">
                  <c:v>497236.47265299107</c:v>
                </c:pt>
                <c:pt idx="718">
                  <c:v>484791.83865674213</c:v>
                </c:pt>
                <c:pt idx="719">
                  <c:v>457890.61001858499</c:v>
                </c:pt>
                <c:pt idx="720">
                  <c:v>485467.48424396024</c:v>
                </c:pt>
                <c:pt idx="721">
                  <c:v>505618.014807434</c:v>
                </c:pt>
                <c:pt idx="722">
                  <c:v>523490.9164474539</c:v>
                </c:pt>
                <c:pt idx="723">
                  <c:v>415395.0522012093</c:v>
                </c:pt>
                <c:pt idx="724">
                  <c:v>466856.41108286526</c:v>
                </c:pt>
                <c:pt idx="725">
                  <c:v>381404.01122039527</c:v>
                </c:pt>
                <c:pt idx="726">
                  <c:v>378909.01529850217</c:v>
                </c:pt>
                <c:pt idx="727">
                  <c:v>470028.29167838348</c:v>
                </c:pt>
                <c:pt idx="728">
                  <c:v>379226.30923201481</c:v>
                </c:pt>
                <c:pt idx="729">
                  <c:v>477022.92414193554</c:v>
                </c:pt>
                <c:pt idx="730">
                  <c:v>440812.72781015805</c:v>
                </c:pt>
                <c:pt idx="731">
                  <c:v>369631.39033968147</c:v>
                </c:pt>
                <c:pt idx="732">
                  <c:v>480629.19215332437</c:v>
                </c:pt>
                <c:pt idx="733">
                  <c:v>481062.6915413253</c:v>
                </c:pt>
                <c:pt idx="734">
                  <c:v>478074.68410931184</c:v>
                </c:pt>
                <c:pt idx="735">
                  <c:v>450023.6995701018</c:v>
                </c:pt>
                <c:pt idx="736">
                  <c:v>374356.09164883551</c:v>
                </c:pt>
                <c:pt idx="737">
                  <c:v>491404.50055529899</c:v>
                </c:pt>
                <c:pt idx="738">
                  <c:v>528098.15336529678</c:v>
                </c:pt>
                <c:pt idx="739">
                  <c:v>403901.22364222899</c:v>
                </c:pt>
                <c:pt idx="740">
                  <c:v>588176.42035321449</c:v>
                </c:pt>
                <c:pt idx="741">
                  <c:v>507757.80439705926</c:v>
                </c:pt>
                <c:pt idx="742">
                  <c:v>463252.17609982879</c:v>
                </c:pt>
                <c:pt idx="743">
                  <c:v>405504.85467816528</c:v>
                </c:pt>
                <c:pt idx="744">
                  <c:v>544013.78435852251</c:v>
                </c:pt>
                <c:pt idx="745">
                  <c:v>439366.26651486009</c:v>
                </c:pt>
                <c:pt idx="746">
                  <c:v>403597.11847245164</c:v>
                </c:pt>
                <c:pt idx="747">
                  <c:v>432141.24486606871</c:v>
                </c:pt>
                <c:pt idx="748">
                  <c:v>364326.90224867815</c:v>
                </c:pt>
                <c:pt idx="749">
                  <c:v>435324.73208668741</c:v>
                </c:pt>
                <c:pt idx="750">
                  <c:v>411828.78804256534</c:v>
                </c:pt>
                <c:pt idx="751">
                  <c:v>420080.19342818973</c:v>
                </c:pt>
                <c:pt idx="752">
                  <c:v>467394.78670867835</c:v>
                </c:pt>
                <c:pt idx="753">
                  <c:v>417670.77444715216</c:v>
                </c:pt>
                <c:pt idx="754">
                  <c:v>335965.71248471353</c:v>
                </c:pt>
                <c:pt idx="755">
                  <c:v>392900.96214924287</c:v>
                </c:pt>
                <c:pt idx="756">
                  <c:v>493673.44591408188</c:v>
                </c:pt>
                <c:pt idx="757">
                  <c:v>434783.31473393715</c:v>
                </c:pt>
                <c:pt idx="758">
                  <c:v>353185.88449196692</c:v>
                </c:pt>
                <c:pt idx="759">
                  <c:v>379693.29932993778</c:v>
                </c:pt>
                <c:pt idx="760">
                  <c:v>423181.04324275348</c:v>
                </c:pt>
                <c:pt idx="761">
                  <c:v>363288.19111998734</c:v>
                </c:pt>
                <c:pt idx="762">
                  <c:v>401442.62550675264</c:v>
                </c:pt>
                <c:pt idx="763">
                  <c:v>473299.24870478286</c:v>
                </c:pt>
                <c:pt idx="764">
                  <c:v>525193.15206048859</c:v>
                </c:pt>
                <c:pt idx="765">
                  <c:v>478348.44030559011</c:v>
                </c:pt>
                <c:pt idx="766">
                  <c:v>521565.67313518503</c:v>
                </c:pt>
                <c:pt idx="767">
                  <c:v>501402.11800311465</c:v>
                </c:pt>
                <c:pt idx="768">
                  <c:v>445528.11705019919</c:v>
                </c:pt>
                <c:pt idx="769">
                  <c:v>392480.29053004971</c:v>
                </c:pt>
                <c:pt idx="770">
                  <c:v>529915.71821469918</c:v>
                </c:pt>
                <c:pt idx="771">
                  <c:v>540679.12333338521</c:v>
                </c:pt>
                <c:pt idx="772">
                  <c:v>442726.52598037833</c:v>
                </c:pt>
                <c:pt idx="773">
                  <c:v>484369.12935952039</c:v>
                </c:pt>
                <c:pt idx="774">
                  <c:v>408370.84258930432</c:v>
                </c:pt>
                <c:pt idx="775">
                  <c:v>370611.44477819744</c:v>
                </c:pt>
                <c:pt idx="776">
                  <c:v>460518.00023041922</c:v>
                </c:pt>
                <c:pt idx="777">
                  <c:v>615702.63450030505</c:v>
                </c:pt>
                <c:pt idx="778">
                  <c:v>485950.21866530029</c:v>
                </c:pt>
                <c:pt idx="779">
                  <c:v>337596.59874005476</c:v>
                </c:pt>
                <c:pt idx="780">
                  <c:v>385794.70056544227</c:v>
                </c:pt>
                <c:pt idx="781">
                  <c:v>432227.0681176621</c:v>
                </c:pt>
                <c:pt idx="782">
                  <c:v>334451.41051933798</c:v>
                </c:pt>
                <c:pt idx="783">
                  <c:v>429820.59175580885</c:v>
                </c:pt>
                <c:pt idx="784">
                  <c:v>471581.60789172049</c:v>
                </c:pt>
                <c:pt idx="785">
                  <c:v>403595.54547735723</c:v>
                </c:pt>
                <c:pt idx="786">
                  <c:v>448068.21830226463</c:v>
                </c:pt>
                <c:pt idx="787">
                  <c:v>327140.87348876626</c:v>
                </c:pt>
                <c:pt idx="788">
                  <c:v>480343.87097532768</c:v>
                </c:pt>
                <c:pt idx="789">
                  <c:v>420444.27174069063</c:v>
                </c:pt>
                <c:pt idx="790">
                  <c:v>386918.28128514963</c:v>
                </c:pt>
                <c:pt idx="791">
                  <c:v>343955.2638181689</c:v>
                </c:pt>
                <c:pt idx="792">
                  <c:v>452134.40853187558</c:v>
                </c:pt>
                <c:pt idx="793">
                  <c:v>466753.7095963246</c:v>
                </c:pt>
                <c:pt idx="794">
                  <c:v>427417.63553289697</c:v>
                </c:pt>
                <c:pt idx="795">
                  <c:v>447305.93275544723</c:v>
                </c:pt>
                <c:pt idx="796">
                  <c:v>411680.99466388888</c:v>
                </c:pt>
                <c:pt idx="797">
                  <c:v>434293.54449856386</c:v>
                </c:pt>
                <c:pt idx="798">
                  <c:v>458370.73993413773</c:v>
                </c:pt>
                <c:pt idx="799">
                  <c:v>438247.97490726993</c:v>
                </c:pt>
                <c:pt idx="800">
                  <c:v>394702.25922600232</c:v>
                </c:pt>
                <c:pt idx="801">
                  <c:v>458211.85241027863</c:v>
                </c:pt>
                <c:pt idx="802">
                  <c:v>521105.01171198289</c:v>
                </c:pt>
                <c:pt idx="803">
                  <c:v>528096.8970312695</c:v>
                </c:pt>
                <c:pt idx="804">
                  <c:v>487730.67549200571</c:v>
                </c:pt>
                <c:pt idx="805">
                  <c:v>392630.88047261361</c:v>
                </c:pt>
                <c:pt idx="806">
                  <c:v>448488.93530315754</c:v>
                </c:pt>
                <c:pt idx="807">
                  <c:v>501023.39565338602</c:v>
                </c:pt>
                <c:pt idx="808">
                  <c:v>454811.10800579051</c:v>
                </c:pt>
                <c:pt idx="809">
                  <c:v>516617.10356120812</c:v>
                </c:pt>
                <c:pt idx="810">
                  <c:v>386867.194375308</c:v>
                </c:pt>
                <c:pt idx="811">
                  <c:v>474420.56968933169</c:v>
                </c:pt>
                <c:pt idx="812">
                  <c:v>355831.70601857302</c:v>
                </c:pt>
                <c:pt idx="813">
                  <c:v>397226.41761088552</c:v>
                </c:pt>
                <c:pt idx="814">
                  <c:v>378885.23820608103</c:v>
                </c:pt>
                <c:pt idx="815">
                  <c:v>380516.48137168074</c:v>
                </c:pt>
                <c:pt idx="816">
                  <c:v>474103.17390023475</c:v>
                </c:pt>
                <c:pt idx="817">
                  <c:v>490449.7879330276</c:v>
                </c:pt>
                <c:pt idx="818">
                  <c:v>434487.25006286852</c:v>
                </c:pt>
                <c:pt idx="819">
                  <c:v>520356.87938061578</c:v>
                </c:pt>
                <c:pt idx="820">
                  <c:v>485204.23149567755</c:v>
                </c:pt>
                <c:pt idx="821">
                  <c:v>419510.17771201977</c:v>
                </c:pt>
                <c:pt idx="822">
                  <c:v>426358.90238276869</c:v>
                </c:pt>
                <c:pt idx="823">
                  <c:v>475762.61236877227</c:v>
                </c:pt>
                <c:pt idx="824">
                  <c:v>443718.00615103624</c:v>
                </c:pt>
                <c:pt idx="825">
                  <c:v>477358.31653054507</c:v>
                </c:pt>
                <c:pt idx="826">
                  <c:v>426023.02349020145</c:v>
                </c:pt>
                <c:pt idx="827">
                  <c:v>408919.52839319</c:v>
                </c:pt>
                <c:pt idx="828">
                  <c:v>398630.30705085985</c:v>
                </c:pt>
                <c:pt idx="829">
                  <c:v>438355.0171395893</c:v>
                </c:pt>
                <c:pt idx="830">
                  <c:v>405582.45796075545</c:v>
                </c:pt>
                <c:pt idx="831">
                  <c:v>422798.23066180962</c:v>
                </c:pt>
                <c:pt idx="832">
                  <c:v>428684.88304181496</c:v>
                </c:pt>
                <c:pt idx="833">
                  <c:v>433495.12920066511</c:v>
                </c:pt>
                <c:pt idx="834">
                  <c:v>512806.85472847545</c:v>
                </c:pt>
                <c:pt idx="835">
                  <c:v>529635.16202791035</c:v>
                </c:pt>
                <c:pt idx="836">
                  <c:v>363636.53988969303</c:v>
                </c:pt>
                <c:pt idx="837">
                  <c:v>440815.31815632444</c:v>
                </c:pt>
                <c:pt idx="838">
                  <c:v>526530.75207503478</c:v>
                </c:pt>
                <c:pt idx="839">
                  <c:v>508984.08354286011</c:v>
                </c:pt>
                <c:pt idx="840">
                  <c:v>609206.6502355187</c:v>
                </c:pt>
                <c:pt idx="841">
                  <c:v>386656.93318418792</c:v>
                </c:pt>
                <c:pt idx="842">
                  <c:v>416701.24609415454</c:v>
                </c:pt>
                <c:pt idx="843">
                  <c:v>471171.04000281537</c:v>
                </c:pt>
                <c:pt idx="844">
                  <c:v>428026.69022537069</c:v>
                </c:pt>
                <c:pt idx="845">
                  <c:v>429093.91414266691</c:v>
                </c:pt>
                <c:pt idx="846">
                  <c:v>430210.83884301572</c:v>
                </c:pt>
                <c:pt idx="847">
                  <c:v>454713.57938278618</c:v>
                </c:pt>
                <c:pt idx="848">
                  <c:v>506629.30626194377</c:v>
                </c:pt>
                <c:pt idx="849">
                  <c:v>429077.06595437875</c:v>
                </c:pt>
                <c:pt idx="850">
                  <c:v>488738.5276000154</c:v>
                </c:pt>
                <c:pt idx="851">
                  <c:v>381132.24499903468</c:v>
                </c:pt>
                <c:pt idx="852">
                  <c:v>391359.0336677928</c:v>
                </c:pt>
                <c:pt idx="853">
                  <c:v>381736.01917332539</c:v>
                </c:pt>
                <c:pt idx="854">
                  <c:v>416261.28505839413</c:v>
                </c:pt>
                <c:pt idx="855">
                  <c:v>491273.65897118591</c:v>
                </c:pt>
                <c:pt idx="856">
                  <c:v>454238.65070833935</c:v>
                </c:pt>
                <c:pt idx="857">
                  <c:v>396177.71454647882</c:v>
                </c:pt>
                <c:pt idx="858">
                  <c:v>484182.86663344211</c:v>
                </c:pt>
                <c:pt idx="859">
                  <c:v>447643.43396953994</c:v>
                </c:pt>
                <c:pt idx="860">
                  <c:v>382946.64612012223</c:v>
                </c:pt>
                <c:pt idx="861">
                  <c:v>475165.48087916197</c:v>
                </c:pt>
                <c:pt idx="862">
                  <c:v>436426.22616487846</c:v>
                </c:pt>
                <c:pt idx="863">
                  <c:v>442228.24720110802</c:v>
                </c:pt>
                <c:pt idx="864">
                  <c:v>453027.46548322466</c:v>
                </c:pt>
                <c:pt idx="865">
                  <c:v>422706.46787454345</c:v>
                </c:pt>
                <c:pt idx="866">
                  <c:v>450156.03361575084</c:v>
                </c:pt>
                <c:pt idx="867">
                  <c:v>420357.49158552568</c:v>
                </c:pt>
                <c:pt idx="868">
                  <c:v>663205.27098885796</c:v>
                </c:pt>
                <c:pt idx="869">
                  <c:v>435779.06223809789</c:v>
                </c:pt>
                <c:pt idx="870">
                  <c:v>457827.25318816374</c:v>
                </c:pt>
                <c:pt idx="871">
                  <c:v>494759.46460585116</c:v>
                </c:pt>
                <c:pt idx="872">
                  <c:v>470111.85522134113</c:v>
                </c:pt>
                <c:pt idx="873">
                  <c:v>432595.35648501967</c:v>
                </c:pt>
                <c:pt idx="874">
                  <c:v>401207.31259854592</c:v>
                </c:pt>
                <c:pt idx="875">
                  <c:v>458190.68021403835</c:v>
                </c:pt>
                <c:pt idx="876">
                  <c:v>465989.95195384312</c:v>
                </c:pt>
                <c:pt idx="877">
                  <c:v>363427.41885058896</c:v>
                </c:pt>
                <c:pt idx="878">
                  <c:v>538849.26162592717</c:v>
                </c:pt>
                <c:pt idx="879">
                  <c:v>376884.92128804675</c:v>
                </c:pt>
                <c:pt idx="880">
                  <c:v>436327.91000175878</c:v>
                </c:pt>
                <c:pt idx="881">
                  <c:v>381741.26409361942</c:v>
                </c:pt>
                <c:pt idx="882">
                  <c:v>474011.70857807406</c:v>
                </c:pt>
                <c:pt idx="883">
                  <c:v>534538.10058727907</c:v>
                </c:pt>
                <c:pt idx="884">
                  <c:v>473158.15708959126</c:v>
                </c:pt>
                <c:pt idx="885">
                  <c:v>551339.96614791604</c:v>
                </c:pt>
                <c:pt idx="886">
                  <c:v>376091.86629739945</c:v>
                </c:pt>
                <c:pt idx="887">
                  <c:v>469252.36971875466</c:v>
                </c:pt>
                <c:pt idx="888">
                  <c:v>423680.18133831618</c:v>
                </c:pt>
                <c:pt idx="889">
                  <c:v>391156.83251025679</c:v>
                </c:pt>
                <c:pt idx="890">
                  <c:v>398320.98609294533</c:v>
                </c:pt>
                <c:pt idx="891">
                  <c:v>438971.14264517202</c:v>
                </c:pt>
                <c:pt idx="892">
                  <c:v>567208.55332182464</c:v>
                </c:pt>
                <c:pt idx="893">
                  <c:v>426904.39403322944</c:v>
                </c:pt>
                <c:pt idx="894">
                  <c:v>551604.76159359759</c:v>
                </c:pt>
                <c:pt idx="895">
                  <c:v>495803.05823732633</c:v>
                </c:pt>
                <c:pt idx="896">
                  <c:v>521450.81777374528</c:v>
                </c:pt>
                <c:pt idx="897">
                  <c:v>397757.03754989395</c:v>
                </c:pt>
                <c:pt idx="898">
                  <c:v>517576.22829654254</c:v>
                </c:pt>
                <c:pt idx="899">
                  <c:v>549107.82290385885</c:v>
                </c:pt>
                <c:pt idx="900">
                  <c:v>374060.93199096527</c:v>
                </c:pt>
                <c:pt idx="901">
                  <c:v>567286.90575305605</c:v>
                </c:pt>
                <c:pt idx="902">
                  <c:v>481033.69645834545</c:v>
                </c:pt>
                <c:pt idx="903">
                  <c:v>519624.83577801724</c:v>
                </c:pt>
                <c:pt idx="904">
                  <c:v>429878.28098146361</c:v>
                </c:pt>
                <c:pt idx="905">
                  <c:v>456055.52740596648</c:v>
                </c:pt>
                <c:pt idx="906">
                  <c:v>431850.50088632223</c:v>
                </c:pt>
                <c:pt idx="907">
                  <c:v>364001.77186702751</c:v>
                </c:pt>
                <c:pt idx="908">
                  <c:v>375713.36827443313</c:v>
                </c:pt>
                <c:pt idx="909">
                  <c:v>401602.76032186492</c:v>
                </c:pt>
                <c:pt idx="910">
                  <c:v>503325.31371618854</c:v>
                </c:pt>
                <c:pt idx="911">
                  <c:v>439229.00594605488</c:v>
                </c:pt>
                <c:pt idx="912">
                  <c:v>446014.63085940585</c:v>
                </c:pt>
                <c:pt idx="913">
                  <c:v>530516.14524231316</c:v>
                </c:pt>
                <c:pt idx="914">
                  <c:v>467701.51830573933</c:v>
                </c:pt>
                <c:pt idx="915">
                  <c:v>390250.76244339801</c:v>
                </c:pt>
                <c:pt idx="916">
                  <c:v>477159.88416639599</c:v>
                </c:pt>
                <c:pt idx="917">
                  <c:v>504851.36370966479</c:v>
                </c:pt>
                <c:pt idx="918">
                  <c:v>464308.68291263201</c:v>
                </c:pt>
                <c:pt idx="919">
                  <c:v>567910.74165676383</c:v>
                </c:pt>
                <c:pt idx="920">
                  <c:v>525537.78980015963</c:v>
                </c:pt>
                <c:pt idx="921">
                  <c:v>478209.63382649102</c:v>
                </c:pt>
                <c:pt idx="922">
                  <c:v>386290.27470293973</c:v>
                </c:pt>
                <c:pt idx="923">
                  <c:v>464213.64882002852</c:v>
                </c:pt>
                <c:pt idx="924">
                  <c:v>416706.28314118693</c:v>
                </c:pt>
                <c:pt idx="925">
                  <c:v>474980.80786626477</c:v>
                </c:pt>
                <c:pt idx="926">
                  <c:v>470925.49547186564</c:v>
                </c:pt>
                <c:pt idx="927">
                  <c:v>401207.58137625281</c:v>
                </c:pt>
                <c:pt idx="928">
                  <c:v>484518.38519444759</c:v>
                </c:pt>
                <c:pt idx="929">
                  <c:v>455726.65385859221</c:v>
                </c:pt>
                <c:pt idx="930">
                  <c:v>553706.23044171208</c:v>
                </c:pt>
                <c:pt idx="931">
                  <c:v>480230.10654370795</c:v>
                </c:pt>
                <c:pt idx="932">
                  <c:v>400250.63264203316</c:v>
                </c:pt>
                <c:pt idx="933">
                  <c:v>492613.61513701489</c:v>
                </c:pt>
                <c:pt idx="934">
                  <c:v>471903.20321143232</c:v>
                </c:pt>
                <c:pt idx="935">
                  <c:v>459486.38190675841</c:v>
                </c:pt>
                <c:pt idx="936">
                  <c:v>411161.83133862703</c:v>
                </c:pt>
                <c:pt idx="937">
                  <c:v>447782.82302560873</c:v>
                </c:pt>
                <c:pt idx="938">
                  <c:v>411949.31993980915</c:v>
                </c:pt>
                <c:pt idx="939">
                  <c:v>410884.6901321449</c:v>
                </c:pt>
                <c:pt idx="940">
                  <c:v>445012.68792437186</c:v>
                </c:pt>
                <c:pt idx="941">
                  <c:v>434268.62563404848</c:v>
                </c:pt>
                <c:pt idx="942">
                  <c:v>454978.55193679832</c:v>
                </c:pt>
                <c:pt idx="943">
                  <c:v>540786.29732941953</c:v>
                </c:pt>
                <c:pt idx="944">
                  <c:v>350823.72173872718</c:v>
                </c:pt>
                <c:pt idx="945">
                  <c:v>465209.92377372034</c:v>
                </c:pt>
                <c:pt idx="946">
                  <c:v>378570.3227516989</c:v>
                </c:pt>
                <c:pt idx="947">
                  <c:v>501372.68263365014</c:v>
                </c:pt>
                <c:pt idx="948">
                  <c:v>470552.87975462707</c:v>
                </c:pt>
                <c:pt idx="949">
                  <c:v>385982.69783402025</c:v>
                </c:pt>
                <c:pt idx="950">
                  <c:v>433288.73772745632</c:v>
                </c:pt>
                <c:pt idx="951">
                  <c:v>576849.76772517944</c:v>
                </c:pt>
                <c:pt idx="952">
                  <c:v>446736.44476510969</c:v>
                </c:pt>
                <c:pt idx="953">
                  <c:v>365449.6825244652</c:v>
                </c:pt>
                <c:pt idx="954">
                  <c:v>512319.159135264</c:v>
                </c:pt>
                <c:pt idx="955">
                  <c:v>420385.55920483847</c:v>
                </c:pt>
                <c:pt idx="956">
                  <c:v>524485.60173393087</c:v>
                </c:pt>
                <c:pt idx="957">
                  <c:v>535665.02763746947</c:v>
                </c:pt>
                <c:pt idx="958">
                  <c:v>524671.34463681991</c:v>
                </c:pt>
                <c:pt idx="959">
                  <c:v>422618.45843582472</c:v>
                </c:pt>
                <c:pt idx="960">
                  <c:v>449082.69954441336</c:v>
                </c:pt>
                <c:pt idx="961">
                  <c:v>446316.16642494348</c:v>
                </c:pt>
                <c:pt idx="962">
                  <c:v>464745.05245121097</c:v>
                </c:pt>
                <c:pt idx="963">
                  <c:v>418964.97749696299</c:v>
                </c:pt>
                <c:pt idx="964">
                  <c:v>444793.18867010501</c:v>
                </c:pt>
                <c:pt idx="965">
                  <c:v>451920.44072536612</c:v>
                </c:pt>
                <c:pt idx="966">
                  <c:v>472298.15861811925</c:v>
                </c:pt>
                <c:pt idx="967">
                  <c:v>406995.28412963951</c:v>
                </c:pt>
                <c:pt idx="968">
                  <c:v>430958.1604426236</c:v>
                </c:pt>
                <c:pt idx="969">
                  <c:v>439086.74365923647</c:v>
                </c:pt>
                <c:pt idx="970">
                  <c:v>363693.88027259824</c:v>
                </c:pt>
                <c:pt idx="971">
                  <c:v>438031.67142913264</c:v>
                </c:pt>
                <c:pt idx="972">
                  <c:v>410392.79811002791</c:v>
                </c:pt>
                <c:pt idx="973">
                  <c:v>393834.29539869016</c:v>
                </c:pt>
                <c:pt idx="974">
                  <c:v>482760.79294848989</c:v>
                </c:pt>
                <c:pt idx="975">
                  <c:v>428803.45845305384</c:v>
                </c:pt>
                <c:pt idx="976">
                  <c:v>501930.23443398136</c:v>
                </c:pt>
                <c:pt idx="977">
                  <c:v>395929.1847791496</c:v>
                </c:pt>
                <c:pt idx="978">
                  <c:v>421947.93936128402</c:v>
                </c:pt>
                <c:pt idx="979">
                  <c:v>445395.36029765155</c:v>
                </c:pt>
                <c:pt idx="980">
                  <c:v>458259.94421874976</c:v>
                </c:pt>
                <c:pt idx="981">
                  <c:v>529337.34731218999</c:v>
                </c:pt>
                <c:pt idx="982">
                  <c:v>429413.76518831425</c:v>
                </c:pt>
                <c:pt idx="983">
                  <c:v>462002.17897287291</c:v>
                </c:pt>
                <c:pt idx="984">
                  <c:v>386146.51897236408</c:v>
                </c:pt>
                <c:pt idx="985">
                  <c:v>363534.394277082</c:v>
                </c:pt>
                <c:pt idx="986">
                  <c:v>507132.44279750326</c:v>
                </c:pt>
                <c:pt idx="987">
                  <c:v>399236.98584404367</c:v>
                </c:pt>
                <c:pt idx="988">
                  <c:v>431613.9598433841</c:v>
                </c:pt>
                <c:pt idx="989">
                  <c:v>437292.01784630888</c:v>
                </c:pt>
                <c:pt idx="990">
                  <c:v>446960.16591976315</c:v>
                </c:pt>
                <c:pt idx="991">
                  <c:v>416660.89392998256</c:v>
                </c:pt>
                <c:pt idx="992">
                  <c:v>479998.94754041568</c:v>
                </c:pt>
                <c:pt idx="993">
                  <c:v>385950.77227914351</c:v>
                </c:pt>
                <c:pt idx="994">
                  <c:v>452131.37712251511</c:v>
                </c:pt>
                <c:pt idx="995">
                  <c:v>454636.85927140096</c:v>
                </c:pt>
                <c:pt idx="996">
                  <c:v>575803.93321868416</c:v>
                </c:pt>
                <c:pt idx="997">
                  <c:v>421681.9454253146</c:v>
                </c:pt>
                <c:pt idx="998">
                  <c:v>466651.48387823644</c:v>
                </c:pt>
                <c:pt idx="999">
                  <c:v>416464.16509364505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4E1-44FF-BBAE-153B3C2CE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243300"/>
        <c:axId val="323575"/>
      </c:scatterChart>
      <c:valAx>
        <c:axId val="5024330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en-US" sz="15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500" b="1" strike="noStrike" spc="-1">
                    <a:solidFill>
                      <a:srgbClr val="000000"/>
                    </a:solidFill>
                    <a:latin typeface="Calibri"/>
                  </a:rPr>
                  <a:t>Difference in QALYs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5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endParaRPr lang="nl-NL"/>
          </a:p>
        </c:txPr>
        <c:crossAx val="323575"/>
        <c:crosses val="autoZero"/>
        <c:crossBetween val="midCat"/>
      </c:valAx>
      <c:valAx>
        <c:axId val="32357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5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500" b="1" strike="noStrike" spc="-1">
                    <a:solidFill>
                      <a:srgbClr val="000000"/>
                    </a:solidFill>
                    <a:latin typeface="Calibri"/>
                  </a:rPr>
                  <a:t>Difference in costs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500" b="0" strike="noStrike" spc="-1">
                <a:solidFill>
                  <a:srgbClr val="000000"/>
                </a:solidFill>
                <a:latin typeface="Calibri"/>
              </a:defRPr>
            </a:pPr>
            <a:endParaRPr lang="nl-NL"/>
          </a:p>
        </c:txPr>
        <c:crossAx val="50243300"/>
        <c:crosses val="autoZero"/>
        <c:crossBetween val="midCat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en-US"/>
  <c:roundedCorners val="1"/>
  <c:style val="2"/>
  <c:chart>
    <c:title>
      <c:tx>
        <c:rich>
          <a:bodyPr rot="0"/>
          <a:lstStyle/>
          <a:p>
            <a:pPr>
              <a:defRPr lang="nl-NL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nl-NL" sz="1800" b="1" strike="noStrike" spc="-1">
                <a:solidFill>
                  <a:srgbClr val="000000"/>
                </a:solidFill>
                <a:latin typeface="Calibri"/>
              </a:rPr>
              <a:t>CEAC 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CEAC</c:v>
          </c:tx>
          <c:spPr>
            <a:ln w="57150">
              <a:solidFill>
                <a:srgbClr val="7BA79D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CEAC!$A$2:$A$42</c:f>
              <c:numCache>
                <c:formatCode>0.00</c:formatCode>
                <c:ptCount val="41"/>
                <c:pt idx="0">
                  <c:v>0</c:v>
                </c:pt>
                <c:pt idx="1">
                  <c:v>50000</c:v>
                </c:pt>
                <c:pt idx="2">
                  <c:v>100000</c:v>
                </c:pt>
                <c:pt idx="3">
                  <c:v>150000</c:v>
                </c:pt>
                <c:pt idx="4">
                  <c:v>200000</c:v>
                </c:pt>
                <c:pt idx="5">
                  <c:v>250000</c:v>
                </c:pt>
                <c:pt idx="6">
                  <c:v>300000</c:v>
                </c:pt>
                <c:pt idx="7">
                  <c:v>350000</c:v>
                </c:pt>
                <c:pt idx="8">
                  <c:v>400000</c:v>
                </c:pt>
                <c:pt idx="9">
                  <c:v>450000</c:v>
                </c:pt>
                <c:pt idx="10">
                  <c:v>500000</c:v>
                </c:pt>
                <c:pt idx="11">
                  <c:v>550000</c:v>
                </c:pt>
                <c:pt idx="12">
                  <c:v>600000</c:v>
                </c:pt>
                <c:pt idx="13">
                  <c:v>650000</c:v>
                </c:pt>
                <c:pt idx="14">
                  <c:v>700000</c:v>
                </c:pt>
                <c:pt idx="15">
                  <c:v>750000</c:v>
                </c:pt>
                <c:pt idx="16">
                  <c:v>800000</c:v>
                </c:pt>
                <c:pt idx="17">
                  <c:v>850000</c:v>
                </c:pt>
                <c:pt idx="18">
                  <c:v>900000</c:v>
                </c:pt>
                <c:pt idx="19">
                  <c:v>950000</c:v>
                </c:pt>
                <c:pt idx="20">
                  <c:v>1000000</c:v>
                </c:pt>
                <c:pt idx="21">
                  <c:v>1050000</c:v>
                </c:pt>
                <c:pt idx="22">
                  <c:v>1100000</c:v>
                </c:pt>
                <c:pt idx="23">
                  <c:v>1150000</c:v>
                </c:pt>
                <c:pt idx="24">
                  <c:v>1200000</c:v>
                </c:pt>
                <c:pt idx="25">
                  <c:v>1250000</c:v>
                </c:pt>
                <c:pt idx="26">
                  <c:v>1300000</c:v>
                </c:pt>
                <c:pt idx="27">
                  <c:v>1350000</c:v>
                </c:pt>
                <c:pt idx="28">
                  <c:v>1400000</c:v>
                </c:pt>
                <c:pt idx="29">
                  <c:v>1450000</c:v>
                </c:pt>
                <c:pt idx="30">
                  <c:v>1500000</c:v>
                </c:pt>
                <c:pt idx="31">
                  <c:v>1550000</c:v>
                </c:pt>
                <c:pt idx="32">
                  <c:v>1600000</c:v>
                </c:pt>
                <c:pt idx="33">
                  <c:v>1650000</c:v>
                </c:pt>
                <c:pt idx="34">
                  <c:v>1700000</c:v>
                </c:pt>
                <c:pt idx="35">
                  <c:v>1750000</c:v>
                </c:pt>
                <c:pt idx="36">
                  <c:v>1800000</c:v>
                </c:pt>
                <c:pt idx="37">
                  <c:v>1850000</c:v>
                </c:pt>
                <c:pt idx="38">
                  <c:v>1900000</c:v>
                </c:pt>
                <c:pt idx="39">
                  <c:v>1950000</c:v>
                </c:pt>
                <c:pt idx="40">
                  <c:v>2000000</c:v>
                </c:pt>
              </c:numCache>
            </c:numRef>
          </c:xVal>
          <c:yVal>
            <c:numRef>
              <c:f>CEAC!$B$2:$B$42</c:f>
              <c:numCache>
                <c:formatCode>0.00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7.0000000000000001E-3</c:v>
                </c:pt>
                <c:pt idx="10">
                  <c:v>1.4E-2</c:v>
                </c:pt>
                <c:pt idx="11">
                  <c:v>3.3000000000000002E-2</c:v>
                </c:pt>
                <c:pt idx="12">
                  <c:v>5.8999999999999997E-2</c:v>
                </c:pt>
                <c:pt idx="13">
                  <c:v>0.10100000000000001</c:v>
                </c:pt>
                <c:pt idx="14">
                  <c:v>0.155</c:v>
                </c:pt>
                <c:pt idx="15">
                  <c:v>0.20799999999999999</c:v>
                </c:pt>
                <c:pt idx="16">
                  <c:v>0.25800000000000001</c:v>
                </c:pt>
                <c:pt idx="17">
                  <c:v>0.32200000000000001</c:v>
                </c:pt>
                <c:pt idx="18">
                  <c:v>0.378</c:v>
                </c:pt>
                <c:pt idx="19">
                  <c:v>0.41899999999999998</c:v>
                </c:pt>
                <c:pt idx="20">
                  <c:v>0.45700000000000002</c:v>
                </c:pt>
                <c:pt idx="21">
                  <c:v>0.497</c:v>
                </c:pt>
                <c:pt idx="22">
                  <c:v>0.52600000000000002</c:v>
                </c:pt>
                <c:pt idx="23">
                  <c:v>0.55100000000000005</c:v>
                </c:pt>
                <c:pt idx="24">
                  <c:v>0.57799999999999996</c:v>
                </c:pt>
                <c:pt idx="25">
                  <c:v>0.60299999999999998</c:v>
                </c:pt>
                <c:pt idx="26">
                  <c:v>0.621</c:v>
                </c:pt>
                <c:pt idx="27">
                  <c:v>0.63700000000000001</c:v>
                </c:pt>
                <c:pt idx="28">
                  <c:v>0.64600000000000002</c:v>
                </c:pt>
                <c:pt idx="29">
                  <c:v>0.67200000000000004</c:v>
                </c:pt>
                <c:pt idx="30">
                  <c:v>0.68300000000000005</c:v>
                </c:pt>
                <c:pt idx="31">
                  <c:v>0.69299999999999995</c:v>
                </c:pt>
                <c:pt idx="32">
                  <c:v>0.70299999999999996</c:v>
                </c:pt>
                <c:pt idx="33">
                  <c:v>0.72399999999999998</c:v>
                </c:pt>
                <c:pt idx="34">
                  <c:v>0.73799999999999999</c:v>
                </c:pt>
                <c:pt idx="35">
                  <c:v>0.745</c:v>
                </c:pt>
                <c:pt idx="36">
                  <c:v>0.747</c:v>
                </c:pt>
                <c:pt idx="37">
                  <c:v>0.753</c:v>
                </c:pt>
                <c:pt idx="38">
                  <c:v>0.76200000000000001</c:v>
                </c:pt>
                <c:pt idx="39">
                  <c:v>0.77</c:v>
                </c:pt>
                <c:pt idx="40">
                  <c:v>0.77400000000000002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DE-4DF1-A70D-A5C80D350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99203"/>
        <c:axId val="31935443"/>
      </c:scatterChart>
      <c:valAx>
        <c:axId val="4209920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en-US" sz="15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500" b="1" strike="noStrike" spc="-1">
                    <a:solidFill>
                      <a:srgbClr val="000000"/>
                    </a:solidFill>
                    <a:latin typeface="Calibri"/>
                  </a:rPr>
                  <a:t>Threshold ICER (in</a:t>
                </a:r>
                <a:r>
                  <a:rPr lang="en-US" sz="1500" b="1" strike="noStrike" spc="-1" baseline="0%">
                    <a:solidFill>
                      <a:srgbClr val="000000"/>
                    </a:solidFill>
                    <a:latin typeface="Calibri"/>
                  </a:rPr>
                  <a:t> </a:t>
                </a:r>
                <a:r>
                  <a:rPr lang="nl-NL" sz="1500" b="1" i="0" strike="noStrike" baseline="0%"/>
                  <a:t>€)</a:t>
                </a:r>
                <a:endParaRPr lang="en-US" sz="1500" b="1" strike="noStrike" spc="-1">
                  <a:solidFill>
                    <a:srgbClr val="000000"/>
                  </a:solidFill>
                  <a:latin typeface="Calibri"/>
                </a:endParaRP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5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endParaRPr lang="nl-NL"/>
          </a:p>
        </c:txPr>
        <c:crossAx val="31935443"/>
        <c:crosses val="autoZero"/>
        <c:crossBetween val="midCat"/>
      </c:valAx>
      <c:valAx>
        <c:axId val="31935443"/>
        <c:scaling>
          <c:orientation val="minMax"/>
          <c:max val="1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5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500" b="1" strike="noStrike" spc="-1">
                    <a:solidFill>
                      <a:srgbClr val="000000"/>
                    </a:solidFill>
                    <a:latin typeface="Calibri"/>
                  </a:rPr>
                  <a:t>Probability Inavolisib is cost-effective compared to comparator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0.00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500" b="0" strike="noStrike" spc="-1">
                <a:solidFill>
                  <a:srgbClr val="000000"/>
                </a:solidFill>
                <a:latin typeface="Calibri"/>
              </a:defRPr>
            </a:pPr>
            <a:endParaRPr lang="nl-NL"/>
          </a:p>
        </c:txPr>
        <c:crossAx val="42099203"/>
        <c:crosses val="autoZero"/>
        <c:crossBetween val="midCat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purl.oclc.org/ooxml/officeDocument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purl.oclc.org/ooxml/officeDocument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purl.oclc.org/ooxml/officeDocument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purl.oclc.org/ooxml/officeDocument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1" Type="http://purl.oclc.org/ooxml/officeDocument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purl.oclc.org/ooxml/officeDocument/relationships/chart" Target="../charts/chart4.xml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1995714</xdr:colOff>
      <xdr:row>2</xdr:row>
      <xdr:rowOff>60476</xdr:rowOff>
    </xdr:from>
    <xdr:to>
      <xdr:col>6</xdr:col>
      <xdr:colOff>831512</xdr:colOff>
      <xdr:row>20</xdr:row>
      <xdr:rowOff>174961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C93908-A05F-7CB8-A34C-D8DC84F8382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/>
        <a:stretch>
          <a:fillRect/>
        </a:stretch>
      </xdr:blipFill>
      <xdr:spPr>
        <a:xfrm>
          <a:off x="1995714" y="559405"/>
          <a:ext cx="5200917" cy="360698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purl.oclc.org/ooxml/drawingml/spreadsheetDrawing" xmlns:a="http://purl.oclc.org/ooxml/drawingml/main">
  <xdr:twoCellAnchor editAs="oneCell">
    <xdr:from>
      <xdr:col>2</xdr:col>
      <xdr:colOff>215900</xdr:colOff>
      <xdr:row>1</xdr:row>
      <xdr:rowOff>215900</xdr:rowOff>
    </xdr:from>
    <xdr:to>
      <xdr:col>3</xdr:col>
      <xdr:colOff>330200</xdr:colOff>
      <xdr:row>2</xdr:row>
      <xdr:rowOff>50800</xdr:rowOff>
    </xdr:to>
    <xdr:sp macro="" textlink="">
      <xdr:nvSpPr>
        <xdr:cNvPr id="1001" name="Button 5">
          <a:extLst>
            <a:ext uri="{63B3BB69-23CF-44E3-9099-C40C66FF867C}">
              <a14:compatExt xmlns:a14="http://schemas.microsoft.com/office/drawing/2010/main" spid="_x0000_s1001"/>
            </a:ext>
            <a:ext uri="{FF2B5EF4-FFF2-40B4-BE49-F238E27FC236}">
              <a16:creationId xmlns:a16="http://schemas.microsoft.com/office/drawing/2014/main" id="{00000000-0008-0000-0D00-0000E90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%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defRPr sz="1000"/>
          </a:pPr>
          <a:r>
            <a:rPr lang="en-US" sz="1100" b="0" i="0" u="none" strike="noStrike" baseline="0%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RUN PSA</a:t>
          </a:r>
        </a:p>
      </xdr:txBody>
    </xdr:sp>
    <xdr:clientData/>
  </xdr:twoCellAnchor>
</xdr:wsDr>
</file>

<file path=xl/drawings/drawing11.xml><?xml version="1.0" encoding="utf-8"?>
<xdr:wsDr xmlns:xdr="http://purl.oclc.org/ooxml/drawingml/spreadsheetDrawing" xmlns:a="http://purl.oclc.org/ooxml/drawingml/main">
  <xdr:twoCellAnchor editAs="oneCell">
    <xdr:from>
      <xdr:col>4</xdr:col>
      <xdr:colOff>214560</xdr:colOff>
      <xdr:row>0</xdr:row>
      <xdr:rowOff>452880</xdr:rowOff>
    </xdr:from>
    <xdr:to>
      <xdr:col>20</xdr:col>
      <xdr:colOff>159120</xdr:colOff>
      <xdr:row>30</xdr:row>
      <xdr:rowOff>87480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twoCellAnchor>
</xdr:wsDr>
</file>

<file path=xl/drawings/drawing12.xml><?xml version="1.0" encoding="utf-8"?>
<xdr:wsDr xmlns:xdr="http://purl.oclc.org/ooxml/drawingml/spreadsheetDrawing" xmlns:a="http://purl.oclc.org/ooxml/drawingml/main">
  <xdr:twoCellAnchor editAs="oneCell">
    <xdr:from>
      <xdr:col>4</xdr:col>
      <xdr:colOff>293400</xdr:colOff>
      <xdr:row>3</xdr:row>
      <xdr:rowOff>141120</xdr:rowOff>
    </xdr:from>
    <xdr:to>
      <xdr:col>21</xdr:col>
      <xdr:colOff>86760</xdr:colOff>
      <xdr:row>37</xdr:row>
      <xdr:rowOff>14040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twoCellAnchor>
</xdr:wsDr>
</file>

<file path=xl/drawings/drawing2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990600</xdr:colOff>
          <xdr:row>0</xdr:row>
          <xdr:rowOff>25400</xdr:rowOff>
        </xdr:from>
        <xdr:to>
          <xdr:col>0</xdr:col>
          <xdr:colOff>2819400</xdr:colOff>
          <xdr:row>1</xdr:row>
          <xdr:rowOff>609600</xdr:rowOff>
        </xdr:to>
        <xdr:sp macro="" textlink="">
          <xdr:nvSpPr>
            <xdr:cNvPr id="3101" name="Comment 29" hidden="1">
              <a:extLst>
                <a:ext uri="{FF2B5EF4-FFF2-40B4-BE49-F238E27FC236}">
                  <a16:creationId xmlns:a16="http://schemas.microsoft.com/office/drawing/2014/main" id="{198BEA3F-A244-C3EA-7D4B-D64F1A7A0E6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90600" y="254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End-of-life cost is chosen on the Parameters sheet (base case Polder; sensitivity bounds Schneider lower / Van Dijk upper). The chosen raw value is indexed to 2025 with its own CPI factor.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990600</xdr:colOff>
          <xdr:row>0</xdr:row>
          <xdr:rowOff>25400</xdr:rowOff>
        </xdr:from>
        <xdr:to>
          <xdr:col>1</xdr:col>
          <xdr:colOff>1244600</xdr:colOff>
          <xdr:row>4</xdr:row>
          <xdr:rowOff>457200</xdr:rowOff>
        </xdr:to>
        <xdr:sp macro="" textlink="">
          <xdr:nvSpPr>
            <xdr:cNvPr id="3100" name="Comment 28">
              <a:extLst>
                <a:ext uri="{FF2B5EF4-FFF2-40B4-BE49-F238E27FC236}">
                  <a16:creationId xmlns:a16="http://schemas.microsoft.com/office/drawing/2014/main" id="{2AFDD300-C051-8D44-D125-6714D15AE8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90600" y="25400"/>
              <a:ext cx="3263900" cy="19685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Second-line chemotherapy is approximated by capecitabine: 1250 mg/m² twice daily (2 tablets × 2 doses) on days 1–14 of a 21-day cycle, for 6 cycles.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990600</xdr:colOff>
          <xdr:row>0</xdr:row>
          <xdr:rowOff>25400</xdr:rowOff>
        </xdr:from>
        <xdr:to>
          <xdr:col>0</xdr:col>
          <xdr:colOff>2819400</xdr:colOff>
          <xdr:row>1</xdr:row>
          <xdr:rowOff>609600</xdr:rowOff>
        </xdr:to>
        <xdr:sp macro="" textlink="">
          <xdr:nvSpPr>
            <xdr:cNvPr id="3099" name="Comment 27" hidden="1">
              <a:extLst>
                <a:ext uri="{FF2B5EF4-FFF2-40B4-BE49-F238E27FC236}">
                  <a16:creationId xmlns:a16="http://schemas.microsoft.com/office/drawing/2014/main" id="{88B23584-CFD4-86F8-EF4D-29CDF34B8EA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90600" y="254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The number of 21 day capecitabine 21-day cycles a patient does back to back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3098800</xdr:colOff>
          <xdr:row>1</xdr:row>
          <xdr:rowOff>457200</xdr:rowOff>
        </xdr:from>
        <xdr:to>
          <xdr:col>3</xdr:col>
          <xdr:colOff>304800</xdr:colOff>
          <xdr:row>3</xdr:row>
          <xdr:rowOff>203200</xdr:rowOff>
        </xdr:to>
        <xdr:sp macro="" textlink="">
          <xdr:nvSpPr>
            <xdr:cNvPr id="3098" name="Comment 26" hidden="1">
              <a:extLst>
                <a:ext uri="{FF2B5EF4-FFF2-40B4-BE49-F238E27FC236}">
                  <a16:creationId xmlns:a16="http://schemas.microsoft.com/office/drawing/2014/main" id="{74F1226F-C96D-19BC-FF8E-101C0DF6239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048000" y="762000"/>
              <a:ext cx="2654300" cy="4826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List price per 9 mg tablet (vergoedingsprijs, Z-Index / Medicijnkosten 2025). Inavolisib is 9 mg once daily, one tablet per treatment day.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990600</xdr:colOff>
          <xdr:row>0</xdr:row>
          <xdr:rowOff>25400</xdr:rowOff>
        </xdr:from>
        <xdr:to>
          <xdr:col>0</xdr:col>
          <xdr:colOff>2819400</xdr:colOff>
          <xdr:row>1</xdr:row>
          <xdr:rowOff>609600</xdr:rowOff>
        </xdr:to>
        <xdr:sp macro="" textlink="">
          <xdr:nvSpPr>
            <xdr:cNvPr id="3097" name="Comment 25" hidden="1">
              <a:extLst>
                <a:ext uri="{FF2B5EF4-FFF2-40B4-BE49-F238E27FC236}">
                  <a16:creationId xmlns:a16="http://schemas.microsoft.com/office/drawing/2014/main" id="{76A34F54-F342-5370-1B8B-A449BFE28DD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90600" y="254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Only a proportion of patients receive second-line chemotherapy, so the full course is weighted by 2L-chemo uptake in each arm. The comparator has higher uptake.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990600</xdr:colOff>
          <xdr:row>0</xdr:row>
          <xdr:rowOff>25400</xdr:rowOff>
        </xdr:from>
        <xdr:to>
          <xdr:col>0</xdr:col>
          <xdr:colOff>2819400</xdr:colOff>
          <xdr:row>1</xdr:row>
          <xdr:rowOff>609600</xdr:rowOff>
        </xdr:to>
        <xdr:sp macro="" textlink="">
          <xdr:nvSpPr>
            <xdr:cNvPr id="3096" name="Comment 24" hidden="1">
              <a:extLst>
                <a:ext uri="{FF2B5EF4-FFF2-40B4-BE49-F238E27FC236}">
                  <a16:creationId xmlns:a16="http://schemas.microsoft.com/office/drawing/2014/main" id="{DD71AD9B-9C7E-5F30-D99D-E1E704C3864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90600" y="254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List price per 125 mg tablet (vergoedingsprijs 2025). Palbociclib 125 mg once daily on 21 of every 28 days.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990600</xdr:colOff>
          <xdr:row>0</xdr:row>
          <xdr:rowOff>25400</xdr:rowOff>
        </xdr:from>
        <xdr:to>
          <xdr:col>0</xdr:col>
          <xdr:colOff>2819400</xdr:colOff>
          <xdr:row>1</xdr:row>
          <xdr:rowOff>609600</xdr:rowOff>
        </xdr:to>
        <xdr:sp macro="" textlink="">
          <xdr:nvSpPr>
            <xdr:cNvPr id="3095" name="Comment 23" hidden="1">
              <a:extLst>
                <a:ext uri="{FF2B5EF4-FFF2-40B4-BE49-F238E27FC236}">
                  <a16:creationId xmlns:a16="http://schemas.microsoft.com/office/drawing/2014/main" id="{0C34D0CD-B3DC-BB99-781E-F4F117A1198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90600" y="254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Fulvestrant 500 mg per administration is supplied as 2 × 250 mg/5 ml pre-filled syringes, so syringes per administration = 500 / 250 = 2.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990600</xdr:colOff>
          <xdr:row>0</xdr:row>
          <xdr:rowOff>25400</xdr:rowOff>
        </xdr:from>
        <xdr:to>
          <xdr:col>0</xdr:col>
          <xdr:colOff>2819400</xdr:colOff>
          <xdr:row>1</xdr:row>
          <xdr:rowOff>609600</xdr:rowOff>
        </xdr:to>
        <xdr:sp macro="" textlink="">
          <xdr:nvSpPr>
            <xdr:cNvPr id="3094" name="Comment 22" hidden="1">
              <a:extLst>
                <a:ext uri="{FF2B5EF4-FFF2-40B4-BE49-F238E27FC236}">
                  <a16:creationId xmlns:a16="http://schemas.microsoft.com/office/drawing/2014/main" id="{19964B3A-890A-1FA8-52C7-8BB8B82FFA0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90600" y="254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Cycle 1 uses the loading schedule: injections on day 1 and day 15 (2 administrations). From cycle 2 onwards fulvestrant is given once per 28-day cycle.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990600</xdr:colOff>
          <xdr:row>0</xdr:row>
          <xdr:rowOff>25400</xdr:rowOff>
        </xdr:from>
        <xdr:to>
          <xdr:col>0</xdr:col>
          <xdr:colOff>2819400</xdr:colOff>
          <xdr:row>1</xdr:row>
          <xdr:rowOff>609600</xdr:rowOff>
        </xdr:to>
        <xdr:sp macro="" textlink="">
          <xdr:nvSpPr>
            <xdr:cNvPr id="3093" name="Comment 21" hidden="1">
              <a:extLst>
                <a:ext uri="{FF2B5EF4-FFF2-40B4-BE49-F238E27FC236}">
                  <a16:creationId xmlns:a16="http://schemas.microsoft.com/office/drawing/2014/main" id="{BF388849-DD2A-880B-43CD-6D8D52A48DE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90600" y="254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Goserelin (LHRH agonist) is only given to premenopausal women, so its cost is weighted by the premenopausal proportion in each arm (INAVO120 baseline).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990600</xdr:colOff>
          <xdr:row>0</xdr:row>
          <xdr:rowOff>25400</xdr:rowOff>
        </xdr:from>
        <xdr:to>
          <xdr:col>0</xdr:col>
          <xdr:colOff>2819400</xdr:colOff>
          <xdr:row>1</xdr:row>
          <xdr:rowOff>609600</xdr:rowOff>
        </xdr:to>
        <xdr:sp macro="" textlink="">
          <xdr:nvSpPr>
            <xdr:cNvPr id="3092" name="Comment 20" hidden="1">
              <a:extLst>
                <a:ext uri="{FF2B5EF4-FFF2-40B4-BE49-F238E27FC236}">
                  <a16:creationId xmlns:a16="http://schemas.microsoft.com/office/drawing/2014/main" id="{FD75116C-C9AE-0071-05B4-1D9186EA6D7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90600" y="254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The number of 21 day capecitabine 21-day cycles a patient does back to back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990600</xdr:colOff>
          <xdr:row>0</xdr:row>
          <xdr:rowOff>25400</xdr:rowOff>
        </xdr:from>
        <xdr:to>
          <xdr:col>0</xdr:col>
          <xdr:colOff>2819400</xdr:colOff>
          <xdr:row>1</xdr:row>
          <xdr:rowOff>609600</xdr:rowOff>
        </xdr:to>
        <xdr:sp macro="" textlink="">
          <xdr:nvSpPr>
            <xdr:cNvPr id="3091" name="Comment 19" hidden="1">
              <a:extLst>
                <a:ext uri="{FF2B5EF4-FFF2-40B4-BE49-F238E27FC236}">
                  <a16:creationId xmlns:a16="http://schemas.microsoft.com/office/drawing/2014/main" id="{8B839DE8-9FDA-4AEA-5154-247AF8D5244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90600" y="254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Cycle 1 includes the fulvestrant loading dose (2 injections); from cycle 2 the maintenance schedule applies.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990600</xdr:colOff>
          <xdr:row>0</xdr:row>
          <xdr:rowOff>25400</xdr:rowOff>
        </xdr:from>
        <xdr:to>
          <xdr:col>0</xdr:col>
          <xdr:colOff>2819400</xdr:colOff>
          <xdr:row>1</xdr:row>
          <xdr:rowOff>609600</xdr:rowOff>
        </xdr:to>
        <xdr:sp macro="" textlink="">
          <xdr:nvSpPr>
            <xdr:cNvPr id="3090" name="Comment 18" hidden="1">
              <a:extLst>
                <a:ext uri="{FF2B5EF4-FFF2-40B4-BE49-F238E27FC236}">
                  <a16:creationId xmlns:a16="http://schemas.microsoft.com/office/drawing/2014/main" id="{61271ABE-F9C2-534A-856D-13951CC3910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90600" y="254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The number of 21 day capecitabine 21-day cycles a patient does back to back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990600</xdr:colOff>
          <xdr:row>0</xdr:row>
          <xdr:rowOff>25400</xdr:rowOff>
        </xdr:from>
        <xdr:to>
          <xdr:col>0</xdr:col>
          <xdr:colOff>2819400</xdr:colOff>
          <xdr:row>1</xdr:row>
          <xdr:rowOff>609600</xdr:rowOff>
        </xdr:to>
        <xdr:sp macro="" textlink="">
          <xdr:nvSpPr>
            <xdr:cNvPr id="3089" name="Comment 17" hidden="1">
              <a:extLst>
                <a:ext uri="{FF2B5EF4-FFF2-40B4-BE49-F238E27FC236}">
                  <a16:creationId xmlns:a16="http://schemas.microsoft.com/office/drawing/2014/main" id="{DDC6453F-D29E-30AF-EB67-36B2D7185E0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90600" y="254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Applied once, as a lump sum, to patients at the moment of progression (the newly-progressed count in the trace).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990600</xdr:colOff>
          <xdr:row>0</xdr:row>
          <xdr:rowOff>25400</xdr:rowOff>
        </xdr:from>
        <xdr:to>
          <xdr:col>0</xdr:col>
          <xdr:colOff>2819400</xdr:colOff>
          <xdr:row>1</xdr:row>
          <xdr:rowOff>609600</xdr:rowOff>
        </xdr:to>
        <xdr:sp macro="" textlink="">
          <xdr:nvSpPr>
            <xdr:cNvPr id="3088" name="Comment 16" hidden="1">
              <a:extLst>
                <a:ext uri="{FF2B5EF4-FFF2-40B4-BE49-F238E27FC236}">
                  <a16:creationId xmlns:a16="http://schemas.microsoft.com/office/drawing/2014/main" id="{24FA3DA3-274F-3900-EF28-A03ACB74384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90600" y="254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Unit cost of one subcutaneous/IM injection administration, 2022 price (Kostenhandleiding), indexed to 2025 with the CPI factor 1.1076.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990600</xdr:colOff>
          <xdr:row>0</xdr:row>
          <xdr:rowOff>25400</xdr:rowOff>
        </xdr:from>
        <xdr:to>
          <xdr:col>0</xdr:col>
          <xdr:colOff>2819400</xdr:colOff>
          <xdr:row>1</xdr:row>
          <xdr:rowOff>609600</xdr:rowOff>
        </xdr:to>
        <xdr:sp macro="" textlink="">
          <xdr:nvSpPr>
            <xdr:cNvPr id="3087" name="Comment 15" hidden="1">
              <a:extLst>
                <a:ext uri="{FF2B5EF4-FFF2-40B4-BE49-F238E27FC236}">
                  <a16:creationId xmlns:a16="http://schemas.microsoft.com/office/drawing/2014/main" id="{B5083ADA-1486-7D62-59EA-2EDD4DEC718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90600" y="254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Administration frequency is the number of injection visits, not the number of syringes: in cycle 1 there are 2 visits (day 1 + day 15) and both 250 mg syringes given at a visit count as one administration.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4</xdr:col>
          <xdr:colOff>635000</xdr:colOff>
          <xdr:row>37</xdr:row>
          <xdr:rowOff>533400</xdr:rowOff>
        </xdr:from>
        <xdr:to>
          <xdr:col>6</xdr:col>
          <xdr:colOff>609600</xdr:colOff>
          <xdr:row>42</xdr:row>
          <xdr:rowOff>25400</xdr:rowOff>
        </xdr:to>
        <xdr:sp macro="" textlink="">
          <xdr:nvSpPr>
            <xdr:cNvPr id="3086" name="Comment 14">
              <a:extLst>
                <a:ext uri="{FF2B5EF4-FFF2-40B4-BE49-F238E27FC236}">
                  <a16:creationId xmlns:a16="http://schemas.microsoft.com/office/drawing/2014/main" id="{871590D4-2E86-D3E6-DAAA-7D08DB25E0B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175500" y="11874500"/>
              <a:ext cx="2260600" cy="10541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A complete blood count is not a single test it is assembled from four types of NZA codes (erythrocytes, leukocytes, differential, platelets). NZa tariffs are already 2025 prices, so no indexation is applied.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990600</xdr:colOff>
          <xdr:row>0</xdr:row>
          <xdr:rowOff>25400</xdr:rowOff>
        </xdr:from>
        <xdr:to>
          <xdr:col>0</xdr:col>
          <xdr:colOff>2819400</xdr:colOff>
          <xdr:row>1</xdr:row>
          <xdr:rowOff>609600</xdr:rowOff>
        </xdr:to>
        <xdr:sp macro="" textlink="">
          <xdr:nvSpPr>
            <xdr:cNvPr id="3085" name="Comment 13" hidden="1">
              <a:extLst>
                <a:ext uri="{FF2B5EF4-FFF2-40B4-BE49-F238E27FC236}">
                  <a16:creationId xmlns:a16="http://schemas.microsoft.com/office/drawing/2014/main" id="{9DD0B72C-C26C-4514-9CA1-E628EFD1BB5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90600" y="254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Outpatient oncology visit, 2022 price (Kostenhandleiding), indexed to 2025 (× 1.1076).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990600</xdr:colOff>
          <xdr:row>0</xdr:row>
          <xdr:rowOff>25400</xdr:rowOff>
        </xdr:from>
        <xdr:to>
          <xdr:col>0</xdr:col>
          <xdr:colOff>2819400</xdr:colOff>
          <xdr:row>1</xdr:row>
          <xdr:rowOff>609600</xdr:rowOff>
        </xdr:to>
        <xdr:sp macro="" textlink="">
          <xdr:nvSpPr>
            <xdr:cNvPr id="3083" name="Comment 11" hidden="1">
              <a:extLst>
                <a:ext uri="{FF2B5EF4-FFF2-40B4-BE49-F238E27FC236}">
                  <a16:creationId xmlns:a16="http://schemas.microsoft.com/office/drawing/2014/main" id="{C3AA7794-0FA7-26B3-D035-D70DDA35DA1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90600" y="254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HbA1c is checked once every three cycles, so the per-cycle frequency is 1 / 3 ≈ 0.33.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16</xdr:col>
          <xdr:colOff>127000</xdr:colOff>
          <xdr:row>23</xdr:row>
          <xdr:rowOff>254000</xdr:rowOff>
        </xdr:from>
        <xdr:to>
          <xdr:col>17</xdr:col>
          <xdr:colOff>152400</xdr:colOff>
          <xdr:row>26</xdr:row>
          <xdr:rowOff>152400</xdr:rowOff>
        </xdr:to>
        <xdr:sp macro="" textlink="">
          <xdr:nvSpPr>
            <xdr:cNvPr id="3082" name="Comment 10" hidden="1">
              <a:extLst>
                <a:ext uri="{FF2B5EF4-FFF2-40B4-BE49-F238E27FC236}">
                  <a16:creationId xmlns:a16="http://schemas.microsoft.com/office/drawing/2014/main" id="{4018284A-9611-75B1-4974-880F4F6A0B7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0721300" y="7467600"/>
              <a:ext cx="1498600" cy="6985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Liver function tests are the sum of four NZa codes (ALT, AST, bilirubin, alkaline phosphatase). NZa tariffs are 2025 prices, so no indexation is applied.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990600</xdr:colOff>
          <xdr:row>0</xdr:row>
          <xdr:rowOff>25400</xdr:rowOff>
        </xdr:from>
        <xdr:to>
          <xdr:col>0</xdr:col>
          <xdr:colOff>2819400</xdr:colOff>
          <xdr:row>1</xdr:row>
          <xdr:rowOff>609600</xdr:rowOff>
        </xdr:to>
        <xdr:sp macro="" textlink="">
          <xdr:nvSpPr>
            <xdr:cNvPr id="3081" name="Comment 9" hidden="1">
              <a:extLst>
                <a:ext uri="{FF2B5EF4-FFF2-40B4-BE49-F238E27FC236}">
                  <a16:creationId xmlns:a16="http://schemas.microsoft.com/office/drawing/2014/main" id="{DB055309-D6CD-A12E-5C95-7809A24CE5F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90600" y="254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Cycle 1 has 2 outpatient visits and 2 CBC panels (closer monitoring at treatment start); from cycle 3 the CBC drops to once per cycle.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17</xdr:col>
          <xdr:colOff>127000</xdr:colOff>
          <xdr:row>31</xdr:row>
          <xdr:rowOff>254000</xdr:rowOff>
        </xdr:from>
        <xdr:to>
          <xdr:col>19</xdr:col>
          <xdr:colOff>101600</xdr:colOff>
          <xdr:row>34</xdr:row>
          <xdr:rowOff>101600</xdr:rowOff>
        </xdr:to>
        <xdr:sp macro="" textlink="">
          <xdr:nvSpPr>
            <xdr:cNvPr id="3080" name="Comment 8">
              <a:extLst>
                <a:ext uri="{FF2B5EF4-FFF2-40B4-BE49-F238E27FC236}">
                  <a16:creationId xmlns:a16="http://schemas.microsoft.com/office/drawing/2014/main" id="{0CF68C21-A680-4C79-EF12-A99FA467B74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2194500" y="9601200"/>
              <a:ext cx="2514600" cy="9779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The progressed-disease monitoring bundle is costed per 21-day chemotherapy cycle and rescaled to the 28-day model cycle (× 28/21).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17</xdr:col>
          <xdr:colOff>127000</xdr:colOff>
          <xdr:row>36</xdr:row>
          <xdr:rowOff>127000</xdr:rowOff>
        </xdr:from>
        <xdr:to>
          <xdr:col>18</xdr:col>
          <xdr:colOff>330200</xdr:colOff>
          <xdr:row>37</xdr:row>
          <xdr:rowOff>914400</xdr:rowOff>
        </xdr:to>
        <xdr:sp macro="" textlink="">
          <xdr:nvSpPr>
            <xdr:cNvPr id="3078" name="Comment 6" hidden="1">
              <a:extLst>
                <a:ext uri="{FF2B5EF4-FFF2-40B4-BE49-F238E27FC236}">
                  <a16:creationId xmlns:a16="http://schemas.microsoft.com/office/drawing/2014/main" id="{1DE0F812-E4CE-EF02-5E4A-2F2A7F6E995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2194500" y="11303000"/>
              <a:ext cx="1524000" cy="7366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A palliative-care outpatient contact every 3 cycles, averaged to a per-cycle cost (÷ 3). Broadened from best supportive care to a full palliative basket.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19</xdr:col>
          <xdr:colOff>127000</xdr:colOff>
          <xdr:row>37</xdr:row>
          <xdr:rowOff>838200</xdr:rowOff>
        </xdr:from>
        <xdr:to>
          <xdr:col>20</xdr:col>
          <xdr:colOff>457200</xdr:colOff>
          <xdr:row>40</xdr:row>
          <xdr:rowOff>203200</xdr:rowOff>
        </xdr:to>
        <xdr:sp macro="" textlink="">
          <xdr:nvSpPr>
            <xdr:cNvPr id="3077" name="Comment 5" hidden="1">
              <a:extLst>
                <a:ext uri="{FF2B5EF4-FFF2-40B4-BE49-F238E27FC236}">
                  <a16:creationId xmlns:a16="http://schemas.microsoft.com/office/drawing/2014/main" id="{CBEAE1C2-EAD5-3C85-50FD-5A4B44F52C2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4734500" y="12039600"/>
              <a:ext cx="1549400" cy="6985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Bone-targeted therapy (zoledronic acid + visit) is given once per 3 cycles and weighted by the proportion of patients with bone metastases in each arm.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15</xdr:col>
          <xdr:colOff>127000</xdr:colOff>
          <xdr:row>38</xdr:row>
          <xdr:rowOff>355600</xdr:rowOff>
        </xdr:from>
        <xdr:to>
          <xdr:col>16</xdr:col>
          <xdr:colOff>457200</xdr:colOff>
          <xdr:row>42</xdr:row>
          <xdr:rowOff>203200</xdr:rowOff>
        </xdr:to>
        <xdr:sp macro="" textlink="">
          <xdr:nvSpPr>
            <xdr:cNvPr id="3076" name="Comment 4" hidden="1">
              <a:extLst>
                <a:ext uri="{FF2B5EF4-FFF2-40B4-BE49-F238E27FC236}">
                  <a16:creationId xmlns:a16="http://schemas.microsoft.com/office/drawing/2014/main" id="{CAC23F71-5513-3743-3B55-8E129B678AC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9502100" y="12382500"/>
              <a:ext cx="1549400" cy="7239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Ongoing PD cost is half-cycle corrected in the trace (applied to mid-cycle occupancy), unlike the one-off lump sums.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</xdr:col>
          <xdr:colOff>101600</xdr:colOff>
          <xdr:row>47</xdr:row>
          <xdr:rowOff>127000</xdr:rowOff>
        </xdr:from>
        <xdr:to>
          <xdr:col>2</xdr:col>
          <xdr:colOff>406400</xdr:colOff>
          <xdr:row>51</xdr:row>
          <xdr:rowOff>254000</xdr:rowOff>
        </xdr:to>
        <xdr:sp macro="" textlink="">
          <xdr:nvSpPr>
            <xdr:cNvPr id="3102" name="Comment 30" hidden="1">
              <a:extLst>
                <a:ext uri="{FF2B5EF4-FFF2-40B4-BE49-F238E27FC236}">
                  <a16:creationId xmlns:a16="http://schemas.microsoft.com/office/drawing/2014/main" id="{017B3838-76C4-E599-1286-74BC0C424D2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149600" y="14859000"/>
              <a:ext cx="1511300" cy="8001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900" b="1" i="0" u="none" strike="noStrike" baseline="0%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HbA1c is a single NZa tariff (74065). It is monitored only in the inavolisib arm, because hyperglycaemia is a PI3K-inhibitor-specific effect; the comparator frequency is zero.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</xdr:col>
          <xdr:colOff>101600</xdr:colOff>
          <xdr:row>61</xdr:row>
          <xdr:rowOff>889000</xdr:rowOff>
        </xdr:from>
        <xdr:to>
          <xdr:col>2</xdr:col>
          <xdr:colOff>406400</xdr:colOff>
          <xdr:row>65</xdr:row>
          <xdr:rowOff>127000</xdr:rowOff>
        </xdr:to>
        <xdr:sp macro="" textlink="">
          <xdr:nvSpPr>
            <xdr:cNvPr id="3103" name="Comment 31" hidden="1">
              <a:extLst>
                <a:ext uri="{FF2B5EF4-FFF2-40B4-BE49-F238E27FC236}">
                  <a16:creationId xmlns:a16="http://schemas.microsoft.com/office/drawing/2014/main" id="{DF0B8BB6-6D09-4847-2C3B-E8EA8B0D1AC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149600" y="19761200"/>
              <a:ext cx="1511300" cy="7239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900" b="1" i="0" u="none" strike="noStrike" baseline="0%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Cost per neutropenia episode = a weighted average of two outcomes: 99% managed at the clinic (outpatient visit + blood count), 1% hospitalised for febrile neutropenia. The hospital price is from an earlier year, adjusted to 2025 with the inflation factor.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4</xdr:col>
          <xdr:colOff>101600</xdr:colOff>
          <xdr:row>74</xdr:row>
          <xdr:rowOff>863600</xdr:rowOff>
        </xdr:from>
        <xdr:to>
          <xdr:col>6</xdr:col>
          <xdr:colOff>635000</xdr:colOff>
          <xdr:row>79</xdr:row>
          <xdr:rowOff>50800</xdr:rowOff>
        </xdr:to>
        <xdr:sp macro="" textlink="">
          <xdr:nvSpPr>
            <xdr:cNvPr id="3104" name="Comment 32" hidden="1">
              <a:extLst>
                <a:ext uri="{FF2B5EF4-FFF2-40B4-BE49-F238E27FC236}">
                  <a16:creationId xmlns:a16="http://schemas.microsoft.com/office/drawing/2014/main" id="{C4EA7841-3276-0B90-16B1-78A1C1F8FBA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642100" y="23736300"/>
              <a:ext cx="2819400" cy="11303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900" b="1" i="0" u="none" strike="noStrike" baseline="0%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Grade ≥3 AE management is applied once per patient as a lump sum at model entry (cycle 0), weighted by the grade ≥3 incidence of each event in each arm (INAVO120).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101600</xdr:colOff>
          <xdr:row>79</xdr:row>
          <xdr:rowOff>127000</xdr:rowOff>
        </xdr:from>
        <xdr:to>
          <xdr:col>8</xdr:col>
          <xdr:colOff>1879600</xdr:colOff>
          <xdr:row>81</xdr:row>
          <xdr:rowOff>203200</xdr:rowOff>
        </xdr:to>
        <xdr:sp macro="" textlink="">
          <xdr:nvSpPr>
            <xdr:cNvPr id="3105" name="Comment 33" hidden="1">
              <a:extLst>
                <a:ext uri="{FF2B5EF4-FFF2-40B4-BE49-F238E27FC236}">
                  <a16:creationId xmlns:a16="http://schemas.microsoft.com/office/drawing/2014/main" id="{5E3373A4-210B-9BE2-9CB1-64315EF2BA9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208000" y="24942800"/>
              <a:ext cx="1778000" cy="7874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900" b="1" i="0" u="none" strike="noStrike" baseline="0%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Societal components are identical per unit in both arms; the difference between arms comes only from time spent in each health state. Rates are indexed to 2025.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9</xdr:col>
          <xdr:colOff>101600</xdr:colOff>
          <xdr:row>79</xdr:row>
          <xdr:rowOff>127000</xdr:rowOff>
        </xdr:from>
        <xdr:to>
          <xdr:col>9</xdr:col>
          <xdr:colOff>1879600</xdr:colOff>
          <xdr:row>81</xdr:row>
          <xdr:rowOff>203200</xdr:rowOff>
        </xdr:to>
        <xdr:sp macro="" textlink="">
          <xdr:nvSpPr>
            <xdr:cNvPr id="3106" name="Comment 34" hidden="1">
              <a:extLst>
                <a:ext uri="{FF2B5EF4-FFF2-40B4-BE49-F238E27FC236}">
                  <a16:creationId xmlns:a16="http://schemas.microsoft.com/office/drawing/2014/main" id="{09E812AE-68B6-F3C8-5373-F583D361114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5494000" y="24942800"/>
              <a:ext cx="1778000" cy="7874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900" b="1" i="0" u="none" strike="noStrike" baseline="0%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Societal components are identical per unit in both arms; the difference between arms comes only from time spent in each health state. Rates are indexed to 2025.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</xdr:col>
          <xdr:colOff>101600</xdr:colOff>
          <xdr:row>82</xdr:row>
          <xdr:rowOff>330200</xdr:rowOff>
        </xdr:from>
        <xdr:to>
          <xdr:col>2</xdr:col>
          <xdr:colOff>406400</xdr:colOff>
          <xdr:row>83</xdr:row>
          <xdr:rowOff>939800</xdr:rowOff>
        </xdr:to>
        <xdr:sp macro="" textlink="">
          <xdr:nvSpPr>
            <xdr:cNvPr id="3107" name="Comment 35" hidden="1">
              <a:extLst>
                <a:ext uri="{FF2B5EF4-FFF2-40B4-BE49-F238E27FC236}">
                  <a16:creationId xmlns:a16="http://schemas.microsoft.com/office/drawing/2014/main" id="{A3257640-9548-094E-157D-5DEFA36359A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149600" y="26136600"/>
              <a:ext cx="1511300" cy="7620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900" b="1" i="0" u="none" strike="noStrike" baseline="0%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Productivity loss uses the friction-cost method (85-day friction period), applied once at model entry and only to the working-age proportion.</a:t>
              </a:r>
            </a:p>
          </xdr:txBody>
        </xdr:sp>
        <xdr:clientData/>
      </xdr:twoCellAnchor>
    </mc:Fallback>
  </mc:AlternateContent>
</xdr:wsDr>
</file>

<file path=xl/drawings/drawing3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1</xdr:col>
          <xdr:colOff>177800</xdr:colOff>
          <xdr:row>0</xdr:row>
          <xdr:rowOff>25400</xdr:rowOff>
        </xdr:from>
        <xdr:to>
          <xdr:col>3</xdr:col>
          <xdr:colOff>177800</xdr:colOff>
          <xdr:row>2</xdr:row>
          <xdr:rowOff>381000</xdr:rowOff>
        </xdr:to>
        <xdr:sp macro="" textlink="">
          <xdr:nvSpPr>
            <xdr:cNvPr id="4097" name="Comment 1" hidden="1">
              <a:extLst>
                <a:ext uri="{FF2B5EF4-FFF2-40B4-BE49-F238E27FC236}">
                  <a16:creationId xmlns:a16="http://schemas.microsoft.com/office/drawing/2014/main" id="{1732F132-9FCB-7F58-4D91-E6CBBD51927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50900" y="25400"/>
              <a:ext cx="1498600" cy="8255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Green colored columns are half-cycle corrected</a:t>
              </a:r>
            </a:p>
            <a:p>
              <a:pPr algn="l" rtl="0">
                <a:defRPr sz="1000"/>
              </a:pPr>
              <a:endParaRPr lang="en-US" sz="1000" b="0" i="0" u="none" strike="noStrike" baseline="0%">
                <a:solidFill>
                  <a:srgbClr val="000000"/>
                </a:solidFill>
                <a:latin typeface="Arial" pitchFamily="2" charset="0"/>
                <a:cs typeface="Arial" pitchFamily="2" charset="0"/>
              </a:endParaRPr>
            </a:p>
          </xdr:txBody>
        </xdr:sp>
        <xdr:clientData/>
      </xdr:twoCellAnchor>
    </mc:Fallback>
  </mc:AlternateContent>
</xdr:wsDr>
</file>

<file path=xl/drawings/drawing4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1</xdr:col>
          <xdr:colOff>177800</xdr:colOff>
          <xdr:row>0</xdr:row>
          <xdr:rowOff>25400</xdr:rowOff>
        </xdr:from>
        <xdr:to>
          <xdr:col>3</xdr:col>
          <xdr:colOff>177800</xdr:colOff>
          <xdr:row>2</xdr:row>
          <xdr:rowOff>381000</xdr:rowOff>
        </xdr:to>
        <xdr:sp macro="" textlink="">
          <xdr:nvSpPr>
            <xdr:cNvPr id="5121" name="Comment 1" hidden="1">
              <a:extLst>
                <a:ext uri="{FF2B5EF4-FFF2-40B4-BE49-F238E27FC236}">
                  <a16:creationId xmlns:a16="http://schemas.microsoft.com/office/drawing/2014/main" id="{5FC263F4-EE6E-A591-9B9C-819863661F4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50900" y="25400"/>
              <a:ext cx="1498600" cy="8255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Green colored columns are half-cycle corrected</a:t>
              </a:r>
            </a:p>
          </xdr:txBody>
        </xdr:sp>
        <xdr:clientData/>
      </xdr:twoCellAnchor>
    </mc:Fallback>
  </mc:AlternateContent>
</xdr:wsDr>
</file>

<file path=xl/drawings/drawing5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1</xdr:col>
          <xdr:colOff>25400</xdr:colOff>
          <xdr:row>0</xdr:row>
          <xdr:rowOff>25400</xdr:rowOff>
        </xdr:from>
        <xdr:to>
          <xdr:col>3</xdr:col>
          <xdr:colOff>101600</xdr:colOff>
          <xdr:row>3</xdr:row>
          <xdr:rowOff>25400</xdr:rowOff>
        </xdr:to>
        <xdr:sp macro="" textlink="">
          <xdr:nvSpPr>
            <xdr:cNvPr id="6148" name="Comment 4" hidden="1">
              <a:extLst>
                <a:ext uri="{FF2B5EF4-FFF2-40B4-BE49-F238E27FC236}">
                  <a16:creationId xmlns:a16="http://schemas.microsoft.com/office/drawing/2014/main" id="{94307C02-D8C5-45B0-CC7C-62703BE6ACA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25500" y="25400"/>
              <a:ext cx="1511300" cy="7366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Maiwenn Al:</a:t>
              </a:r>
            </a:p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The exact value that is used here depends on whether it is a deterministic or probabilistic analysis. It is the same =if statement as used on the 'parameter sheet'</a:t>
              </a:r>
            </a:p>
            <a:p>
              <a:pPr algn="l" rtl="0">
                <a:defRPr sz="1000"/>
              </a:pPr>
              <a:endParaRPr lang="en-US" sz="1000" b="0" i="0" u="none" strike="noStrike" baseline="0%">
                <a:solidFill>
                  <a:srgbClr val="000000"/>
                </a:solidFill>
                <a:latin typeface="Arial" pitchFamily="2" charset="0"/>
                <a:cs typeface="Arial" pitchFamily="2" charset="0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</xdr:col>
          <xdr:colOff>25400</xdr:colOff>
          <xdr:row>0</xdr:row>
          <xdr:rowOff>25400</xdr:rowOff>
        </xdr:from>
        <xdr:to>
          <xdr:col>3</xdr:col>
          <xdr:colOff>101600</xdr:colOff>
          <xdr:row>3</xdr:row>
          <xdr:rowOff>25400</xdr:rowOff>
        </xdr:to>
        <xdr:sp macro="" textlink="">
          <xdr:nvSpPr>
            <xdr:cNvPr id="6147" name="Comment 3" hidden="1">
              <a:extLst>
                <a:ext uri="{FF2B5EF4-FFF2-40B4-BE49-F238E27FC236}">
                  <a16:creationId xmlns:a16="http://schemas.microsoft.com/office/drawing/2014/main" id="{CD4BAF57-A1F6-656A-AADD-61F262F7178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25500" y="25400"/>
              <a:ext cx="1511300" cy="7366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Mu/intercept</a:t>
              </a:r>
            </a:p>
            <a:p>
              <a:pPr algn="l" rtl="0">
                <a:defRPr sz="1000"/>
              </a:pPr>
              <a:endParaRPr lang="en-US" sz="1000" b="0" i="0" u="none" strike="noStrike" baseline="0%">
                <a:solidFill>
                  <a:srgbClr val="000000"/>
                </a:solidFill>
                <a:latin typeface="Arial" pitchFamily="2" charset="0"/>
                <a:cs typeface="Arial" pitchFamily="2" charset="0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</xdr:col>
          <xdr:colOff>25400</xdr:colOff>
          <xdr:row>0</xdr:row>
          <xdr:rowOff>25400</xdr:rowOff>
        </xdr:from>
        <xdr:to>
          <xdr:col>3</xdr:col>
          <xdr:colOff>101600</xdr:colOff>
          <xdr:row>3</xdr:row>
          <xdr:rowOff>25400</xdr:rowOff>
        </xdr:to>
        <xdr:sp macro="" textlink="">
          <xdr:nvSpPr>
            <xdr:cNvPr id="6146" name="Comment 2" hidden="1">
              <a:extLst>
                <a:ext uri="{FF2B5EF4-FFF2-40B4-BE49-F238E27FC236}">
                  <a16:creationId xmlns:a16="http://schemas.microsoft.com/office/drawing/2014/main" id="{6EE8C218-3874-6FAE-2CB2-FE5ABA5A76F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25500" y="25400"/>
              <a:ext cx="1511300" cy="7366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Sigma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</xdr:col>
          <xdr:colOff>25400</xdr:colOff>
          <xdr:row>0</xdr:row>
          <xdr:rowOff>25400</xdr:rowOff>
        </xdr:from>
        <xdr:to>
          <xdr:col>3</xdr:col>
          <xdr:colOff>101600</xdr:colOff>
          <xdr:row>3</xdr:row>
          <xdr:rowOff>25400</xdr:rowOff>
        </xdr:to>
        <xdr:sp macro="" textlink="">
          <xdr:nvSpPr>
            <xdr:cNvPr id="6145" name="Comment 1" hidden="1">
              <a:extLst>
                <a:ext uri="{FF2B5EF4-FFF2-40B4-BE49-F238E27FC236}">
                  <a16:creationId xmlns:a16="http://schemas.microsoft.com/office/drawing/2014/main" id="{F7A58BF3-64EC-1B86-D24A-960321F404C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25500" y="25400"/>
              <a:ext cx="1511300" cy="7366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Q</a:t>
              </a:r>
            </a:p>
          </xdr:txBody>
        </xdr:sp>
        <xdr:clientData/>
      </xdr:twoCellAnchor>
    </mc:Fallback>
  </mc:AlternateContent>
</xdr:wsDr>
</file>

<file path=xl/drawings/drawing6.xml><?xml version="1.0" encoding="utf-8"?>
<xdr:wsDr xmlns:xdr="http://purl.oclc.org/ooxml/drawingml/spreadsheetDrawing" xmlns:a="http://purl.oclc.org/ooxml/drawingml/main">
  <xdr:twoCellAnchor editAs="oneCell">
    <xdr:from>
      <xdr:col>0</xdr:col>
      <xdr:colOff>599760</xdr:colOff>
      <xdr:row>1</xdr:row>
      <xdr:rowOff>6480</xdr:rowOff>
    </xdr:from>
    <xdr:to>
      <xdr:col>23</xdr:col>
      <xdr:colOff>548640</xdr:colOff>
      <xdr:row>52</xdr:row>
      <xdr:rowOff>29160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twoCellAnchor>
</xdr:wsDr>
</file>

<file path=xl/drawings/drawing7.xml><?xml version="1.0" encoding="utf-8"?>
<xdr:wsDr xmlns:xdr="http://purl.oclc.org/ooxml/drawingml/spreadsheetDrawing" xmlns:a="http://purl.oclc.org/ooxml/drawingml/main">
  <xdr:twoCellAnchor editAs="oneCell">
    <xdr:from>
      <xdr:col>1</xdr:col>
      <xdr:colOff>1440</xdr:colOff>
      <xdr:row>1</xdr:row>
      <xdr:rowOff>6480</xdr:rowOff>
    </xdr:from>
    <xdr:to>
      <xdr:col>19</xdr:col>
      <xdr:colOff>38880</xdr:colOff>
      <xdr:row>42</xdr:row>
      <xdr:rowOff>108720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twoCellAnchor>
</xdr:wsDr>
</file>

<file path=xl/drawings/drawing8.xml><?xml version="1.0" encoding="utf-8"?>
<xdr:wsDr xmlns:xdr="http://purl.oclc.org/ooxml/drawingml/spreadsheetDrawing" xmlns:a="http://purl.oclc.org/ooxml/drawingml/main">
  <xdr:twoCellAnchor editAs="oneCell">
    <xdr:from>
      <xdr:col>1</xdr:col>
      <xdr:colOff>0</xdr:colOff>
      <xdr:row>0</xdr:row>
      <xdr:rowOff>82440</xdr:rowOff>
    </xdr:from>
    <xdr:to>
      <xdr:col>15</xdr:col>
      <xdr:colOff>473400</xdr:colOff>
      <xdr:row>34</xdr:row>
      <xdr:rowOff>88560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twoCellAnchor>
</xdr:wsDr>
</file>

<file path=xl/drawings/drawing9.xml><?xml version="1.0" encoding="utf-8"?>
<xdr:wsDr xmlns:xdr="http://purl.oclc.org/ooxml/drawingml/spreadsheetDrawing" xmlns:a="http://purl.oclc.org/ooxml/drawingml/main">
  <xdr:twoCellAnchor editAs="oneCell">
    <xdr:from>
      <xdr:col>1</xdr:col>
      <xdr:colOff>0</xdr:colOff>
      <xdr:row>1</xdr:row>
      <xdr:rowOff>0</xdr:rowOff>
    </xdr:from>
    <xdr:to>
      <xdr:col>15</xdr:col>
      <xdr:colOff>115560</xdr:colOff>
      <xdr:row>36</xdr:row>
      <xdr:rowOff>5040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twoCellAnchor>
</xdr:wsDr>
</file>

<file path=xl/theme/theme1.xml><?xml version="1.0" encoding="utf-8"?>
<a:theme xmlns:a="http://purl.oclc.org/ooxml/drawingml/main" name="Office Theme">
  <a:themeElements>
    <a:clrScheme name="Median">
      <a:dk1>
        <a:srgbClr val="000000"/>
      </a:dk1>
      <a:lt1>
        <a:srgbClr val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%">
              <a:schemeClr val="phClr">
                <a:tint val="50%"/>
              </a:schemeClr>
            </a:gs>
            <a:gs pos="35%">
              <a:schemeClr val="phClr">
                <a:tint val="37%"/>
              </a:schemeClr>
            </a:gs>
            <a:gs pos="100%">
              <a:schemeClr val="phClr">
                <a:tint val="15%"/>
              </a:schemeClr>
            </a:gs>
          </a:gsLst>
          <a:lin ang="16200000" scaled="1"/>
          <a:tileRect/>
        </a:gradFill>
        <a:gradFill>
          <a:gsLst>
            <a:gs pos="0%">
              <a:schemeClr val="phClr">
                <a:shade val="51%"/>
              </a:schemeClr>
            </a:gs>
            <a:gs pos="80%">
              <a:schemeClr val="phClr">
                <a:shade val="93%"/>
              </a:schemeClr>
            </a:gs>
            <a:gs pos="100%">
              <a:schemeClr val="phClr">
                <a:shade val="94%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%">
              <a:schemeClr val="phClr">
                <a:tint val="40%"/>
              </a:schemeClr>
            </a:gs>
            <a:gs pos="40%">
              <a:schemeClr val="phClr">
                <a:tint val="45%"/>
                <a:shade val="99%"/>
              </a:schemeClr>
            </a:gs>
            <a:gs pos="100%">
              <a:schemeClr val="phClr">
                <a:shade val="20%"/>
              </a:schemeClr>
            </a:gs>
          </a:gsLst>
          <a:path path="circle">
            <a:fillToRect l="50%" t="-80%" r="50%" b="180%"/>
          </a:path>
          <a:tileRect/>
        </a:gradFill>
        <a:gradFill>
          <a:gsLst>
            <a:gs pos="0%">
              <a:schemeClr val="phClr">
                <a:tint val="80%"/>
              </a:schemeClr>
            </a:gs>
            <a:gs pos="100%">
              <a:schemeClr val="phClr">
                <a:shade val="30%"/>
              </a:schemeClr>
            </a:gs>
          </a:gsLst>
          <a:path path="circle">
            <a:fillToRect l="50%" t="50%" r="50%" b="50%"/>
          </a:path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purl.oclc.org/ooxml/officeDocument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purl.oclc.org/ooxml/officeDocument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purl.oclc.org/ooxml/officeDocument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purl.oclc.org/ooxml/officeDocument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5.vml"/><Relationship Id="rId1" Type="http://purl.oclc.org/ooxml/officeDocument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1" Type="http://purl.oclc.org/ooxml/officeDocument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purl.oclc.org/ooxml/officeDocument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purl.oclc.org/ooxml/officeDocument/relationships/comments" Target="../comments1.xml"/><Relationship Id="rId2" Type="http://schemas.openxmlformats.org/officeDocument/2006/relationships/vmlDrawing" Target="../drawings/vmlDrawing1.vml"/><Relationship Id="rId1" Type="http://purl.oclc.org/ooxml/officeDocument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purl.oclc.org/ooxml/officeDocument/relationships/comments" Target="../comments2.xml"/><Relationship Id="rId2" Type="http://schemas.openxmlformats.org/officeDocument/2006/relationships/vmlDrawing" Target="../drawings/vmlDrawing2.vml"/><Relationship Id="rId1" Type="http://purl.oclc.org/ooxml/officeDocument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purl.oclc.org/ooxml/officeDocument/relationships/comments" Target="../comments3.xml"/><Relationship Id="rId2" Type="http://schemas.openxmlformats.org/officeDocument/2006/relationships/vmlDrawing" Target="../drawings/vmlDrawing3.vml"/><Relationship Id="rId1" Type="http://purl.oclc.org/ooxml/officeDocument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3" Type="http://purl.oclc.org/ooxml/officeDocument/relationships/comments" Target="../comments4.xml"/><Relationship Id="rId2" Type="http://schemas.openxmlformats.org/officeDocument/2006/relationships/vmlDrawing" Target="../drawings/vmlDrawing4.vml"/><Relationship Id="rId1" Type="http://purl.oclc.org/ooxml/officeDocument/relationships/drawing" Target="../drawings/drawing5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7F0DE"/>
  </sheetPr>
  <dimension ref="A1:V1075"/>
  <sheetViews>
    <sheetView zoomScale="42" zoomScaleNormal="70" workbookViewId="0">
      <selection activeCell="D35" sqref="D35"/>
    </sheetView>
  </sheetViews>
  <sheetFormatPr baseColWidth="10" defaultColWidth="9.1640625" defaultRowHeight="16" x14ac:dyDescent="0.2"/>
  <cols>
    <col min="1" max="1" width="6.83203125" style="4" customWidth="1"/>
    <col min="2" max="2" width="13.1640625" style="5" customWidth="1"/>
    <col min="3" max="3" width="9.1640625" style="6" customWidth="1"/>
    <col min="4" max="4" width="16.1640625" style="6" customWidth="1"/>
    <col min="5" max="5" width="10.33203125" style="6" customWidth="1"/>
    <col min="6" max="7" width="9.1640625" style="6" customWidth="1"/>
    <col min="8" max="8" width="15" style="6" customWidth="1"/>
    <col min="9" max="11" width="9.1640625" style="6" customWidth="1"/>
    <col min="12" max="12" width="238.6640625" style="6" customWidth="1"/>
    <col min="13" max="13" width="9.1640625" style="6" customWidth="1"/>
    <col min="14" max="22" width="9.1640625" style="7" customWidth="1"/>
    <col min="23" max="24" width="9.1640625" style="6" customWidth="1"/>
    <col min="25" max="16384" width="9.1640625" style="6"/>
  </cols>
  <sheetData>
    <row r="1" spans="1:22" ht="51.75" customHeight="1" x14ac:dyDescent="0.2">
      <c r="A1" s="518" t="s">
        <v>18</v>
      </c>
      <c r="B1" s="519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7"/>
    </row>
    <row r="2" spans="1:22" s="11" customFormat="1" ht="12.75" customHeight="1" x14ac:dyDescent="0.15">
      <c r="A2" s="8"/>
      <c r="B2" s="9"/>
      <c r="C2" s="10"/>
      <c r="D2" s="10"/>
      <c r="E2" s="10"/>
      <c r="F2" s="8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s="11" customFormat="1" ht="12.75" customHeight="1" x14ac:dyDescent="0.15">
      <c r="A3" s="8"/>
      <c r="B3" s="9"/>
      <c r="C3" s="10"/>
      <c r="D3" s="10"/>
      <c r="E3" s="10"/>
      <c r="F3" s="8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s="11" customFormat="1" ht="12" customHeight="1" x14ac:dyDescent="0.15">
      <c r="A4" s="12"/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s="11" customFormat="1" ht="13.5" customHeight="1" x14ac:dyDescent="0.15">
      <c r="A5" s="521" t="s">
        <v>19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s="11" customFormat="1" ht="14.25" customHeight="1" x14ac:dyDescent="0.15">
      <c r="A6" s="13"/>
      <c r="B6" s="14" t="s">
        <v>20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s="11" customFormat="1" ht="13.5" customHeight="1" x14ac:dyDescent="0.15">
      <c r="A7" s="16"/>
      <c r="B7" s="14" t="s">
        <v>21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s="11" customFormat="1" ht="13.5" customHeight="1" x14ac:dyDescent="0.15">
      <c r="A8" s="17"/>
      <c r="B8" s="18"/>
      <c r="C8" s="18"/>
      <c r="D8" s="19"/>
      <c r="E8" s="19"/>
      <c r="F8" s="19"/>
      <c r="G8" s="19"/>
      <c r="H8" s="19"/>
      <c r="I8" s="19"/>
      <c r="J8" s="19"/>
      <c r="K8" s="19"/>
      <c r="L8" s="19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s="11" customFormat="1" ht="13.5" customHeight="1" x14ac:dyDescent="0.15">
      <c r="A9" s="20" t="s">
        <v>22</v>
      </c>
      <c r="B9" s="21"/>
      <c r="C9" s="21"/>
      <c r="D9" s="22"/>
      <c r="E9" s="22"/>
      <c r="F9" s="22"/>
      <c r="G9" s="22"/>
      <c r="H9" s="22"/>
      <c r="I9" s="22"/>
      <c r="J9" s="22"/>
      <c r="K9" s="22"/>
      <c r="L9" s="22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s="27" customFormat="1" ht="12.75" customHeight="1" x14ac:dyDescent="0.15">
      <c r="A10" s="23"/>
      <c r="B10" s="24" t="s">
        <v>23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  <c r="N10" s="26"/>
      <c r="O10" s="26"/>
      <c r="P10" s="26"/>
      <c r="Q10" s="26"/>
      <c r="R10" s="26"/>
      <c r="S10" s="26"/>
      <c r="T10" s="26"/>
      <c r="U10" s="26"/>
      <c r="V10" s="26"/>
    </row>
    <row r="11" spans="1:22" s="11" customFormat="1" ht="14.25" customHeight="1" x14ac:dyDescent="0.15">
      <c r="A11" s="16"/>
      <c r="B11" s="28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s="11" customFormat="1" ht="13.5" customHeight="1" x14ac:dyDescent="0.15">
      <c r="A12" s="17"/>
      <c r="B12" s="18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s="11" customFormat="1" ht="13.5" customHeight="1" x14ac:dyDescent="0.15">
      <c r="A13" s="20" t="s">
        <v>24</v>
      </c>
      <c r="B13" s="22"/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s="11" customFormat="1" ht="13.5" customHeight="1" x14ac:dyDescent="0.15">
      <c r="A14" s="29">
        <v>1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s="11" customFormat="1" ht="13.5" customHeight="1" x14ac:dyDescent="0.15">
      <c r="A15" s="29">
        <v>2</v>
      </c>
      <c r="B15" s="14" t="s">
        <v>26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s="11" customFormat="1" ht="13.5" customHeight="1" x14ac:dyDescent="0.15">
      <c r="A16" s="17"/>
      <c r="B16" s="18"/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s="11" customFormat="1" ht="13.5" customHeight="1" x14ac:dyDescent="0.15">
      <c r="A17" s="20" t="s">
        <v>27</v>
      </c>
      <c r="B17" s="22"/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s="11" customFormat="1" ht="13.5" customHeight="1" x14ac:dyDescent="0.15">
      <c r="A18" s="29"/>
      <c r="B18" s="14" t="s">
        <v>28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s="11" customFormat="1" ht="13.5" customHeight="1" x14ac:dyDescent="0.15">
      <c r="A19" s="17"/>
      <c r="B19" s="18"/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s="11" customFormat="1" ht="13.5" customHeight="1" x14ac:dyDescent="0.15">
      <c r="A20" s="20" t="s">
        <v>29</v>
      </c>
      <c r="B20" s="22"/>
      <c r="C20" s="21"/>
      <c r="D20" s="22"/>
      <c r="E20" s="22"/>
      <c r="F20" s="22"/>
      <c r="G20" s="22"/>
      <c r="H20" s="22"/>
      <c r="I20" s="22"/>
      <c r="J20" s="22"/>
      <c r="K20" s="22"/>
      <c r="L20" s="22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s="11" customFormat="1" ht="13.5" customHeight="1" x14ac:dyDescent="0.15">
      <c r="A21" s="29">
        <v>1</v>
      </c>
      <c r="B21" s="14" t="s">
        <v>30</v>
      </c>
      <c r="C21" s="14"/>
      <c r="D21" s="14"/>
      <c r="E21" s="14">
        <v>3</v>
      </c>
      <c r="F21" s="14" t="s">
        <v>31</v>
      </c>
      <c r="G21" s="14"/>
      <c r="H21" s="14"/>
      <c r="I21" s="14"/>
      <c r="J21" s="14"/>
      <c r="K21" s="14"/>
      <c r="L21" s="14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s="11" customFormat="1" ht="13.5" customHeight="1" x14ac:dyDescent="0.15">
      <c r="A22" s="29">
        <v>2</v>
      </c>
      <c r="B22" s="14" t="s">
        <v>32</v>
      </c>
      <c r="C22" s="14"/>
      <c r="D22" s="14"/>
      <c r="E22" s="14">
        <v>4</v>
      </c>
      <c r="F22" s="14" t="s">
        <v>33</v>
      </c>
      <c r="G22" s="14"/>
      <c r="H22" s="14"/>
      <c r="I22" s="14"/>
      <c r="J22" s="14"/>
      <c r="K22" s="14"/>
      <c r="L22" s="14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s="11" customFormat="1" ht="13.5" customHeight="1" x14ac:dyDescent="0.15">
      <c r="A23" s="17"/>
      <c r="B23" s="18"/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s="11" customFormat="1" ht="13.5" customHeight="1" x14ac:dyDescent="0.15">
      <c r="A24" s="20" t="s">
        <v>34</v>
      </c>
      <c r="B24" s="22"/>
      <c r="C24" s="21"/>
      <c r="D24" s="22"/>
      <c r="E24" s="22"/>
      <c r="F24" s="22"/>
      <c r="G24" s="22"/>
      <c r="H24" s="22"/>
      <c r="I24" s="22"/>
      <c r="J24" s="22"/>
      <c r="K24" s="22"/>
      <c r="L24" s="22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s="11" customFormat="1" ht="13.5" customHeight="1" x14ac:dyDescent="0.15">
      <c r="A25" s="29">
        <v>1</v>
      </c>
      <c r="B25" s="14" t="s">
        <v>35</v>
      </c>
      <c r="C25" s="14"/>
      <c r="D25" s="14"/>
      <c r="E25" s="14">
        <v>2</v>
      </c>
      <c r="F25" s="14" t="s">
        <v>36</v>
      </c>
      <c r="G25" s="14"/>
      <c r="H25" s="14"/>
      <c r="I25" s="14"/>
      <c r="J25" s="14"/>
      <c r="K25" s="14"/>
      <c r="L25" s="14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s="11" customFormat="1" ht="13.5" customHeight="1" x14ac:dyDescent="0.15">
      <c r="A26" s="17"/>
      <c r="B26" s="18"/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s="11" customFormat="1" ht="13.5" customHeight="1" x14ac:dyDescent="0.15">
      <c r="A27" s="20" t="s">
        <v>37</v>
      </c>
      <c r="B27" s="22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s="11" customFormat="1" ht="13.5" customHeight="1" x14ac:dyDescent="0.15">
      <c r="A28" s="29">
        <v>1</v>
      </c>
      <c r="B28" s="14" t="s">
        <v>38</v>
      </c>
      <c r="C28" s="30"/>
      <c r="D28" s="14"/>
      <c r="E28" s="14"/>
      <c r="F28" s="29"/>
      <c r="G28" s="14"/>
      <c r="H28" s="14"/>
      <c r="I28" s="14"/>
      <c r="J28" s="14"/>
      <c r="K28" s="14"/>
      <c r="L28" s="14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s="11" customFormat="1" ht="13.5" customHeight="1" x14ac:dyDescent="0.15">
      <c r="A29" s="29">
        <v>2</v>
      </c>
      <c r="B29" s="14" t="s">
        <v>39</v>
      </c>
      <c r="C29" s="30"/>
      <c r="D29" s="14"/>
      <c r="E29" s="14"/>
      <c r="F29" s="29"/>
      <c r="G29" s="14"/>
      <c r="H29" s="14"/>
      <c r="I29" s="14"/>
      <c r="J29" s="14"/>
      <c r="K29" s="14"/>
      <c r="L29" s="14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s="11" customFormat="1" ht="13.5" customHeight="1" x14ac:dyDescent="0.15">
      <c r="A30" s="29">
        <v>3</v>
      </c>
      <c r="B30" s="14" t="s">
        <v>40</v>
      </c>
      <c r="C30" s="30"/>
      <c r="D30" s="14"/>
      <c r="E30" s="14"/>
      <c r="F30" s="29"/>
      <c r="G30" s="14"/>
      <c r="H30" s="14"/>
      <c r="I30" s="14"/>
      <c r="J30" s="14"/>
      <c r="K30" s="14"/>
      <c r="L30" s="14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s="11" customFormat="1" ht="13.5" customHeight="1" x14ac:dyDescent="0.15">
      <c r="A31" s="17"/>
      <c r="B31" s="18"/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s="11" customFormat="1" ht="13.5" customHeight="1" x14ac:dyDescent="0.15">
      <c r="A32" s="20" t="s">
        <v>41</v>
      </c>
      <c r="B32" s="22"/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s="11" customFormat="1" ht="13.5" customHeight="1" x14ac:dyDescent="0.15">
      <c r="A33" s="16"/>
      <c r="B33" s="31" t="s">
        <v>42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s="11" customFormat="1" ht="13.5" customHeight="1" x14ac:dyDescent="0.15">
      <c r="A34" s="17"/>
      <c r="B34" s="18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s="11" customFormat="1" ht="13.5" customHeight="1" x14ac:dyDescent="0.15">
      <c r="A35" s="20" t="s">
        <v>43</v>
      </c>
      <c r="B35" s="22"/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s="11" customFormat="1" ht="13.5" customHeight="1" x14ac:dyDescent="0.15">
      <c r="A36" s="32"/>
      <c r="B36" s="29" t="s">
        <v>44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s="11" customFormat="1" ht="13.5" customHeight="1" x14ac:dyDescent="0.15">
      <c r="A37" s="17"/>
      <c r="B37" s="33"/>
      <c r="C37" s="34"/>
      <c r="D37" s="35"/>
      <c r="E37" s="35"/>
      <c r="F37" s="35"/>
      <c r="G37" s="35"/>
      <c r="H37" s="35"/>
      <c r="I37" s="35"/>
      <c r="J37" s="35"/>
      <c r="K37" s="35"/>
      <c r="L37" s="35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s="11" customFormat="1" ht="13.5" customHeight="1" x14ac:dyDescent="0.15">
      <c r="A38" s="20"/>
      <c r="B38" s="36"/>
      <c r="C38" s="20"/>
      <c r="D38" s="37"/>
      <c r="E38" s="37"/>
      <c r="F38" s="37"/>
      <c r="G38" s="37"/>
      <c r="H38" s="37"/>
      <c r="I38" s="38"/>
      <c r="J38" s="38"/>
      <c r="K38" s="38"/>
      <c r="L38" s="38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s="11" customFormat="1" ht="12.75" customHeight="1" x14ac:dyDescent="0.15">
      <c r="A39" s="39"/>
      <c r="B39" s="40"/>
      <c r="C39" s="41"/>
      <c r="D39" s="41"/>
      <c r="E39" s="41"/>
      <c r="F39" s="41"/>
      <c r="G39" s="41"/>
      <c r="H39" s="41"/>
      <c r="I39" s="42"/>
      <c r="J39" s="41"/>
      <c r="K39" s="41"/>
      <c r="L39" s="41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s="11" customFormat="1" ht="12" customHeight="1" x14ac:dyDescent="0.15">
      <c r="A40" s="43"/>
      <c r="B40" s="40"/>
      <c r="C40" s="41"/>
      <c r="D40" s="41"/>
      <c r="E40" s="41"/>
      <c r="F40" s="41"/>
      <c r="G40" s="41"/>
      <c r="H40" s="41"/>
      <c r="I40" s="44"/>
      <c r="J40" s="41"/>
      <c r="K40" s="41"/>
      <c r="L40" s="41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s="11" customFormat="1" ht="12" customHeight="1" x14ac:dyDescent="0.15">
      <c r="A41" s="43"/>
      <c r="B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s="11" customFormat="1" ht="12" customHeight="1" x14ac:dyDescent="0.15">
      <c r="A42" s="43"/>
      <c r="B42" s="40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s="11" customFormat="1" ht="12" customHeight="1" x14ac:dyDescent="0.15">
      <c r="A43" s="43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s="11" customFormat="1" ht="12" customHeight="1" x14ac:dyDescent="0.15">
      <c r="A44" s="43"/>
      <c r="B44" s="40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s="11" customFormat="1" ht="12" customHeight="1" x14ac:dyDescent="0.15">
      <c r="A45" s="43"/>
      <c r="B45" s="40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s="11" customFormat="1" ht="12" customHeight="1" x14ac:dyDescent="0.15">
      <c r="A46" s="43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s="11" customFormat="1" ht="12" customHeight="1" x14ac:dyDescent="0.15">
      <c r="A47" s="43"/>
      <c r="B47" s="40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s="11" customFormat="1" ht="12" customHeight="1" x14ac:dyDescent="0.15">
      <c r="A48" s="43"/>
      <c r="B48" s="40"/>
      <c r="C48" s="41"/>
      <c r="D48" s="41"/>
      <c r="E48" s="41"/>
      <c r="F48" s="41"/>
      <c r="G48" s="41"/>
      <c r="H48" s="45"/>
      <c r="I48" s="41"/>
      <c r="J48" s="41"/>
      <c r="K48" s="41"/>
      <c r="L48" s="41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s="11" customFormat="1" ht="12" customHeight="1" x14ac:dyDescent="0.15">
      <c r="A49" s="43"/>
      <c r="B49" s="40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s="11" customFormat="1" ht="12" customHeight="1" x14ac:dyDescent="0.15">
      <c r="A50" s="43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10"/>
      <c r="N50" s="10"/>
      <c r="O50" s="46"/>
      <c r="P50" s="10"/>
      <c r="Q50" s="10"/>
      <c r="R50" s="10"/>
      <c r="S50" s="10"/>
      <c r="T50" s="10"/>
      <c r="U50" s="10"/>
      <c r="V50" s="10"/>
    </row>
    <row r="51" spans="1:22" s="11" customFormat="1" ht="12" customHeight="1" x14ac:dyDescent="0.15">
      <c r="A51" s="43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s="11" customFormat="1" ht="12" customHeight="1" x14ac:dyDescent="0.15">
      <c r="A52" s="43"/>
      <c r="B52" s="40"/>
      <c r="C52" s="41"/>
      <c r="D52" s="41"/>
      <c r="E52" s="41"/>
      <c r="F52" s="41"/>
      <c r="G52" s="41"/>
      <c r="H52" s="47"/>
      <c r="I52" s="41"/>
      <c r="J52" s="41"/>
      <c r="K52" s="41"/>
      <c r="L52" s="41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s="11" customFormat="1" ht="12" customHeight="1" x14ac:dyDescent="0.15">
      <c r="A53" s="41"/>
      <c r="B53" s="40"/>
      <c r="C53" s="43"/>
      <c r="D53" s="41"/>
      <c r="E53" s="41"/>
      <c r="F53" s="41"/>
      <c r="G53" s="41"/>
      <c r="H53" s="48"/>
      <c r="I53" s="41"/>
      <c r="J53" s="41"/>
      <c r="K53" s="41"/>
      <c r="L53" s="41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s="11" customFormat="1" ht="12" customHeight="1" x14ac:dyDescent="0.15">
      <c r="A54" s="43"/>
      <c r="B54" s="40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s="11" customFormat="1" ht="12" customHeight="1" x14ac:dyDescent="0.15">
      <c r="A55" s="43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s="11" customFormat="1" ht="12" customHeight="1" x14ac:dyDescent="0.15">
      <c r="A56" s="43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s="11" customFormat="1" ht="12" customHeight="1" x14ac:dyDescent="0.15">
      <c r="A57" s="43"/>
      <c r="B57" s="40"/>
      <c r="C57" s="44"/>
      <c r="D57" s="41"/>
      <c r="E57" s="41"/>
      <c r="F57" s="41"/>
      <c r="G57" s="41"/>
      <c r="H57" s="41"/>
      <c r="I57" s="41"/>
      <c r="J57" s="41"/>
      <c r="K57" s="41"/>
      <c r="L57" s="41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s="11" customFormat="1" ht="12" customHeight="1" x14ac:dyDescent="0.15">
      <c r="A58" s="43"/>
      <c r="B58" s="40"/>
      <c r="C58" s="41"/>
      <c r="D58" s="41"/>
      <c r="E58" s="41"/>
      <c r="F58" s="41"/>
      <c r="G58" s="41"/>
      <c r="H58" s="45"/>
      <c r="I58" s="41"/>
      <c r="J58" s="41"/>
      <c r="K58" s="41"/>
      <c r="L58" s="41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s="11" customFormat="1" ht="12" customHeight="1" x14ac:dyDescent="0.15">
      <c r="A59" s="49"/>
      <c r="B59" s="40"/>
      <c r="C59" s="41"/>
      <c r="D59" s="41"/>
      <c r="E59" s="41"/>
      <c r="F59" s="41"/>
      <c r="G59" s="50"/>
      <c r="H59" s="41"/>
      <c r="I59" s="41"/>
      <c r="J59" s="41"/>
      <c r="K59" s="41"/>
      <c r="L59" s="41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s="11" customFormat="1" ht="12" customHeight="1" x14ac:dyDescent="0.15">
      <c r="A60" s="51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s="11" customFormat="1" ht="12" customHeight="1" x14ac:dyDescent="0.15">
      <c r="A61" s="43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s="11" customFormat="1" ht="12" customHeight="1" x14ac:dyDescent="0.15">
      <c r="A62" s="43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s="11" customFormat="1" ht="12" customHeight="1" x14ac:dyDescent="0.15">
      <c r="A63" s="43"/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spans="1:22" s="11" customFormat="1" ht="12.75" customHeight="1" x14ac:dyDescent="0.15">
      <c r="A64" s="52"/>
      <c r="B64" s="53"/>
      <c r="C64" s="52"/>
      <c r="D64" s="52"/>
      <c r="E64" s="52"/>
      <c r="F64" s="52"/>
      <c r="G64" s="52"/>
      <c r="H64" s="52"/>
      <c r="I64" s="41"/>
      <c r="J64" s="41"/>
      <c r="K64" s="41"/>
      <c r="L64" s="41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1:22" s="11" customFormat="1" ht="12.75" customHeight="1" x14ac:dyDescent="0.15">
      <c r="A65" s="54"/>
      <c r="B65" s="53"/>
      <c r="C65" s="52"/>
      <c r="D65" s="52"/>
      <c r="E65" s="52"/>
      <c r="F65" s="52"/>
      <c r="G65" s="52"/>
      <c r="H65" s="52"/>
      <c r="I65" s="42"/>
      <c r="J65" s="41"/>
      <c r="K65" s="41"/>
      <c r="L65" s="41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s="11" customFormat="1" ht="12.75" customHeight="1" x14ac:dyDescent="0.15">
      <c r="A66" s="54"/>
      <c r="B66" s="53"/>
      <c r="C66" s="52"/>
      <c r="D66" s="52"/>
      <c r="E66" s="52"/>
      <c r="F66" s="52"/>
      <c r="G66" s="52"/>
      <c r="H66" s="52"/>
      <c r="I66" s="44"/>
      <c r="J66" s="41"/>
      <c r="K66" s="41"/>
      <c r="L66" s="41"/>
      <c r="M66" s="10"/>
      <c r="N66" s="10"/>
      <c r="O66" s="10"/>
      <c r="P66" s="10"/>
      <c r="Q66" s="10"/>
      <c r="R66" s="10"/>
      <c r="S66" s="10"/>
      <c r="T66" s="10"/>
      <c r="U66" s="10"/>
      <c r="V66" s="10"/>
    </row>
    <row r="67" spans="1:22" s="11" customFormat="1" ht="12.75" customHeight="1" x14ac:dyDescent="0.15">
      <c r="A67" s="55"/>
      <c r="B67" s="56"/>
      <c r="C67" s="57"/>
      <c r="D67" s="57"/>
      <c r="E67" s="57"/>
      <c r="F67" s="57"/>
      <c r="G67" s="57"/>
      <c r="H67" s="57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spans="1:22" s="11" customFormat="1" ht="12.75" customHeight="1" x14ac:dyDescent="0.15">
      <c r="A68" s="55"/>
      <c r="B68" s="56"/>
      <c r="C68" s="57"/>
      <c r="D68" s="57"/>
      <c r="E68" s="57"/>
      <c r="F68" s="57"/>
      <c r="G68" s="57"/>
      <c r="H68" s="57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s="11" customFormat="1" ht="12" customHeight="1" x14ac:dyDescent="0.15">
      <c r="A69" s="12"/>
      <c r="B69" s="9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</row>
    <row r="70" spans="1:22" s="11" customFormat="1" ht="12.75" customHeight="1" x14ac:dyDescent="0.15">
      <c r="A70" s="12"/>
      <c r="B70" s="58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1:22" s="11" customFormat="1" ht="12.75" customHeight="1" x14ac:dyDescent="0.15">
      <c r="A71" s="12"/>
      <c r="B71" s="58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2" s="11" customFormat="1" ht="12.75" customHeight="1" x14ac:dyDescent="0.15">
      <c r="A72" s="12"/>
      <c r="B72" s="58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1:22" s="11" customFormat="1" ht="12.75" customHeight="1" x14ac:dyDescent="0.15">
      <c r="A73" s="12"/>
      <c r="B73" s="58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 spans="1:22" s="11" customFormat="1" ht="12.75" customHeight="1" x14ac:dyDescent="0.15">
      <c r="A74" s="12"/>
      <c r="B74" s="59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 spans="1:22" s="11" customFormat="1" ht="12.75" customHeight="1" x14ac:dyDescent="0.15">
      <c r="A75" s="12"/>
      <c r="B75" s="59"/>
      <c r="C75" s="6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 s="11" customFormat="1" ht="12.75" customHeight="1" x14ac:dyDescent="0.15">
      <c r="A76" s="12"/>
      <c r="B76" s="59"/>
      <c r="C76" s="6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1:22" s="11" customFormat="1" ht="12" customHeight="1" x14ac:dyDescent="0.15">
      <c r="A77" s="12"/>
      <c r="B77" s="61"/>
      <c r="C77" s="6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spans="1:22" s="11" customFormat="1" ht="12" customHeight="1" x14ac:dyDescent="0.15">
      <c r="A78" s="12"/>
      <c r="B78" s="61"/>
      <c r="C78" s="6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</row>
    <row r="79" spans="1:22" s="11" customFormat="1" ht="12" customHeight="1" x14ac:dyDescent="0.15">
      <c r="A79" s="12"/>
      <c r="B79" s="61"/>
      <c r="C79" s="6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</row>
    <row r="80" spans="1:22" s="11" customFormat="1" ht="12" customHeight="1" x14ac:dyDescent="0.15">
      <c r="A80" s="12"/>
      <c r="B80" s="61"/>
      <c r="C80" s="6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spans="1:22" s="11" customFormat="1" ht="12" customHeight="1" x14ac:dyDescent="0.15">
      <c r="A81" s="62"/>
      <c r="B81" s="63"/>
      <c r="C81" s="64"/>
      <c r="N81" s="10"/>
      <c r="O81" s="10"/>
      <c r="P81" s="10"/>
      <c r="Q81" s="10"/>
      <c r="R81" s="10"/>
      <c r="S81" s="10"/>
      <c r="T81" s="10"/>
      <c r="U81" s="10"/>
      <c r="V81" s="10"/>
    </row>
    <row r="82" spans="1:22" s="11" customFormat="1" ht="12" customHeight="1" x14ac:dyDescent="0.15">
      <c r="A82" s="62"/>
      <c r="B82" s="63"/>
      <c r="C82" s="64"/>
      <c r="N82" s="10"/>
      <c r="O82" s="10"/>
      <c r="P82" s="10"/>
      <c r="Q82" s="10"/>
      <c r="R82" s="10"/>
      <c r="S82" s="10"/>
      <c r="T82" s="10"/>
      <c r="U82" s="10"/>
      <c r="V82" s="10"/>
    </row>
    <row r="83" spans="1:22" s="11" customFormat="1" ht="12" customHeight="1" x14ac:dyDescent="0.15">
      <c r="A83" s="62"/>
      <c r="B83" s="63"/>
      <c r="C83" s="64"/>
      <c r="N83" s="10"/>
      <c r="O83" s="10"/>
      <c r="P83" s="10"/>
      <c r="Q83" s="10"/>
      <c r="R83" s="10"/>
      <c r="S83" s="10"/>
      <c r="T83" s="10"/>
      <c r="U83" s="10"/>
      <c r="V83" s="10"/>
    </row>
    <row r="84" spans="1:22" s="11" customFormat="1" ht="12" customHeight="1" x14ac:dyDescent="0.15">
      <c r="A84" s="62"/>
      <c r="B84" s="63"/>
      <c r="C84" s="64"/>
      <c r="N84" s="10"/>
      <c r="O84" s="10"/>
      <c r="P84" s="10"/>
      <c r="Q84" s="10"/>
      <c r="R84" s="10"/>
      <c r="S84" s="10"/>
      <c r="T84" s="10"/>
      <c r="U84" s="10"/>
      <c r="V84" s="10"/>
    </row>
    <row r="85" spans="1:22" s="11" customFormat="1" ht="12" customHeight="1" x14ac:dyDescent="0.15">
      <c r="A85" s="62"/>
      <c r="B85" s="65"/>
      <c r="N85" s="10"/>
      <c r="O85" s="10"/>
      <c r="P85" s="10"/>
      <c r="Q85" s="10"/>
      <c r="R85" s="10"/>
      <c r="S85" s="10"/>
      <c r="T85" s="10"/>
      <c r="U85" s="10"/>
      <c r="V85" s="10"/>
    </row>
    <row r="86" spans="1:22" s="11" customFormat="1" ht="12" customHeight="1" x14ac:dyDescent="0.15">
      <c r="A86" s="62"/>
      <c r="B86" s="65"/>
      <c r="N86" s="10"/>
      <c r="O86" s="10"/>
      <c r="P86" s="10"/>
      <c r="Q86" s="10"/>
      <c r="R86" s="10"/>
      <c r="S86" s="10"/>
      <c r="T86" s="10"/>
      <c r="U86" s="10"/>
      <c r="V86" s="10"/>
    </row>
    <row r="87" spans="1:22" s="11" customFormat="1" ht="12" customHeight="1" x14ac:dyDescent="0.15">
      <c r="A87" s="62"/>
      <c r="B87" s="65"/>
      <c r="N87" s="10"/>
      <c r="O87" s="10"/>
      <c r="P87" s="10"/>
      <c r="Q87" s="10"/>
      <c r="R87" s="10"/>
      <c r="S87" s="10"/>
      <c r="T87" s="10"/>
      <c r="U87" s="10"/>
      <c r="V87" s="10"/>
    </row>
    <row r="88" spans="1:22" s="11" customFormat="1" ht="12" customHeight="1" x14ac:dyDescent="0.15">
      <c r="A88" s="62"/>
      <c r="B88" s="65"/>
      <c r="N88" s="10"/>
      <c r="O88" s="10"/>
      <c r="P88" s="10"/>
      <c r="Q88" s="10"/>
      <c r="R88" s="10"/>
      <c r="S88" s="10"/>
      <c r="T88" s="10"/>
      <c r="U88" s="10"/>
      <c r="V88" s="10"/>
    </row>
    <row r="89" spans="1:22" s="11" customFormat="1" ht="12" customHeight="1" x14ac:dyDescent="0.15">
      <c r="A89" s="62"/>
      <c r="B89" s="65"/>
      <c r="N89" s="10"/>
      <c r="O89" s="10"/>
      <c r="P89" s="10"/>
      <c r="Q89" s="10"/>
      <c r="R89" s="10"/>
      <c r="S89" s="10"/>
      <c r="T89" s="10"/>
      <c r="U89" s="10"/>
      <c r="V89" s="10"/>
    </row>
    <row r="90" spans="1:22" s="11" customFormat="1" ht="12" customHeight="1" x14ac:dyDescent="0.15">
      <c r="A90" s="62"/>
      <c r="B90" s="65"/>
      <c r="N90" s="10"/>
      <c r="O90" s="10"/>
      <c r="P90" s="10"/>
      <c r="Q90" s="10"/>
      <c r="R90" s="10"/>
      <c r="S90" s="10"/>
      <c r="T90" s="10"/>
      <c r="U90" s="10"/>
      <c r="V90" s="10"/>
    </row>
    <row r="91" spans="1:22" s="11" customFormat="1" ht="12" customHeight="1" x14ac:dyDescent="0.15">
      <c r="A91" s="62"/>
      <c r="B91" s="65"/>
      <c r="N91" s="10"/>
      <c r="O91" s="10"/>
      <c r="P91" s="10"/>
      <c r="Q91" s="10"/>
      <c r="R91" s="10"/>
      <c r="S91" s="10"/>
      <c r="T91" s="10"/>
      <c r="U91" s="10"/>
      <c r="V91" s="10"/>
    </row>
    <row r="92" spans="1:22" s="11" customFormat="1" ht="12" customHeight="1" x14ac:dyDescent="0.15">
      <c r="A92" s="62"/>
      <c r="B92" s="65"/>
      <c r="N92" s="10"/>
      <c r="O92" s="10"/>
      <c r="P92" s="10"/>
      <c r="Q92" s="10"/>
      <c r="R92" s="10"/>
      <c r="S92" s="10"/>
      <c r="T92" s="10"/>
      <c r="U92" s="10"/>
      <c r="V92" s="10"/>
    </row>
    <row r="93" spans="1:22" s="11" customFormat="1" ht="12" customHeight="1" x14ac:dyDescent="0.15">
      <c r="A93" s="62"/>
      <c r="B93" s="65"/>
      <c r="N93" s="10"/>
      <c r="O93" s="10"/>
      <c r="P93" s="10"/>
      <c r="Q93" s="10"/>
      <c r="R93" s="10"/>
      <c r="S93" s="10"/>
      <c r="T93" s="10"/>
      <c r="U93" s="10"/>
      <c r="V93" s="10"/>
    </row>
    <row r="94" spans="1:22" s="11" customFormat="1" ht="12" customHeight="1" x14ac:dyDescent="0.15">
      <c r="A94" s="62"/>
      <c r="B94" s="65"/>
      <c r="N94" s="10"/>
      <c r="O94" s="10"/>
      <c r="P94" s="10"/>
      <c r="Q94" s="10"/>
      <c r="R94" s="10"/>
      <c r="S94" s="10"/>
      <c r="T94" s="10"/>
      <c r="U94" s="10"/>
      <c r="V94" s="10"/>
    </row>
    <row r="95" spans="1:22" s="11" customFormat="1" ht="12" customHeight="1" x14ac:dyDescent="0.15">
      <c r="A95" s="62"/>
      <c r="B95" s="65"/>
      <c r="N95" s="10"/>
      <c r="O95" s="10"/>
      <c r="P95" s="10"/>
      <c r="Q95" s="10"/>
      <c r="R95" s="10"/>
      <c r="S95" s="10"/>
      <c r="T95" s="10"/>
      <c r="U95" s="10"/>
      <c r="V95" s="10"/>
    </row>
    <row r="96" spans="1:22" s="11" customFormat="1" ht="12" customHeight="1" x14ac:dyDescent="0.15">
      <c r="A96" s="62"/>
      <c r="B96" s="65"/>
      <c r="N96" s="10"/>
      <c r="O96" s="10"/>
      <c r="P96" s="10"/>
      <c r="Q96" s="10"/>
      <c r="R96" s="10"/>
      <c r="S96" s="10"/>
      <c r="T96" s="10"/>
      <c r="U96" s="10"/>
      <c r="V96" s="10"/>
    </row>
    <row r="97" spans="1:22" s="11" customFormat="1" ht="12" customHeight="1" x14ac:dyDescent="0.15">
      <c r="A97" s="62"/>
      <c r="B97" s="65"/>
      <c r="N97" s="10"/>
      <c r="O97" s="10"/>
      <c r="P97" s="10"/>
      <c r="Q97" s="10"/>
      <c r="R97" s="10"/>
      <c r="S97" s="10"/>
      <c r="T97" s="10"/>
      <c r="U97" s="10"/>
      <c r="V97" s="10"/>
    </row>
    <row r="98" spans="1:22" s="11" customFormat="1" ht="12" customHeight="1" x14ac:dyDescent="0.15">
      <c r="A98" s="62"/>
      <c r="B98" s="65"/>
      <c r="N98" s="10"/>
      <c r="O98" s="10"/>
      <c r="P98" s="10"/>
      <c r="Q98" s="10"/>
      <c r="R98" s="10"/>
      <c r="S98" s="10"/>
      <c r="T98" s="10"/>
      <c r="U98" s="10"/>
      <c r="V98" s="10"/>
    </row>
    <row r="99" spans="1:22" s="11" customFormat="1" ht="12" customHeight="1" x14ac:dyDescent="0.15">
      <c r="A99" s="62"/>
      <c r="B99" s="65"/>
      <c r="N99" s="10"/>
      <c r="O99" s="10"/>
      <c r="P99" s="10"/>
      <c r="Q99" s="10"/>
      <c r="R99" s="10"/>
      <c r="S99" s="10"/>
      <c r="T99" s="10"/>
      <c r="U99" s="10"/>
      <c r="V99" s="10"/>
    </row>
    <row r="100" spans="1:22" s="11" customFormat="1" ht="12" customHeight="1" x14ac:dyDescent="0.15">
      <c r="A100" s="62"/>
      <c r="B100" s="65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 s="11" customFormat="1" ht="12" customHeight="1" x14ac:dyDescent="0.15">
      <c r="A101" s="62"/>
      <c r="B101" s="65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1:22" s="11" customFormat="1" ht="12" customHeight="1" x14ac:dyDescent="0.15">
      <c r="A102" s="62"/>
      <c r="B102" s="65"/>
      <c r="N102" s="10"/>
      <c r="O102" s="10"/>
      <c r="P102" s="10"/>
      <c r="Q102" s="10"/>
      <c r="R102" s="10"/>
      <c r="S102" s="10"/>
      <c r="T102" s="10"/>
      <c r="U102" s="10"/>
      <c r="V102" s="10"/>
    </row>
    <row r="103" spans="1:22" s="11" customFormat="1" ht="12" customHeight="1" x14ac:dyDescent="0.15">
      <c r="A103" s="62"/>
      <c r="B103" s="65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1:22" s="11" customFormat="1" ht="12" customHeight="1" x14ac:dyDescent="0.15">
      <c r="A104" s="62"/>
      <c r="B104" s="65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 s="11" customFormat="1" ht="12" customHeight="1" x14ac:dyDescent="0.15">
      <c r="A105" s="62"/>
      <c r="B105" s="65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s="11" customFormat="1" ht="12" customHeight="1" x14ac:dyDescent="0.15">
      <c r="A106" s="62"/>
      <c r="B106" s="65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 s="11" customFormat="1" ht="12" customHeight="1" x14ac:dyDescent="0.15">
      <c r="A107" s="62"/>
      <c r="B107" s="65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 s="11" customFormat="1" ht="12" customHeight="1" x14ac:dyDescent="0.15">
      <c r="A108" s="62"/>
      <c r="B108" s="65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 s="11" customFormat="1" ht="12" customHeight="1" x14ac:dyDescent="0.15">
      <c r="A109" s="62"/>
      <c r="B109" s="65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 s="11" customFormat="1" ht="12" customHeight="1" x14ac:dyDescent="0.15">
      <c r="A110" s="62"/>
      <c r="B110" s="65"/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1:22" s="11" customFormat="1" ht="12" customHeight="1" x14ac:dyDescent="0.15">
      <c r="A111" s="62"/>
      <c r="B111" s="65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22" s="11" customFormat="1" ht="12" customHeight="1" x14ac:dyDescent="0.15">
      <c r="A112" s="62"/>
      <c r="B112" s="65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 s="11" customFormat="1" ht="12" customHeight="1" x14ac:dyDescent="0.15">
      <c r="A113" s="62"/>
      <c r="B113" s="65"/>
      <c r="N113" s="10"/>
      <c r="O113" s="10"/>
      <c r="P113" s="10"/>
      <c r="Q113" s="10"/>
      <c r="R113" s="10"/>
      <c r="S113" s="10"/>
      <c r="T113" s="10"/>
      <c r="U113" s="10"/>
      <c r="V113" s="10"/>
    </row>
    <row r="114" spans="1:22" s="11" customFormat="1" ht="12" customHeight="1" x14ac:dyDescent="0.15">
      <c r="A114" s="62"/>
      <c r="B114" s="65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s="11" customFormat="1" ht="12" customHeight="1" x14ac:dyDescent="0.15">
      <c r="A115" s="62"/>
      <c r="B115" s="65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s="11" customFormat="1" ht="12" customHeight="1" x14ac:dyDescent="0.15">
      <c r="A116" s="62"/>
      <c r="B116" s="65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1:22" s="11" customFormat="1" ht="12" customHeight="1" x14ac:dyDescent="0.15">
      <c r="A117" s="62"/>
      <c r="B117" s="65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 s="11" customFormat="1" ht="12" customHeight="1" x14ac:dyDescent="0.15">
      <c r="A118" s="62"/>
      <c r="B118" s="65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 s="11" customFormat="1" ht="12" customHeight="1" x14ac:dyDescent="0.15">
      <c r="A119" s="62"/>
      <c r="B119" s="65"/>
      <c r="N119" s="10"/>
      <c r="O119" s="10"/>
      <c r="P119" s="10"/>
      <c r="Q119" s="10"/>
      <c r="R119" s="10"/>
      <c r="S119" s="10"/>
      <c r="T119" s="10"/>
      <c r="U119" s="10"/>
      <c r="V119" s="10"/>
    </row>
    <row r="120" spans="1:22" s="11" customFormat="1" ht="12" customHeight="1" x14ac:dyDescent="0.15">
      <c r="A120" s="62"/>
      <c r="B120" s="65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 s="11" customFormat="1" ht="12" customHeight="1" x14ac:dyDescent="0.15">
      <c r="A121" s="62"/>
      <c r="B121" s="65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1:22" s="11" customFormat="1" ht="12" customHeight="1" x14ac:dyDescent="0.15">
      <c r="A122" s="62"/>
      <c r="B122" s="65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1:22" s="11" customFormat="1" ht="12" customHeight="1" x14ac:dyDescent="0.15">
      <c r="A123" s="62"/>
      <c r="B123" s="65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s="11" customFormat="1" ht="12" customHeight="1" x14ac:dyDescent="0.15">
      <c r="A124" s="62"/>
      <c r="B124" s="65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 s="11" customFormat="1" ht="12" customHeight="1" x14ac:dyDescent="0.15">
      <c r="A125" s="62"/>
      <c r="B125" s="65"/>
      <c r="N125" s="10"/>
      <c r="O125" s="10"/>
      <c r="P125" s="10"/>
      <c r="Q125" s="10"/>
      <c r="R125" s="10"/>
      <c r="S125" s="10"/>
      <c r="T125" s="10"/>
      <c r="U125" s="10"/>
      <c r="V125" s="10"/>
    </row>
    <row r="126" spans="1:22" s="11" customFormat="1" ht="12" customHeight="1" x14ac:dyDescent="0.15">
      <c r="A126" s="62"/>
      <c r="B126" s="65"/>
      <c r="N126" s="10"/>
      <c r="O126" s="10"/>
      <c r="P126" s="10"/>
      <c r="Q126" s="10"/>
      <c r="R126" s="10"/>
      <c r="S126" s="10"/>
      <c r="T126" s="10"/>
      <c r="U126" s="10"/>
      <c r="V126" s="10"/>
    </row>
    <row r="127" spans="1:22" s="11" customFormat="1" ht="12" customHeight="1" x14ac:dyDescent="0.15">
      <c r="A127" s="62"/>
      <c r="B127" s="65"/>
      <c r="N127" s="10"/>
      <c r="O127" s="10"/>
      <c r="P127" s="10"/>
      <c r="Q127" s="10"/>
      <c r="R127" s="10"/>
      <c r="S127" s="10"/>
      <c r="T127" s="10"/>
      <c r="U127" s="10"/>
      <c r="V127" s="10"/>
    </row>
    <row r="128" spans="1:22" s="11" customFormat="1" ht="12" customHeight="1" x14ac:dyDescent="0.15">
      <c r="A128" s="62"/>
      <c r="B128" s="65"/>
      <c r="N128" s="10"/>
      <c r="O128" s="10"/>
      <c r="P128" s="10"/>
      <c r="Q128" s="10"/>
      <c r="R128" s="10"/>
      <c r="S128" s="10"/>
      <c r="T128" s="10"/>
      <c r="U128" s="10"/>
      <c r="V128" s="10"/>
    </row>
    <row r="129" spans="1:22" s="11" customFormat="1" ht="12" customHeight="1" x14ac:dyDescent="0.15">
      <c r="A129" s="62"/>
      <c r="B129" s="65"/>
      <c r="N129" s="10"/>
      <c r="O129" s="10"/>
      <c r="P129" s="10"/>
      <c r="Q129" s="10"/>
      <c r="R129" s="10"/>
      <c r="S129" s="10"/>
      <c r="T129" s="10"/>
      <c r="U129" s="10"/>
      <c r="V129" s="10"/>
    </row>
    <row r="130" spans="1:22" s="11" customFormat="1" ht="12" customHeight="1" x14ac:dyDescent="0.15">
      <c r="A130" s="62"/>
      <c r="B130" s="65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 s="11" customFormat="1" ht="12" customHeight="1" x14ac:dyDescent="0.15">
      <c r="A131" s="62"/>
      <c r="B131" s="65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s="11" customFormat="1" ht="12" customHeight="1" x14ac:dyDescent="0.15">
      <c r="A132" s="62"/>
      <c r="B132" s="65"/>
      <c r="N132" s="10"/>
      <c r="O132" s="10"/>
      <c r="P132" s="10"/>
      <c r="Q132" s="10"/>
      <c r="R132" s="10"/>
      <c r="S132" s="10"/>
      <c r="T132" s="10"/>
      <c r="U132" s="10"/>
      <c r="V132" s="10"/>
    </row>
    <row r="133" spans="1:22" s="11" customFormat="1" ht="12" customHeight="1" x14ac:dyDescent="0.15">
      <c r="A133" s="62"/>
      <c r="B133" s="65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1:22" s="11" customFormat="1" ht="12" customHeight="1" x14ac:dyDescent="0.15">
      <c r="A134" s="62"/>
      <c r="B134" s="65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 s="11" customFormat="1" ht="12" customHeight="1" x14ac:dyDescent="0.15">
      <c r="A135" s="62"/>
      <c r="B135" s="65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22" s="11" customFormat="1" ht="12" customHeight="1" x14ac:dyDescent="0.15">
      <c r="A136" s="62"/>
      <c r="B136" s="65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1:22" s="11" customFormat="1" ht="12" customHeight="1" x14ac:dyDescent="0.15">
      <c r="A137" s="62"/>
      <c r="B137" s="65"/>
      <c r="N137" s="10"/>
      <c r="O137" s="10"/>
      <c r="P137" s="10"/>
      <c r="Q137" s="10"/>
      <c r="R137" s="10"/>
      <c r="S137" s="10"/>
      <c r="T137" s="10"/>
      <c r="U137" s="10"/>
      <c r="V137" s="10"/>
    </row>
    <row r="138" spans="1:22" s="11" customFormat="1" ht="12" customHeight="1" x14ac:dyDescent="0.15">
      <c r="A138" s="62"/>
      <c r="B138" s="65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1:22" s="11" customFormat="1" ht="12" customHeight="1" x14ac:dyDescent="0.15">
      <c r="A139" s="62"/>
      <c r="B139" s="65"/>
      <c r="N139" s="10"/>
      <c r="O139" s="10"/>
      <c r="P139" s="10"/>
      <c r="Q139" s="10"/>
      <c r="R139" s="10"/>
      <c r="S139" s="10"/>
      <c r="T139" s="10"/>
      <c r="U139" s="10"/>
      <c r="V139" s="10"/>
    </row>
    <row r="140" spans="1:22" s="11" customFormat="1" ht="12" customHeight="1" x14ac:dyDescent="0.15">
      <c r="A140" s="62"/>
      <c r="B140" s="65"/>
      <c r="N140" s="10"/>
      <c r="O140" s="10"/>
      <c r="P140" s="10"/>
      <c r="Q140" s="10"/>
      <c r="R140" s="10"/>
      <c r="S140" s="10"/>
      <c r="T140" s="10"/>
      <c r="U140" s="10"/>
      <c r="V140" s="10"/>
    </row>
    <row r="141" spans="1:22" s="11" customFormat="1" ht="12" customHeight="1" x14ac:dyDescent="0.15">
      <c r="A141" s="62"/>
      <c r="B141" s="65"/>
      <c r="N141" s="10"/>
      <c r="O141" s="10"/>
      <c r="P141" s="10"/>
      <c r="Q141" s="10"/>
      <c r="R141" s="10"/>
      <c r="S141" s="10"/>
      <c r="T141" s="10"/>
      <c r="U141" s="10"/>
      <c r="V141" s="10"/>
    </row>
    <row r="142" spans="1:22" s="11" customFormat="1" ht="12" customHeight="1" x14ac:dyDescent="0.15">
      <c r="A142" s="62"/>
      <c r="B142" s="65"/>
      <c r="N142" s="10"/>
      <c r="O142" s="10"/>
      <c r="P142" s="10"/>
      <c r="Q142" s="10"/>
      <c r="R142" s="10"/>
      <c r="S142" s="10"/>
      <c r="T142" s="10"/>
      <c r="U142" s="10"/>
      <c r="V142" s="10"/>
    </row>
    <row r="143" spans="1:22" s="11" customFormat="1" ht="12" customHeight="1" x14ac:dyDescent="0.15">
      <c r="A143" s="62"/>
      <c r="B143" s="65"/>
      <c r="N143" s="10"/>
      <c r="O143" s="10"/>
      <c r="P143" s="10"/>
      <c r="Q143" s="10"/>
      <c r="R143" s="10"/>
      <c r="S143" s="10"/>
      <c r="T143" s="10"/>
      <c r="U143" s="10"/>
      <c r="V143" s="10"/>
    </row>
    <row r="144" spans="1:22" s="11" customFormat="1" ht="12" customHeight="1" x14ac:dyDescent="0.15">
      <c r="A144" s="62"/>
      <c r="B144" s="65"/>
      <c r="N144" s="10"/>
      <c r="O144" s="10"/>
      <c r="P144" s="10"/>
      <c r="Q144" s="10"/>
      <c r="R144" s="10"/>
      <c r="S144" s="10"/>
      <c r="T144" s="10"/>
      <c r="U144" s="10"/>
      <c r="V144" s="10"/>
    </row>
    <row r="145" spans="1:22" s="11" customFormat="1" ht="12" customHeight="1" x14ac:dyDescent="0.15">
      <c r="A145" s="62"/>
      <c r="B145" s="65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1:22" s="11" customFormat="1" ht="12" customHeight="1" x14ac:dyDescent="0.15">
      <c r="A146" s="62"/>
      <c r="B146" s="65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1:22" s="11" customFormat="1" ht="12" customHeight="1" x14ac:dyDescent="0.15">
      <c r="A147" s="62"/>
      <c r="B147" s="65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1:22" s="11" customFormat="1" ht="12" customHeight="1" x14ac:dyDescent="0.15">
      <c r="A148" s="62"/>
      <c r="B148" s="65"/>
      <c r="N148" s="10"/>
      <c r="O148" s="10"/>
      <c r="P148" s="10"/>
      <c r="Q148" s="10"/>
      <c r="R148" s="10"/>
      <c r="S148" s="10"/>
      <c r="T148" s="10"/>
      <c r="U148" s="10"/>
      <c r="V148" s="10"/>
    </row>
    <row r="149" spans="1:22" s="11" customFormat="1" ht="12" customHeight="1" x14ac:dyDescent="0.15">
      <c r="A149" s="62"/>
      <c r="B149" s="65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 s="11" customFormat="1" ht="12" customHeight="1" x14ac:dyDescent="0.15">
      <c r="A150" s="62"/>
      <c r="B150" s="65"/>
      <c r="N150" s="10"/>
      <c r="O150" s="10"/>
      <c r="P150" s="10"/>
      <c r="Q150" s="10"/>
      <c r="R150" s="10"/>
      <c r="S150" s="10"/>
      <c r="T150" s="10"/>
      <c r="U150" s="10"/>
      <c r="V150" s="10"/>
    </row>
    <row r="151" spans="1:22" s="11" customFormat="1" ht="12" customHeight="1" x14ac:dyDescent="0.15">
      <c r="A151" s="62"/>
      <c r="B151" s="65"/>
      <c r="N151" s="10"/>
      <c r="O151" s="10"/>
      <c r="P151" s="10"/>
      <c r="Q151" s="10"/>
      <c r="R151" s="10"/>
      <c r="S151" s="10"/>
      <c r="T151" s="10"/>
      <c r="U151" s="10"/>
      <c r="V151" s="10"/>
    </row>
    <row r="152" spans="1:22" s="11" customFormat="1" ht="12" customHeight="1" x14ac:dyDescent="0.15">
      <c r="A152" s="62"/>
      <c r="B152" s="65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1:22" s="11" customFormat="1" ht="12" customHeight="1" x14ac:dyDescent="0.15">
      <c r="A153" s="62"/>
      <c r="B153" s="65"/>
      <c r="N153" s="10"/>
      <c r="O153" s="10"/>
      <c r="P153" s="10"/>
      <c r="Q153" s="10"/>
      <c r="R153" s="10"/>
      <c r="S153" s="10"/>
      <c r="T153" s="10"/>
      <c r="U153" s="10"/>
      <c r="V153" s="10"/>
    </row>
    <row r="154" spans="1:22" s="11" customFormat="1" ht="12" customHeight="1" x14ac:dyDescent="0.15">
      <c r="A154" s="62"/>
      <c r="B154" s="65"/>
      <c r="N154" s="10"/>
      <c r="O154" s="10"/>
      <c r="P154" s="10"/>
      <c r="Q154" s="10"/>
      <c r="R154" s="10"/>
      <c r="S154" s="10"/>
      <c r="T154" s="10"/>
      <c r="U154" s="10"/>
      <c r="V154" s="10"/>
    </row>
    <row r="155" spans="1:22" s="11" customFormat="1" ht="12" customHeight="1" x14ac:dyDescent="0.15">
      <c r="A155" s="62"/>
      <c r="B155" s="65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1:22" s="11" customFormat="1" ht="12" customHeight="1" x14ac:dyDescent="0.15">
      <c r="A156" s="62"/>
      <c r="B156" s="65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1:22" s="11" customFormat="1" ht="12" customHeight="1" x14ac:dyDescent="0.15">
      <c r="A157" s="62"/>
      <c r="B157" s="65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1:22" s="11" customFormat="1" ht="12" customHeight="1" x14ac:dyDescent="0.15">
      <c r="A158" s="62"/>
      <c r="B158" s="65"/>
      <c r="N158" s="10"/>
      <c r="O158" s="10"/>
      <c r="P158" s="10"/>
      <c r="Q158" s="10"/>
      <c r="R158" s="10"/>
      <c r="S158" s="10"/>
      <c r="T158" s="10"/>
      <c r="U158" s="10"/>
      <c r="V158" s="10"/>
    </row>
    <row r="159" spans="1:22" s="11" customFormat="1" ht="12" customHeight="1" x14ac:dyDescent="0.15">
      <c r="A159" s="62"/>
      <c r="B159" s="65"/>
      <c r="N159" s="10"/>
      <c r="O159" s="10"/>
      <c r="P159" s="10"/>
      <c r="Q159" s="10"/>
      <c r="R159" s="10"/>
      <c r="S159" s="10"/>
      <c r="T159" s="10"/>
      <c r="U159" s="10"/>
      <c r="V159" s="10"/>
    </row>
    <row r="160" spans="1:22" s="11" customFormat="1" ht="12" customHeight="1" x14ac:dyDescent="0.15">
      <c r="A160" s="62"/>
      <c r="B160" s="65"/>
      <c r="N160" s="10"/>
      <c r="O160" s="10"/>
      <c r="P160" s="10"/>
      <c r="Q160" s="10"/>
      <c r="R160" s="10"/>
      <c r="S160" s="10"/>
      <c r="T160" s="10"/>
      <c r="U160" s="10"/>
      <c r="V160" s="10"/>
    </row>
    <row r="161" spans="1:22" s="11" customFormat="1" ht="12" customHeight="1" x14ac:dyDescent="0.15">
      <c r="A161" s="62"/>
      <c r="B161" s="65"/>
      <c r="N161" s="10"/>
      <c r="O161" s="10"/>
      <c r="P161" s="10"/>
      <c r="Q161" s="10"/>
      <c r="R161" s="10"/>
      <c r="S161" s="10"/>
      <c r="T161" s="10"/>
      <c r="U161" s="10"/>
      <c r="V161" s="10"/>
    </row>
    <row r="162" spans="1:22" s="11" customFormat="1" ht="12" customHeight="1" x14ac:dyDescent="0.15">
      <c r="A162" s="62"/>
      <c r="B162" s="65"/>
      <c r="N162" s="10"/>
      <c r="O162" s="10"/>
      <c r="P162" s="10"/>
      <c r="Q162" s="10"/>
      <c r="R162" s="10"/>
      <c r="S162" s="10"/>
      <c r="T162" s="10"/>
      <c r="U162" s="10"/>
      <c r="V162" s="10"/>
    </row>
    <row r="163" spans="1:22" s="11" customFormat="1" ht="12" customHeight="1" x14ac:dyDescent="0.15">
      <c r="A163" s="62"/>
      <c r="B163" s="65"/>
      <c r="N163" s="10"/>
      <c r="O163" s="10"/>
      <c r="P163" s="10"/>
      <c r="Q163" s="10"/>
      <c r="R163" s="10"/>
      <c r="S163" s="10"/>
      <c r="T163" s="10"/>
      <c r="U163" s="10"/>
      <c r="V163" s="10"/>
    </row>
    <row r="164" spans="1:22" s="11" customFormat="1" ht="12" customHeight="1" x14ac:dyDescent="0.15">
      <c r="A164" s="62"/>
      <c r="B164" s="65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1:22" s="11" customFormat="1" ht="12" customHeight="1" x14ac:dyDescent="0.15">
      <c r="A165" s="62"/>
      <c r="B165" s="65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1:22" s="11" customFormat="1" ht="12" customHeight="1" x14ac:dyDescent="0.15">
      <c r="A166" s="62"/>
      <c r="B166" s="65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1:22" s="11" customFormat="1" ht="12" customHeight="1" x14ac:dyDescent="0.15">
      <c r="A167" s="62"/>
      <c r="B167" s="65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s="11" customFormat="1" ht="12" customHeight="1" x14ac:dyDescent="0.15">
      <c r="A168" s="62"/>
      <c r="B168" s="65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1:22" s="11" customFormat="1" ht="12" customHeight="1" x14ac:dyDescent="0.15">
      <c r="A169" s="62"/>
      <c r="B169" s="65"/>
      <c r="N169" s="10"/>
      <c r="O169" s="10"/>
      <c r="P169" s="10"/>
      <c r="Q169" s="10"/>
      <c r="R169" s="10"/>
      <c r="S169" s="10"/>
      <c r="T169" s="10"/>
      <c r="U169" s="10"/>
      <c r="V169" s="10"/>
    </row>
    <row r="170" spans="1:22" s="11" customFormat="1" ht="12" customHeight="1" x14ac:dyDescent="0.15">
      <c r="A170" s="62"/>
      <c r="B170" s="65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1:22" s="11" customFormat="1" ht="12" customHeight="1" x14ac:dyDescent="0.15">
      <c r="A171" s="62"/>
      <c r="B171" s="65"/>
      <c r="N171" s="10"/>
      <c r="O171" s="10"/>
      <c r="P171" s="10"/>
      <c r="Q171" s="10"/>
      <c r="R171" s="10"/>
      <c r="S171" s="10"/>
      <c r="T171" s="10"/>
      <c r="U171" s="10"/>
      <c r="V171" s="10"/>
    </row>
    <row r="172" spans="1:22" s="11" customFormat="1" ht="12" customHeight="1" x14ac:dyDescent="0.15">
      <c r="A172" s="62"/>
      <c r="B172" s="65"/>
      <c r="N172" s="10"/>
      <c r="O172" s="10"/>
      <c r="P172" s="10"/>
      <c r="Q172" s="10"/>
      <c r="R172" s="10"/>
      <c r="S172" s="10"/>
      <c r="T172" s="10"/>
      <c r="U172" s="10"/>
      <c r="V172" s="10"/>
    </row>
    <row r="173" spans="1:22" s="11" customFormat="1" ht="12" customHeight="1" x14ac:dyDescent="0.15">
      <c r="A173" s="62"/>
      <c r="B173" s="65"/>
      <c r="N173" s="10"/>
      <c r="O173" s="10"/>
      <c r="P173" s="10"/>
      <c r="Q173" s="10"/>
      <c r="R173" s="10"/>
      <c r="S173" s="10"/>
      <c r="T173" s="10"/>
      <c r="U173" s="10"/>
      <c r="V173" s="10"/>
    </row>
    <row r="174" spans="1:22" s="11" customFormat="1" ht="12" customHeight="1" x14ac:dyDescent="0.15">
      <c r="A174" s="62"/>
      <c r="B174" s="65"/>
      <c r="N174" s="10"/>
      <c r="O174" s="10"/>
      <c r="P174" s="10"/>
      <c r="Q174" s="10"/>
      <c r="R174" s="10"/>
      <c r="S174" s="10"/>
      <c r="T174" s="10"/>
      <c r="U174" s="10"/>
      <c r="V174" s="10"/>
    </row>
    <row r="175" spans="1:22" s="11" customFormat="1" ht="12" customHeight="1" x14ac:dyDescent="0.15">
      <c r="A175" s="62"/>
      <c r="B175" s="65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1:22" s="11" customFormat="1" ht="12" customHeight="1" x14ac:dyDescent="0.15">
      <c r="A176" s="62"/>
      <c r="B176" s="65"/>
      <c r="N176" s="10"/>
      <c r="O176" s="10"/>
      <c r="P176" s="10"/>
      <c r="Q176" s="10"/>
      <c r="R176" s="10"/>
      <c r="S176" s="10"/>
      <c r="T176" s="10"/>
      <c r="U176" s="10"/>
      <c r="V176" s="10"/>
    </row>
    <row r="177" spans="1:22" s="11" customFormat="1" ht="12" customHeight="1" x14ac:dyDescent="0.15">
      <c r="A177" s="62"/>
      <c r="B177" s="65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1:22" s="11" customFormat="1" ht="12" customHeight="1" x14ac:dyDescent="0.15">
      <c r="A178" s="62"/>
      <c r="B178" s="65"/>
      <c r="N178" s="10"/>
      <c r="O178" s="10"/>
      <c r="P178" s="10"/>
      <c r="Q178" s="10"/>
      <c r="R178" s="10"/>
      <c r="S178" s="10"/>
      <c r="T178" s="10"/>
      <c r="U178" s="10"/>
      <c r="V178" s="10"/>
    </row>
    <row r="179" spans="1:22" s="11" customFormat="1" ht="12" customHeight="1" x14ac:dyDescent="0.15">
      <c r="A179" s="62"/>
      <c r="B179" s="65"/>
      <c r="N179" s="10"/>
      <c r="O179" s="10"/>
      <c r="P179" s="10"/>
      <c r="Q179" s="10"/>
      <c r="R179" s="10"/>
      <c r="S179" s="10"/>
      <c r="T179" s="10"/>
      <c r="U179" s="10"/>
      <c r="V179" s="10"/>
    </row>
    <row r="180" spans="1:22" s="11" customFormat="1" ht="12" customHeight="1" x14ac:dyDescent="0.15">
      <c r="A180" s="62"/>
      <c r="B180" s="65"/>
      <c r="N180" s="10"/>
      <c r="O180" s="10"/>
      <c r="P180" s="10"/>
      <c r="Q180" s="10"/>
      <c r="R180" s="10"/>
      <c r="S180" s="10"/>
      <c r="T180" s="10"/>
      <c r="U180" s="10"/>
      <c r="V180" s="10"/>
    </row>
    <row r="181" spans="1:22" s="11" customFormat="1" ht="12" customHeight="1" x14ac:dyDescent="0.15">
      <c r="A181" s="62"/>
      <c r="B181" s="65"/>
      <c r="N181" s="10"/>
      <c r="O181" s="10"/>
      <c r="P181" s="10"/>
      <c r="Q181" s="10"/>
      <c r="R181" s="10"/>
      <c r="S181" s="10"/>
      <c r="T181" s="10"/>
      <c r="U181" s="10"/>
      <c r="V181" s="10"/>
    </row>
    <row r="182" spans="1:22" s="11" customFormat="1" ht="12" customHeight="1" x14ac:dyDescent="0.15">
      <c r="A182" s="62"/>
      <c r="B182" s="65"/>
      <c r="N182" s="10"/>
      <c r="O182" s="10"/>
      <c r="P182" s="10"/>
      <c r="Q182" s="10"/>
      <c r="R182" s="10"/>
      <c r="S182" s="10"/>
      <c r="T182" s="10"/>
      <c r="U182" s="10"/>
      <c r="V182" s="10"/>
    </row>
    <row r="183" spans="1:22" s="11" customFormat="1" ht="12" customHeight="1" x14ac:dyDescent="0.15">
      <c r="A183" s="62"/>
      <c r="B183" s="65"/>
      <c r="N183" s="10"/>
      <c r="O183" s="10"/>
      <c r="P183" s="10"/>
      <c r="Q183" s="10"/>
      <c r="R183" s="10"/>
      <c r="S183" s="10"/>
      <c r="T183" s="10"/>
      <c r="U183" s="10"/>
      <c r="V183" s="10"/>
    </row>
    <row r="184" spans="1:22" s="11" customFormat="1" ht="12" customHeight="1" x14ac:dyDescent="0.15">
      <c r="A184" s="62"/>
      <c r="B184" s="65"/>
      <c r="N184" s="10"/>
      <c r="O184" s="10"/>
      <c r="P184" s="10"/>
      <c r="Q184" s="10"/>
      <c r="R184" s="10"/>
      <c r="S184" s="10"/>
      <c r="T184" s="10"/>
      <c r="U184" s="10"/>
      <c r="V184" s="10"/>
    </row>
    <row r="185" spans="1:22" s="11" customFormat="1" ht="12" customHeight="1" x14ac:dyDescent="0.15">
      <c r="A185" s="62"/>
      <c r="B185" s="65"/>
      <c r="N185" s="10"/>
      <c r="O185" s="10"/>
      <c r="P185" s="10"/>
      <c r="Q185" s="10"/>
      <c r="R185" s="10"/>
      <c r="S185" s="10"/>
      <c r="T185" s="10"/>
      <c r="U185" s="10"/>
      <c r="V185" s="10"/>
    </row>
    <row r="186" spans="1:22" s="11" customFormat="1" ht="12" customHeight="1" x14ac:dyDescent="0.15">
      <c r="A186" s="62"/>
      <c r="B186" s="65"/>
      <c r="N186" s="10"/>
      <c r="O186" s="10"/>
      <c r="P186" s="10"/>
      <c r="Q186" s="10"/>
      <c r="R186" s="10"/>
      <c r="S186" s="10"/>
      <c r="T186" s="10"/>
      <c r="U186" s="10"/>
      <c r="V186" s="10"/>
    </row>
    <row r="187" spans="1:22" s="11" customFormat="1" ht="12" customHeight="1" x14ac:dyDescent="0.15">
      <c r="A187" s="62"/>
      <c r="B187" s="65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1:22" s="11" customFormat="1" ht="12" customHeight="1" x14ac:dyDescent="0.15">
      <c r="A188" s="62"/>
      <c r="B188" s="65"/>
      <c r="N188" s="10"/>
      <c r="O188" s="10"/>
      <c r="P188" s="10"/>
      <c r="Q188" s="10"/>
      <c r="R188" s="10"/>
      <c r="S188" s="10"/>
      <c r="T188" s="10"/>
      <c r="U188" s="10"/>
      <c r="V188" s="10"/>
    </row>
    <row r="189" spans="1:22" s="11" customFormat="1" ht="12" customHeight="1" x14ac:dyDescent="0.15">
      <c r="A189" s="62"/>
      <c r="B189" s="65"/>
      <c r="N189" s="10"/>
      <c r="O189" s="10"/>
      <c r="P189" s="10"/>
      <c r="Q189" s="10"/>
      <c r="R189" s="10"/>
      <c r="S189" s="10"/>
      <c r="T189" s="10"/>
      <c r="U189" s="10"/>
      <c r="V189" s="10"/>
    </row>
    <row r="190" spans="1:22" s="11" customFormat="1" ht="12" customHeight="1" x14ac:dyDescent="0.15">
      <c r="A190" s="62"/>
      <c r="B190" s="65"/>
      <c r="N190" s="10"/>
      <c r="O190" s="10"/>
      <c r="P190" s="10"/>
      <c r="Q190" s="10"/>
      <c r="R190" s="10"/>
      <c r="S190" s="10"/>
      <c r="T190" s="10"/>
      <c r="U190" s="10"/>
      <c r="V190" s="10"/>
    </row>
    <row r="191" spans="1:22" s="11" customFormat="1" ht="12" customHeight="1" x14ac:dyDescent="0.15">
      <c r="A191" s="62"/>
      <c r="B191" s="65"/>
      <c r="N191" s="10"/>
      <c r="O191" s="10"/>
      <c r="P191" s="10"/>
      <c r="Q191" s="10"/>
      <c r="R191" s="10"/>
      <c r="S191" s="10"/>
      <c r="T191" s="10"/>
      <c r="U191" s="10"/>
      <c r="V191" s="10"/>
    </row>
    <row r="192" spans="1:22" s="11" customFormat="1" ht="12" customHeight="1" x14ac:dyDescent="0.15">
      <c r="A192" s="62"/>
      <c r="B192" s="65"/>
      <c r="N192" s="10"/>
      <c r="O192" s="10"/>
      <c r="P192" s="10"/>
      <c r="Q192" s="10"/>
      <c r="R192" s="10"/>
      <c r="S192" s="10"/>
      <c r="T192" s="10"/>
      <c r="U192" s="10"/>
      <c r="V192" s="10"/>
    </row>
    <row r="193" spans="1:22" s="11" customFormat="1" ht="12" customHeight="1" x14ac:dyDescent="0.15">
      <c r="A193" s="62"/>
      <c r="B193" s="65"/>
      <c r="N193" s="10"/>
      <c r="O193" s="10"/>
      <c r="P193" s="10"/>
      <c r="Q193" s="10"/>
      <c r="R193" s="10"/>
      <c r="S193" s="10"/>
      <c r="T193" s="10"/>
      <c r="U193" s="10"/>
      <c r="V193" s="10"/>
    </row>
    <row r="194" spans="1:22" s="11" customFormat="1" ht="12" customHeight="1" x14ac:dyDescent="0.15">
      <c r="A194" s="62"/>
      <c r="B194" s="65"/>
      <c r="N194" s="10"/>
      <c r="O194" s="10"/>
      <c r="P194" s="10"/>
      <c r="Q194" s="10"/>
      <c r="R194" s="10"/>
      <c r="S194" s="10"/>
      <c r="T194" s="10"/>
      <c r="U194" s="10"/>
      <c r="V194" s="10"/>
    </row>
    <row r="195" spans="1:22" s="11" customFormat="1" ht="12" customHeight="1" x14ac:dyDescent="0.15">
      <c r="A195" s="62"/>
      <c r="B195" s="65"/>
      <c r="N195" s="10"/>
      <c r="O195" s="10"/>
      <c r="P195" s="10"/>
      <c r="Q195" s="10"/>
      <c r="R195" s="10"/>
      <c r="S195" s="10"/>
      <c r="T195" s="10"/>
      <c r="U195" s="10"/>
      <c r="V195" s="10"/>
    </row>
    <row r="196" spans="1:22" s="11" customFormat="1" ht="12" customHeight="1" x14ac:dyDescent="0.15">
      <c r="A196" s="62"/>
      <c r="B196" s="65"/>
      <c r="N196" s="10"/>
      <c r="O196" s="10"/>
      <c r="P196" s="10"/>
      <c r="Q196" s="10"/>
      <c r="R196" s="10"/>
      <c r="S196" s="10"/>
      <c r="T196" s="10"/>
      <c r="U196" s="10"/>
      <c r="V196" s="10"/>
    </row>
    <row r="197" spans="1:22" s="11" customFormat="1" ht="12" customHeight="1" x14ac:dyDescent="0.15">
      <c r="A197" s="62"/>
      <c r="B197" s="65"/>
      <c r="N197" s="10"/>
      <c r="O197" s="10"/>
      <c r="P197" s="10"/>
      <c r="Q197" s="10"/>
      <c r="R197" s="10"/>
      <c r="S197" s="10"/>
      <c r="T197" s="10"/>
      <c r="U197" s="10"/>
      <c r="V197" s="10"/>
    </row>
    <row r="198" spans="1:22" s="11" customFormat="1" ht="12" customHeight="1" x14ac:dyDescent="0.15">
      <c r="A198" s="62"/>
      <c r="B198" s="65"/>
      <c r="N198" s="10"/>
      <c r="O198" s="10"/>
      <c r="P198" s="10"/>
      <c r="Q198" s="10"/>
      <c r="R198" s="10"/>
      <c r="S198" s="10"/>
      <c r="T198" s="10"/>
      <c r="U198" s="10"/>
      <c r="V198" s="10"/>
    </row>
    <row r="199" spans="1:22" s="11" customFormat="1" ht="12" customHeight="1" x14ac:dyDescent="0.15">
      <c r="A199" s="62"/>
      <c r="B199" s="65"/>
      <c r="N199" s="10"/>
      <c r="O199" s="10"/>
      <c r="P199" s="10"/>
      <c r="Q199" s="10"/>
      <c r="R199" s="10"/>
      <c r="S199" s="10"/>
      <c r="T199" s="10"/>
      <c r="U199" s="10"/>
      <c r="V199" s="10"/>
    </row>
    <row r="200" spans="1:22" s="11" customFormat="1" ht="12" customHeight="1" x14ac:dyDescent="0.15">
      <c r="A200" s="62"/>
      <c r="B200" s="65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1:22" s="11" customFormat="1" ht="12" customHeight="1" x14ac:dyDescent="0.15">
      <c r="A201" s="62"/>
      <c r="B201" s="65"/>
      <c r="N201" s="10"/>
      <c r="O201" s="10"/>
      <c r="P201" s="10"/>
      <c r="Q201" s="10"/>
      <c r="R201" s="10"/>
      <c r="S201" s="10"/>
      <c r="T201" s="10"/>
      <c r="U201" s="10"/>
      <c r="V201" s="10"/>
    </row>
    <row r="202" spans="1:22" s="11" customFormat="1" ht="12" customHeight="1" x14ac:dyDescent="0.15">
      <c r="A202" s="62"/>
      <c r="B202" s="65"/>
      <c r="N202" s="10"/>
      <c r="O202" s="10"/>
      <c r="P202" s="10"/>
      <c r="Q202" s="10"/>
      <c r="R202" s="10"/>
      <c r="S202" s="10"/>
      <c r="T202" s="10"/>
      <c r="U202" s="10"/>
      <c r="V202" s="10"/>
    </row>
    <row r="203" spans="1:22" s="11" customFormat="1" ht="12" customHeight="1" x14ac:dyDescent="0.15">
      <c r="A203" s="62"/>
      <c r="B203" s="65"/>
      <c r="N203" s="10"/>
      <c r="O203" s="10"/>
      <c r="P203" s="10"/>
      <c r="Q203" s="10"/>
      <c r="R203" s="10"/>
      <c r="S203" s="10"/>
      <c r="T203" s="10"/>
      <c r="U203" s="10"/>
      <c r="V203" s="10"/>
    </row>
    <row r="204" spans="1:22" s="11" customFormat="1" ht="12" customHeight="1" x14ac:dyDescent="0.15">
      <c r="A204" s="62"/>
      <c r="B204" s="65"/>
      <c r="N204" s="10"/>
      <c r="O204" s="10"/>
      <c r="P204" s="10"/>
      <c r="Q204" s="10"/>
      <c r="R204" s="10"/>
      <c r="S204" s="10"/>
      <c r="T204" s="10"/>
      <c r="U204" s="10"/>
      <c r="V204" s="10"/>
    </row>
    <row r="205" spans="1:22" s="11" customFormat="1" ht="12" customHeight="1" x14ac:dyDescent="0.15">
      <c r="A205" s="62"/>
      <c r="B205" s="65"/>
      <c r="N205" s="10"/>
      <c r="O205" s="10"/>
      <c r="P205" s="10"/>
      <c r="Q205" s="10"/>
      <c r="R205" s="10"/>
      <c r="S205" s="10"/>
      <c r="T205" s="10"/>
      <c r="U205" s="10"/>
      <c r="V205" s="10"/>
    </row>
    <row r="206" spans="1:22" s="11" customFormat="1" ht="12" customHeight="1" x14ac:dyDescent="0.15">
      <c r="A206" s="62"/>
      <c r="B206" s="65"/>
      <c r="N206" s="10"/>
      <c r="O206" s="10"/>
      <c r="P206" s="10"/>
      <c r="Q206" s="10"/>
      <c r="R206" s="10"/>
      <c r="S206" s="10"/>
      <c r="T206" s="10"/>
      <c r="U206" s="10"/>
      <c r="V206" s="10"/>
    </row>
    <row r="207" spans="1:22" s="11" customFormat="1" ht="12" customHeight="1" x14ac:dyDescent="0.15">
      <c r="A207" s="62"/>
      <c r="B207" s="65"/>
      <c r="N207" s="10"/>
      <c r="O207" s="10"/>
      <c r="P207" s="10"/>
      <c r="Q207" s="10"/>
      <c r="R207" s="10"/>
      <c r="S207" s="10"/>
      <c r="T207" s="10"/>
      <c r="U207" s="10"/>
      <c r="V207" s="10"/>
    </row>
    <row r="208" spans="1:22" s="11" customFormat="1" ht="12" customHeight="1" x14ac:dyDescent="0.15">
      <c r="A208" s="62"/>
      <c r="B208" s="65"/>
      <c r="N208" s="10"/>
      <c r="O208" s="10"/>
      <c r="P208" s="10"/>
      <c r="Q208" s="10"/>
      <c r="R208" s="10"/>
      <c r="S208" s="10"/>
      <c r="T208" s="10"/>
      <c r="U208" s="10"/>
      <c r="V208" s="10"/>
    </row>
    <row r="209" spans="1:22" s="11" customFormat="1" ht="12" customHeight="1" x14ac:dyDescent="0.15">
      <c r="A209" s="62"/>
      <c r="B209" s="65"/>
      <c r="N209" s="10"/>
      <c r="O209" s="10"/>
      <c r="P209" s="10"/>
      <c r="Q209" s="10"/>
      <c r="R209" s="10"/>
      <c r="S209" s="10"/>
      <c r="T209" s="10"/>
      <c r="U209" s="10"/>
      <c r="V209" s="10"/>
    </row>
    <row r="210" spans="1:22" s="11" customFormat="1" ht="12" customHeight="1" x14ac:dyDescent="0.15">
      <c r="A210" s="62"/>
      <c r="B210" s="65"/>
      <c r="N210" s="10"/>
      <c r="O210" s="10"/>
      <c r="P210" s="10"/>
      <c r="Q210" s="10"/>
      <c r="R210" s="10"/>
      <c r="S210" s="10"/>
      <c r="T210" s="10"/>
      <c r="U210" s="10"/>
      <c r="V210" s="10"/>
    </row>
    <row r="211" spans="1:22" s="11" customFormat="1" ht="12" customHeight="1" x14ac:dyDescent="0.15">
      <c r="A211" s="62"/>
      <c r="B211" s="65"/>
      <c r="N211" s="10"/>
      <c r="O211" s="10"/>
      <c r="P211" s="10"/>
      <c r="Q211" s="10"/>
      <c r="R211" s="10"/>
      <c r="S211" s="10"/>
      <c r="T211" s="10"/>
      <c r="U211" s="10"/>
      <c r="V211" s="10"/>
    </row>
    <row r="212" spans="1:22" s="11" customFormat="1" ht="12" customHeight="1" x14ac:dyDescent="0.15">
      <c r="A212" s="62"/>
      <c r="B212" s="65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1:22" s="11" customFormat="1" ht="12" customHeight="1" x14ac:dyDescent="0.15">
      <c r="A213" s="62"/>
      <c r="B213" s="65"/>
      <c r="N213" s="10"/>
      <c r="O213" s="10"/>
      <c r="P213" s="10"/>
      <c r="Q213" s="10"/>
      <c r="R213" s="10"/>
      <c r="S213" s="10"/>
      <c r="T213" s="10"/>
      <c r="U213" s="10"/>
      <c r="V213" s="10"/>
    </row>
    <row r="214" spans="1:22" s="11" customFormat="1" ht="12" customHeight="1" x14ac:dyDescent="0.15">
      <c r="A214" s="62"/>
      <c r="B214" s="65"/>
      <c r="N214" s="10"/>
      <c r="O214" s="10"/>
      <c r="P214" s="10"/>
      <c r="Q214" s="10"/>
      <c r="R214" s="10"/>
      <c r="S214" s="10"/>
      <c r="T214" s="10"/>
      <c r="U214" s="10"/>
      <c r="V214" s="10"/>
    </row>
    <row r="215" spans="1:22" s="11" customFormat="1" ht="12" customHeight="1" x14ac:dyDescent="0.15">
      <c r="A215" s="62"/>
      <c r="B215" s="65"/>
      <c r="N215" s="10"/>
      <c r="O215" s="10"/>
      <c r="P215" s="10"/>
      <c r="Q215" s="10"/>
      <c r="R215" s="10"/>
      <c r="S215" s="10"/>
      <c r="T215" s="10"/>
      <c r="U215" s="10"/>
      <c r="V215" s="10"/>
    </row>
    <row r="216" spans="1:22" s="11" customFormat="1" ht="12" customHeight="1" x14ac:dyDescent="0.15">
      <c r="A216" s="62"/>
      <c r="B216" s="65"/>
      <c r="N216" s="10"/>
      <c r="O216" s="10"/>
      <c r="P216" s="10"/>
      <c r="Q216" s="10"/>
      <c r="R216" s="10"/>
      <c r="S216" s="10"/>
      <c r="T216" s="10"/>
      <c r="U216" s="10"/>
      <c r="V216" s="10"/>
    </row>
    <row r="217" spans="1:22" s="11" customFormat="1" ht="12" customHeight="1" x14ac:dyDescent="0.15">
      <c r="A217" s="62"/>
      <c r="B217" s="65"/>
      <c r="N217" s="10"/>
      <c r="O217" s="10"/>
      <c r="P217" s="10"/>
      <c r="Q217" s="10"/>
      <c r="R217" s="10"/>
      <c r="S217" s="10"/>
      <c r="T217" s="10"/>
      <c r="U217" s="10"/>
      <c r="V217" s="10"/>
    </row>
    <row r="218" spans="1:22" s="11" customFormat="1" ht="12" customHeight="1" x14ac:dyDescent="0.15">
      <c r="A218" s="62"/>
      <c r="B218" s="65"/>
      <c r="N218" s="10"/>
      <c r="O218" s="10"/>
      <c r="P218" s="10"/>
      <c r="Q218" s="10"/>
      <c r="R218" s="10"/>
      <c r="S218" s="10"/>
      <c r="T218" s="10"/>
      <c r="U218" s="10"/>
      <c r="V218" s="10"/>
    </row>
    <row r="219" spans="1:22" s="11" customFormat="1" ht="12" customHeight="1" x14ac:dyDescent="0.15">
      <c r="A219" s="62"/>
      <c r="B219" s="65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1:22" s="11" customFormat="1" ht="12" customHeight="1" x14ac:dyDescent="0.15">
      <c r="A220" s="62"/>
      <c r="B220" s="65"/>
      <c r="N220" s="10"/>
      <c r="O220" s="10"/>
      <c r="P220" s="10"/>
      <c r="Q220" s="10"/>
      <c r="R220" s="10"/>
      <c r="S220" s="10"/>
      <c r="T220" s="10"/>
      <c r="U220" s="10"/>
      <c r="V220" s="10"/>
    </row>
    <row r="221" spans="1:22" s="11" customFormat="1" ht="12" customHeight="1" x14ac:dyDescent="0.15">
      <c r="A221" s="62"/>
      <c r="B221" s="65"/>
      <c r="N221" s="10"/>
      <c r="O221" s="10"/>
      <c r="P221" s="10"/>
      <c r="Q221" s="10"/>
      <c r="R221" s="10"/>
      <c r="S221" s="10"/>
      <c r="T221" s="10"/>
      <c r="U221" s="10"/>
      <c r="V221" s="10"/>
    </row>
    <row r="222" spans="1:22" s="11" customFormat="1" ht="12" customHeight="1" x14ac:dyDescent="0.15">
      <c r="A222" s="62"/>
      <c r="B222" s="65"/>
      <c r="N222" s="10"/>
      <c r="O222" s="10"/>
      <c r="P222" s="10"/>
      <c r="Q222" s="10"/>
      <c r="R222" s="10"/>
      <c r="S222" s="10"/>
      <c r="T222" s="10"/>
      <c r="U222" s="10"/>
      <c r="V222" s="10"/>
    </row>
    <row r="223" spans="1:22" s="11" customFormat="1" ht="12" customHeight="1" x14ac:dyDescent="0.15">
      <c r="A223" s="62"/>
      <c r="B223" s="65"/>
      <c r="N223" s="10"/>
      <c r="O223" s="10"/>
      <c r="P223" s="10"/>
      <c r="Q223" s="10"/>
      <c r="R223" s="10"/>
      <c r="S223" s="10"/>
      <c r="T223" s="10"/>
      <c r="U223" s="10"/>
      <c r="V223" s="10"/>
    </row>
    <row r="224" spans="1:22" s="11" customFormat="1" ht="12" customHeight="1" x14ac:dyDescent="0.15">
      <c r="A224" s="62"/>
      <c r="B224" s="65"/>
      <c r="N224" s="10"/>
      <c r="O224" s="10"/>
      <c r="P224" s="10"/>
      <c r="Q224" s="10"/>
      <c r="R224" s="10"/>
      <c r="S224" s="10"/>
      <c r="T224" s="10"/>
      <c r="U224" s="10"/>
      <c r="V224" s="10"/>
    </row>
    <row r="225" spans="1:22" s="11" customFormat="1" ht="12" customHeight="1" x14ac:dyDescent="0.15">
      <c r="A225" s="62"/>
      <c r="B225" s="65"/>
      <c r="N225" s="10"/>
      <c r="O225" s="10"/>
      <c r="P225" s="10"/>
      <c r="Q225" s="10"/>
      <c r="R225" s="10"/>
      <c r="S225" s="10"/>
      <c r="T225" s="10"/>
      <c r="U225" s="10"/>
      <c r="V225" s="10"/>
    </row>
    <row r="226" spans="1:22" s="11" customFormat="1" ht="12" customHeight="1" x14ac:dyDescent="0.15">
      <c r="A226" s="62"/>
      <c r="B226" s="65"/>
      <c r="N226" s="10"/>
      <c r="O226" s="10"/>
      <c r="P226" s="10"/>
      <c r="Q226" s="10"/>
      <c r="R226" s="10"/>
      <c r="S226" s="10"/>
      <c r="T226" s="10"/>
      <c r="U226" s="10"/>
      <c r="V226" s="10"/>
    </row>
    <row r="227" spans="1:22" s="11" customFormat="1" ht="12" customHeight="1" x14ac:dyDescent="0.15">
      <c r="A227" s="62"/>
      <c r="B227" s="65"/>
      <c r="N227" s="10"/>
      <c r="O227" s="10"/>
      <c r="P227" s="10"/>
      <c r="Q227" s="10"/>
      <c r="R227" s="10"/>
      <c r="S227" s="10"/>
      <c r="T227" s="10"/>
      <c r="U227" s="10"/>
      <c r="V227" s="10"/>
    </row>
    <row r="228" spans="1:22" s="11" customFormat="1" ht="12" customHeight="1" x14ac:dyDescent="0.15">
      <c r="A228" s="62"/>
      <c r="B228" s="65"/>
      <c r="N228" s="10"/>
      <c r="O228" s="10"/>
      <c r="P228" s="10"/>
      <c r="Q228" s="10"/>
      <c r="R228" s="10"/>
      <c r="S228" s="10"/>
      <c r="T228" s="10"/>
      <c r="U228" s="10"/>
      <c r="V228" s="10"/>
    </row>
    <row r="229" spans="1:22" s="11" customFormat="1" ht="12" customHeight="1" x14ac:dyDescent="0.15">
      <c r="A229" s="62"/>
      <c r="B229" s="65"/>
      <c r="N229" s="10"/>
      <c r="O229" s="10"/>
      <c r="P229" s="10"/>
      <c r="Q229" s="10"/>
      <c r="R229" s="10"/>
      <c r="S229" s="10"/>
      <c r="T229" s="10"/>
      <c r="U229" s="10"/>
      <c r="V229" s="10"/>
    </row>
    <row r="230" spans="1:22" s="11" customFormat="1" ht="12" customHeight="1" x14ac:dyDescent="0.15">
      <c r="A230" s="62"/>
      <c r="B230" s="65"/>
      <c r="N230" s="10"/>
      <c r="O230" s="10"/>
      <c r="P230" s="10"/>
      <c r="Q230" s="10"/>
      <c r="R230" s="10"/>
      <c r="S230" s="10"/>
      <c r="T230" s="10"/>
      <c r="U230" s="10"/>
      <c r="V230" s="10"/>
    </row>
    <row r="231" spans="1:22" s="11" customFormat="1" ht="12" customHeight="1" x14ac:dyDescent="0.15">
      <c r="A231" s="62"/>
      <c r="B231" s="65"/>
      <c r="N231" s="10"/>
      <c r="O231" s="10"/>
      <c r="P231" s="10"/>
      <c r="Q231" s="10"/>
      <c r="R231" s="10"/>
      <c r="S231" s="10"/>
      <c r="T231" s="10"/>
      <c r="U231" s="10"/>
      <c r="V231" s="10"/>
    </row>
    <row r="232" spans="1:22" s="11" customFormat="1" ht="12" customHeight="1" x14ac:dyDescent="0.15">
      <c r="A232" s="62"/>
      <c r="B232" s="65"/>
      <c r="N232" s="10"/>
      <c r="O232" s="10"/>
      <c r="P232" s="10"/>
      <c r="Q232" s="10"/>
      <c r="R232" s="10"/>
      <c r="S232" s="10"/>
      <c r="T232" s="10"/>
      <c r="U232" s="10"/>
      <c r="V232" s="10"/>
    </row>
    <row r="233" spans="1:22" s="11" customFormat="1" ht="12" customHeight="1" x14ac:dyDescent="0.15">
      <c r="A233" s="62"/>
      <c r="B233" s="65"/>
      <c r="N233" s="10"/>
      <c r="O233" s="10"/>
      <c r="P233" s="10"/>
      <c r="Q233" s="10"/>
      <c r="R233" s="10"/>
      <c r="S233" s="10"/>
      <c r="T233" s="10"/>
      <c r="U233" s="10"/>
      <c r="V233" s="10"/>
    </row>
    <row r="234" spans="1:22" s="11" customFormat="1" ht="12" customHeight="1" x14ac:dyDescent="0.15">
      <c r="A234" s="62"/>
      <c r="B234" s="65"/>
      <c r="N234" s="10"/>
      <c r="O234" s="10"/>
      <c r="P234" s="10"/>
      <c r="Q234" s="10"/>
      <c r="R234" s="10"/>
      <c r="S234" s="10"/>
      <c r="T234" s="10"/>
      <c r="U234" s="10"/>
      <c r="V234" s="10"/>
    </row>
    <row r="235" spans="1:22" s="11" customFormat="1" ht="12" customHeight="1" x14ac:dyDescent="0.15">
      <c r="A235" s="62"/>
      <c r="B235" s="65"/>
      <c r="N235" s="10"/>
      <c r="O235" s="10"/>
      <c r="P235" s="10"/>
      <c r="Q235" s="10"/>
      <c r="R235" s="10"/>
      <c r="S235" s="10"/>
      <c r="T235" s="10"/>
      <c r="U235" s="10"/>
      <c r="V235" s="10"/>
    </row>
    <row r="236" spans="1:22" s="11" customFormat="1" ht="12" customHeight="1" x14ac:dyDescent="0.15">
      <c r="A236" s="62"/>
      <c r="B236" s="65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1:22" s="11" customFormat="1" ht="12" customHeight="1" x14ac:dyDescent="0.15">
      <c r="A237" s="62"/>
      <c r="B237" s="65"/>
      <c r="N237" s="10"/>
      <c r="O237" s="10"/>
      <c r="P237" s="10"/>
      <c r="Q237" s="10"/>
      <c r="R237" s="10"/>
      <c r="S237" s="10"/>
      <c r="T237" s="10"/>
      <c r="U237" s="10"/>
      <c r="V237" s="10"/>
    </row>
    <row r="238" spans="1:22" s="11" customFormat="1" ht="12" customHeight="1" x14ac:dyDescent="0.15">
      <c r="A238" s="62"/>
      <c r="B238" s="65"/>
      <c r="N238" s="10"/>
      <c r="O238" s="10"/>
      <c r="P238" s="10"/>
      <c r="Q238" s="10"/>
      <c r="R238" s="10"/>
      <c r="S238" s="10"/>
      <c r="T238" s="10"/>
      <c r="U238" s="10"/>
      <c r="V238" s="10"/>
    </row>
    <row r="239" spans="1:22" s="11" customFormat="1" ht="12" customHeight="1" x14ac:dyDescent="0.15">
      <c r="A239" s="62"/>
      <c r="B239" s="65"/>
      <c r="N239" s="10"/>
      <c r="O239" s="10"/>
      <c r="P239" s="10"/>
      <c r="Q239" s="10"/>
      <c r="R239" s="10"/>
      <c r="S239" s="10"/>
      <c r="T239" s="10"/>
      <c r="U239" s="10"/>
      <c r="V239" s="10"/>
    </row>
    <row r="240" spans="1:22" s="11" customFormat="1" ht="12" customHeight="1" x14ac:dyDescent="0.15">
      <c r="A240" s="62"/>
      <c r="B240" s="65"/>
      <c r="N240" s="10"/>
      <c r="O240" s="10"/>
      <c r="P240" s="10"/>
      <c r="Q240" s="10"/>
      <c r="R240" s="10"/>
      <c r="S240" s="10"/>
      <c r="T240" s="10"/>
      <c r="U240" s="10"/>
      <c r="V240" s="10"/>
    </row>
    <row r="241" spans="1:22" s="11" customFormat="1" ht="12" customHeight="1" x14ac:dyDescent="0.15">
      <c r="A241" s="62"/>
      <c r="B241" s="65"/>
      <c r="N241" s="10"/>
      <c r="O241" s="10"/>
      <c r="P241" s="10"/>
      <c r="Q241" s="10"/>
      <c r="R241" s="10"/>
      <c r="S241" s="10"/>
      <c r="T241" s="10"/>
      <c r="U241" s="10"/>
      <c r="V241" s="10"/>
    </row>
    <row r="242" spans="1:22" s="11" customFormat="1" ht="12" customHeight="1" x14ac:dyDescent="0.15">
      <c r="A242" s="62"/>
      <c r="B242" s="65"/>
      <c r="N242" s="10"/>
      <c r="O242" s="10"/>
      <c r="P242" s="10"/>
      <c r="Q242" s="10"/>
      <c r="R242" s="10"/>
      <c r="S242" s="10"/>
      <c r="T242" s="10"/>
      <c r="U242" s="10"/>
      <c r="V242" s="10"/>
    </row>
    <row r="243" spans="1:22" s="11" customFormat="1" ht="12" customHeight="1" x14ac:dyDescent="0.15">
      <c r="A243" s="62"/>
      <c r="B243" s="65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1:22" s="11" customFormat="1" ht="12" customHeight="1" x14ac:dyDescent="0.15">
      <c r="A244" s="62"/>
      <c r="B244" s="65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1:22" s="11" customFormat="1" ht="12" customHeight="1" x14ac:dyDescent="0.15">
      <c r="A245" s="62"/>
      <c r="B245" s="65"/>
      <c r="N245" s="10"/>
      <c r="O245" s="10"/>
      <c r="P245" s="10"/>
      <c r="Q245" s="10"/>
      <c r="R245" s="10"/>
      <c r="S245" s="10"/>
      <c r="T245" s="10"/>
      <c r="U245" s="10"/>
      <c r="V245" s="10"/>
    </row>
    <row r="246" spans="1:22" s="11" customFormat="1" ht="12" customHeight="1" x14ac:dyDescent="0.15">
      <c r="A246" s="62"/>
      <c r="B246" s="65"/>
      <c r="N246" s="10"/>
      <c r="O246" s="10"/>
      <c r="P246" s="10"/>
      <c r="Q246" s="10"/>
      <c r="R246" s="10"/>
      <c r="S246" s="10"/>
      <c r="T246" s="10"/>
      <c r="U246" s="10"/>
      <c r="V246" s="10"/>
    </row>
    <row r="247" spans="1:22" s="11" customFormat="1" ht="12" customHeight="1" x14ac:dyDescent="0.15">
      <c r="A247" s="62"/>
      <c r="B247" s="65"/>
      <c r="N247" s="10"/>
      <c r="O247" s="10"/>
      <c r="P247" s="10"/>
      <c r="Q247" s="10"/>
      <c r="R247" s="10"/>
      <c r="S247" s="10"/>
      <c r="T247" s="10"/>
      <c r="U247" s="10"/>
      <c r="V247" s="10"/>
    </row>
    <row r="248" spans="1:22" s="11" customFormat="1" ht="12" customHeight="1" x14ac:dyDescent="0.15">
      <c r="A248" s="62"/>
      <c r="B248" s="65"/>
      <c r="N248" s="10"/>
      <c r="O248" s="10"/>
      <c r="P248" s="10"/>
      <c r="Q248" s="10"/>
      <c r="R248" s="10"/>
      <c r="S248" s="10"/>
      <c r="T248" s="10"/>
      <c r="U248" s="10"/>
      <c r="V248" s="10"/>
    </row>
    <row r="249" spans="1:22" s="11" customFormat="1" ht="12" customHeight="1" x14ac:dyDescent="0.15">
      <c r="A249" s="62"/>
      <c r="B249" s="65"/>
      <c r="N249" s="10"/>
      <c r="O249" s="10"/>
      <c r="P249" s="10"/>
      <c r="Q249" s="10"/>
      <c r="R249" s="10"/>
      <c r="S249" s="10"/>
      <c r="T249" s="10"/>
      <c r="U249" s="10"/>
      <c r="V249" s="10"/>
    </row>
    <row r="250" spans="1:22" s="11" customFormat="1" ht="12" customHeight="1" x14ac:dyDescent="0.15">
      <c r="A250" s="62"/>
      <c r="B250" s="65"/>
      <c r="N250" s="10"/>
      <c r="O250" s="10"/>
      <c r="P250" s="10"/>
      <c r="Q250" s="10"/>
      <c r="R250" s="10"/>
      <c r="S250" s="10"/>
      <c r="T250" s="10"/>
      <c r="U250" s="10"/>
      <c r="V250" s="10"/>
    </row>
    <row r="251" spans="1:22" s="11" customFormat="1" ht="12" customHeight="1" x14ac:dyDescent="0.15">
      <c r="A251" s="62"/>
      <c r="B251" s="65"/>
      <c r="N251" s="10"/>
      <c r="O251" s="10"/>
      <c r="P251" s="10"/>
      <c r="Q251" s="10"/>
      <c r="R251" s="10"/>
      <c r="S251" s="10"/>
      <c r="T251" s="10"/>
      <c r="U251" s="10"/>
      <c r="V251" s="10"/>
    </row>
    <row r="252" spans="1:22" s="11" customFormat="1" ht="12" customHeight="1" x14ac:dyDescent="0.15">
      <c r="A252" s="62"/>
      <c r="B252" s="65"/>
      <c r="N252" s="10"/>
      <c r="O252" s="10"/>
      <c r="P252" s="10"/>
      <c r="Q252" s="10"/>
      <c r="R252" s="10"/>
      <c r="S252" s="10"/>
      <c r="T252" s="10"/>
      <c r="U252" s="10"/>
      <c r="V252" s="10"/>
    </row>
    <row r="253" spans="1:22" s="11" customFormat="1" ht="12" customHeight="1" x14ac:dyDescent="0.15">
      <c r="A253" s="62"/>
      <c r="B253" s="65"/>
      <c r="N253" s="10"/>
      <c r="O253" s="10"/>
      <c r="P253" s="10"/>
      <c r="Q253" s="10"/>
      <c r="R253" s="10"/>
      <c r="S253" s="10"/>
      <c r="T253" s="10"/>
      <c r="U253" s="10"/>
      <c r="V253" s="10"/>
    </row>
    <row r="254" spans="1:22" s="11" customFormat="1" ht="12" customHeight="1" x14ac:dyDescent="0.15">
      <c r="A254" s="62"/>
      <c r="B254" s="65"/>
      <c r="N254" s="10"/>
      <c r="O254" s="10"/>
      <c r="P254" s="10"/>
      <c r="Q254" s="10"/>
      <c r="R254" s="10"/>
      <c r="S254" s="10"/>
      <c r="T254" s="10"/>
      <c r="U254" s="10"/>
      <c r="V254" s="10"/>
    </row>
    <row r="255" spans="1:22" s="11" customFormat="1" ht="12" customHeight="1" x14ac:dyDescent="0.15">
      <c r="A255" s="62"/>
      <c r="B255" s="65"/>
      <c r="N255" s="10"/>
      <c r="O255" s="10"/>
      <c r="P255" s="10"/>
      <c r="Q255" s="10"/>
      <c r="R255" s="10"/>
      <c r="S255" s="10"/>
      <c r="T255" s="10"/>
      <c r="U255" s="10"/>
      <c r="V255" s="10"/>
    </row>
    <row r="256" spans="1:22" s="11" customFormat="1" ht="12" customHeight="1" x14ac:dyDescent="0.15">
      <c r="A256" s="62"/>
      <c r="B256" s="65"/>
      <c r="N256" s="10"/>
      <c r="O256" s="10"/>
      <c r="P256" s="10"/>
      <c r="Q256" s="10"/>
      <c r="R256" s="10"/>
      <c r="S256" s="10"/>
      <c r="T256" s="10"/>
      <c r="U256" s="10"/>
      <c r="V256" s="10"/>
    </row>
    <row r="257" spans="1:22" s="11" customFormat="1" ht="12" customHeight="1" x14ac:dyDescent="0.15">
      <c r="A257" s="62"/>
      <c r="B257" s="65"/>
      <c r="N257" s="10"/>
      <c r="O257" s="10"/>
      <c r="P257" s="10"/>
      <c r="Q257" s="10"/>
      <c r="R257" s="10"/>
      <c r="S257" s="10"/>
      <c r="T257" s="10"/>
      <c r="U257" s="10"/>
      <c r="V257" s="10"/>
    </row>
    <row r="258" spans="1:22" s="11" customFormat="1" ht="12" customHeight="1" x14ac:dyDescent="0.15">
      <c r="A258" s="62"/>
      <c r="B258" s="65"/>
      <c r="N258" s="10"/>
      <c r="O258" s="10"/>
      <c r="P258" s="10"/>
      <c r="Q258" s="10"/>
      <c r="R258" s="10"/>
      <c r="S258" s="10"/>
      <c r="T258" s="10"/>
      <c r="U258" s="10"/>
      <c r="V258" s="10"/>
    </row>
    <row r="259" spans="1:22" s="11" customFormat="1" ht="12" customHeight="1" x14ac:dyDescent="0.15">
      <c r="A259" s="62"/>
      <c r="B259" s="65"/>
      <c r="N259" s="10"/>
      <c r="O259" s="10"/>
      <c r="P259" s="10"/>
      <c r="Q259" s="10"/>
      <c r="R259" s="10"/>
      <c r="S259" s="10"/>
      <c r="T259" s="10"/>
      <c r="U259" s="10"/>
      <c r="V259" s="10"/>
    </row>
    <row r="260" spans="1:22" s="11" customFormat="1" ht="12" customHeight="1" x14ac:dyDescent="0.15">
      <c r="A260" s="62"/>
      <c r="B260" s="65"/>
      <c r="N260" s="10"/>
      <c r="O260" s="10"/>
      <c r="P260" s="10"/>
      <c r="Q260" s="10"/>
      <c r="R260" s="10"/>
      <c r="S260" s="10"/>
      <c r="T260" s="10"/>
      <c r="U260" s="10"/>
      <c r="V260" s="10"/>
    </row>
    <row r="261" spans="1:22" s="11" customFormat="1" ht="12" customHeight="1" x14ac:dyDescent="0.15">
      <c r="A261" s="62"/>
      <c r="B261" s="65"/>
      <c r="N261" s="10"/>
      <c r="O261" s="10"/>
      <c r="P261" s="10"/>
      <c r="Q261" s="10"/>
      <c r="R261" s="10"/>
      <c r="S261" s="10"/>
      <c r="T261" s="10"/>
      <c r="U261" s="10"/>
      <c r="V261" s="10"/>
    </row>
    <row r="262" spans="1:22" s="11" customFormat="1" ht="12" customHeight="1" x14ac:dyDescent="0.15">
      <c r="A262" s="62"/>
      <c r="B262" s="65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1:22" s="11" customFormat="1" ht="12" customHeight="1" x14ac:dyDescent="0.15">
      <c r="A263" s="62"/>
      <c r="B263" s="65"/>
      <c r="N263" s="10"/>
      <c r="O263" s="10"/>
      <c r="P263" s="10"/>
      <c r="Q263" s="10"/>
      <c r="R263" s="10"/>
      <c r="S263" s="10"/>
      <c r="T263" s="10"/>
      <c r="U263" s="10"/>
      <c r="V263" s="10"/>
    </row>
    <row r="264" spans="1:22" s="11" customFormat="1" ht="12" customHeight="1" x14ac:dyDescent="0.15">
      <c r="A264" s="62"/>
      <c r="B264" s="65"/>
      <c r="N264" s="10"/>
      <c r="O264" s="10"/>
      <c r="P264" s="10"/>
      <c r="Q264" s="10"/>
      <c r="R264" s="10"/>
      <c r="S264" s="10"/>
      <c r="T264" s="10"/>
      <c r="U264" s="10"/>
      <c r="V264" s="10"/>
    </row>
    <row r="265" spans="1:22" s="11" customFormat="1" ht="12" customHeight="1" x14ac:dyDescent="0.15">
      <c r="A265" s="62"/>
      <c r="B265" s="65"/>
      <c r="N265" s="10"/>
      <c r="O265" s="10"/>
      <c r="P265" s="10"/>
      <c r="Q265" s="10"/>
      <c r="R265" s="10"/>
      <c r="S265" s="10"/>
      <c r="T265" s="10"/>
      <c r="U265" s="10"/>
      <c r="V265" s="10"/>
    </row>
    <row r="266" spans="1:22" s="11" customFormat="1" ht="12" customHeight="1" x14ac:dyDescent="0.15">
      <c r="A266" s="62"/>
      <c r="B266" s="65"/>
      <c r="N266" s="10"/>
      <c r="O266" s="10"/>
      <c r="P266" s="10"/>
      <c r="Q266" s="10"/>
      <c r="R266" s="10"/>
      <c r="S266" s="10"/>
      <c r="T266" s="10"/>
      <c r="U266" s="10"/>
      <c r="V266" s="10"/>
    </row>
    <row r="267" spans="1:22" s="11" customFormat="1" ht="12" customHeight="1" x14ac:dyDescent="0.15">
      <c r="A267" s="62"/>
      <c r="B267" s="65"/>
      <c r="N267" s="10"/>
      <c r="O267" s="10"/>
      <c r="P267" s="10"/>
      <c r="Q267" s="10"/>
      <c r="R267" s="10"/>
      <c r="S267" s="10"/>
      <c r="T267" s="10"/>
      <c r="U267" s="10"/>
      <c r="V267" s="10"/>
    </row>
    <row r="268" spans="1:22" s="11" customFormat="1" ht="12" customHeight="1" x14ac:dyDescent="0.15">
      <c r="A268" s="62"/>
      <c r="B268" s="65"/>
      <c r="N268" s="10"/>
      <c r="O268" s="10"/>
      <c r="P268" s="10"/>
      <c r="Q268" s="10"/>
      <c r="R268" s="10"/>
      <c r="S268" s="10"/>
      <c r="T268" s="10"/>
      <c r="U268" s="10"/>
      <c r="V268" s="10"/>
    </row>
    <row r="269" spans="1:22" s="11" customFormat="1" ht="12" customHeight="1" x14ac:dyDescent="0.15">
      <c r="A269" s="62"/>
      <c r="B269" s="65"/>
      <c r="N269" s="10"/>
      <c r="O269" s="10"/>
      <c r="P269" s="10"/>
      <c r="Q269" s="10"/>
      <c r="R269" s="10"/>
      <c r="S269" s="10"/>
      <c r="T269" s="10"/>
      <c r="U269" s="10"/>
      <c r="V269" s="10"/>
    </row>
    <row r="270" spans="1:22" s="11" customFormat="1" ht="12" customHeight="1" x14ac:dyDescent="0.15">
      <c r="A270" s="62"/>
      <c r="B270" s="65"/>
      <c r="N270" s="10"/>
      <c r="O270" s="10"/>
      <c r="P270" s="10"/>
      <c r="Q270" s="10"/>
      <c r="R270" s="10"/>
      <c r="S270" s="10"/>
      <c r="T270" s="10"/>
      <c r="U270" s="10"/>
      <c r="V270" s="10"/>
    </row>
    <row r="271" spans="1:22" s="11" customFormat="1" ht="12" customHeight="1" x14ac:dyDescent="0.15">
      <c r="A271" s="62"/>
      <c r="B271" s="65"/>
      <c r="N271" s="10"/>
      <c r="O271" s="10"/>
      <c r="P271" s="10"/>
      <c r="Q271" s="10"/>
      <c r="R271" s="10"/>
      <c r="S271" s="10"/>
      <c r="T271" s="10"/>
      <c r="U271" s="10"/>
      <c r="V271" s="10"/>
    </row>
    <row r="272" spans="1:22" s="11" customFormat="1" ht="12" customHeight="1" x14ac:dyDescent="0.15">
      <c r="A272" s="62"/>
      <c r="B272" s="65"/>
      <c r="N272" s="10"/>
      <c r="O272" s="10"/>
      <c r="P272" s="10"/>
      <c r="Q272" s="10"/>
      <c r="R272" s="10"/>
      <c r="S272" s="10"/>
      <c r="T272" s="10"/>
      <c r="U272" s="10"/>
      <c r="V272" s="10"/>
    </row>
    <row r="273" spans="1:22" s="11" customFormat="1" ht="12" customHeight="1" x14ac:dyDescent="0.15">
      <c r="A273" s="62"/>
      <c r="B273" s="65"/>
      <c r="N273" s="10"/>
      <c r="O273" s="10"/>
      <c r="P273" s="10"/>
      <c r="Q273" s="10"/>
      <c r="R273" s="10"/>
      <c r="S273" s="10"/>
      <c r="T273" s="10"/>
      <c r="U273" s="10"/>
      <c r="V273" s="10"/>
    </row>
    <row r="274" spans="1:22" s="11" customFormat="1" ht="12" customHeight="1" x14ac:dyDescent="0.15">
      <c r="A274" s="62"/>
      <c r="B274" s="65"/>
      <c r="N274" s="10"/>
      <c r="O274" s="10"/>
      <c r="P274" s="10"/>
      <c r="Q274" s="10"/>
      <c r="R274" s="10"/>
      <c r="S274" s="10"/>
      <c r="T274" s="10"/>
      <c r="U274" s="10"/>
      <c r="V274" s="10"/>
    </row>
    <row r="275" spans="1:22" s="11" customFormat="1" ht="12" customHeight="1" x14ac:dyDescent="0.15">
      <c r="A275" s="62"/>
      <c r="B275" s="65"/>
      <c r="N275" s="10"/>
      <c r="O275" s="10"/>
      <c r="P275" s="10"/>
      <c r="Q275" s="10"/>
      <c r="R275" s="10"/>
      <c r="S275" s="10"/>
      <c r="T275" s="10"/>
      <c r="U275" s="10"/>
      <c r="V275" s="10"/>
    </row>
    <row r="276" spans="1:22" s="11" customFormat="1" ht="12" customHeight="1" x14ac:dyDescent="0.15">
      <c r="A276" s="62"/>
      <c r="B276" s="65"/>
      <c r="N276" s="10"/>
      <c r="O276" s="10"/>
      <c r="P276" s="10"/>
      <c r="Q276" s="10"/>
      <c r="R276" s="10"/>
      <c r="S276" s="10"/>
      <c r="T276" s="10"/>
      <c r="U276" s="10"/>
      <c r="V276" s="10"/>
    </row>
    <row r="277" spans="1:22" s="11" customFormat="1" ht="12" customHeight="1" x14ac:dyDescent="0.15">
      <c r="A277" s="62"/>
      <c r="B277" s="65"/>
      <c r="N277" s="10"/>
      <c r="O277" s="10"/>
      <c r="P277" s="10"/>
      <c r="Q277" s="10"/>
      <c r="R277" s="10"/>
      <c r="S277" s="10"/>
      <c r="T277" s="10"/>
      <c r="U277" s="10"/>
      <c r="V277" s="10"/>
    </row>
    <row r="278" spans="1:22" s="11" customFormat="1" ht="12" customHeight="1" x14ac:dyDescent="0.15">
      <c r="A278" s="62"/>
      <c r="B278" s="65"/>
      <c r="N278" s="10"/>
      <c r="O278" s="10"/>
      <c r="P278" s="10"/>
      <c r="Q278" s="10"/>
      <c r="R278" s="10"/>
      <c r="S278" s="10"/>
      <c r="T278" s="10"/>
      <c r="U278" s="10"/>
      <c r="V278" s="10"/>
    </row>
    <row r="279" spans="1:22" s="11" customFormat="1" ht="12" customHeight="1" x14ac:dyDescent="0.15">
      <c r="A279" s="62"/>
      <c r="B279" s="65"/>
      <c r="N279" s="10"/>
      <c r="O279" s="10"/>
      <c r="P279" s="10"/>
      <c r="Q279" s="10"/>
      <c r="R279" s="10"/>
      <c r="S279" s="10"/>
      <c r="T279" s="10"/>
      <c r="U279" s="10"/>
      <c r="V279" s="10"/>
    </row>
    <row r="280" spans="1:22" s="11" customFormat="1" ht="12" customHeight="1" x14ac:dyDescent="0.15">
      <c r="A280" s="62"/>
      <c r="B280" s="65"/>
      <c r="N280" s="10"/>
      <c r="O280" s="10"/>
      <c r="P280" s="10"/>
      <c r="Q280" s="10"/>
      <c r="R280" s="10"/>
      <c r="S280" s="10"/>
      <c r="T280" s="10"/>
      <c r="U280" s="10"/>
      <c r="V280" s="10"/>
    </row>
    <row r="281" spans="1:22" s="11" customFormat="1" ht="12" customHeight="1" x14ac:dyDescent="0.15">
      <c r="A281" s="62"/>
      <c r="B281" s="65"/>
      <c r="N281" s="10"/>
      <c r="O281" s="10"/>
      <c r="P281" s="10"/>
      <c r="Q281" s="10"/>
      <c r="R281" s="10"/>
      <c r="S281" s="10"/>
      <c r="T281" s="10"/>
      <c r="U281" s="10"/>
      <c r="V281" s="10"/>
    </row>
    <row r="282" spans="1:22" s="11" customFormat="1" ht="12" customHeight="1" x14ac:dyDescent="0.15">
      <c r="A282" s="62"/>
      <c r="B282" s="65"/>
      <c r="N282" s="10"/>
      <c r="O282" s="10"/>
      <c r="P282" s="10"/>
      <c r="Q282" s="10"/>
      <c r="R282" s="10"/>
      <c r="S282" s="10"/>
      <c r="T282" s="10"/>
      <c r="U282" s="10"/>
      <c r="V282" s="10"/>
    </row>
    <row r="283" spans="1:22" s="11" customFormat="1" ht="12" customHeight="1" x14ac:dyDescent="0.15">
      <c r="A283" s="62"/>
      <c r="B283" s="65"/>
      <c r="N283" s="10"/>
      <c r="O283" s="10"/>
      <c r="P283" s="10"/>
      <c r="Q283" s="10"/>
      <c r="R283" s="10"/>
      <c r="S283" s="10"/>
      <c r="T283" s="10"/>
      <c r="U283" s="10"/>
      <c r="V283" s="10"/>
    </row>
    <row r="284" spans="1:22" s="11" customFormat="1" ht="12" customHeight="1" x14ac:dyDescent="0.15">
      <c r="A284" s="62"/>
      <c r="B284" s="65"/>
      <c r="N284" s="10"/>
      <c r="O284" s="10"/>
      <c r="P284" s="10"/>
      <c r="Q284" s="10"/>
      <c r="R284" s="10"/>
      <c r="S284" s="10"/>
      <c r="T284" s="10"/>
      <c r="U284" s="10"/>
      <c r="V284" s="10"/>
    </row>
    <row r="285" spans="1:22" s="11" customFormat="1" ht="12" customHeight="1" x14ac:dyDescent="0.15">
      <c r="A285" s="62"/>
      <c r="B285" s="65"/>
      <c r="N285" s="10"/>
      <c r="O285" s="10"/>
      <c r="P285" s="10"/>
      <c r="Q285" s="10"/>
      <c r="R285" s="10"/>
      <c r="S285" s="10"/>
      <c r="T285" s="10"/>
      <c r="U285" s="10"/>
      <c r="V285" s="10"/>
    </row>
    <row r="286" spans="1:22" s="11" customFormat="1" ht="12" customHeight="1" x14ac:dyDescent="0.15">
      <c r="A286" s="62"/>
      <c r="B286" s="65"/>
      <c r="N286" s="10"/>
      <c r="O286" s="10"/>
      <c r="P286" s="10"/>
      <c r="Q286" s="10"/>
      <c r="R286" s="10"/>
      <c r="S286" s="10"/>
      <c r="T286" s="10"/>
      <c r="U286" s="10"/>
      <c r="V286" s="10"/>
    </row>
    <row r="287" spans="1:22" s="11" customFormat="1" ht="12" customHeight="1" x14ac:dyDescent="0.15">
      <c r="A287" s="62"/>
      <c r="B287" s="65"/>
      <c r="N287" s="10"/>
      <c r="O287" s="10"/>
      <c r="P287" s="10"/>
      <c r="Q287" s="10"/>
      <c r="R287" s="10"/>
      <c r="S287" s="10"/>
      <c r="T287" s="10"/>
      <c r="U287" s="10"/>
      <c r="V287" s="10"/>
    </row>
    <row r="288" spans="1:22" s="11" customFormat="1" ht="12" customHeight="1" x14ac:dyDescent="0.15">
      <c r="A288" s="62"/>
      <c r="B288" s="65"/>
      <c r="N288" s="10"/>
      <c r="O288" s="10"/>
      <c r="P288" s="10"/>
      <c r="Q288" s="10"/>
      <c r="R288" s="10"/>
      <c r="S288" s="10"/>
      <c r="T288" s="10"/>
      <c r="U288" s="10"/>
      <c r="V288" s="10"/>
    </row>
    <row r="289" spans="1:22" s="11" customFormat="1" ht="12" customHeight="1" x14ac:dyDescent="0.15">
      <c r="A289" s="62"/>
      <c r="B289" s="65"/>
      <c r="N289" s="10"/>
      <c r="O289" s="10"/>
      <c r="P289" s="10"/>
      <c r="Q289" s="10"/>
      <c r="R289" s="10"/>
      <c r="S289" s="10"/>
      <c r="T289" s="10"/>
      <c r="U289" s="10"/>
      <c r="V289" s="10"/>
    </row>
    <row r="290" spans="1:22" s="11" customFormat="1" ht="12" customHeight="1" x14ac:dyDescent="0.15">
      <c r="A290" s="62"/>
      <c r="B290" s="65"/>
      <c r="N290" s="10"/>
      <c r="O290" s="10"/>
      <c r="P290" s="10"/>
      <c r="Q290" s="10"/>
      <c r="R290" s="10"/>
      <c r="S290" s="10"/>
      <c r="T290" s="10"/>
      <c r="U290" s="10"/>
      <c r="V290" s="10"/>
    </row>
    <row r="291" spans="1:22" s="11" customFormat="1" ht="12" customHeight="1" x14ac:dyDescent="0.15">
      <c r="A291" s="62"/>
      <c r="B291" s="65"/>
      <c r="N291" s="10"/>
      <c r="O291" s="10"/>
      <c r="P291" s="10"/>
      <c r="Q291" s="10"/>
      <c r="R291" s="10"/>
      <c r="S291" s="10"/>
      <c r="T291" s="10"/>
      <c r="U291" s="10"/>
      <c r="V291" s="10"/>
    </row>
    <row r="292" spans="1:22" s="11" customFormat="1" ht="12" customHeight="1" x14ac:dyDescent="0.15">
      <c r="A292" s="62"/>
      <c r="B292" s="65"/>
      <c r="N292" s="10"/>
      <c r="O292" s="10"/>
      <c r="P292" s="10"/>
      <c r="Q292" s="10"/>
      <c r="R292" s="10"/>
      <c r="S292" s="10"/>
      <c r="T292" s="10"/>
      <c r="U292" s="10"/>
      <c r="V292" s="10"/>
    </row>
    <row r="293" spans="1:22" s="11" customFormat="1" ht="12" customHeight="1" x14ac:dyDescent="0.15">
      <c r="A293" s="62"/>
      <c r="B293" s="65"/>
      <c r="N293" s="10"/>
      <c r="O293" s="10"/>
      <c r="P293" s="10"/>
      <c r="Q293" s="10"/>
      <c r="R293" s="10"/>
      <c r="S293" s="10"/>
      <c r="T293" s="10"/>
      <c r="U293" s="10"/>
      <c r="V293" s="10"/>
    </row>
    <row r="294" spans="1:22" s="11" customFormat="1" ht="12" customHeight="1" x14ac:dyDescent="0.15">
      <c r="A294" s="62"/>
      <c r="B294" s="65"/>
      <c r="N294" s="10"/>
      <c r="O294" s="10"/>
      <c r="P294" s="10"/>
      <c r="Q294" s="10"/>
      <c r="R294" s="10"/>
      <c r="S294" s="10"/>
      <c r="T294" s="10"/>
      <c r="U294" s="10"/>
      <c r="V294" s="10"/>
    </row>
    <row r="295" spans="1:22" s="11" customFormat="1" ht="12" customHeight="1" x14ac:dyDescent="0.15">
      <c r="A295" s="62"/>
      <c r="B295" s="65"/>
      <c r="N295" s="10"/>
      <c r="O295" s="10"/>
      <c r="P295" s="10"/>
      <c r="Q295" s="10"/>
      <c r="R295" s="10"/>
      <c r="S295" s="10"/>
      <c r="T295" s="10"/>
      <c r="U295" s="10"/>
      <c r="V295" s="10"/>
    </row>
    <row r="296" spans="1:22" s="11" customFormat="1" ht="12" customHeight="1" x14ac:dyDescent="0.15">
      <c r="A296" s="62"/>
      <c r="B296" s="65"/>
      <c r="N296" s="10"/>
      <c r="O296" s="10"/>
      <c r="P296" s="10"/>
      <c r="Q296" s="10"/>
      <c r="R296" s="10"/>
      <c r="S296" s="10"/>
      <c r="T296" s="10"/>
      <c r="U296" s="10"/>
      <c r="V296" s="10"/>
    </row>
    <row r="297" spans="1:22" s="11" customFormat="1" ht="12" customHeight="1" x14ac:dyDescent="0.15">
      <c r="A297" s="62"/>
      <c r="B297" s="65"/>
      <c r="N297" s="10"/>
      <c r="O297" s="10"/>
      <c r="P297" s="10"/>
      <c r="Q297" s="10"/>
      <c r="R297" s="10"/>
      <c r="S297" s="10"/>
      <c r="T297" s="10"/>
      <c r="U297" s="10"/>
      <c r="V297" s="10"/>
    </row>
    <row r="298" spans="1:22" s="11" customFormat="1" ht="12" customHeight="1" x14ac:dyDescent="0.15">
      <c r="A298" s="62"/>
      <c r="B298" s="65"/>
      <c r="N298" s="10"/>
      <c r="O298" s="10"/>
      <c r="P298" s="10"/>
      <c r="Q298" s="10"/>
      <c r="R298" s="10"/>
      <c r="S298" s="10"/>
      <c r="T298" s="10"/>
      <c r="U298" s="10"/>
      <c r="V298" s="10"/>
    </row>
    <row r="299" spans="1:22" s="11" customFormat="1" ht="12" customHeight="1" x14ac:dyDescent="0.15">
      <c r="A299" s="62"/>
      <c r="B299" s="65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1:22" s="11" customFormat="1" ht="12" customHeight="1" x14ac:dyDescent="0.15">
      <c r="A300" s="62"/>
      <c r="B300" s="65"/>
      <c r="N300" s="10"/>
      <c r="O300" s="10"/>
      <c r="P300" s="10"/>
      <c r="Q300" s="10"/>
      <c r="R300" s="10"/>
      <c r="S300" s="10"/>
      <c r="T300" s="10"/>
      <c r="U300" s="10"/>
      <c r="V300" s="10"/>
    </row>
    <row r="301" spans="1:22" s="11" customFormat="1" ht="12" customHeight="1" x14ac:dyDescent="0.15">
      <c r="A301" s="62"/>
      <c r="B301" s="65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1:22" s="11" customFormat="1" ht="12" customHeight="1" x14ac:dyDescent="0.15">
      <c r="A302" s="62"/>
      <c r="B302" s="65"/>
      <c r="N302" s="10"/>
      <c r="O302" s="10"/>
      <c r="P302" s="10"/>
      <c r="Q302" s="10"/>
      <c r="R302" s="10"/>
      <c r="S302" s="10"/>
      <c r="T302" s="10"/>
      <c r="U302" s="10"/>
      <c r="V302" s="10"/>
    </row>
    <row r="303" spans="1:22" s="11" customFormat="1" ht="12" customHeight="1" x14ac:dyDescent="0.15">
      <c r="A303" s="62"/>
      <c r="B303" s="65"/>
      <c r="N303" s="10"/>
      <c r="O303" s="10"/>
      <c r="P303" s="10"/>
      <c r="Q303" s="10"/>
      <c r="R303" s="10"/>
      <c r="S303" s="10"/>
      <c r="T303" s="10"/>
      <c r="U303" s="10"/>
      <c r="V303" s="10"/>
    </row>
    <row r="304" spans="1:22" s="11" customFormat="1" ht="12" customHeight="1" x14ac:dyDescent="0.15">
      <c r="A304" s="62"/>
      <c r="B304" s="65"/>
      <c r="N304" s="10"/>
      <c r="O304" s="10"/>
      <c r="P304" s="10"/>
      <c r="Q304" s="10"/>
      <c r="R304" s="10"/>
      <c r="S304" s="10"/>
      <c r="T304" s="10"/>
      <c r="U304" s="10"/>
      <c r="V304" s="10"/>
    </row>
    <row r="305" spans="1:22" s="11" customFormat="1" ht="12" customHeight="1" x14ac:dyDescent="0.15">
      <c r="A305" s="62"/>
      <c r="B305" s="65"/>
      <c r="N305" s="10"/>
      <c r="O305" s="10"/>
      <c r="P305" s="10"/>
      <c r="Q305" s="10"/>
      <c r="R305" s="10"/>
      <c r="S305" s="10"/>
      <c r="T305" s="10"/>
      <c r="U305" s="10"/>
      <c r="V305" s="10"/>
    </row>
    <row r="306" spans="1:22" s="11" customFormat="1" ht="12" customHeight="1" x14ac:dyDescent="0.15">
      <c r="A306" s="62"/>
      <c r="B306" s="65"/>
      <c r="N306" s="10"/>
      <c r="O306" s="10"/>
      <c r="P306" s="10"/>
      <c r="Q306" s="10"/>
      <c r="R306" s="10"/>
      <c r="S306" s="10"/>
      <c r="T306" s="10"/>
      <c r="U306" s="10"/>
      <c r="V306" s="10"/>
    </row>
    <row r="307" spans="1:22" s="11" customFormat="1" ht="12" customHeight="1" x14ac:dyDescent="0.15">
      <c r="A307" s="62"/>
      <c r="B307" s="65"/>
      <c r="N307" s="10"/>
      <c r="O307" s="10"/>
      <c r="P307" s="10"/>
      <c r="Q307" s="10"/>
      <c r="R307" s="10"/>
      <c r="S307" s="10"/>
      <c r="T307" s="10"/>
      <c r="U307" s="10"/>
      <c r="V307" s="10"/>
    </row>
    <row r="308" spans="1:22" s="11" customFormat="1" ht="12" customHeight="1" x14ac:dyDescent="0.15">
      <c r="A308" s="62"/>
      <c r="B308" s="65"/>
      <c r="N308" s="10"/>
      <c r="O308" s="10"/>
      <c r="P308" s="10"/>
      <c r="Q308" s="10"/>
      <c r="R308" s="10"/>
      <c r="S308" s="10"/>
      <c r="T308" s="10"/>
      <c r="U308" s="10"/>
      <c r="V308" s="10"/>
    </row>
    <row r="309" spans="1:22" s="11" customFormat="1" ht="12" customHeight="1" x14ac:dyDescent="0.15">
      <c r="A309" s="62"/>
      <c r="B309" s="65"/>
      <c r="N309" s="10"/>
      <c r="O309" s="10"/>
      <c r="P309" s="10"/>
      <c r="Q309" s="10"/>
      <c r="R309" s="10"/>
      <c r="S309" s="10"/>
      <c r="T309" s="10"/>
      <c r="U309" s="10"/>
      <c r="V309" s="10"/>
    </row>
    <row r="310" spans="1:22" s="11" customFormat="1" ht="12" customHeight="1" x14ac:dyDescent="0.15">
      <c r="A310" s="62"/>
      <c r="B310" s="65"/>
      <c r="N310" s="10"/>
      <c r="O310" s="10"/>
      <c r="P310" s="10"/>
      <c r="Q310" s="10"/>
      <c r="R310" s="10"/>
      <c r="S310" s="10"/>
      <c r="T310" s="10"/>
      <c r="U310" s="10"/>
      <c r="V310" s="10"/>
    </row>
    <row r="311" spans="1:22" s="11" customFormat="1" ht="12" customHeight="1" x14ac:dyDescent="0.15">
      <c r="A311" s="62"/>
      <c r="B311" s="65"/>
      <c r="N311" s="10"/>
      <c r="O311" s="10"/>
      <c r="P311" s="10"/>
      <c r="Q311" s="10"/>
      <c r="R311" s="10"/>
      <c r="S311" s="10"/>
      <c r="T311" s="10"/>
      <c r="U311" s="10"/>
      <c r="V311" s="10"/>
    </row>
    <row r="312" spans="1:22" s="11" customFormat="1" ht="12" customHeight="1" x14ac:dyDescent="0.15">
      <c r="A312" s="62"/>
      <c r="B312" s="65"/>
      <c r="N312" s="10"/>
      <c r="O312" s="10"/>
      <c r="P312" s="10"/>
      <c r="Q312" s="10"/>
      <c r="R312" s="10"/>
      <c r="S312" s="10"/>
      <c r="T312" s="10"/>
      <c r="U312" s="10"/>
      <c r="V312" s="10"/>
    </row>
    <row r="313" spans="1:22" s="11" customFormat="1" ht="12" customHeight="1" x14ac:dyDescent="0.15">
      <c r="A313" s="62"/>
      <c r="B313" s="65"/>
      <c r="N313" s="10"/>
      <c r="O313" s="10"/>
      <c r="P313" s="10"/>
      <c r="Q313" s="10"/>
      <c r="R313" s="10"/>
      <c r="S313" s="10"/>
      <c r="T313" s="10"/>
      <c r="U313" s="10"/>
      <c r="V313" s="10"/>
    </row>
    <row r="314" spans="1:22" s="11" customFormat="1" ht="12" customHeight="1" x14ac:dyDescent="0.15">
      <c r="A314" s="62"/>
      <c r="B314" s="65"/>
      <c r="N314" s="10"/>
      <c r="O314" s="10"/>
      <c r="P314" s="10"/>
      <c r="Q314" s="10"/>
      <c r="R314" s="10"/>
      <c r="S314" s="10"/>
      <c r="T314" s="10"/>
      <c r="U314" s="10"/>
      <c r="V314" s="10"/>
    </row>
    <row r="315" spans="1:22" s="11" customFormat="1" ht="12" customHeight="1" x14ac:dyDescent="0.15">
      <c r="A315" s="62"/>
      <c r="B315" s="65"/>
      <c r="N315" s="10"/>
      <c r="O315" s="10"/>
      <c r="P315" s="10"/>
      <c r="Q315" s="10"/>
      <c r="R315" s="10"/>
      <c r="S315" s="10"/>
      <c r="T315" s="10"/>
      <c r="U315" s="10"/>
      <c r="V315" s="10"/>
    </row>
    <row r="316" spans="1:22" s="11" customFormat="1" ht="12" customHeight="1" x14ac:dyDescent="0.15">
      <c r="A316" s="62"/>
      <c r="B316" s="65"/>
      <c r="N316" s="10"/>
      <c r="O316" s="10"/>
      <c r="P316" s="10"/>
      <c r="Q316" s="10"/>
      <c r="R316" s="10"/>
      <c r="S316" s="10"/>
      <c r="T316" s="10"/>
      <c r="U316" s="10"/>
      <c r="V316" s="10"/>
    </row>
    <row r="317" spans="1:22" s="11" customFormat="1" ht="12" customHeight="1" x14ac:dyDescent="0.15">
      <c r="A317" s="62"/>
      <c r="B317" s="65"/>
      <c r="N317" s="10"/>
      <c r="O317" s="10"/>
      <c r="P317" s="10"/>
      <c r="Q317" s="10"/>
      <c r="R317" s="10"/>
      <c r="S317" s="10"/>
      <c r="T317" s="10"/>
      <c r="U317" s="10"/>
      <c r="V317" s="10"/>
    </row>
    <row r="318" spans="1:22" s="11" customFormat="1" ht="12" customHeight="1" x14ac:dyDescent="0.15">
      <c r="A318" s="62"/>
      <c r="B318" s="65"/>
      <c r="N318" s="10"/>
      <c r="O318" s="10"/>
      <c r="P318" s="10"/>
      <c r="Q318" s="10"/>
      <c r="R318" s="10"/>
      <c r="S318" s="10"/>
      <c r="T318" s="10"/>
      <c r="U318" s="10"/>
      <c r="V318" s="10"/>
    </row>
    <row r="319" spans="1:22" s="11" customFormat="1" ht="12" customHeight="1" x14ac:dyDescent="0.15">
      <c r="A319" s="62"/>
      <c r="B319" s="65"/>
      <c r="N319" s="10"/>
      <c r="O319" s="10"/>
      <c r="P319" s="10"/>
      <c r="Q319" s="10"/>
      <c r="R319" s="10"/>
      <c r="S319" s="10"/>
      <c r="T319" s="10"/>
      <c r="U319" s="10"/>
      <c r="V319" s="10"/>
    </row>
    <row r="320" spans="1:22" s="11" customFormat="1" ht="12" customHeight="1" x14ac:dyDescent="0.15">
      <c r="A320" s="62"/>
      <c r="B320" s="65"/>
      <c r="N320" s="10"/>
      <c r="O320" s="10"/>
      <c r="P320" s="10"/>
      <c r="Q320" s="10"/>
      <c r="R320" s="10"/>
      <c r="S320" s="10"/>
      <c r="T320" s="10"/>
      <c r="U320" s="10"/>
      <c r="V320" s="10"/>
    </row>
    <row r="321" spans="1:22" s="11" customFormat="1" ht="12" customHeight="1" x14ac:dyDescent="0.15">
      <c r="A321" s="62"/>
      <c r="B321" s="65"/>
      <c r="N321" s="10"/>
      <c r="O321" s="10"/>
      <c r="P321" s="10"/>
      <c r="Q321" s="10"/>
      <c r="R321" s="10"/>
      <c r="S321" s="10"/>
      <c r="T321" s="10"/>
      <c r="U321" s="10"/>
      <c r="V321" s="10"/>
    </row>
    <row r="322" spans="1:22" s="11" customFormat="1" ht="12" customHeight="1" x14ac:dyDescent="0.15">
      <c r="A322" s="62"/>
      <c r="B322" s="65"/>
      <c r="N322" s="10"/>
      <c r="O322" s="10"/>
      <c r="P322" s="10"/>
      <c r="Q322" s="10"/>
      <c r="R322" s="10"/>
      <c r="S322" s="10"/>
      <c r="T322" s="10"/>
      <c r="U322" s="10"/>
      <c r="V322" s="10"/>
    </row>
    <row r="323" spans="1:22" s="11" customFormat="1" ht="12" customHeight="1" x14ac:dyDescent="0.15">
      <c r="A323" s="62"/>
      <c r="B323" s="65"/>
      <c r="N323" s="10"/>
      <c r="O323" s="10"/>
      <c r="P323" s="10"/>
      <c r="Q323" s="10"/>
      <c r="R323" s="10"/>
      <c r="S323" s="10"/>
      <c r="T323" s="10"/>
      <c r="U323" s="10"/>
      <c r="V323" s="10"/>
    </row>
    <row r="324" spans="1:22" s="11" customFormat="1" ht="12" customHeight="1" x14ac:dyDescent="0.15">
      <c r="A324" s="62"/>
      <c r="B324" s="65"/>
      <c r="N324" s="10"/>
      <c r="O324" s="10"/>
      <c r="P324" s="10"/>
      <c r="Q324" s="10"/>
      <c r="R324" s="10"/>
      <c r="S324" s="10"/>
      <c r="T324" s="10"/>
      <c r="U324" s="10"/>
      <c r="V324" s="10"/>
    </row>
    <row r="325" spans="1:22" s="11" customFormat="1" ht="12" customHeight="1" x14ac:dyDescent="0.15">
      <c r="A325" s="62"/>
      <c r="B325" s="65"/>
      <c r="N325" s="10"/>
      <c r="O325" s="10"/>
      <c r="P325" s="10"/>
      <c r="Q325" s="10"/>
      <c r="R325" s="10"/>
      <c r="S325" s="10"/>
      <c r="T325" s="10"/>
      <c r="U325" s="10"/>
      <c r="V325" s="10"/>
    </row>
    <row r="326" spans="1:22" s="11" customFormat="1" ht="12" customHeight="1" x14ac:dyDescent="0.15">
      <c r="A326" s="62"/>
      <c r="B326" s="65"/>
      <c r="N326" s="10"/>
      <c r="O326" s="10"/>
      <c r="P326" s="10"/>
      <c r="Q326" s="10"/>
      <c r="R326" s="10"/>
      <c r="S326" s="10"/>
      <c r="T326" s="10"/>
      <c r="U326" s="10"/>
      <c r="V326" s="10"/>
    </row>
    <row r="327" spans="1:22" s="11" customFormat="1" ht="12" customHeight="1" x14ac:dyDescent="0.15">
      <c r="A327" s="62"/>
      <c r="B327" s="65"/>
      <c r="N327" s="10"/>
      <c r="O327" s="10"/>
      <c r="P327" s="10"/>
      <c r="Q327" s="10"/>
      <c r="R327" s="10"/>
      <c r="S327" s="10"/>
      <c r="T327" s="10"/>
      <c r="U327" s="10"/>
      <c r="V327" s="10"/>
    </row>
    <row r="328" spans="1:22" s="11" customFormat="1" ht="12" customHeight="1" x14ac:dyDescent="0.15">
      <c r="A328" s="62"/>
      <c r="B328" s="65"/>
      <c r="N328" s="10"/>
      <c r="O328" s="10"/>
      <c r="P328" s="10"/>
      <c r="Q328" s="10"/>
      <c r="R328" s="10"/>
      <c r="S328" s="10"/>
      <c r="T328" s="10"/>
      <c r="U328" s="10"/>
      <c r="V328" s="10"/>
    </row>
    <row r="329" spans="1:22" s="11" customFormat="1" ht="12" customHeight="1" x14ac:dyDescent="0.15">
      <c r="A329" s="62"/>
      <c r="B329" s="65"/>
      <c r="N329" s="10"/>
      <c r="O329" s="10"/>
      <c r="P329" s="10"/>
      <c r="Q329" s="10"/>
      <c r="R329" s="10"/>
      <c r="S329" s="10"/>
      <c r="T329" s="10"/>
      <c r="U329" s="10"/>
      <c r="V329" s="10"/>
    </row>
    <row r="330" spans="1:22" s="11" customFormat="1" ht="12" customHeight="1" x14ac:dyDescent="0.15">
      <c r="A330" s="62"/>
      <c r="B330" s="65"/>
      <c r="N330" s="10"/>
      <c r="O330" s="10"/>
      <c r="P330" s="10"/>
      <c r="Q330" s="10"/>
      <c r="R330" s="10"/>
      <c r="S330" s="10"/>
      <c r="T330" s="10"/>
      <c r="U330" s="10"/>
      <c r="V330" s="10"/>
    </row>
    <row r="331" spans="1:22" s="11" customFormat="1" ht="12" customHeight="1" x14ac:dyDescent="0.15">
      <c r="A331" s="62"/>
      <c r="B331" s="65"/>
      <c r="N331" s="10"/>
      <c r="O331" s="10"/>
      <c r="P331" s="10"/>
      <c r="Q331" s="10"/>
      <c r="R331" s="10"/>
      <c r="S331" s="10"/>
      <c r="T331" s="10"/>
      <c r="U331" s="10"/>
      <c r="V331" s="10"/>
    </row>
    <row r="332" spans="1:22" s="11" customFormat="1" ht="12" customHeight="1" x14ac:dyDescent="0.15">
      <c r="A332" s="62"/>
      <c r="B332" s="65"/>
      <c r="N332" s="10"/>
      <c r="O332" s="10"/>
      <c r="P332" s="10"/>
      <c r="Q332" s="10"/>
      <c r="R332" s="10"/>
      <c r="S332" s="10"/>
      <c r="T332" s="10"/>
      <c r="U332" s="10"/>
      <c r="V332" s="10"/>
    </row>
    <row r="333" spans="1:22" s="11" customFormat="1" ht="12" customHeight="1" x14ac:dyDescent="0.15">
      <c r="A333" s="62"/>
      <c r="B333" s="65"/>
      <c r="N333" s="10"/>
      <c r="O333" s="10"/>
      <c r="P333" s="10"/>
      <c r="Q333" s="10"/>
      <c r="R333" s="10"/>
      <c r="S333" s="10"/>
      <c r="T333" s="10"/>
      <c r="U333" s="10"/>
      <c r="V333" s="10"/>
    </row>
    <row r="334" spans="1:22" s="11" customFormat="1" ht="12" customHeight="1" x14ac:dyDescent="0.15">
      <c r="A334" s="62"/>
      <c r="B334" s="65"/>
      <c r="N334" s="10"/>
      <c r="O334" s="10"/>
      <c r="P334" s="10"/>
      <c r="Q334" s="10"/>
      <c r="R334" s="10"/>
      <c r="S334" s="10"/>
      <c r="T334" s="10"/>
      <c r="U334" s="10"/>
      <c r="V334" s="10"/>
    </row>
    <row r="335" spans="1:22" s="11" customFormat="1" ht="12" customHeight="1" x14ac:dyDescent="0.15">
      <c r="A335" s="62"/>
      <c r="B335" s="65"/>
      <c r="N335" s="10"/>
      <c r="O335" s="10"/>
      <c r="P335" s="10"/>
      <c r="Q335" s="10"/>
      <c r="R335" s="10"/>
      <c r="S335" s="10"/>
      <c r="T335" s="10"/>
      <c r="U335" s="10"/>
      <c r="V335" s="10"/>
    </row>
    <row r="336" spans="1:22" s="11" customFormat="1" ht="12" customHeight="1" x14ac:dyDescent="0.15">
      <c r="A336" s="62"/>
      <c r="B336" s="65"/>
      <c r="N336" s="10"/>
      <c r="O336" s="10"/>
      <c r="P336" s="10"/>
      <c r="Q336" s="10"/>
      <c r="R336" s="10"/>
      <c r="S336" s="10"/>
      <c r="T336" s="10"/>
      <c r="U336" s="10"/>
      <c r="V336" s="10"/>
    </row>
    <row r="337" spans="1:22" s="11" customFormat="1" ht="12" customHeight="1" x14ac:dyDescent="0.15">
      <c r="A337" s="62"/>
      <c r="B337" s="65"/>
      <c r="N337" s="10"/>
      <c r="O337" s="10"/>
      <c r="P337" s="10"/>
      <c r="Q337" s="10"/>
      <c r="R337" s="10"/>
      <c r="S337" s="10"/>
      <c r="T337" s="10"/>
      <c r="U337" s="10"/>
      <c r="V337" s="10"/>
    </row>
    <row r="338" spans="1:22" s="11" customFormat="1" ht="12" customHeight="1" x14ac:dyDescent="0.15">
      <c r="A338" s="62"/>
      <c r="B338" s="65"/>
      <c r="N338" s="10"/>
      <c r="O338" s="10"/>
      <c r="P338" s="10"/>
      <c r="Q338" s="10"/>
      <c r="R338" s="10"/>
      <c r="S338" s="10"/>
      <c r="T338" s="10"/>
      <c r="U338" s="10"/>
      <c r="V338" s="10"/>
    </row>
    <row r="339" spans="1:22" s="11" customFormat="1" ht="12" customHeight="1" x14ac:dyDescent="0.15">
      <c r="A339" s="62"/>
      <c r="B339" s="65"/>
      <c r="N339" s="10"/>
      <c r="O339" s="10"/>
      <c r="P339" s="10"/>
      <c r="Q339" s="10"/>
      <c r="R339" s="10"/>
      <c r="S339" s="10"/>
      <c r="T339" s="10"/>
      <c r="U339" s="10"/>
      <c r="V339" s="10"/>
    </row>
    <row r="340" spans="1:22" s="11" customFormat="1" ht="12" customHeight="1" x14ac:dyDescent="0.15">
      <c r="A340" s="62"/>
      <c r="B340" s="65"/>
      <c r="N340" s="10"/>
      <c r="O340" s="10"/>
      <c r="P340" s="10"/>
      <c r="Q340" s="10"/>
      <c r="R340" s="10"/>
      <c r="S340" s="10"/>
      <c r="T340" s="10"/>
      <c r="U340" s="10"/>
      <c r="V340" s="10"/>
    </row>
    <row r="341" spans="1:22" s="11" customFormat="1" ht="12" customHeight="1" x14ac:dyDescent="0.15">
      <c r="A341" s="62"/>
      <c r="B341" s="65"/>
      <c r="N341" s="10"/>
      <c r="O341" s="10"/>
      <c r="P341" s="10"/>
      <c r="Q341" s="10"/>
      <c r="R341" s="10"/>
      <c r="S341" s="10"/>
      <c r="T341" s="10"/>
      <c r="U341" s="10"/>
      <c r="V341" s="10"/>
    </row>
    <row r="342" spans="1:22" s="11" customFormat="1" ht="12" customHeight="1" x14ac:dyDescent="0.15">
      <c r="A342" s="62"/>
      <c r="B342" s="65"/>
      <c r="N342" s="10"/>
      <c r="O342" s="10"/>
      <c r="P342" s="10"/>
      <c r="Q342" s="10"/>
      <c r="R342" s="10"/>
      <c r="S342" s="10"/>
      <c r="T342" s="10"/>
      <c r="U342" s="10"/>
      <c r="V342" s="10"/>
    </row>
    <row r="343" spans="1:22" s="11" customFormat="1" ht="12" customHeight="1" x14ac:dyDescent="0.15">
      <c r="A343" s="62"/>
      <c r="B343" s="65"/>
      <c r="N343" s="10"/>
      <c r="O343" s="10"/>
      <c r="P343" s="10"/>
      <c r="Q343" s="10"/>
      <c r="R343" s="10"/>
      <c r="S343" s="10"/>
      <c r="T343" s="10"/>
      <c r="U343" s="10"/>
      <c r="V343" s="10"/>
    </row>
    <row r="344" spans="1:22" s="11" customFormat="1" ht="12" customHeight="1" x14ac:dyDescent="0.15">
      <c r="A344" s="62"/>
      <c r="B344" s="65"/>
      <c r="N344" s="10"/>
      <c r="O344" s="10"/>
      <c r="P344" s="10"/>
      <c r="Q344" s="10"/>
      <c r="R344" s="10"/>
      <c r="S344" s="10"/>
      <c r="T344" s="10"/>
      <c r="U344" s="10"/>
      <c r="V344" s="10"/>
    </row>
    <row r="345" spans="1:22" s="11" customFormat="1" ht="12" customHeight="1" x14ac:dyDescent="0.15">
      <c r="A345" s="62"/>
      <c r="B345" s="65"/>
      <c r="N345" s="10"/>
      <c r="O345" s="10"/>
      <c r="P345" s="10"/>
      <c r="Q345" s="10"/>
      <c r="R345" s="10"/>
      <c r="S345" s="10"/>
      <c r="T345" s="10"/>
      <c r="U345" s="10"/>
      <c r="V345" s="10"/>
    </row>
    <row r="346" spans="1:22" s="11" customFormat="1" ht="12" customHeight="1" x14ac:dyDescent="0.15">
      <c r="A346" s="62"/>
      <c r="B346" s="65"/>
      <c r="N346" s="10"/>
      <c r="O346" s="10"/>
      <c r="P346" s="10"/>
      <c r="Q346" s="10"/>
      <c r="R346" s="10"/>
      <c r="S346" s="10"/>
      <c r="T346" s="10"/>
      <c r="U346" s="10"/>
      <c r="V346" s="10"/>
    </row>
    <row r="347" spans="1:22" s="11" customFormat="1" ht="12" customHeight="1" x14ac:dyDescent="0.15">
      <c r="A347" s="62"/>
      <c r="B347" s="65"/>
      <c r="N347" s="10"/>
      <c r="O347" s="10"/>
      <c r="P347" s="10"/>
      <c r="Q347" s="10"/>
      <c r="R347" s="10"/>
      <c r="S347" s="10"/>
      <c r="T347" s="10"/>
      <c r="U347" s="10"/>
      <c r="V347" s="10"/>
    </row>
    <row r="348" spans="1:22" s="11" customFormat="1" ht="12" customHeight="1" x14ac:dyDescent="0.15">
      <c r="A348" s="62"/>
      <c r="B348" s="65"/>
      <c r="N348" s="10"/>
      <c r="O348" s="10"/>
      <c r="P348" s="10"/>
      <c r="Q348" s="10"/>
      <c r="R348" s="10"/>
      <c r="S348" s="10"/>
      <c r="T348" s="10"/>
      <c r="U348" s="10"/>
      <c r="V348" s="10"/>
    </row>
    <row r="349" spans="1:22" s="11" customFormat="1" ht="12" customHeight="1" x14ac:dyDescent="0.15">
      <c r="A349" s="62"/>
      <c r="B349" s="65"/>
      <c r="N349" s="10"/>
      <c r="O349" s="10"/>
      <c r="P349" s="10"/>
      <c r="Q349" s="10"/>
      <c r="R349" s="10"/>
      <c r="S349" s="10"/>
      <c r="T349" s="10"/>
      <c r="U349" s="10"/>
      <c r="V349" s="10"/>
    </row>
    <row r="350" spans="1:22" s="11" customFormat="1" ht="12" customHeight="1" x14ac:dyDescent="0.15">
      <c r="A350" s="62"/>
      <c r="B350" s="65"/>
      <c r="N350" s="10"/>
      <c r="O350" s="10"/>
      <c r="P350" s="10"/>
      <c r="Q350" s="10"/>
      <c r="R350" s="10"/>
      <c r="S350" s="10"/>
      <c r="T350" s="10"/>
      <c r="U350" s="10"/>
      <c r="V350" s="10"/>
    </row>
    <row r="351" spans="1:22" s="11" customFormat="1" ht="12" customHeight="1" x14ac:dyDescent="0.15">
      <c r="A351" s="62"/>
      <c r="B351" s="65"/>
      <c r="N351" s="10"/>
      <c r="O351" s="10"/>
      <c r="P351" s="10"/>
      <c r="Q351" s="10"/>
      <c r="R351" s="10"/>
      <c r="S351" s="10"/>
      <c r="T351" s="10"/>
      <c r="U351" s="10"/>
      <c r="V351" s="10"/>
    </row>
    <row r="352" spans="1:22" s="11" customFormat="1" ht="12" customHeight="1" x14ac:dyDescent="0.15">
      <c r="A352" s="62"/>
      <c r="B352" s="65"/>
      <c r="N352" s="10"/>
      <c r="O352" s="10"/>
      <c r="P352" s="10"/>
      <c r="Q352" s="10"/>
      <c r="R352" s="10"/>
      <c r="S352" s="10"/>
      <c r="T352" s="10"/>
      <c r="U352" s="10"/>
      <c r="V352" s="10"/>
    </row>
    <row r="353" spans="1:22" s="11" customFormat="1" ht="12" customHeight="1" x14ac:dyDescent="0.15">
      <c r="A353" s="62"/>
      <c r="B353" s="65"/>
      <c r="N353" s="10"/>
      <c r="O353" s="10"/>
      <c r="P353" s="10"/>
      <c r="Q353" s="10"/>
      <c r="R353" s="10"/>
      <c r="S353" s="10"/>
      <c r="T353" s="10"/>
      <c r="U353" s="10"/>
      <c r="V353" s="10"/>
    </row>
    <row r="354" spans="1:22" s="11" customFormat="1" ht="12" customHeight="1" x14ac:dyDescent="0.15">
      <c r="A354" s="62"/>
      <c r="B354" s="65"/>
      <c r="N354" s="10"/>
      <c r="O354" s="10"/>
      <c r="P354" s="10"/>
      <c r="Q354" s="10"/>
      <c r="R354" s="10"/>
      <c r="S354" s="10"/>
      <c r="T354" s="10"/>
      <c r="U354" s="10"/>
      <c r="V354" s="10"/>
    </row>
    <row r="355" spans="1:22" s="11" customFormat="1" ht="12" customHeight="1" x14ac:dyDescent="0.15">
      <c r="A355" s="62"/>
      <c r="B355" s="65"/>
      <c r="N355" s="10"/>
      <c r="O355" s="10"/>
      <c r="P355" s="10"/>
      <c r="Q355" s="10"/>
      <c r="R355" s="10"/>
      <c r="S355" s="10"/>
      <c r="T355" s="10"/>
      <c r="U355" s="10"/>
      <c r="V355" s="10"/>
    </row>
    <row r="356" spans="1:22" s="11" customFormat="1" ht="12" customHeight="1" x14ac:dyDescent="0.15">
      <c r="A356" s="62"/>
      <c r="B356" s="65"/>
      <c r="N356" s="10"/>
      <c r="O356" s="10"/>
      <c r="P356" s="10"/>
      <c r="Q356" s="10"/>
      <c r="R356" s="10"/>
      <c r="S356" s="10"/>
      <c r="T356" s="10"/>
      <c r="U356" s="10"/>
      <c r="V356" s="10"/>
    </row>
    <row r="357" spans="1:22" s="11" customFormat="1" ht="12" customHeight="1" x14ac:dyDescent="0.15">
      <c r="A357" s="62"/>
      <c r="B357" s="65"/>
      <c r="N357" s="10"/>
      <c r="O357" s="10"/>
      <c r="P357" s="10"/>
      <c r="Q357" s="10"/>
      <c r="R357" s="10"/>
      <c r="S357" s="10"/>
      <c r="T357" s="10"/>
      <c r="U357" s="10"/>
      <c r="V357" s="10"/>
    </row>
    <row r="358" spans="1:22" s="11" customFormat="1" ht="12" customHeight="1" x14ac:dyDescent="0.15">
      <c r="A358" s="62"/>
      <c r="B358" s="65"/>
      <c r="N358" s="10"/>
      <c r="O358" s="10"/>
      <c r="P358" s="10"/>
      <c r="Q358" s="10"/>
      <c r="R358" s="10"/>
      <c r="S358" s="10"/>
      <c r="T358" s="10"/>
      <c r="U358" s="10"/>
      <c r="V358" s="10"/>
    </row>
    <row r="359" spans="1:22" s="11" customFormat="1" ht="12" customHeight="1" x14ac:dyDescent="0.15">
      <c r="A359" s="62"/>
      <c r="B359" s="65"/>
      <c r="N359" s="10"/>
      <c r="O359" s="10"/>
      <c r="P359" s="10"/>
      <c r="Q359" s="10"/>
      <c r="R359" s="10"/>
      <c r="S359" s="10"/>
      <c r="T359" s="10"/>
      <c r="U359" s="10"/>
      <c r="V359" s="10"/>
    </row>
    <row r="360" spans="1:22" s="11" customFormat="1" ht="12" customHeight="1" x14ac:dyDescent="0.15">
      <c r="A360" s="62"/>
      <c r="B360" s="65"/>
      <c r="N360" s="10"/>
      <c r="O360" s="10"/>
      <c r="P360" s="10"/>
      <c r="Q360" s="10"/>
      <c r="R360" s="10"/>
      <c r="S360" s="10"/>
      <c r="T360" s="10"/>
      <c r="U360" s="10"/>
      <c r="V360" s="10"/>
    </row>
    <row r="361" spans="1:22" s="11" customFormat="1" ht="12" customHeight="1" x14ac:dyDescent="0.15">
      <c r="A361" s="62"/>
      <c r="B361" s="65"/>
      <c r="N361" s="10"/>
      <c r="O361" s="10"/>
      <c r="P361" s="10"/>
      <c r="Q361" s="10"/>
      <c r="R361" s="10"/>
      <c r="S361" s="10"/>
      <c r="T361" s="10"/>
      <c r="U361" s="10"/>
      <c r="V361" s="10"/>
    </row>
    <row r="362" spans="1:22" s="11" customFormat="1" ht="12" customHeight="1" x14ac:dyDescent="0.15">
      <c r="A362" s="62"/>
      <c r="B362" s="65"/>
      <c r="N362" s="10"/>
      <c r="O362" s="10"/>
      <c r="P362" s="10"/>
      <c r="Q362" s="10"/>
      <c r="R362" s="10"/>
      <c r="S362" s="10"/>
      <c r="T362" s="10"/>
      <c r="U362" s="10"/>
      <c r="V362" s="10"/>
    </row>
    <row r="363" spans="1:22" s="11" customFormat="1" ht="12" customHeight="1" x14ac:dyDescent="0.15">
      <c r="A363" s="62"/>
      <c r="B363" s="65"/>
      <c r="N363" s="10"/>
      <c r="O363" s="10"/>
      <c r="P363" s="10"/>
      <c r="Q363" s="10"/>
      <c r="R363" s="10"/>
      <c r="S363" s="10"/>
      <c r="T363" s="10"/>
      <c r="U363" s="10"/>
      <c r="V363" s="10"/>
    </row>
    <row r="364" spans="1:22" s="11" customFormat="1" ht="12" customHeight="1" x14ac:dyDescent="0.15">
      <c r="A364" s="62"/>
      <c r="B364" s="65"/>
      <c r="N364" s="10"/>
      <c r="O364" s="10"/>
      <c r="P364" s="10"/>
      <c r="Q364" s="10"/>
      <c r="R364" s="10"/>
      <c r="S364" s="10"/>
      <c r="T364" s="10"/>
      <c r="U364" s="10"/>
      <c r="V364" s="10"/>
    </row>
    <row r="365" spans="1:22" s="11" customFormat="1" ht="12" customHeight="1" x14ac:dyDescent="0.15">
      <c r="A365" s="62"/>
      <c r="B365" s="65"/>
      <c r="N365" s="10"/>
      <c r="O365" s="10"/>
      <c r="P365" s="10"/>
      <c r="Q365" s="10"/>
      <c r="R365" s="10"/>
      <c r="S365" s="10"/>
      <c r="T365" s="10"/>
      <c r="U365" s="10"/>
      <c r="V365" s="10"/>
    </row>
    <row r="366" spans="1:22" s="11" customFormat="1" ht="12" customHeight="1" x14ac:dyDescent="0.15">
      <c r="A366" s="62"/>
      <c r="B366" s="65"/>
      <c r="N366" s="10"/>
      <c r="O366" s="10"/>
      <c r="P366" s="10"/>
      <c r="Q366" s="10"/>
      <c r="R366" s="10"/>
      <c r="S366" s="10"/>
      <c r="T366" s="10"/>
      <c r="U366" s="10"/>
      <c r="V366" s="10"/>
    </row>
    <row r="367" spans="1:22" s="11" customFormat="1" ht="12" customHeight="1" x14ac:dyDescent="0.15">
      <c r="A367" s="62"/>
      <c r="B367" s="65"/>
      <c r="N367" s="10"/>
      <c r="O367" s="10"/>
      <c r="P367" s="10"/>
      <c r="Q367" s="10"/>
      <c r="R367" s="10"/>
      <c r="S367" s="10"/>
      <c r="T367" s="10"/>
      <c r="U367" s="10"/>
      <c r="V367" s="10"/>
    </row>
    <row r="368" spans="1:22" s="11" customFormat="1" ht="12" customHeight="1" x14ac:dyDescent="0.15">
      <c r="A368" s="62"/>
      <c r="B368" s="65"/>
      <c r="N368" s="10"/>
      <c r="O368" s="10"/>
      <c r="P368" s="10"/>
      <c r="Q368" s="10"/>
      <c r="R368" s="10"/>
      <c r="S368" s="10"/>
      <c r="T368" s="10"/>
      <c r="U368" s="10"/>
      <c r="V368" s="10"/>
    </row>
    <row r="369" spans="1:22" s="11" customFormat="1" ht="12" customHeight="1" x14ac:dyDescent="0.15">
      <c r="A369" s="62"/>
      <c r="B369" s="65"/>
      <c r="N369" s="10"/>
      <c r="O369" s="10"/>
      <c r="P369" s="10"/>
      <c r="Q369" s="10"/>
      <c r="R369" s="10"/>
      <c r="S369" s="10"/>
      <c r="T369" s="10"/>
      <c r="U369" s="10"/>
      <c r="V369" s="10"/>
    </row>
    <row r="370" spans="1:22" s="11" customFormat="1" ht="12" customHeight="1" x14ac:dyDescent="0.15">
      <c r="A370" s="62"/>
      <c r="B370" s="65"/>
      <c r="N370" s="10"/>
      <c r="O370" s="10"/>
      <c r="P370" s="10"/>
      <c r="Q370" s="10"/>
      <c r="R370" s="10"/>
      <c r="S370" s="10"/>
      <c r="T370" s="10"/>
      <c r="U370" s="10"/>
      <c r="V370" s="10"/>
    </row>
    <row r="371" spans="1:22" s="11" customFormat="1" ht="12" customHeight="1" x14ac:dyDescent="0.15">
      <c r="A371" s="62"/>
      <c r="B371" s="65"/>
      <c r="N371" s="10"/>
      <c r="O371" s="10"/>
      <c r="P371" s="10"/>
      <c r="Q371" s="10"/>
      <c r="R371" s="10"/>
      <c r="S371" s="10"/>
      <c r="T371" s="10"/>
      <c r="U371" s="10"/>
      <c r="V371" s="10"/>
    </row>
    <row r="372" spans="1:22" s="11" customFormat="1" ht="12" customHeight="1" x14ac:dyDescent="0.15">
      <c r="A372" s="62"/>
      <c r="B372" s="65"/>
      <c r="N372" s="10"/>
      <c r="O372" s="10"/>
      <c r="P372" s="10"/>
      <c r="Q372" s="10"/>
      <c r="R372" s="10"/>
      <c r="S372" s="10"/>
      <c r="T372" s="10"/>
      <c r="U372" s="10"/>
      <c r="V372" s="10"/>
    </row>
    <row r="373" spans="1:22" s="11" customFormat="1" ht="12" customHeight="1" x14ac:dyDescent="0.15">
      <c r="A373" s="62"/>
      <c r="B373" s="65"/>
      <c r="N373" s="10"/>
      <c r="O373" s="10"/>
      <c r="P373" s="10"/>
      <c r="Q373" s="10"/>
      <c r="R373" s="10"/>
      <c r="S373" s="10"/>
      <c r="T373" s="10"/>
      <c r="U373" s="10"/>
      <c r="V373" s="10"/>
    </row>
    <row r="374" spans="1:22" s="11" customFormat="1" ht="12" customHeight="1" x14ac:dyDescent="0.15">
      <c r="A374" s="62"/>
      <c r="B374" s="65"/>
      <c r="N374" s="10"/>
      <c r="O374" s="10"/>
      <c r="P374" s="10"/>
      <c r="Q374" s="10"/>
      <c r="R374" s="10"/>
      <c r="S374" s="10"/>
      <c r="T374" s="10"/>
      <c r="U374" s="10"/>
      <c r="V374" s="10"/>
    </row>
    <row r="375" spans="1:22" s="11" customFormat="1" ht="12" customHeight="1" x14ac:dyDescent="0.15">
      <c r="A375" s="62"/>
      <c r="B375" s="65"/>
      <c r="N375" s="10"/>
      <c r="O375" s="10"/>
      <c r="P375" s="10"/>
      <c r="Q375" s="10"/>
      <c r="R375" s="10"/>
      <c r="S375" s="10"/>
      <c r="T375" s="10"/>
      <c r="U375" s="10"/>
      <c r="V375" s="10"/>
    </row>
    <row r="376" spans="1:22" s="11" customFormat="1" ht="12" customHeight="1" x14ac:dyDescent="0.15">
      <c r="A376" s="62"/>
      <c r="B376" s="65"/>
      <c r="N376" s="10"/>
      <c r="O376" s="10"/>
      <c r="P376" s="10"/>
      <c r="Q376" s="10"/>
      <c r="R376" s="10"/>
      <c r="S376" s="10"/>
      <c r="T376" s="10"/>
      <c r="U376" s="10"/>
      <c r="V376" s="10"/>
    </row>
    <row r="377" spans="1:22" s="11" customFormat="1" ht="12" customHeight="1" x14ac:dyDescent="0.15">
      <c r="A377" s="62"/>
      <c r="B377" s="65"/>
      <c r="N377" s="10"/>
      <c r="O377" s="10"/>
      <c r="P377" s="10"/>
      <c r="Q377" s="10"/>
      <c r="R377" s="10"/>
      <c r="S377" s="10"/>
      <c r="T377" s="10"/>
      <c r="U377" s="10"/>
      <c r="V377" s="10"/>
    </row>
    <row r="378" spans="1:22" s="11" customFormat="1" ht="12" customHeight="1" x14ac:dyDescent="0.15">
      <c r="A378" s="62"/>
      <c r="B378" s="65"/>
      <c r="N378" s="10"/>
      <c r="O378" s="10"/>
      <c r="P378" s="10"/>
      <c r="Q378" s="10"/>
      <c r="R378" s="10"/>
      <c r="S378" s="10"/>
      <c r="T378" s="10"/>
      <c r="U378" s="10"/>
      <c r="V378" s="10"/>
    </row>
    <row r="379" spans="1:22" s="11" customFormat="1" ht="12" customHeight="1" x14ac:dyDescent="0.15">
      <c r="A379" s="62"/>
      <c r="B379" s="65"/>
      <c r="N379" s="10"/>
      <c r="O379" s="10"/>
      <c r="P379" s="10"/>
      <c r="Q379" s="10"/>
      <c r="R379" s="10"/>
      <c r="S379" s="10"/>
      <c r="T379" s="10"/>
      <c r="U379" s="10"/>
      <c r="V379" s="10"/>
    </row>
    <row r="380" spans="1:22" s="11" customFormat="1" ht="12" customHeight="1" x14ac:dyDescent="0.15">
      <c r="A380" s="62"/>
      <c r="B380" s="65"/>
      <c r="N380" s="10"/>
      <c r="O380" s="10"/>
      <c r="P380" s="10"/>
      <c r="Q380" s="10"/>
      <c r="R380" s="10"/>
      <c r="S380" s="10"/>
      <c r="T380" s="10"/>
      <c r="U380" s="10"/>
      <c r="V380" s="10"/>
    </row>
    <row r="381" spans="1:22" s="11" customFormat="1" ht="12" customHeight="1" x14ac:dyDescent="0.15">
      <c r="A381" s="62"/>
      <c r="B381" s="65"/>
      <c r="N381" s="10"/>
      <c r="O381" s="10"/>
      <c r="P381" s="10"/>
      <c r="Q381" s="10"/>
      <c r="R381" s="10"/>
      <c r="S381" s="10"/>
      <c r="T381" s="10"/>
      <c r="U381" s="10"/>
      <c r="V381" s="10"/>
    </row>
    <row r="382" spans="1:22" s="11" customFormat="1" ht="12" customHeight="1" x14ac:dyDescent="0.15">
      <c r="A382" s="62"/>
      <c r="B382" s="65"/>
      <c r="N382" s="10"/>
      <c r="O382" s="10"/>
      <c r="P382" s="10"/>
      <c r="Q382" s="10"/>
      <c r="R382" s="10"/>
      <c r="S382" s="10"/>
      <c r="T382" s="10"/>
      <c r="U382" s="10"/>
      <c r="V382" s="10"/>
    </row>
    <row r="383" spans="1:22" s="11" customFormat="1" ht="12" customHeight="1" x14ac:dyDescent="0.15">
      <c r="A383" s="62"/>
      <c r="B383" s="65"/>
      <c r="N383" s="10"/>
      <c r="O383" s="10"/>
      <c r="P383" s="10"/>
      <c r="Q383" s="10"/>
      <c r="R383" s="10"/>
      <c r="S383" s="10"/>
      <c r="T383" s="10"/>
      <c r="U383" s="10"/>
      <c r="V383" s="10"/>
    </row>
    <row r="384" spans="1:22" s="11" customFormat="1" ht="12" customHeight="1" x14ac:dyDescent="0.15">
      <c r="A384" s="62"/>
      <c r="B384" s="65"/>
      <c r="N384" s="10"/>
      <c r="O384" s="10"/>
      <c r="P384" s="10"/>
      <c r="Q384" s="10"/>
      <c r="R384" s="10"/>
      <c r="S384" s="10"/>
      <c r="T384" s="10"/>
      <c r="U384" s="10"/>
      <c r="V384" s="10"/>
    </row>
    <row r="385" spans="1:22" s="11" customFormat="1" ht="12" customHeight="1" x14ac:dyDescent="0.15">
      <c r="A385" s="62"/>
      <c r="B385" s="65"/>
      <c r="N385" s="10"/>
      <c r="O385" s="10"/>
      <c r="P385" s="10"/>
      <c r="Q385" s="10"/>
      <c r="R385" s="10"/>
      <c r="S385" s="10"/>
      <c r="T385" s="10"/>
      <c r="U385" s="10"/>
      <c r="V385" s="10"/>
    </row>
    <row r="386" spans="1:22" s="11" customFormat="1" ht="12" customHeight="1" x14ac:dyDescent="0.15">
      <c r="A386" s="62"/>
      <c r="B386" s="65"/>
      <c r="N386" s="10"/>
      <c r="O386" s="10"/>
      <c r="P386" s="10"/>
      <c r="Q386" s="10"/>
      <c r="R386" s="10"/>
      <c r="S386" s="10"/>
      <c r="T386" s="10"/>
      <c r="U386" s="10"/>
      <c r="V386" s="10"/>
    </row>
    <row r="387" spans="1:22" s="11" customFormat="1" ht="12" customHeight="1" x14ac:dyDescent="0.15">
      <c r="A387" s="62"/>
      <c r="B387" s="65"/>
      <c r="N387" s="10"/>
      <c r="O387" s="10"/>
      <c r="P387" s="10"/>
      <c r="Q387" s="10"/>
      <c r="R387" s="10"/>
      <c r="S387" s="10"/>
      <c r="T387" s="10"/>
      <c r="U387" s="10"/>
      <c r="V387" s="10"/>
    </row>
    <row r="388" spans="1:22" s="11" customFormat="1" ht="12" customHeight="1" x14ac:dyDescent="0.15">
      <c r="A388" s="62"/>
      <c r="B388" s="65"/>
      <c r="N388" s="10"/>
      <c r="O388" s="10"/>
      <c r="P388" s="10"/>
      <c r="Q388" s="10"/>
      <c r="R388" s="10"/>
      <c r="S388" s="10"/>
      <c r="T388" s="10"/>
      <c r="U388" s="10"/>
      <c r="V388" s="10"/>
    </row>
    <row r="389" spans="1:22" s="11" customFormat="1" ht="12" customHeight="1" x14ac:dyDescent="0.15">
      <c r="A389" s="62"/>
      <c r="B389" s="65"/>
      <c r="N389" s="10"/>
      <c r="O389" s="10"/>
      <c r="P389" s="10"/>
      <c r="Q389" s="10"/>
      <c r="R389" s="10"/>
      <c r="S389" s="10"/>
      <c r="T389" s="10"/>
      <c r="U389" s="10"/>
      <c r="V389" s="10"/>
    </row>
    <row r="390" spans="1:22" s="11" customFormat="1" ht="12" customHeight="1" x14ac:dyDescent="0.15">
      <c r="A390" s="62"/>
      <c r="B390" s="65"/>
      <c r="N390" s="10"/>
      <c r="O390" s="10"/>
      <c r="P390" s="10"/>
      <c r="Q390" s="10"/>
      <c r="R390" s="10"/>
      <c r="S390" s="10"/>
      <c r="T390" s="10"/>
      <c r="U390" s="10"/>
      <c r="V390" s="10"/>
    </row>
    <row r="391" spans="1:22" s="11" customFormat="1" ht="12" customHeight="1" x14ac:dyDescent="0.15">
      <c r="A391" s="62"/>
      <c r="B391" s="65"/>
      <c r="N391" s="10"/>
      <c r="O391" s="10"/>
      <c r="P391" s="10"/>
      <c r="Q391" s="10"/>
      <c r="R391" s="10"/>
      <c r="S391" s="10"/>
      <c r="T391" s="10"/>
      <c r="U391" s="10"/>
      <c r="V391" s="10"/>
    </row>
    <row r="392" spans="1:22" s="11" customFormat="1" ht="12" customHeight="1" x14ac:dyDescent="0.15">
      <c r="A392" s="62"/>
      <c r="B392" s="65"/>
      <c r="N392" s="10"/>
      <c r="O392" s="10"/>
      <c r="P392" s="10"/>
      <c r="Q392" s="10"/>
      <c r="R392" s="10"/>
      <c r="S392" s="10"/>
      <c r="T392" s="10"/>
      <c r="U392" s="10"/>
      <c r="V392" s="10"/>
    </row>
    <row r="393" spans="1:22" s="11" customFormat="1" ht="12" customHeight="1" x14ac:dyDescent="0.15">
      <c r="A393" s="62"/>
      <c r="B393" s="65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:22" s="11" customFormat="1" ht="12" customHeight="1" x14ac:dyDescent="0.15">
      <c r="A394" s="62"/>
      <c r="B394" s="65"/>
      <c r="N394" s="10"/>
      <c r="O394" s="10"/>
      <c r="P394" s="10"/>
      <c r="Q394" s="10"/>
      <c r="R394" s="10"/>
      <c r="S394" s="10"/>
      <c r="T394" s="10"/>
      <c r="U394" s="10"/>
      <c r="V394" s="10"/>
    </row>
    <row r="395" spans="1:22" s="11" customFormat="1" ht="12" customHeight="1" x14ac:dyDescent="0.15">
      <c r="A395" s="62"/>
      <c r="B395" s="65"/>
      <c r="N395" s="10"/>
      <c r="O395" s="10"/>
      <c r="P395" s="10"/>
      <c r="Q395" s="10"/>
      <c r="R395" s="10"/>
      <c r="S395" s="10"/>
      <c r="T395" s="10"/>
      <c r="U395" s="10"/>
      <c r="V395" s="10"/>
    </row>
    <row r="396" spans="1:22" s="11" customFormat="1" ht="12" customHeight="1" x14ac:dyDescent="0.15">
      <c r="A396" s="62"/>
      <c r="B396" s="65"/>
      <c r="N396" s="10"/>
      <c r="O396" s="10"/>
      <c r="P396" s="10"/>
      <c r="Q396" s="10"/>
      <c r="R396" s="10"/>
      <c r="S396" s="10"/>
      <c r="T396" s="10"/>
      <c r="U396" s="10"/>
      <c r="V396" s="10"/>
    </row>
    <row r="397" spans="1:22" s="11" customFormat="1" ht="12" customHeight="1" x14ac:dyDescent="0.15">
      <c r="A397" s="62"/>
      <c r="B397" s="65"/>
      <c r="N397" s="10"/>
      <c r="O397" s="10"/>
      <c r="P397" s="10"/>
      <c r="Q397" s="10"/>
      <c r="R397" s="10"/>
      <c r="S397" s="10"/>
      <c r="T397" s="10"/>
      <c r="U397" s="10"/>
      <c r="V397" s="10"/>
    </row>
    <row r="398" spans="1:22" s="11" customFormat="1" ht="12" customHeight="1" x14ac:dyDescent="0.15">
      <c r="A398" s="62"/>
      <c r="B398" s="65"/>
      <c r="N398" s="10"/>
      <c r="O398" s="10"/>
      <c r="P398" s="10"/>
      <c r="Q398" s="10"/>
      <c r="R398" s="10"/>
      <c r="S398" s="10"/>
      <c r="T398" s="10"/>
      <c r="U398" s="10"/>
      <c r="V398" s="10"/>
    </row>
    <row r="399" spans="1:22" s="11" customFormat="1" ht="12" customHeight="1" x14ac:dyDescent="0.15">
      <c r="A399" s="62"/>
      <c r="B399" s="65"/>
      <c r="N399" s="10"/>
      <c r="O399" s="10"/>
      <c r="P399" s="10"/>
      <c r="Q399" s="10"/>
      <c r="R399" s="10"/>
      <c r="S399" s="10"/>
      <c r="T399" s="10"/>
      <c r="U399" s="10"/>
      <c r="V399" s="10"/>
    </row>
    <row r="400" spans="1:22" s="11" customFormat="1" ht="12" customHeight="1" x14ac:dyDescent="0.15">
      <c r="A400" s="62"/>
      <c r="B400" s="65"/>
      <c r="N400" s="10"/>
      <c r="O400" s="10"/>
      <c r="P400" s="10"/>
      <c r="Q400" s="10"/>
      <c r="R400" s="10"/>
      <c r="S400" s="10"/>
      <c r="T400" s="10"/>
      <c r="U400" s="10"/>
      <c r="V400" s="10"/>
    </row>
    <row r="401" spans="1:22" s="11" customFormat="1" ht="12" customHeight="1" x14ac:dyDescent="0.15">
      <c r="A401" s="62"/>
      <c r="B401" s="65"/>
      <c r="N401" s="10"/>
      <c r="O401" s="10"/>
      <c r="P401" s="10"/>
      <c r="Q401" s="10"/>
      <c r="R401" s="10"/>
      <c r="S401" s="10"/>
      <c r="T401" s="10"/>
      <c r="U401" s="10"/>
      <c r="V401" s="10"/>
    </row>
    <row r="402" spans="1:22" s="11" customFormat="1" ht="12" customHeight="1" x14ac:dyDescent="0.15">
      <c r="A402" s="62"/>
      <c r="B402" s="65"/>
      <c r="N402" s="10"/>
      <c r="O402" s="10"/>
      <c r="P402" s="10"/>
      <c r="Q402" s="10"/>
      <c r="R402" s="10"/>
      <c r="S402" s="10"/>
      <c r="T402" s="10"/>
      <c r="U402" s="10"/>
      <c r="V402" s="10"/>
    </row>
    <row r="403" spans="1:22" s="11" customFormat="1" ht="12" customHeight="1" x14ac:dyDescent="0.15">
      <c r="A403" s="62"/>
      <c r="B403" s="65"/>
      <c r="N403" s="10"/>
      <c r="O403" s="10"/>
      <c r="P403" s="10"/>
      <c r="Q403" s="10"/>
      <c r="R403" s="10"/>
      <c r="S403" s="10"/>
      <c r="T403" s="10"/>
      <c r="U403" s="10"/>
      <c r="V403" s="10"/>
    </row>
    <row r="404" spans="1:22" s="11" customFormat="1" ht="12" customHeight="1" x14ac:dyDescent="0.15">
      <c r="A404" s="62"/>
      <c r="B404" s="65"/>
      <c r="N404" s="10"/>
      <c r="O404" s="10"/>
      <c r="P404" s="10"/>
      <c r="Q404" s="10"/>
      <c r="R404" s="10"/>
      <c r="S404" s="10"/>
      <c r="T404" s="10"/>
      <c r="U404" s="10"/>
      <c r="V404" s="10"/>
    </row>
    <row r="405" spans="1:22" s="11" customFormat="1" ht="12" customHeight="1" x14ac:dyDescent="0.15">
      <c r="A405" s="62"/>
      <c r="B405" s="65"/>
      <c r="N405" s="10"/>
      <c r="O405" s="10"/>
      <c r="P405" s="10"/>
      <c r="Q405" s="10"/>
      <c r="R405" s="10"/>
      <c r="S405" s="10"/>
      <c r="T405" s="10"/>
      <c r="U405" s="10"/>
      <c r="V405" s="10"/>
    </row>
    <row r="406" spans="1:22" s="11" customFormat="1" ht="12" customHeight="1" x14ac:dyDescent="0.15">
      <c r="A406" s="62"/>
      <c r="B406" s="65"/>
      <c r="N406" s="10"/>
      <c r="O406" s="10"/>
      <c r="P406" s="10"/>
      <c r="Q406" s="10"/>
      <c r="R406" s="10"/>
      <c r="S406" s="10"/>
      <c r="T406" s="10"/>
      <c r="U406" s="10"/>
      <c r="V406" s="10"/>
    </row>
    <row r="407" spans="1:22" s="11" customFormat="1" ht="12" customHeight="1" x14ac:dyDescent="0.15">
      <c r="A407" s="62"/>
      <c r="B407" s="65"/>
      <c r="N407" s="10"/>
      <c r="O407" s="10"/>
      <c r="P407" s="10"/>
      <c r="Q407" s="10"/>
      <c r="R407" s="10"/>
      <c r="S407" s="10"/>
      <c r="T407" s="10"/>
      <c r="U407" s="10"/>
      <c r="V407" s="10"/>
    </row>
    <row r="408" spans="1:22" s="11" customFormat="1" ht="12" customHeight="1" x14ac:dyDescent="0.15">
      <c r="A408" s="62"/>
      <c r="B408" s="65"/>
      <c r="N408" s="10"/>
      <c r="O408" s="10"/>
      <c r="P408" s="10"/>
      <c r="Q408" s="10"/>
      <c r="R408" s="10"/>
      <c r="S408" s="10"/>
      <c r="T408" s="10"/>
      <c r="U408" s="10"/>
      <c r="V408" s="10"/>
    </row>
    <row r="409" spans="1:22" s="11" customFormat="1" ht="12" customHeight="1" x14ac:dyDescent="0.15">
      <c r="A409" s="62"/>
      <c r="B409" s="65"/>
      <c r="N409" s="10"/>
      <c r="O409" s="10"/>
      <c r="P409" s="10"/>
      <c r="Q409" s="10"/>
      <c r="R409" s="10"/>
      <c r="S409" s="10"/>
      <c r="T409" s="10"/>
      <c r="U409" s="10"/>
      <c r="V409" s="10"/>
    </row>
    <row r="410" spans="1:22" s="11" customFormat="1" ht="12" customHeight="1" x14ac:dyDescent="0.15">
      <c r="A410" s="62"/>
      <c r="B410" s="65"/>
      <c r="N410" s="10"/>
      <c r="O410" s="10"/>
      <c r="P410" s="10"/>
      <c r="Q410" s="10"/>
      <c r="R410" s="10"/>
      <c r="S410" s="10"/>
      <c r="T410" s="10"/>
      <c r="U410" s="10"/>
      <c r="V410" s="10"/>
    </row>
    <row r="411" spans="1:22" s="11" customFormat="1" ht="12" customHeight="1" x14ac:dyDescent="0.15">
      <c r="A411" s="62"/>
      <c r="B411" s="65"/>
      <c r="N411" s="10"/>
      <c r="O411" s="10"/>
      <c r="P411" s="10"/>
      <c r="Q411" s="10"/>
      <c r="R411" s="10"/>
      <c r="S411" s="10"/>
      <c r="T411" s="10"/>
      <c r="U411" s="10"/>
      <c r="V411" s="10"/>
    </row>
    <row r="412" spans="1:22" s="11" customFormat="1" ht="12" customHeight="1" x14ac:dyDescent="0.15">
      <c r="A412" s="62"/>
      <c r="B412" s="65"/>
      <c r="N412" s="10"/>
      <c r="O412" s="10"/>
      <c r="P412" s="10"/>
      <c r="Q412" s="10"/>
      <c r="R412" s="10"/>
      <c r="S412" s="10"/>
      <c r="T412" s="10"/>
      <c r="U412" s="10"/>
      <c r="V412" s="10"/>
    </row>
    <row r="413" spans="1:22" s="11" customFormat="1" ht="12" customHeight="1" x14ac:dyDescent="0.15">
      <c r="A413" s="62"/>
      <c r="B413" s="65"/>
      <c r="N413" s="10"/>
      <c r="O413" s="10"/>
      <c r="P413" s="10"/>
      <c r="Q413" s="10"/>
      <c r="R413" s="10"/>
      <c r="S413" s="10"/>
      <c r="T413" s="10"/>
      <c r="U413" s="10"/>
      <c r="V413" s="10"/>
    </row>
    <row r="414" spans="1:22" s="11" customFormat="1" ht="12" customHeight="1" x14ac:dyDescent="0.15">
      <c r="A414" s="62"/>
      <c r="B414" s="65"/>
      <c r="N414" s="10"/>
      <c r="O414" s="10"/>
      <c r="P414" s="10"/>
      <c r="Q414" s="10"/>
      <c r="R414" s="10"/>
      <c r="S414" s="10"/>
      <c r="T414" s="10"/>
      <c r="U414" s="10"/>
      <c r="V414" s="10"/>
    </row>
    <row r="415" spans="1:22" s="11" customFormat="1" ht="12" customHeight="1" x14ac:dyDescent="0.15">
      <c r="A415" s="62"/>
      <c r="B415" s="65"/>
      <c r="N415" s="10"/>
      <c r="O415" s="10"/>
      <c r="P415" s="10"/>
      <c r="Q415" s="10"/>
      <c r="R415" s="10"/>
      <c r="S415" s="10"/>
      <c r="T415" s="10"/>
      <c r="U415" s="10"/>
      <c r="V415" s="10"/>
    </row>
    <row r="416" spans="1:22" s="11" customFormat="1" ht="12" customHeight="1" x14ac:dyDescent="0.15">
      <c r="A416" s="62"/>
      <c r="B416" s="65"/>
      <c r="N416" s="10"/>
      <c r="O416" s="10"/>
      <c r="P416" s="10"/>
      <c r="Q416" s="10"/>
      <c r="R416" s="10"/>
      <c r="S416" s="10"/>
      <c r="T416" s="10"/>
      <c r="U416" s="10"/>
      <c r="V416" s="10"/>
    </row>
    <row r="417" spans="1:22" s="11" customFormat="1" ht="12" customHeight="1" x14ac:dyDescent="0.15">
      <c r="A417" s="62"/>
      <c r="B417" s="65"/>
      <c r="N417" s="10"/>
      <c r="O417" s="10"/>
      <c r="P417" s="10"/>
      <c r="Q417" s="10"/>
      <c r="R417" s="10"/>
      <c r="S417" s="10"/>
      <c r="T417" s="10"/>
      <c r="U417" s="10"/>
      <c r="V417" s="10"/>
    </row>
    <row r="418" spans="1:22" s="11" customFormat="1" ht="12" customHeight="1" x14ac:dyDescent="0.15">
      <c r="A418" s="62"/>
      <c r="B418" s="65"/>
      <c r="N418" s="10"/>
      <c r="O418" s="10"/>
      <c r="P418" s="10"/>
      <c r="Q418" s="10"/>
      <c r="R418" s="10"/>
      <c r="S418" s="10"/>
      <c r="T418" s="10"/>
      <c r="U418" s="10"/>
      <c r="V418" s="10"/>
    </row>
    <row r="419" spans="1:22" s="11" customFormat="1" ht="12" customHeight="1" x14ac:dyDescent="0.15">
      <c r="A419" s="62"/>
      <c r="B419" s="65"/>
      <c r="N419" s="10"/>
      <c r="O419" s="10"/>
      <c r="P419" s="10"/>
      <c r="Q419" s="10"/>
      <c r="R419" s="10"/>
      <c r="S419" s="10"/>
      <c r="T419" s="10"/>
      <c r="U419" s="10"/>
      <c r="V419" s="10"/>
    </row>
    <row r="420" spans="1:22" s="11" customFormat="1" ht="12" customHeight="1" x14ac:dyDescent="0.15">
      <c r="A420" s="62"/>
      <c r="B420" s="65"/>
      <c r="N420" s="10"/>
      <c r="O420" s="10"/>
      <c r="P420" s="10"/>
      <c r="Q420" s="10"/>
      <c r="R420" s="10"/>
      <c r="S420" s="10"/>
      <c r="T420" s="10"/>
      <c r="U420" s="10"/>
      <c r="V420" s="10"/>
    </row>
    <row r="421" spans="1:22" s="11" customFormat="1" ht="12" customHeight="1" x14ac:dyDescent="0.15">
      <c r="A421" s="62"/>
      <c r="B421" s="65"/>
      <c r="N421" s="10"/>
      <c r="O421" s="10"/>
      <c r="P421" s="10"/>
      <c r="Q421" s="10"/>
      <c r="R421" s="10"/>
      <c r="S421" s="10"/>
      <c r="T421" s="10"/>
      <c r="U421" s="10"/>
      <c r="V421" s="10"/>
    </row>
    <row r="422" spans="1:22" s="11" customFormat="1" ht="12" customHeight="1" x14ac:dyDescent="0.15">
      <c r="A422" s="62"/>
      <c r="B422" s="65"/>
      <c r="N422" s="10"/>
      <c r="O422" s="10"/>
      <c r="P422" s="10"/>
      <c r="Q422" s="10"/>
      <c r="R422" s="10"/>
      <c r="S422" s="10"/>
      <c r="T422" s="10"/>
      <c r="U422" s="10"/>
      <c r="V422" s="10"/>
    </row>
    <row r="423" spans="1:22" s="11" customFormat="1" ht="12" customHeight="1" x14ac:dyDescent="0.15">
      <c r="A423" s="62"/>
      <c r="B423" s="65"/>
      <c r="N423" s="10"/>
      <c r="O423" s="10"/>
      <c r="P423" s="10"/>
      <c r="Q423" s="10"/>
      <c r="R423" s="10"/>
      <c r="S423" s="10"/>
      <c r="T423" s="10"/>
      <c r="U423" s="10"/>
      <c r="V423" s="10"/>
    </row>
    <row r="424" spans="1:22" s="11" customFormat="1" ht="12" customHeight="1" x14ac:dyDescent="0.15">
      <c r="A424" s="62"/>
      <c r="B424" s="65"/>
      <c r="N424" s="10"/>
      <c r="O424" s="10"/>
      <c r="P424" s="10"/>
      <c r="Q424" s="10"/>
      <c r="R424" s="10"/>
      <c r="S424" s="10"/>
      <c r="T424" s="10"/>
      <c r="U424" s="10"/>
      <c r="V424" s="10"/>
    </row>
    <row r="425" spans="1:22" s="11" customFormat="1" ht="12" customHeight="1" x14ac:dyDescent="0.15">
      <c r="A425" s="62"/>
      <c r="B425" s="65"/>
      <c r="N425" s="10"/>
      <c r="O425" s="10"/>
      <c r="P425" s="10"/>
      <c r="Q425" s="10"/>
      <c r="R425" s="10"/>
      <c r="S425" s="10"/>
      <c r="T425" s="10"/>
      <c r="U425" s="10"/>
      <c r="V425" s="10"/>
    </row>
    <row r="426" spans="1:22" s="11" customFormat="1" ht="12" customHeight="1" x14ac:dyDescent="0.15">
      <c r="A426" s="62"/>
      <c r="B426" s="65"/>
      <c r="N426" s="10"/>
      <c r="O426" s="10"/>
      <c r="P426" s="10"/>
      <c r="Q426" s="10"/>
      <c r="R426" s="10"/>
      <c r="S426" s="10"/>
      <c r="T426" s="10"/>
      <c r="U426" s="10"/>
      <c r="V426" s="10"/>
    </row>
    <row r="427" spans="1:22" s="11" customFormat="1" ht="12" customHeight="1" x14ac:dyDescent="0.15">
      <c r="A427" s="62"/>
      <c r="B427" s="65"/>
      <c r="N427" s="10"/>
      <c r="O427" s="10"/>
      <c r="P427" s="10"/>
      <c r="Q427" s="10"/>
      <c r="R427" s="10"/>
      <c r="S427" s="10"/>
      <c r="T427" s="10"/>
      <c r="U427" s="10"/>
      <c r="V427" s="10"/>
    </row>
    <row r="428" spans="1:22" s="11" customFormat="1" ht="12" customHeight="1" x14ac:dyDescent="0.15">
      <c r="A428" s="62"/>
      <c r="B428" s="65"/>
      <c r="N428" s="10"/>
      <c r="O428" s="10"/>
      <c r="P428" s="10"/>
      <c r="Q428" s="10"/>
      <c r="R428" s="10"/>
      <c r="S428" s="10"/>
      <c r="T428" s="10"/>
      <c r="U428" s="10"/>
      <c r="V428" s="10"/>
    </row>
    <row r="429" spans="1:22" s="11" customFormat="1" ht="12" customHeight="1" x14ac:dyDescent="0.15">
      <c r="A429" s="62"/>
      <c r="B429" s="65"/>
      <c r="N429" s="10"/>
      <c r="O429" s="10"/>
      <c r="P429" s="10"/>
      <c r="Q429" s="10"/>
      <c r="R429" s="10"/>
      <c r="S429" s="10"/>
      <c r="T429" s="10"/>
      <c r="U429" s="10"/>
      <c r="V429" s="10"/>
    </row>
    <row r="430" spans="1:22" s="11" customFormat="1" ht="12" customHeight="1" x14ac:dyDescent="0.15">
      <c r="A430" s="62"/>
      <c r="B430" s="65"/>
      <c r="N430" s="10"/>
      <c r="O430" s="10"/>
      <c r="P430" s="10"/>
      <c r="Q430" s="10"/>
      <c r="R430" s="10"/>
      <c r="S430" s="10"/>
      <c r="T430" s="10"/>
      <c r="U430" s="10"/>
      <c r="V430" s="10"/>
    </row>
    <row r="431" spans="1:22" s="11" customFormat="1" ht="12" customHeight="1" x14ac:dyDescent="0.15">
      <c r="A431" s="62"/>
      <c r="B431" s="65"/>
      <c r="N431" s="10"/>
      <c r="O431" s="10"/>
      <c r="P431" s="10"/>
      <c r="Q431" s="10"/>
      <c r="R431" s="10"/>
      <c r="S431" s="10"/>
      <c r="T431" s="10"/>
      <c r="U431" s="10"/>
      <c r="V431" s="10"/>
    </row>
    <row r="432" spans="1:22" s="11" customFormat="1" ht="12" customHeight="1" x14ac:dyDescent="0.15">
      <c r="A432" s="62"/>
      <c r="B432" s="65"/>
      <c r="N432" s="10"/>
      <c r="O432" s="10"/>
      <c r="P432" s="10"/>
      <c r="Q432" s="10"/>
      <c r="R432" s="10"/>
      <c r="S432" s="10"/>
      <c r="T432" s="10"/>
      <c r="U432" s="10"/>
      <c r="V432" s="10"/>
    </row>
    <row r="433" spans="1:22" s="11" customFormat="1" ht="12" customHeight="1" x14ac:dyDescent="0.15">
      <c r="A433" s="62"/>
      <c r="B433" s="65"/>
      <c r="N433" s="10"/>
      <c r="O433" s="10"/>
      <c r="P433" s="10"/>
      <c r="Q433" s="10"/>
      <c r="R433" s="10"/>
      <c r="S433" s="10"/>
      <c r="T433" s="10"/>
      <c r="U433" s="10"/>
      <c r="V433" s="10"/>
    </row>
    <row r="434" spans="1:22" s="11" customFormat="1" ht="12" customHeight="1" x14ac:dyDescent="0.15">
      <c r="A434" s="62"/>
      <c r="B434" s="65"/>
      <c r="N434" s="10"/>
      <c r="O434" s="10"/>
      <c r="P434" s="10"/>
      <c r="Q434" s="10"/>
      <c r="R434" s="10"/>
      <c r="S434" s="10"/>
      <c r="T434" s="10"/>
      <c r="U434" s="10"/>
      <c r="V434" s="10"/>
    </row>
    <row r="435" spans="1:22" s="11" customFormat="1" ht="12" customHeight="1" x14ac:dyDescent="0.15">
      <c r="A435" s="62"/>
      <c r="B435" s="65"/>
      <c r="N435" s="10"/>
      <c r="O435" s="10"/>
      <c r="P435" s="10"/>
      <c r="Q435" s="10"/>
      <c r="R435" s="10"/>
      <c r="S435" s="10"/>
      <c r="T435" s="10"/>
      <c r="U435" s="10"/>
      <c r="V435" s="10"/>
    </row>
    <row r="436" spans="1:22" s="11" customFormat="1" ht="12" customHeight="1" x14ac:dyDescent="0.15">
      <c r="A436" s="62"/>
      <c r="B436" s="65"/>
      <c r="N436" s="10"/>
      <c r="O436" s="10"/>
      <c r="P436" s="10"/>
      <c r="Q436" s="10"/>
      <c r="R436" s="10"/>
      <c r="S436" s="10"/>
      <c r="T436" s="10"/>
      <c r="U436" s="10"/>
      <c r="V436" s="10"/>
    </row>
    <row r="437" spans="1:22" s="11" customFormat="1" ht="12" customHeight="1" x14ac:dyDescent="0.15">
      <c r="A437" s="62"/>
      <c r="B437" s="65"/>
      <c r="N437" s="10"/>
      <c r="O437" s="10"/>
      <c r="P437" s="10"/>
      <c r="Q437" s="10"/>
      <c r="R437" s="10"/>
      <c r="S437" s="10"/>
      <c r="T437" s="10"/>
      <c r="U437" s="10"/>
      <c r="V437" s="10"/>
    </row>
    <row r="438" spans="1:22" s="11" customFormat="1" ht="12" customHeight="1" x14ac:dyDescent="0.15">
      <c r="A438" s="62"/>
      <c r="B438" s="65"/>
      <c r="N438" s="10"/>
      <c r="O438" s="10"/>
      <c r="P438" s="10"/>
      <c r="Q438" s="10"/>
      <c r="R438" s="10"/>
      <c r="S438" s="10"/>
      <c r="T438" s="10"/>
      <c r="U438" s="10"/>
      <c r="V438" s="10"/>
    </row>
    <row r="439" spans="1:22" s="11" customFormat="1" ht="12" customHeight="1" x14ac:dyDescent="0.15">
      <c r="A439" s="62"/>
      <c r="B439" s="65"/>
      <c r="N439" s="10"/>
      <c r="O439" s="10"/>
      <c r="P439" s="10"/>
      <c r="Q439" s="10"/>
      <c r="R439" s="10"/>
      <c r="S439" s="10"/>
      <c r="T439" s="10"/>
      <c r="U439" s="10"/>
      <c r="V439" s="10"/>
    </row>
    <row r="440" spans="1:22" s="11" customFormat="1" ht="12" customHeight="1" x14ac:dyDescent="0.15">
      <c r="A440" s="62"/>
      <c r="B440" s="65"/>
      <c r="N440" s="10"/>
      <c r="O440" s="10"/>
      <c r="P440" s="10"/>
      <c r="Q440" s="10"/>
      <c r="R440" s="10"/>
      <c r="S440" s="10"/>
      <c r="T440" s="10"/>
      <c r="U440" s="10"/>
      <c r="V440" s="10"/>
    </row>
    <row r="441" spans="1:22" s="11" customFormat="1" ht="12" customHeight="1" x14ac:dyDescent="0.15">
      <c r="A441" s="62"/>
      <c r="B441" s="65"/>
      <c r="N441" s="10"/>
      <c r="O441" s="10"/>
      <c r="P441" s="10"/>
      <c r="Q441" s="10"/>
      <c r="R441" s="10"/>
      <c r="S441" s="10"/>
      <c r="T441" s="10"/>
      <c r="U441" s="10"/>
      <c r="V441" s="10"/>
    </row>
    <row r="442" spans="1:22" s="11" customFormat="1" ht="12" customHeight="1" x14ac:dyDescent="0.15">
      <c r="A442" s="62"/>
      <c r="B442" s="65"/>
      <c r="N442" s="10"/>
      <c r="O442" s="10"/>
      <c r="P442" s="10"/>
      <c r="Q442" s="10"/>
      <c r="R442" s="10"/>
      <c r="S442" s="10"/>
      <c r="T442" s="10"/>
      <c r="U442" s="10"/>
      <c r="V442" s="10"/>
    </row>
    <row r="443" spans="1:22" s="11" customFormat="1" ht="12" customHeight="1" x14ac:dyDescent="0.15">
      <c r="A443" s="62"/>
      <c r="B443" s="65"/>
      <c r="N443" s="10"/>
      <c r="O443" s="10"/>
      <c r="P443" s="10"/>
      <c r="Q443" s="10"/>
      <c r="R443" s="10"/>
      <c r="S443" s="10"/>
      <c r="T443" s="10"/>
      <c r="U443" s="10"/>
      <c r="V443" s="10"/>
    </row>
    <row r="444" spans="1:22" s="11" customFormat="1" ht="12" customHeight="1" x14ac:dyDescent="0.15">
      <c r="A444" s="62"/>
      <c r="B444" s="65"/>
      <c r="N444" s="10"/>
      <c r="O444" s="10"/>
      <c r="P444" s="10"/>
      <c r="Q444" s="10"/>
      <c r="R444" s="10"/>
      <c r="S444" s="10"/>
      <c r="T444" s="10"/>
      <c r="U444" s="10"/>
      <c r="V444" s="10"/>
    </row>
    <row r="445" spans="1:22" s="11" customFormat="1" ht="12" customHeight="1" x14ac:dyDescent="0.15">
      <c r="A445" s="62"/>
      <c r="B445" s="65"/>
      <c r="N445" s="10"/>
      <c r="O445" s="10"/>
      <c r="P445" s="10"/>
      <c r="Q445" s="10"/>
      <c r="R445" s="10"/>
      <c r="S445" s="10"/>
      <c r="T445" s="10"/>
      <c r="U445" s="10"/>
      <c r="V445" s="10"/>
    </row>
    <row r="446" spans="1:22" s="11" customFormat="1" ht="12" customHeight="1" x14ac:dyDescent="0.15">
      <c r="A446" s="62"/>
      <c r="B446" s="65"/>
      <c r="N446" s="10"/>
      <c r="O446" s="10"/>
      <c r="P446" s="10"/>
      <c r="Q446" s="10"/>
      <c r="R446" s="10"/>
      <c r="S446" s="10"/>
      <c r="T446" s="10"/>
      <c r="U446" s="10"/>
      <c r="V446" s="10"/>
    </row>
    <row r="447" spans="1:22" s="11" customFormat="1" ht="12" customHeight="1" x14ac:dyDescent="0.15">
      <c r="A447" s="62"/>
      <c r="B447" s="65"/>
      <c r="N447" s="10"/>
      <c r="O447" s="10"/>
      <c r="P447" s="10"/>
      <c r="Q447" s="10"/>
      <c r="R447" s="10"/>
      <c r="S447" s="10"/>
      <c r="T447" s="10"/>
      <c r="U447" s="10"/>
      <c r="V447" s="10"/>
    </row>
    <row r="448" spans="1:22" s="11" customFormat="1" ht="12" customHeight="1" x14ac:dyDescent="0.15">
      <c r="A448" s="62"/>
      <c r="B448" s="65"/>
      <c r="N448" s="10"/>
      <c r="O448" s="10"/>
      <c r="P448" s="10"/>
      <c r="Q448" s="10"/>
      <c r="R448" s="10"/>
      <c r="S448" s="10"/>
      <c r="T448" s="10"/>
      <c r="U448" s="10"/>
      <c r="V448" s="10"/>
    </row>
    <row r="449" spans="1:22" s="11" customFormat="1" ht="12" customHeight="1" x14ac:dyDescent="0.15">
      <c r="A449" s="62"/>
      <c r="B449" s="65"/>
      <c r="N449" s="10"/>
      <c r="O449" s="10"/>
      <c r="P449" s="10"/>
      <c r="Q449" s="10"/>
      <c r="R449" s="10"/>
      <c r="S449" s="10"/>
      <c r="T449" s="10"/>
      <c r="U449" s="10"/>
      <c r="V449" s="10"/>
    </row>
    <row r="450" spans="1:22" s="11" customFormat="1" ht="12" customHeight="1" x14ac:dyDescent="0.15">
      <c r="A450" s="62"/>
      <c r="B450" s="65"/>
      <c r="N450" s="10"/>
      <c r="O450" s="10"/>
      <c r="P450" s="10"/>
      <c r="Q450" s="10"/>
      <c r="R450" s="10"/>
      <c r="S450" s="10"/>
      <c r="T450" s="10"/>
      <c r="U450" s="10"/>
      <c r="V450" s="10"/>
    </row>
    <row r="451" spans="1:22" s="11" customFormat="1" ht="12" customHeight="1" x14ac:dyDescent="0.15">
      <c r="A451" s="62"/>
      <c r="B451" s="65"/>
      <c r="N451" s="10"/>
      <c r="O451" s="10"/>
      <c r="P451" s="10"/>
      <c r="Q451" s="10"/>
      <c r="R451" s="10"/>
      <c r="S451" s="10"/>
      <c r="T451" s="10"/>
      <c r="U451" s="10"/>
      <c r="V451" s="10"/>
    </row>
    <row r="452" spans="1:22" s="11" customFormat="1" ht="12" customHeight="1" x14ac:dyDescent="0.15">
      <c r="A452" s="62"/>
      <c r="B452" s="65"/>
      <c r="N452" s="10"/>
      <c r="O452" s="10"/>
      <c r="P452" s="10"/>
      <c r="Q452" s="10"/>
      <c r="R452" s="10"/>
      <c r="S452" s="10"/>
      <c r="T452" s="10"/>
      <c r="U452" s="10"/>
      <c r="V452" s="10"/>
    </row>
    <row r="453" spans="1:22" s="11" customFormat="1" ht="12" customHeight="1" x14ac:dyDescent="0.15">
      <c r="A453" s="62"/>
      <c r="B453" s="65"/>
      <c r="N453" s="10"/>
      <c r="O453" s="10"/>
      <c r="P453" s="10"/>
      <c r="Q453" s="10"/>
      <c r="R453" s="10"/>
      <c r="S453" s="10"/>
      <c r="T453" s="10"/>
      <c r="U453" s="10"/>
      <c r="V453" s="10"/>
    </row>
    <row r="454" spans="1:22" s="11" customFormat="1" ht="12" customHeight="1" x14ac:dyDescent="0.15">
      <c r="A454" s="62"/>
      <c r="B454" s="65"/>
      <c r="N454" s="10"/>
      <c r="O454" s="10"/>
      <c r="P454" s="10"/>
      <c r="Q454" s="10"/>
      <c r="R454" s="10"/>
      <c r="S454" s="10"/>
      <c r="T454" s="10"/>
      <c r="U454" s="10"/>
      <c r="V454" s="10"/>
    </row>
    <row r="455" spans="1:22" s="11" customFormat="1" ht="12" customHeight="1" x14ac:dyDescent="0.15">
      <c r="A455" s="62"/>
      <c r="B455" s="65"/>
      <c r="N455" s="10"/>
      <c r="O455" s="10"/>
      <c r="P455" s="10"/>
      <c r="Q455" s="10"/>
      <c r="R455" s="10"/>
      <c r="S455" s="10"/>
      <c r="T455" s="10"/>
      <c r="U455" s="10"/>
      <c r="V455" s="10"/>
    </row>
    <row r="456" spans="1:22" s="11" customFormat="1" ht="12" customHeight="1" x14ac:dyDescent="0.15">
      <c r="A456" s="62"/>
      <c r="B456" s="65"/>
      <c r="N456" s="10"/>
      <c r="O456" s="10"/>
      <c r="P456" s="10"/>
      <c r="Q456" s="10"/>
      <c r="R456" s="10"/>
      <c r="S456" s="10"/>
      <c r="T456" s="10"/>
      <c r="U456" s="10"/>
      <c r="V456" s="10"/>
    </row>
    <row r="457" spans="1:22" s="11" customFormat="1" ht="12" customHeight="1" x14ac:dyDescent="0.15">
      <c r="A457" s="62"/>
      <c r="B457" s="65"/>
      <c r="N457" s="10"/>
      <c r="O457" s="10"/>
      <c r="P457" s="10"/>
      <c r="Q457" s="10"/>
      <c r="R457" s="10"/>
      <c r="S457" s="10"/>
      <c r="T457" s="10"/>
      <c r="U457" s="10"/>
      <c r="V457" s="10"/>
    </row>
    <row r="458" spans="1:22" s="11" customFormat="1" ht="12" customHeight="1" x14ac:dyDescent="0.15">
      <c r="A458" s="62"/>
      <c r="B458" s="65"/>
      <c r="N458" s="10"/>
      <c r="O458" s="10"/>
      <c r="P458" s="10"/>
      <c r="Q458" s="10"/>
      <c r="R458" s="10"/>
      <c r="S458" s="10"/>
      <c r="T458" s="10"/>
      <c r="U458" s="10"/>
      <c r="V458" s="10"/>
    </row>
    <row r="459" spans="1:22" s="11" customFormat="1" ht="12" customHeight="1" x14ac:dyDescent="0.15">
      <c r="A459" s="62"/>
      <c r="B459" s="65"/>
      <c r="N459" s="10"/>
      <c r="O459" s="10"/>
      <c r="P459" s="10"/>
      <c r="Q459" s="10"/>
      <c r="R459" s="10"/>
      <c r="S459" s="10"/>
      <c r="T459" s="10"/>
      <c r="U459" s="10"/>
      <c r="V459" s="10"/>
    </row>
    <row r="460" spans="1:22" s="11" customFormat="1" ht="12" customHeight="1" x14ac:dyDescent="0.15">
      <c r="A460" s="62"/>
      <c r="B460" s="65"/>
      <c r="N460" s="10"/>
      <c r="O460" s="10"/>
      <c r="P460" s="10"/>
      <c r="Q460" s="10"/>
      <c r="R460" s="10"/>
      <c r="S460" s="10"/>
      <c r="T460" s="10"/>
      <c r="U460" s="10"/>
      <c r="V460" s="10"/>
    </row>
    <row r="461" spans="1:22" s="11" customFormat="1" ht="12" customHeight="1" x14ac:dyDescent="0.15">
      <c r="A461" s="62"/>
      <c r="B461" s="65"/>
      <c r="N461" s="10"/>
      <c r="O461" s="10"/>
      <c r="P461" s="10"/>
      <c r="Q461" s="10"/>
      <c r="R461" s="10"/>
      <c r="S461" s="10"/>
      <c r="T461" s="10"/>
      <c r="U461" s="10"/>
      <c r="V461" s="10"/>
    </row>
    <row r="462" spans="1:22" s="11" customFormat="1" ht="12" customHeight="1" x14ac:dyDescent="0.15">
      <c r="A462" s="62"/>
      <c r="B462" s="65"/>
      <c r="N462" s="10"/>
      <c r="O462" s="10"/>
      <c r="P462" s="10"/>
      <c r="Q462" s="10"/>
      <c r="R462" s="10"/>
      <c r="S462" s="10"/>
      <c r="T462" s="10"/>
      <c r="U462" s="10"/>
      <c r="V462" s="10"/>
    </row>
    <row r="463" spans="1:22" s="11" customFormat="1" ht="12" customHeight="1" x14ac:dyDescent="0.15">
      <c r="A463" s="62"/>
      <c r="B463" s="65"/>
      <c r="N463" s="10"/>
      <c r="O463" s="10"/>
      <c r="P463" s="10"/>
      <c r="Q463" s="10"/>
      <c r="R463" s="10"/>
      <c r="S463" s="10"/>
      <c r="T463" s="10"/>
      <c r="U463" s="10"/>
      <c r="V463" s="10"/>
    </row>
    <row r="464" spans="1:22" s="11" customFormat="1" ht="12" customHeight="1" x14ac:dyDescent="0.15">
      <c r="A464" s="62"/>
      <c r="B464" s="65"/>
      <c r="N464" s="10"/>
      <c r="O464" s="10"/>
      <c r="P464" s="10"/>
      <c r="Q464" s="10"/>
      <c r="R464" s="10"/>
      <c r="S464" s="10"/>
      <c r="T464" s="10"/>
      <c r="U464" s="10"/>
      <c r="V464" s="10"/>
    </row>
    <row r="465" spans="1:22" s="11" customFormat="1" ht="12" customHeight="1" x14ac:dyDescent="0.15">
      <c r="A465" s="62"/>
      <c r="B465" s="65"/>
      <c r="N465" s="10"/>
      <c r="O465" s="10"/>
      <c r="P465" s="10"/>
      <c r="Q465" s="10"/>
      <c r="R465" s="10"/>
      <c r="S465" s="10"/>
      <c r="T465" s="10"/>
      <c r="U465" s="10"/>
      <c r="V465" s="10"/>
    </row>
    <row r="466" spans="1:22" s="11" customFormat="1" ht="12" customHeight="1" x14ac:dyDescent="0.15">
      <c r="A466" s="62"/>
      <c r="B466" s="65"/>
      <c r="N466" s="10"/>
      <c r="O466" s="10"/>
      <c r="P466" s="10"/>
      <c r="Q466" s="10"/>
      <c r="R466" s="10"/>
      <c r="S466" s="10"/>
      <c r="T466" s="10"/>
      <c r="U466" s="10"/>
      <c r="V466" s="10"/>
    </row>
    <row r="467" spans="1:22" s="11" customFormat="1" ht="12" customHeight="1" x14ac:dyDescent="0.15">
      <c r="A467" s="62"/>
      <c r="B467" s="65"/>
      <c r="N467" s="10"/>
      <c r="O467" s="10"/>
      <c r="P467" s="10"/>
      <c r="Q467" s="10"/>
      <c r="R467" s="10"/>
      <c r="S467" s="10"/>
      <c r="T467" s="10"/>
      <c r="U467" s="10"/>
      <c r="V467" s="10"/>
    </row>
    <row r="468" spans="1:22" s="11" customFormat="1" ht="12" customHeight="1" x14ac:dyDescent="0.15">
      <c r="A468" s="62"/>
      <c r="B468" s="65"/>
      <c r="N468" s="10"/>
      <c r="O468" s="10"/>
      <c r="P468" s="10"/>
      <c r="Q468" s="10"/>
      <c r="R468" s="10"/>
      <c r="S468" s="10"/>
      <c r="T468" s="10"/>
      <c r="U468" s="10"/>
      <c r="V468" s="10"/>
    </row>
    <row r="469" spans="1:22" s="11" customFormat="1" ht="12" customHeight="1" x14ac:dyDescent="0.15">
      <c r="A469" s="62"/>
      <c r="B469" s="65"/>
      <c r="N469" s="10"/>
      <c r="O469" s="10"/>
      <c r="P469" s="10"/>
      <c r="Q469" s="10"/>
      <c r="R469" s="10"/>
      <c r="S469" s="10"/>
      <c r="T469" s="10"/>
      <c r="U469" s="10"/>
      <c r="V469" s="10"/>
    </row>
    <row r="470" spans="1:22" s="11" customFormat="1" ht="12" customHeight="1" x14ac:dyDescent="0.15">
      <c r="A470" s="62"/>
      <c r="B470" s="65"/>
      <c r="N470" s="10"/>
      <c r="O470" s="10"/>
      <c r="P470" s="10"/>
      <c r="Q470" s="10"/>
      <c r="R470" s="10"/>
      <c r="S470" s="10"/>
      <c r="T470" s="10"/>
      <c r="U470" s="10"/>
      <c r="V470" s="10"/>
    </row>
    <row r="471" spans="1:22" s="11" customFormat="1" ht="12" customHeight="1" x14ac:dyDescent="0.15">
      <c r="A471" s="62"/>
      <c r="B471" s="65"/>
      <c r="N471" s="10"/>
      <c r="O471" s="10"/>
      <c r="P471" s="10"/>
      <c r="Q471" s="10"/>
      <c r="R471" s="10"/>
      <c r="S471" s="10"/>
      <c r="T471" s="10"/>
      <c r="U471" s="10"/>
      <c r="V471" s="10"/>
    </row>
    <row r="472" spans="1:22" s="11" customFormat="1" ht="12" customHeight="1" x14ac:dyDescent="0.15">
      <c r="A472" s="62"/>
      <c r="B472" s="65"/>
      <c r="N472" s="10"/>
      <c r="O472" s="10"/>
      <c r="P472" s="10"/>
      <c r="Q472" s="10"/>
      <c r="R472" s="10"/>
      <c r="S472" s="10"/>
      <c r="T472" s="10"/>
      <c r="U472" s="10"/>
      <c r="V472" s="10"/>
    </row>
    <row r="473" spans="1:22" s="11" customFormat="1" ht="12" customHeight="1" x14ac:dyDescent="0.15">
      <c r="A473" s="62"/>
      <c r="B473" s="65"/>
      <c r="N473" s="10"/>
      <c r="O473" s="10"/>
      <c r="P473" s="10"/>
      <c r="Q473" s="10"/>
      <c r="R473" s="10"/>
      <c r="S473" s="10"/>
      <c r="T473" s="10"/>
      <c r="U473" s="10"/>
      <c r="V473" s="10"/>
    </row>
    <row r="474" spans="1:22" s="11" customFormat="1" ht="12" customHeight="1" x14ac:dyDescent="0.15">
      <c r="A474" s="62"/>
      <c r="B474" s="65"/>
      <c r="N474" s="10"/>
      <c r="O474" s="10"/>
      <c r="P474" s="10"/>
      <c r="Q474" s="10"/>
      <c r="R474" s="10"/>
      <c r="S474" s="10"/>
      <c r="T474" s="10"/>
      <c r="U474" s="10"/>
      <c r="V474" s="10"/>
    </row>
    <row r="475" spans="1:22" s="11" customFormat="1" ht="12" customHeight="1" x14ac:dyDescent="0.15">
      <c r="A475" s="62"/>
      <c r="B475" s="65"/>
      <c r="N475" s="10"/>
      <c r="O475" s="10"/>
      <c r="P475" s="10"/>
      <c r="Q475" s="10"/>
      <c r="R475" s="10"/>
      <c r="S475" s="10"/>
      <c r="T475" s="10"/>
      <c r="U475" s="10"/>
      <c r="V475" s="10"/>
    </row>
    <row r="476" spans="1:22" s="11" customFormat="1" ht="12" customHeight="1" x14ac:dyDescent="0.15">
      <c r="A476" s="62"/>
      <c r="B476" s="65"/>
      <c r="N476" s="10"/>
      <c r="O476" s="10"/>
      <c r="P476" s="10"/>
      <c r="Q476" s="10"/>
      <c r="R476" s="10"/>
      <c r="S476" s="10"/>
      <c r="T476" s="10"/>
      <c r="U476" s="10"/>
      <c r="V476" s="10"/>
    </row>
    <row r="477" spans="1:22" s="11" customFormat="1" ht="12" customHeight="1" x14ac:dyDescent="0.15">
      <c r="A477" s="62"/>
      <c r="B477" s="65"/>
      <c r="N477" s="10"/>
      <c r="O477" s="10"/>
      <c r="P477" s="10"/>
      <c r="Q477" s="10"/>
      <c r="R477" s="10"/>
      <c r="S477" s="10"/>
      <c r="T477" s="10"/>
      <c r="U477" s="10"/>
      <c r="V477" s="10"/>
    </row>
    <row r="478" spans="1:22" s="11" customFormat="1" ht="12" customHeight="1" x14ac:dyDescent="0.15">
      <c r="A478" s="62"/>
      <c r="B478" s="65"/>
      <c r="N478" s="10"/>
      <c r="O478" s="10"/>
      <c r="P478" s="10"/>
      <c r="Q478" s="10"/>
      <c r="R478" s="10"/>
      <c r="S478" s="10"/>
      <c r="T478" s="10"/>
      <c r="U478" s="10"/>
      <c r="V478" s="10"/>
    </row>
    <row r="479" spans="1:22" s="11" customFormat="1" ht="12" customHeight="1" x14ac:dyDescent="0.15">
      <c r="A479" s="62"/>
      <c r="B479" s="65"/>
      <c r="N479" s="10"/>
      <c r="O479" s="10"/>
      <c r="P479" s="10"/>
      <c r="Q479" s="10"/>
      <c r="R479" s="10"/>
      <c r="S479" s="10"/>
      <c r="T479" s="10"/>
      <c r="U479" s="10"/>
      <c r="V479" s="10"/>
    </row>
    <row r="480" spans="1:22" s="11" customFormat="1" ht="12" customHeight="1" x14ac:dyDescent="0.15">
      <c r="A480" s="62"/>
      <c r="B480" s="65"/>
      <c r="N480" s="10"/>
      <c r="O480" s="10"/>
      <c r="P480" s="10"/>
      <c r="Q480" s="10"/>
      <c r="R480" s="10"/>
      <c r="S480" s="10"/>
      <c r="T480" s="10"/>
      <c r="U480" s="10"/>
      <c r="V480" s="10"/>
    </row>
    <row r="481" spans="1:22" s="11" customFormat="1" ht="12" customHeight="1" x14ac:dyDescent="0.15">
      <c r="A481" s="62"/>
      <c r="B481" s="65"/>
      <c r="N481" s="10"/>
      <c r="O481" s="10"/>
      <c r="P481" s="10"/>
      <c r="Q481" s="10"/>
      <c r="R481" s="10"/>
      <c r="S481" s="10"/>
      <c r="T481" s="10"/>
      <c r="U481" s="10"/>
      <c r="V481" s="10"/>
    </row>
    <row r="482" spans="1:22" s="11" customFormat="1" ht="12" customHeight="1" x14ac:dyDescent="0.15">
      <c r="A482" s="62"/>
      <c r="B482" s="65"/>
      <c r="N482" s="10"/>
      <c r="O482" s="10"/>
      <c r="P482" s="10"/>
      <c r="Q482" s="10"/>
      <c r="R482" s="10"/>
      <c r="S482" s="10"/>
      <c r="T482" s="10"/>
      <c r="U482" s="10"/>
      <c r="V482" s="10"/>
    </row>
    <row r="483" spans="1:22" s="11" customFormat="1" ht="12" customHeight="1" x14ac:dyDescent="0.15">
      <c r="A483" s="62"/>
      <c r="B483" s="65"/>
      <c r="N483" s="10"/>
      <c r="O483" s="10"/>
      <c r="P483" s="10"/>
      <c r="Q483" s="10"/>
      <c r="R483" s="10"/>
      <c r="S483" s="10"/>
      <c r="T483" s="10"/>
      <c r="U483" s="10"/>
      <c r="V483" s="10"/>
    </row>
    <row r="484" spans="1:22" s="11" customFormat="1" ht="12" customHeight="1" x14ac:dyDescent="0.15">
      <c r="A484" s="62"/>
      <c r="B484" s="65"/>
      <c r="N484" s="10"/>
      <c r="O484" s="10"/>
      <c r="P484" s="10"/>
      <c r="Q484" s="10"/>
      <c r="R484" s="10"/>
      <c r="S484" s="10"/>
      <c r="T484" s="10"/>
      <c r="U484" s="10"/>
      <c r="V484" s="10"/>
    </row>
    <row r="485" spans="1:22" s="11" customFormat="1" ht="12" customHeight="1" x14ac:dyDescent="0.15">
      <c r="A485" s="62"/>
      <c r="B485" s="65"/>
      <c r="N485" s="10"/>
      <c r="O485" s="10"/>
      <c r="P485" s="10"/>
      <c r="Q485" s="10"/>
      <c r="R485" s="10"/>
      <c r="S485" s="10"/>
      <c r="T485" s="10"/>
      <c r="U485" s="10"/>
      <c r="V485" s="10"/>
    </row>
    <row r="486" spans="1:22" s="11" customFormat="1" ht="12" customHeight="1" x14ac:dyDescent="0.15">
      <c r="A486" s="62"/>
      <c r="B486" s="65"/>
      <c r="N486" s="10"/>
      <c r="O486" s="10"/>
      <c r="P486" s="10"/>
      <c r="Q486" s="10"/>
      <c r="R486" s="10"/>
      <c r="S486" s="10"/>
      <c r="T486" s="10"/>
      <c r="U486" s="10"/>
      <c r="V486" s="10"/>
    </row>
    <row r="487" spans="1:22" s="11" customFormat="1" ht="12" customHeight="1" x14ac:dyDescent="0.15">
      <c r="A487" s="62"/>
      <c r="B487" s="65"/>
      <c r="N487" s="10"/>
      <c r="O487" s="10"/>
      <c r="P487" s="10"/>
      <c r="Q487" s="10"/>
      <c r="R487" s="10"/>
      <c r="S487" s="10"/>
      <c r="T487" s="10"/>
      <c r="U487" s="10"/>
      <c r="V487" s="10"/>
    </row>
    <row r="488" spans="1:22" s="11" customFormat="1" ht="12" customHeight="1" x14ac:dyDescent="0.15">
      <c r="A488" s="62"/>
      <c r="B488" s="65"/>
      <c r="N488" s="10"/>
      <c r="O488" s="10"/>
      <c r="P488" s="10"/>
      <c r="Q488" s="10"/>
      <c r="R488" s="10"/>
      <c r="S488" s="10"/>
      <c r="T488" s="10"/>
      <c r="U488" s="10"/>
      <c r="V488" s="10"/>
    </row>
    <row r="489" spans="1:22" s="11" customFormat="1" ht="12" customHeight="1" x14ac:dyDescent="0.15">
      <c r="A489" s="62"/>
      <c r="B489" s="65"/>
      <c r="N489" s="10"/>
      <c r="O489" s="10"/>
      <c r="P489" s="10"/>
      <c r="Q489" s="10"/>
      <c r="R489" s="10"/>
      <c r="S489" s="10"/>
      <c r="T489" s="10"/>
      <c r="U489" s="10"/>
      <c r="V489" s="10"/>
    </row>
    <row r="490" spans="1:22" s="11" customFormat="1" ht="12" customHeight="1" x14ac:dyDescent="0.15">
      <c r="A490" s="62"/>
      <c r="B490" s="65"/>
      <c r="N490" s="10"/>
      <c r="O490" s="10"/>
      <c r="P490" s="10"/>
      <c r="Q490" s="10"/>
      <c r="R490" s="10"/>
      <c r="S490" s="10"/>
      <c r="T490" s="10"/>
      <c r="U490" s="10"/>
      <c r="V490" s="10"/>
    </row>
    <row r="491" spans="1:22" s="11" customFormat="1" ht="12" customHeight="1" x14ac:dyDescent="0.15">
      <c r="A491" s="62"/>
      <c r="B491" s="65"/>
      <c r="N491" s="10"/>
      <c r="O491" s="10"/>
      <c r="P491" s="10"/>
      <c r="Q491" s="10"/>
      <c r="R491" s="10"/>
      <c r="S491" s="10"/>
      <c r="T491" s="10"/>
      <c r="U491" s="10"/>
      <c r="V491" s="10"/>
    </row>
    <row r="492" spans="1:22" s="11" customFormat="1" ht="12" customHeight="1" x14ac:dyDescent="0.15">
      <c r="A492" s="62"/>
      <c r="B492" s="65"/>
      <c r="N492" s="10"/>
      <c r="O492" s="10"/>
      <c r="P492" s="10"/>
      <c r="Q492" s="10"/>
      <c r="R492" s="10"/>
      <c r="S492" s="10"/>
      <c r="T492" s="10"/>
      <c r="U492" s="10"/>
      <c r="V492" s="10"/>
    </row>
    <row r="493" spans="1:22" s="11" customFormat="1" ht="12" customHeight="1" x14ac:dyDescent="0.15">
      <c r="A493" s="62"/>
      <c r="B493" s="65"/>
      <c r="N493" s="10"/>
      <c r="O493" s="10"/>
      <c r="P493" s="10"/>
      <c r="Q493" s="10"/>
      <c r="R493" s="10"/>
      <c r="S493" s="10"/>
      <c r="T493" s="10"/>
      <c r="U493" s="10"/>
      <c r="V493" s="10"/>
    </row>
    <row r="494" spans="1:22" s="11" customFormat="1" ht="12" customHeight="1" x14ac:dyDescent="0.15">
      <c r="A494" s="62"/>
      <c r="B494" s="65"/>
      <c r="N494" s="10"/>
      <c r="O494" s="10"/>
      <c r="P494" s="10"/>
      <c r="Q494" s="10"/>
      <c r="R494" s="10"/>
      <c r="S494" s="10"/>
      <c r="T494" s="10"/>
      <c r="U494" s="10"/>
      <c r="V494" s="10"/>
    </row>
    <row r="495" spans="1:22" s="11" customFormat="1" ht="12" customHeight="1" x14ac:dyDescent="0.15">
      <c r="A495" s="62"/>
      <c r="B495" s="65"/>
      <c r="N495" s="10"/>
      <c r="O495" s="10"/>
      <c r="P495" s="10"/>
      <c r="Q495" s="10"/>
      <c r="R495" s="10"/>
      <c r="S495" s="10"/>
      <c r="T495" s="10"/>
      <c r="U495" s="10"/>
      <c r="V495" s="10"/>
    </row>
    <row r="496" spans="1:22" s="11" customFormat="1" ht="12" customHeight="1" x14ac:dyDescent="0.15">
      <c r="A496" s="62"/>
      <c r="B496" s="65"/>
      <c r="N496" s="10"/>
      <c r="O496" s="10"/>
      <c r="P496" s="10"/>
      <c r="Q496" s="10"/>
      <c r="R496" s="10"/>
      <c r="S496" s="10"/>
      <c r="T496" s="10"/>
      <c r="U496" s="10"/>
      <c r="V496" s="10"/>
    </row>
    <row r="497" spans="1:22" s="11" customFormat="1" ht="12" customHeight="1" x14ac:dyDescent="0.15">
      <c r="A497" s="62"/>
      <c r="B497" s="65"/>
      <c r="N497" s="10"/>
      <c r="O497" s="10"/>
      <c r="P497" s="10"/>
      <c r="Q497" s="10"/>
      <c r="R497" s="10"/>
      <c r="S497" s="10"/>
      <c r="T497" s="10"/>
      <c r="U497" s="10"/>
      <c r="V497" s="10"/>
    </row>
    <row r="498" spans="1:22" s="11" customFormat="1" ht="12" customHeight="1" x14ac:dyDescent="0.15">
      <c r="A498" s="62"/>
      <c r="B498" s="65"/>
      <c r="N498" s="10"/>
      <c r="O498" s="10"/>
      <c r="P498" s="10"/>
      <c r="Q498" s="10"/>
      <c r="R498" s="10"/>
      <c r="S498" s="10"/>
      <c r="T498" s="10"/>
      <c r="U498" s="10"/>
      <c r="V498" s="10"/>
    </row>
    <row r="499" spans="1:22" s="11" customFormat="1" ht="12" customHeight="1" x14ac:dyDescent="0.15">
      <c r="A499" s="62"/>
      <c r="B499" s="65"/>
      <c r="N499" s="10"/>
      <c r="O499" s="10"/>
      <c r="P499" s="10"/>
      <c r="Q499" s="10"/>
      <c r="R499" s="10"/>
      <c r="S499" s="10"/>
      <c r="T499" s="10"/>
      <c r="U499" s="10"/>
      <c r="V499" s="10"/>
    </row>
    <row r="500" spans="1:22" s="11" customFormat="1" ht="12" customHeight="1" x14ac:dyDescent="0.15">
      <c r="A500" s="62"/>
      <c r="B500" s="65"/>
      <c r="N500" s="10"/>
      <c r="O500" s="10"/>
      <c r="P500" s="10"/>
      <c r="Q500" s="10"/>
      <c r="R500" s="10"/>
      <c r="S500" s="10"/>
      <c r="T500" s="10"/>
      <c r="U500" s="10"/>
      <c r="V500" s="10"/>
    </row>
    <row r="501" spans="1:22" s="11" customFormat="1" ht="12" customHeight="1" x14ac:dyDescent="0.15">
      <c r="A501" s="62"/>
      <c r="B501" s="65"/>
      <c r="N501" s="10"/>
      <c r="O501" s="10"/>
      <c r="P501" s="10"/>
      <c r="Q501" s="10"/>
      <c r="R501" s="10"/>
      <c r="S501" s="10"/>
      <c r="T501" s="10"/>
      <c r="U501" s="10"/>
      <c r="V501" s="10"/>
    </row>
    <row r="502" spans="1:22" s="11" customFormat="1" ht="12" customHeight="1" x14ac:dyDescent="0.15">
      <c r="A502" s="62"/>
      <c r="B502" s="65"/>
      <c r="N502" s="10"/>
      <c r="O502" s="10"/>
      <c r="P502" s="10"/>
      <c r="Q502" s="10"/>
      <c r="R502" s="10"/>
      <c r="S502" s="10"/>
      <c r="T502" s="10"/>
      <c r="U502" s="10"/>
      <c r="V502" s="10"/>
    </row>
    <row r="503" spans="1:22" s="11" customFormat="1" ht="12" customHeight="1" x14ac:dyDescent="0.15">
      <c r="A503" s="62"/>
      <c r="B503" s="65"/>
      <c r="N503" s="10"/>
      <c r="O503" s="10"/>
      <c r="P503" s="10"/>
      <c r="Q503" s="10"/>
      <c r="R503" s="10"/>
      <c r="S503" s="10"/>
      <c r="T503" s="10"/>
      <c r="U503" s="10"/>
      <c r="V503" s="10"/>
    </row>
    <row r="504" spans="1:22" s="11" customFormat="1" ht="12" customHeight="1" x14ac:dyDescent="0.15">
      <c r="A504" s="62"/>
      <c r="B504" s="65"/>
      <c r="N504" s="10"/>
      <c r="O504" s="10"/>
      <c r="P504" s="10"/>
      <c r="Q504" s="10"/>
      <c r="R504" s="10"/>
      <c r="S504" s="10"/>
      <c r="T504" s="10"/>
      <c r="U504" s="10"/>
      <c r="V504" s="10"/>
    </row>
    <row r="505" spans="1:22" s="11" customFormat="1" ht="12" customHeight="1" x14ac:dyDescent="0.15">
      <c r="A505" s="62"/>
      <c r="B505" s="65"/>
      <c r="N505" s="10"/>
      <c r="O505" s="10"/>
      <c r="P505" s="10"/>
      <c r="Q505" s="10"/>
      <c r="R505" s="10"/>
      <c r="S505" s="10"/>
      <c r="T505" s="10"/>
      <c r="U505" s="10"/>
      <c r="V505" s="10"/>
    </row>
    <row r="506" spans="1:22" s="11" customFormat="1" ht="12" customHeight="1" x14ac:dyDescent="0.15">
      <c r="A506" s="62"/>
      <c r="B506" s="65"/>
      <c r="N506" s="10"/>
      <c r="O506" s="10"/>
      <c r="P506" s="10"/>
      <c r="Q506" s="10"/>
      <c r="R506" s="10"/>
      <c r="S506" s="10"/>
      <c r="T506" s="10"/>
      <c r="U506" s="10"/>
      <c r="V506" s="10"/>
    </row>
    <row r="507" spans="1:22" s="11" customFormat="1" ht="12" customHeight="1" x14ac:dyDescent="0.15">
      <c r="A507" s="62"/>
      <c r="B507" s="65"/>
      <c r="N507" s="10"/>
      <c r="O507" s="10"/>
      <c r="P507" s="10"/>
      <c r="Q507" s="10"/>
      <c r="R507" s="10"/>
      <c r="S507" s="10"/>
      <c r="T507" s="10"/>
      <c r="U507" s="10"/>
      <c r="V507" s="10"/>
    </row>
    <row r="508" spans="1:22" s="11" customFormat="1" ht="12" customHeight="1" x14ac:dyDescent="0.15">
      <c r="A508" s="62"/>
      <c r="B508" s="65"/>
      <c r="N508" s="10"/>
      <c r="O508" s="10"/>
      <c r="P508" s="10"/>
      <c r="Q508" s="10"/>
      <c r="R508" s="10"/>
      <c r="S508" s="10"/>
      <c r="T508" s="10"/>
      <c r="U508" s="10"/>
      <c r="V508" s="10"/>
    </row>
    <row r="509" spans="1:22" s="11" customFormat="1" ht="12" customHeight="1" x14ac:dyDescent="0.15">
      <c r="A509" s="62"/>
      <c r="B509" s="65"/>
      <c r="N509" s="10"/>
      <c r="O509" s="10"/>
      <c r="P509" s="10"/>
      <c r="Q509" s="10"/>
      <c r="R509" s="10"/>
      <c r="S509" s="10"/>
      <c r="T509" s="10"/>
      <c r="U509" s="10"/>
      <c r="V509" s="10"/>
    </row>
    <row r="510" spans="1:22" s="11" customFormat="1" ht="12" customHeight="1" x14ac:dyDescent="0.15">
      <c r="A510" s="62"/>
      <c r="B510" s="65"/>
      <c r="N510" s="10"/>
      <c r="O510" s="10"/>
      <c r="P510" s="10"/>
      <c r="Q510" s="10"/>
      <c r="R510" s="10"/>
      <c r="S510" s="10"/>
      <c r="T510" s="10"/>
      <c r="U510" s="10"/>
      <c r="V510" s="10"/>
    </row>
    <row r="511" spans="1:22" s="11" customFormat="1" ht="12" customHeight="1" x14ac:dyDescent="0.15">
      <c r="A511" s="62"/>
      <c r="B511" s="65"/>
      <c r="N511" s="10"/>
      <c r="O511" s="10"/>
      <c r="P511" s="10"/>
      <c r="Q511" s="10"/>
      <c r="R511" s="10"/>
      <c r="S511" s="10"/>
      <c r="T511" s="10"/>
      <c r="U511" s="10"/>
      <c r="V511" s="10"/>
    </row>
    <row r="512" spans="1:22" s="11" customFormat="1" ht="12" customHeight="1" x14ac:dyDescent="0.15">
      <c r="A512" s="62"/>
      <c r="B512" s="65"/>
      <c r="N512" s="10"/>
      <c r="O512" s="10"/>
      <c r="P512" s="10"/>
      <c r="Q512" s="10"/>
      <c r="R512" s="10"/>
      <c r="S512" s="10"/>
      <c r="T512" s="10"/>
      <c r="U512" s="10"/>
      <c r="V512" s="10"/>
    </row>
    <row r="513" spans="1:22" s="11" customFormat="1" ht="12" customHeight="1" x14ac:dyDescent="0.15">
      <c r="A513" s="62"/>
      <c r="B513" s="65"/>
      <c r="N513" s="10"/>
      <c r="O513" s="10"/>
      <c r="P513" s="10"/>
      <c r="Q513" s="10"/>
      <c r="R513" s="10"/>
      <c r="S513" s="10"/>
      <c r="T513" s="10"/>
      <c r="U513" s="10"/>
      <c r="V513" s="10"/>
    </row>
    <row r="514" spans="1:22" s="11" customFormat="1" ht="12" customHeight="1" x14ac:dyDescent="0.15">
      <c r="A514" s="62"/>
      <c r="B514" s="65"/>
      <c r="N514" s="10"/>
      <c r="O514" s="10"/>
      <c r="P514" s="10"/>
      <c r="Q514" s="10"/>
      <c r="R514" s="10"/>
      <c r="S514" s="10"/>
      <c r="T514" s="10"/>
      <c r="U514" s="10"/>
      <c r="V514" s="10"/>
    </row>
    <row r="515" spans="1:22" s="11" customFormat="1" ht="12" customHeight="1" x14ac:dyDescent="0.15">
      <c r="A515" s="62"/>
      <c r="B515" s="65"/>
      <c r="N515" s="10"/>
      <c r="O515" s="10"/>
      <c r="P515" s="10"/>
      <c r="Q515" s="10"/>
      <c r="R515" s="10"/>
      <c r="S515" s="10"/>
      <c r="T515" s="10"/>
      <c r="U515" s="10"/>
      <c r="V515" s="10"/>
    </row>
    <row r="516" spans="1:22" s="11" customFormat="1" ht="12" customHeight="1" x14ac:dyDescent="0.15">
      <c r="A516" s="62"/>
      <c r="B516" s="65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11" customFormat="1" ht="12" customHeight="1" x14ac:dyDescent="0.15">
      <c r="A517" s="62"/>
      <c r="B517" s="65"/>
      <c r="N517" s="10"/>
      <c r="O517" s="10"/>
      <c r="P517" s="10"/>
      <c r="Q517" s="10"/>
      <c r="R517" s="10"/>
      <c r="S517" s="10"/>
      <c r="T517" s="10"/>
      <c r="U517" s="10"/>
      <c r="V517" s="10"/>
    </row>
    <row r="518" spans="1:22" s="11" customFormat="1" ht="12" customHeight="1" x14ac:dyDescent="0.15">
      <c r="A518" s="62"/>
      <c r="B518" s="65"/>
      <c r="N518" s="10"/>
      <c r="O518" s="10"/>
      <c r="P518" s="10"/>
      <c r="Q518" s="10"/>
      <c r="R518" s="10"/>
      <c r="S518" s="10"/>
      <c r="T518" s="10"/>
      <c r="U518" s="10"/>
      <c r="V518" s="10"/>
    </row>
    <row r="519" spans="1:22" s="11" customFormat="1" ht="12" customHeight="1" x14ac:dyDescent="0.15">
      <c r="A519" s="62"/>
      <c r="B519" s="65"/>
      <c r="N519" s="10"/>
      <c r="O519" s="10"/>
      <c r="P519" s="10"/>
      <c r="Q519" s="10"/>
      <c r="R519" s="10"/>
      <c r="S519" s="10"/>
      <c r="T519" s="10"/>
      <c r="U519" s="10"/>
      <c r="V519" s="10"/>
    </row>
    <row r="520" spans="1:22" s="11" customFormat="1" ht="12" customHeight="1" x14ac:dyDescent="0.15">
      <c r="A520" s="62"/>
      <c r="B520" s="65"/>
      <c r="N520" s="10"/>
      <c r="O520" s="10"/>
      <c r="P520" s="10"/>
      <c r="Q520" s="10"/>
      <c r="R520" s="10"/>
      <c r="S520" s="10"/>
      <c r="T520" s="10"/>
      <c r="U520" s="10"/>
      <c r="V520" s="10"/>
    </row>
    <row r="521" spans="1:22" s="11" customFormat="1" ht="12" customHeight="1" x14ac:dyDescent="0.15">
      <c r="A521" s="62"/>
      <c r="B521" s="65"/>
      <c r="N521" s="10"/>
      <c r="O521" s="10"/>
      <c r="P521" s="10"/>
      <c r="Q521" s="10"/>
      <c r="R521" s="10"/>
      <c r="S521" s="10"/>
      <c r="T521" s="10"/>
      <c r="U521" s="10"/>
      <c r="V521" s="10"/>
    </row>
    <row r="522" spans="1:22" s="11" customFormat="1" ht="12" customHeight="1" x14ac:dyDescent="0.15">
      <c r="A522" s="62"/>
      <c r="B522" s="65"/>
      <c r="N522" s="10"/>
      <c r="O522" s="10"/>
      <c r="P522" s="10"/>
      <c r="Q522" s="10"/>
      <c r="R522" s="10"/>
      <c r="S522" s="10"/>
      <c r="T522" s="10"/>
      <c r="U522" s="10"/>
      <c r="V522" s="10"/>
    </row>
    <row r="523" spans="1:22" s="11" customFormat="1" ht="12" customHeight="1" x14ac:dyDescent="0.15">
      <c r="A523" s="62"/>
      <c r="B523" s="65"/>
      <c r="N523" s="10"/>
      <c r="O523" s="10"/>
      <c r="P523" s="10"/>
      <c r="Q523" s="10"/>
      <c r="R523" s="10"/>
      <c r="S523" s="10"/>
      <c r="T523" s="10"/>
      <c r="U523" s="10"/>
      <c r="V523" s="10"/>
    </row>
    <row r="524" spans="1:22" s="11" customFormat="1" ht="12" customHeight="1" x14ac:dyDescent="0.15">
      <c r="A524" s="62"/>
      <c r="B524" s="65"/>
      <c r="N524" s="10"/>
      <c r="O524" s="10"/>
      <c r="P524" s="10"/>
      <c r="Q524" s="10"/>
      <c r="R524" s="10"/>
      <c r="S524" s="10"/>
      <c r="T524" s="10"/>
      <c r="U524" s="10"/>
      <c r="V524" s="10"/>
    </row>
    <row r="525" spans="1:22" s="11" customFormat="1" ht="12" customHeight="1" x14ac:dyDescent="0.15">
      <c r="A525" s="62"/>
      <c r="B525" s="65"/>
      <c r="N525" s="10"/>
      <c r="O525" s="10"/>
      <c r="P525" s="10"/>
      <c r="Q525" s="10"/>
      <c r="R525" s="10"/>
      <c r="S525" s="10"/>
      <c r="T525" s="10"/>
      <c r="U525" s="10"/>
      <c r="V525" s="10"/>
    </row>
    <row r="526" spans="1:22" s="11" customFormat="1" ht="12" customHeight="1" x14ac:dyDescent="0.15">
      <c r="A526" s="62"/>
      <c r="B526" s="65"/>
      <c r="N526" s="10"/>
      <c r="O526" s="10"/>
      <c r="P526" s="10"/>
      <c r="Q526" s="10"/>
      <c r="R526" s="10"/>
      <c r="S526" s="10"/>
      <c r="T526" s="10"/>
      <c r="U526" s="10"/>
      <c r="V526" s="10"/>
    </row>
    <row r="527" spans="1:22" s="11" customFormat="1" ht="12" customHeight="1" x14ac:dyDescent="0.15">
      <c r="A527" s="62"/>
      <c r="B527" s="65"/>
      <c r="N527" s="10"/>
      <c r="O527" s="10"/>
      <c r="P527" s="10"/>
      <c r="Q527" s="10"/>
      <c r="R527" s="10"/>
      <c r="S527" s="10"/>
      <c r="T527" s="10"/>
      <c r="U527" s="10"/>
      <c r="V527" s="10"/>
    </row>
    <row r="528" spans="1:22" s="11" customFormat="1" ht="12" customHeight="1" x14ac:dyDescent="0.15">
      <c r="A528" s="62"/>
      <c r="B528" s="65"/>
      <c r="N528" s="10"/>
      <c r="O528" s="10"/>
      <c r="P528" s="10"/>
      <c r="Q528" s="10"/>
      <c r="R528" s="10"/>
      <c r="S528" s="10"/>
      <c r="T528" s="10"/>
      <c r="U528" s="10"/>
      <c r="V528" s="10"/>
    </row>
    <row r="529" spans="1:22" s="11" customFormat="1" ht="12" customHeight="1" x14ac:dyDescent="0.15">
      <c r="A529" s="62"/>
      <c r="B529" s="65"/>
      <c r="N529" s="10"/>
      <c r="O529" s="10"/>
      <c r="P529" s="10"/>
      <c r="Q529" s="10"/>
      <c r="R529" s="10"/>
      <c r="S529" s="10"/>
      <c r="T529" s="10"/>
      <c r="U529" s="10"/>
      <c r="V529" s="10"/>
    </row>
    <row r="530" spans="1:22" s="11" customFormat="1" ht="12" customHeight="1" x14ac:dyDescent="0.15">
      <c r="A530" s="62"/>
      <c r="B530" s="65"/>
      <c r="N530" s="10"/>
      <c r="O530" s="10"/>
      <c r="P530" s="10"/>
      <c r="Q530" s="10"/>
      <c r="R530" s="10"/>
      <c r="S530" s="10"/>
      <c r="T530" s="10"/>
      <c r="U530" s="10"/>
      <c r="V530" s="10"/>
    </row>
    <row r="531" spans="1:22" s="11" customFormat="1" ht="12" customHeight="1" x14ac:dyDescent="0.15">
      <c r="A531" s="62"/>
      <c r="B531" s="65"/>
      <c r="N531" s="10"/>
      <c r="O531" s="10"/>
      <c r="P531" s="10"/>
      <c r="Q531" s="10"/>
      <c r="R531" s="10"/>
      <c r="S531" s="10"/>
      <c r="T531" s="10"/>
      <c r="U531" s="10"/>
      <c r="V531" s="10"/>
    </row>
    <row r="532" spans="1:22" s="11" customFormat="1" ht="12" customHeight="1" x14ac:dyDescent="0.15">
      <c r="A532" s="62"/>
      <c r="B532" s="65"/>
      <c r="N532" s="10"/>
      <c r="O532" s="10"/>
      <c r="P532" s="10"/>
      <c r="Q532" s="10"/>
      <c r="R532" s="10"/>
      <c r="S532" s="10"/>
      <c r="T532" s="10"/>
      <c r="U532" s="10"/>
      <c r="V532" s="10"/>
    </row>
    <row r="533" spans="1:22" s="11" customFormat="1" ht="12" customHeight="1" x14ac:dyDescent="0.15">
      <c r="A533" s="62"/>
      <c r="B533" s="65"/>
      <c r="N533" s="10"/>
      <c r="O533" s="10"/>
      <c r="P533" s="10"/>
      <c r="Q533" s="10"/>
      <c r="R533" s="10"/>
      <c r="S533" s="10"/>
      <c r="T533" s="10"/>
      <c r="U533" s="10"/>
      <c r="V533" s="10"/>
    </row>
    <row r="534" spans="1:22" s="11" customFormat="1" ht="12" customHeight="1" x14ac:dyDescent="0.15">
      <c r="A534" s="62"/>
      <c r="B534" s="65"/>
      <c r="N534" s="10"/>
      <c r="O534" s="10"/>
      <c r="P534" s="10"/>
      <c r="Q534" s="10"/>
      <c r="R534" s="10"/>
      <c r="S534" s="10"/>
      <c r="T534" s="10"/>
      <c r="U534" s="10"/>
      <c r="V534" s="10"/>
    </row>
    <row r="535" spans="1:22" s="11" customFormat="1" ht="12" customHeight="1" x14ac:dyDescent="0.15">
      <c r="A535" s="62"/>
      <c r="B535" s="65"/>
      <c r="N535" s="10"/>
      <c r="O535" s="10"/>
      <c r="P535" s="10"/>
      <c r="Q535" s="10"/>
      <c r="R535" s="10"/>
      <c r="S535" s="10"/>
      <c r="T535" s="10"/>
      <c r="U535" s="10"/>
      <c r="V535" s="10"/>
    </row>
    <row r="536" spans="1:22" s="11" customFormat="1" ht="12" customHeight="1" x14ac:dyDescent="0.15">
      <c r="A536" s="62"/>
      <c r="B536" s="65"/>
      <c r="N536" s="10"/>
      <c r="O536" s="10"/>
      <c r="P536" s="10"/>
      <c r="Q536" s="10"/>
      <c r="R536" s="10"/>
      <c r="S536" s="10"/>
      <c r="T536" s="10"/>
      <c r="U536" s="10"/>
      <c r="V536" s="10"/>
    </row>
    <row r="537" spans="1:22" s="11" customFormat="1" ht="12" customHeight="1" x14ac:dyDescent="0.15">
      <c r="A537" s="62"/>
      <c r="B537" s="65"/>
      <c r="N537" s="10"/>
      <c r="O537" s="10"/>
      <c r="P537" s="10"/>
      <c r="Q537" s="10"/>
      <c r="R537" s="10"/>
      <c r="S537" s="10"/>
      <c r="T537" s="10"/>
      <c r="U537" s="10"/>
      <c r="V537" s="10"/>
    </row>
    <row r="538" spans="1:22" s="11" customFormat="1" ht="12" customHeight="1" x14ac:dyDescent="0.15">
      <c r="A538" s="62"/>
      <c r="B538" s="65"/>
      <c r="N538" s="10"/>
      <c r="O538" s="10"/>
      <c r="P538" s="10"/>
      <c r="Q538" s="10"/>
      <c r="R538" s="10"/>
      <c r="S538" s="10"/>
      <c r="T538" s="10"/>
      <c r="U538" s="10"/>
      <c r="V538" s="10"/>
    </row>
    <row r="539" spans="1:22" s="11" customFormat="1" ht="12" customHeight="1" x14ac:dyDescent="0.15">
      <c r="A539" s="62"/>
      <c r="B539" s="65"/>
      <c r="N539" s="10"/>
      <c r="O539" s="10"/>
      <c r="P539" s="10"/>
      <c r="Q539" s="10"/>
      <c r="R539" s="10"/>
      <c r="S539" s="10"/>
      <c r="T539" s="10"/>
      <c r="U539" s="10"/>
      <c r="V539" s="10"/>
    </row>
    <row r="540" spans="1:22" s="11" customFormat="1" ht="12" customHeight="1" x14ac:dyDescent="0.15">
      <c r="A540" s="62"/>
      <c r="B540" s="65"/>
      <c r="N540" s="10"/>
      <c r="O540" s="10"/>
      <c r="P540" s="10"/>
      <c r="Q540" s="10"/>
      <c r="R540" s="10"/>
      <c r="S540" s="10"/>
      <c r="T540" s="10"/>
      <c r="U540" s="10"/>
      <c r="V540" s="10"/>
    </row>
    <row r="541" spans="1:22" s="11" customFormat="1" ht="12" customHeight="1" x14ac:dyDescent="0.15">
      <c r="A541" s="62"/>
      <c r="B541" s="65"/>
      <c r="N541" s="10"/>
      <c r="O541" s="10"/>
      <c r="P541" s="10"/>
      <c r="Q541" s="10"/>
      <c r="R541" s="10"/>
      <c r="S541" s="10"/>
      <c r="T541" s="10"/>
      <c r="U541" s="10"/>
      <c r="V541" s="10"/>
    </row>
    <row r="542" spans="1:22" s="11" customFormat="1" ht="12" customHeight="1" x14ac:dyDescent="0.15">
      <c r="A542" s="62"/>
      <c r="B542" s="65"/>
      <c r="N542" s="10"/>
      <c r="O542" s="10"/>
      <c r="P542" s="10"/>
      <c r="Q542" s="10"/>
      <c r="R542" s="10"/>
      <c r="S542" s="10"/>
      <c r="T542" s="10"/>
      <c r="U542" s="10"/>
      <c r="V542" s="10"/>
    </row>
    <row r="543" spans="1:22" s="11" customFormat="1" ht="12" customHeight="1" x14ac:dyDescent="0.15">
      <c r="A543" s="62"/>
      <c r="B543" s="65"/>
      <c r="N543" s="10"/>
      <c r="O543" s="10"/>
      <c r="P543" s="10"/>
      <c r="Q543" s="10"/>
      <c r="R543" s="10"/>
      <c r="S543" s="10"/>
      <c r="T543" s="10"/>
      <c r="U543" s="10"/>
      <c r="V543" s="10"/>
    </row>
    <row r="544" spans="1:22" s="11" customFormat="1" ht="12" customHeight="1" x14ac:dyDescent="0.15">
      <c r="A544" s="62"/>
      <c r="B544" s="65"/>
      <c r="N544" s="10"/>
      <c r="O544" s="10"/>
      <c r="P544" s="10"/>
      <c r="Q544" s="10"/>
      <c r="R544" s="10"/>
      <c r="S544" s="10"/>
      <c r="T544" s="10"/>
      <c r="U544" s="10"/>
      <c r="V544" s="10"/>
    </row>
    <row r="545" spans="1:22" s="11" customFormat="1" ht="12" customHeight="1" x14ac:dyDescent="0.15">
      <c r="A545" s="62"/>
      <c r="B545" s="65"/>
      <c r="N545" s="10"/>
      <c r="O545" s="10"/>
      <c r="P545" s="10"/>
      <c r="Q545" s="10"/>
      <c r="R545" s="10"/>
      <c r="S545" s="10"/>
      <c r="T545" s="10"/>
      <c r="U545" s="10"/>
      <c r="V545" s="10"/>
    </row>
    <row r="546" spans="1:22" s="11" customFormat="1" ht="12" customHeight="1" x14ac:dyDescent="0.15">
      <c r="A546" s="62"/>
      <c r="B546" s="65"/>
      <c r="N546" s="10"/>
      <c r="O546" s="10"/>
      <c r="P546" s="10"/>
      <c r="Q546" s="10"/>
      <c r="R546" s="10"/>
      <c r="S546" s="10"/>
      <c r="T546" s="10"/>
      <c r="U546" s="10"/>
      <c r="V546" s="10"/>
    </row>
    <row r="547" spans="1:22" s="11" customFormat="1" ht="12" customHeight="1" x14ac:dyDescent="0.15">
      <c r="A547" s="62"/>
      <c r="B547" s="65"/>
      <c r="N547" s="10"/>
      <c r="O547" s="10"/>
      <c r="P547" s="10"/>
      <c r="Q547" s="10"/>
      <c r="R547" s="10"/>
      <c r="S547" s="10"/>
      <c r="T547" s="10"/>
      <c r="U547" s="10"/>
      <c r="V547" s="10"/>
    </row>
    <row r="548" spans="1:22" s="11" customFormat="1" ht="12" customHeight="1" x14ac:dyDescent="0.15">
      <c r="A548" s="62"/>
      <c r="B548" s="65"/>
      <c r="N548" s="10"/>
      <c r="O548" s="10"/>
      <c r="P548" s="10"/>
      <c r="Q548" s="10"/>
      <c r="R548" s="10"/>
      <c r="S548" s="10"/>
      <c r="T548" s="10"/>
      <c r="U548" s="10"/>
      <c r="V548" s="10"/>
    </row>
    <row r="549" spans="1:22" s="11" customFormat="1" ht="12" customHeight="1" x14ac:dyDescent="0.15">
      <c r="A549" s="62"/>
      <c r="B549" s="65"/>
      <c r="N549" s="10"/>
      <c r="O549" s="10"/>
      <c r="P549" s="10"/>
      <c r="Q549" s="10"/>
      <c r="R549" s="10"/>
      <c r="S549" s="10"/>
      <c r="T549" s="10"/>
      <c r="U549" s="10"/>
      <c r="V549" s="10"/>
    </row>
    <row r="550" spans="1:22" s="11" customFormat="1" ht="12" customHeight="1" x14ac:dyDescent="0.15">
      <c r="A550" s="62"/>
      <c r="B550" s="65"/>
      <c r="N550" s="10"/>
      <c r="O550" s="10"/>
      <c r="P550" s="10"/>
      <c r="Q550" s="10"/>
      <c r="R550" s="10"/>
      <c r="S550" s="10"/>
      <c r="T550" s="10"/>
      <c r="U550" s="10"/>
      <c r="V550" s="10"/>
    </row>
    <row r="551" spans="1:22" s="11" customFormat="1" ht="12" customHeight="1" x14ac:dyDescent="0.15">
      <c r="A551" s="62"/>
      <c r="B551" s="65"/>
      <c r="N551" s="10"/>
      <c r="O551" s="10"/>
      <c r="P551" s="10"/>
      <c r="Q551" s="10"/>
      <c r="R551" s="10"/>
      <c r="S551" s="10"/>
      <c r="T551" s="10"/>
      <c r="U551" s="10"/>
      <c r="V551" s="10"/>
    </row>
    <row r="552" spans="1:22" s="11" customFormat="1" ht="12" customHeight="1" x14ac:dyDescent="0.15">
      <c r="A552" s="62"/>
      <c r="B552" s="65"/>
      <c r="N552" s="10"/>
      <c r="O552" s="10"/>
      <c r="P552" s="10"/>
      <c r="Q552" s="10"/>
      <c r="R552" s="10"/>
      <c r="S552" s="10"/>
      <c r="T552" s="10"/>
      <c r="U552" s="10"/>
      <c r="V552" s="10"/>
    </row>
    <row r="553" spans="1:22" s="11" customFormat="1" ht="12" customHeight="1" x14ac:dyDescent="0.15">
      <c r="A553" s="62"/>
      <c r="B553" s="65"/>
      <c r="N553" s="10"/>
      <c r="O553" s="10"/>
      <c r="P553" s="10"/>
      <c r="Q553" s="10"/>
      <c r="R553" s="10"/>
      <c r="S553" s="10"/>
      <c r="T553" s="10"/>
      <c r="U553" s="10"/>
      <c r="V553" s="10"/>
    </row>
    <row r="554" spans="1:22" s="11" customFormat="1" ht="12" customHeight="1" x14ac:dyDescent="0.15">
      <c r="A554" s="62"/>
      <c r="B554" s="65"/>
      <c r="N554" s="10"/>
      <c r="O554" s="10"/>
      <c r="P554" s="10"/>
      <c r="Q554" s="10"/>
      <c r="R554" s="10"/>
      <c r="S554" s="10"/>
      <c r="T554" s="10"/>
      <c r="U554" s="10"/>
      <c r="V554" s="10"/>
    </row>
    <row r="555" spans="1:22" s="11" customFormat="1" ht="12" customHeight="1" x14ac:dyDescent="0.15">
      <c r="A555" s="62"/>
      <c r="B555" s="65"/>
      <c r="N555" s="10"/>
      <c r="O555" s="10"/>
      <c r="P555" s="10"/>
      <c r="Q555" s="10"/>
      <c r="R555" s="10"/>
      <c r="S555" s="10"/>
      <c r="T555" s="10"/>
      <c r="U555" s="10"/>
      <c r="V555" s="10"/>
    </row>
    <row r="556" spans="1:22" s="11" customFormat="1" ht="12" customHeight="1" x14ac:dyDescent="0.15">
      <c r="A556" s="62"/>
      <c r="B556" s="65"/>
      <c r="N556" s="10"/>
      <c r="O556" s="10"/>
      <c r="P556" s="10"/>
      <c r="Q556" s="10"/>
      <c r="R556" s="10"/>
      <c r="S556" s="10"/>
      <c r="T556" s="10"/>
      <c r="U556" s="10"/>
      <c r="V556" s="10"/>
    </row>
    <row r="557" spans="1:22" s="11" customFormat="1" ht="12" customHeight="1" x14ac:dyDescent="0.15">
      <c r="A557" s="62"/>
      <c r="B557" s="65"/>
      <c r="N557" s="10"/>
      <c r="O557" s="10"/>
      <c r="P557" s="10"/>
      <c r="Q557" s="10"/>
      <c r="R557" s="10"/>
      <c r="S557" s="10"/>
      <c r="T557" s="10"/>
      <c r="U557" s="10"/>
      <c r="V557" s="10"/>
    </row>
    <row r="558" spans="1:22" s="11" customFormat="1" ht="12" customHeight="1" x14ac:dyDescent="0.15">
      <c r="A558" s="62"/>
      <c r="B558" s="65"/>
      <c r="N558" s="10"/>
      <c r="O558" s="10"/>
      <c r="P558" s="10"/>
      <c r="Q558" s="10"/>
      <c r="R558" s="10"/>
      <c r="S558" s="10"/>
      <c r="T558" s="10"/>
      <c r="U558" s="10"/>
      <c r="V558" s="10"/>
    </row>
    <row r="559" spans="1:22" s="11" customFormat="1" ht="12" customHeight="1" x14ac:dyDescent="0.15">
      <c r="A559" s="62"/>
      <c r="B559" s="65"/>
      <c r="N559" s="10"/>
      <c r="O559" s="10"/>
      <c r="P559" s="10"/>
      <c r="Q559" s="10"/>
      <c r="R559" s="10"/>
      <c r="S559" s="10"/>
      <c r="T559" s="10"/>
      <c r="U559" s="10"/>
      <c r="V559" s="10"/>
    </row>
    <row r="560" spans="1:22" s="11" customFormat="1" ht="12" customHeight="1" x14ac:dyDescent="0.15">
      <c r="A560" s="62"/>
      <c r="B560" s="65"/>
      <c r="N560" s="10"/>
      <c r="O560" s="10"/>
      <c r="P560" s="10"/>
      <c r="Q560" s="10"/>
      <c r="R560" s="10"/>
      <c r="S560" s="10"/>
      <c r="T560" s="10"/>
      <c r="U560" s="10"/>
      <c r="V560" s="10"/>
    </row>
    <row r="561" spans="1:22" s="11" customFormat="1" ht="12" customHeight="1" x14ac:dyDescent="0.15">
      <c r="A561" s="62"/>
      <c r="B561" s="65"/>
      <c r="N561" s="10"/>
      <c r="O561" s="10"/>
      <c r="P561" s="10"/>
      <c r="Q561" s="10"/>
      <c r="R561" s="10"/>
      <c r="S561" s="10"/>
      <c r="T561" s="10"/>
      <c r="U561" s="10"/>
      <c r="V561" s="10"/>
    </row>
    <row r="562" spans="1:22" s="11" customFormat="1" ht="12" customHeight="1" x14ac:dyDescent="0.15">
      <c r="A562" s="62"/>
      <c r="B562" s="65"/>
      <c r="N562" s="10"/>
      <c r="O562" s="10"/>
      <c r="P562" s="10"/>
      <c r="Q562" s="10"/>
      <c r="R562" s="10"/>
      <c r="S562" s="10"/>
      <c r="T562" s="10"/>
      <c r="U562" s="10"/>
      <c r="V562" s="10"/>
    </row>
    <row r="563" spans="1:22" s="11" customFormat="1" ht="12" customHeight="1" x14ac:dyDescent="0.15">
      <c r="A563" s="62"/>
      <c r="B563" s="65"/>
      <c r="N563" s="10"/>
      <c r="O563" s="10"/>
      <c r="P563" s="10"/>
      <c r="Q563" s="10"/>
      <c r="R563" s="10"/>
      <c r="S563" s="10"/>
      <c r="T563" s="10"/>
      <c r="U563" s="10"/>
      <c r="V563" s="10"/>
    </row>
    <row r="564" spans="1:22" s="11" customFormat="1" ht="12" customHeight="1" x14ac:dyDescent="0.15">
      <c r="A564" s="62"/>
      <c r="B564" s="65"/>
      <c r="N564" s="10"/>
      <c r="O564" s="10"/>
      <c r="P564" s="10"/>
      <c r="Q564" s="10"/>
      <c r="R564" s="10"/>
      <c r="S564" s="10"/>
      <c r="T564" s="10"/>
      <c r="U564" s="10"/>
      <c r="V564" s="10"/>
    </row>
    <row r="565" spans="1:22" s="11" customFormat="1" ht="12" customHeight="1" x14ac:dyDescent="0.15">
      <c r="A565" s="62"/>
      <c r="B565" s="65"/>
      <c r="N565" s="10"/>
      <c r="O565" s="10"/>
      <c r="P565" s="10"/>
      <c r="Q565" s="10"/>
      <c r="R565" s="10"/>
      <c r="S565" s="10"/>
      <c r="T565" s="10"/>
      <c r="U565" s="10"/>
      <c r="V565" s="10"/>
    </row>
    <row r="566" spans="1:22" s="11" customFormat="1" ht="12" customHeight="1" x14ac:dyDescent="0.15">
      <c r="A566" s="62"/>
      <c r="B566" s="65"/>
      <c r="N566" s="10"/>
      <c r="O566" s="10"/>
      <c r="P566" s="10"/>
      <c r="Q566" s="10"/>
      <c r="R566" s="10"/>
      <c r="S566" s="10"/>
      <c r="T566" s="10"/>
      <c r="U566" s="10"/>
      <c r="V566" s="10"/>
    </row>
    <row r="567" spans="1:22" s="11" customFormat="1" ht="12" customHeight="1" x14ac:dyDescent="0.15">
      <c r="A567" s="62"/>
      <c r="B567" s="65"/>
      <c r="N567" s="10"/>
      <c r="O567" s="10"/>
      <c r="P567" s="10"/>
      <c r="Q567" s="10"/>
      <c r="R567" s="10"/>
      <c r="S567" s="10"/>
      <c r="T567" s="10"/>
      <c r="U567" s="10"/>
      <c r="V567" s="10"/>
    </row>
    <row r="568" spans="1:22" s="11" customFormat="1" ht="12" customHeight="1" x14ac:dyDescent="0.15">
      <c r="A568" s="62"/>
      <c r="B568" s="65"/>
      <c r="N568" s="10"/>
      <c r="O568" s="10"/>
      <c r="P568" s="10"/>
      <c r="Q568" s="10"/>
      <c r="R568" s="10"/>
      <c r="S568" s="10"/>
      <c r="T568" s="10"/>
      <c r="U568" s="10"/>
      <c r="V568" s="10"/>
    </row>
    <row r="569" spans="1:22" s="11" customFormat="1" ht="12" customHeight="1" x14ac:dyDescent="0.15">
      <c r="A569" s="62"/>
      <c r="B569" s="65"/>
      <c r="N569" s="10"/>
      <c r="O569" s="10"/>
      <c r="P569" s="10"/>
      <c r="Q569" s="10"/>
      <c r="R569" s="10"/>
      <c r="S569" s="10"/>
      <c r="T569" s="10"/>
      <c r="U569" s="10"/>
      <c r="V569" s="10"/>
    </row>
    <row r="570" spans="1:22" s="11" customFormat="1" ht="12" customHeight="1" x14ac:dyDescent="0.15">
      <c r="A570" s="62"/>
      <c r="B570" s="65"/>
      <c r="N570" s="10"/>
      <c r="O570" s="10"/>
      <c r="P570" s="10"/>
      <c r="Q570" s="10"/>
      <c r="R570" s="10"/>
      <c r="S570" s="10"/>
      <c r="T570" s="10"/>
      <c r="U570" s="10"/>
      <c r="V570" s="10"/>
    </row>
    <row r="571" spans="1:22" s="11" customFormat="1" ht="12" customHeight="1" x14ac:dyDescent="0.15">
      <c r="A571" s="62"/>
      <c r="B571" s="65"/>
      <c r="N571" s="10"/>
      <c r="O571" s="10"/>
      <c r="P571" s="10"/>
      <c r="Q571" s="10"/>
      <c r="R571" s="10"/>
      <c r="S571" s="10"/>
      <c r="T571" s="10"/>
      <c r="U571" s="10"/>
      <c r="V571" s="10"/>
    </row>
    <row r="572" spans="1:22" s="11" customFormat="1" ht="12" customHeight="1" x14ac:dyDescent="0.15">
      <c r="A572" s="62"/>
      <c r="B572" s="65"/>
      <c r="N572" s="10"/>
      <c r="O572" s="10"/>
      <c r="P572" s="10"/>
      <c r="Q572" s="10"/>
      <c r="R572" s="10"/>
      <c r="S572" s="10"/>
      <c r="T572" s="10"/>
      <c r="U572" s="10"/>
      <c r="V572" s="10"/>
    </row>
    <row r="573" spans="1:22" s="11" customFormat="1" ht="12" customHeight="1" x14ac:dyDescent="0.15">
      <c r="A573" s="62"/>
      <c r="B573" s="65"/>
      <c r="N573" s="10"/>
      <c r="O573" s="10"/>
      <c r="P573" s="10"/>
      <c r="Q573" s="10"/>
      <c r="R573" s="10"/>
      <c r="S573" s="10"/>
      <c r="T573" s="10"/>
      <c r="U573" s="10"/>
      <c r="V573" s="10"/>
    </row>
    <row r="574" spans="1:22" s="11" customFormat="1" ht="12" customHeight="1" x14ac:dyDescent="0.15">
      <c r="A574" s="62"/>
      <c r="B574" s="65"/>
      <c r="N574" s="10"/>
      <c r="O574" s="10"/>
      <c r="P574" s="10"/>
      <c r="Q574" s="10"/>
      <c r="R574" s="10"/>
      <c r="S574" s="10"/>
      <c r="T574" s="10"/>
      <c r="U574" s="10"/>
      <c r="V574" s="10"/>
    </row>
    <row r="575" spans="1:22" s="11" customFormat="1" ht="12" customHeight="1" x14ac:dyDescent="0.15">
      <c r="A575" s="62"/>
      <c r="B575" s="65"/>
      <c r="N575" s="10"/>
      <c r="O575" s="10"/>
      <c r="P575" s="10"/>
      <c r="Q575" s="10"/>
      <c r="R575" s="10"/>
      <c r="S575" s="10"/>
      <c r="T575" s="10"/>
      <c r="U575" s="10"/>
      <c r="V575" s="10"/>
    </row>
    <row r="576" spans="1:22" s="11" customFormat="1" ht="12" customHeight="1" x14ac:dyDescent="0.15">
      <c r="A576" s="62"/>
      <c r="B576" s="65"/>
      <c r="N576" s="10"/>
      <c r="O576" s="10"/>
      <c r="P576" s="10"/>
      <c r="Q576" s="10"/>
      <c r="R576" s="10"/>
      <c r="S576" s="10"/>
      <c r="T576" s="10"/>
      <c r="U576" s="10"/>
      <c r="V576" s="10"/>
    </row>
    <row r="577" spans="1:22" s="11" customFormat="1" ht="12" customHeight="1" x14ac:dyDescent="0.15">
      <c r="A577" s="62"/>
      <c r="B577" s="65"/>
      <c r="N577" s="10"/>
      <c r="O577" s="10"/>
      <c r="P577" s="10"/>
      <c r="Q577" s="10"/>
      <c r="R577" s="10"/>
      <c r="S577" s="10"/>
      <c r="T577" s="10"/>
      <c r="U577" s="10"/>
      <c r="V577" s="10"/>
    </row>
    <row r="578" spans="1:22" s="11" customFormat="1" ht="12" customHeight="1" x14ac:dyDescent="0.15">
      <c r="A578" s="62"/>
      <c r="B578" s="65"/>
      <c r="N578" s="10"/>
      <c r="O578" s="10"/>
      <c r="P578" s="10"/>
      <c r="Q578" s="10"/>
      <c r="R578" s="10"/>
      <c r="S578" s="10"/>
      <c r="T578" s="10"/>
      <c r="U578" s="10"/>
      <c r="V578" s="10"/>
    </row>
    <row r="579" spans="1:22" s="11" customFormat="1" ht="12" customHeight="1" x14ac:dyDescent="0.15">
      <c r="A579" s="62"/>
      <c r="B579" s="65"/>
      <c r="N579" s="10"/>
      <c r="O579" s="10"/>
      <c r="P579" s="10"/>
      <c r="Q579" s="10"/>
      <c r="R579" s="10"/>
      <c r="S579" s="10"/>
      <c r="T579" s="10"/>
      <c r="U579" s="10"/>
      <c r="V579" s="10"/>
    </row>
    <row r="580" spans="1:22" s="11" customFormat="1" ht="12" customHeight="1" x14ac:dyDescent="0.15">
      <c r="A580" s="62"/>
      <c r="B580" s="65"/>
      <c r="N580" s="10"/>
      <c r="O580" s="10"/>
      <c r="P580" s="10"/>
      <c r="Q580" s="10"/>
      <c r="R580" s="10"/>
      <c r="S580" s="10"/>
      <c r="T580" s="10"/>
      <c r="U580" s="10"/>
      <c r="V580" s="10"/>
    </row>
    <row r="581" spans="1:22" s="11" customFormat="1" ht="12" customHeight="1" x14ac:dyDescent="0.15">
      <c r="A581" s="62"/>
      <c r="B581" s="65"/>
      <c r="N581" s="10"/>
      <c r="O581" s="10"/>
      <c r="P581" s="10"/>
      <c r="Q581" s="10"/>
      <c r="R581" s="10"/>
      <c r="S581" s="10"/>
      <c r="T581" s="10"/>
      <c r="U581" s="10"/>
      <c r="V581" s="10"/>
    </row>
    <row r="582" spans="1:22" s="11" customFormat="1" ht="12" customHeight="1" x14ac:dyDescent="0.15">
      <c r="A582" s="62"/>
      <c r="B582" s="65"/>
      <c r="N582" s="10"/>
      <c r="O582" s="10"/>
      <c r="P582" s="10"/>
      <c r="Q582" s="10"/>
      <c r="R582" s="10"/>
      <c r="S582" s="10"/>
      <c r="T582" s="10"/>
      <c r="U582" s="10"/>
      <c r="V582" s="10"/>
    </row>
    <row r="583" spans="1:22" s="11" customFormat="1" ht="12" customHeight="1" x14ac:dyDescent="0.15">
      <c r="A583" s="62"/>
      <c r="B583" s="65"/>
      <c r="N583" s="10"/>
      <c r="O583" s="10"/>
      <c r="P583" s="10"/>
      <c r="Q583" s="10"/>
      <c r="R583" s="10"/>
      <c r="S583" s="10"/>
      <c r="T583" s="10"/>
      <c r="U583" s="10"/>
      <c r="V583" s="10"/>
    </row>
    <row r="584" spans="1:22" s="11" customFormat="1" ht="12" customHeight="1" x14ac:dyDescent="0.15">
      <c r="A584" s="62"/>
      <c r="B584" s="65"/>
      <c r="N584" s="10"/>
      <c r="O584" s="10"/>
      <c r="P584" s="10"/>
      <c r="Q584" s="10"/>
      <c r="R584" s="10"/>
      <c r="S584" s="10"/>
      <c r="T584" s="10"/>
      <c r="U584" s="10"/>
      <c r="V584" s="10"/>
    </row>
    <row r="585" spans="1:22" s="11" customFormat="1" ht="12" customHeight="1" x14ac:dyDescent="0.15">
      <c r="A585" s="62"/>
      <c r="B585" s="65"/>
      <c r="N585" s="10"/>
      <c r="O585" s="10"/>
      <c r="P585" s="10"/>
      <c r="Q585" s="10"/>
      <c r="R585" s="10"/>
      <c r="S585" s="10"/>
      <c r="T585" s="10"/>
      <c r="U585" s="10"/>
      <c r="V585" s="10"/>
    </row>
    <row r="586" spans="1:22" s="11" customFormat="1" ht="12" customHeight="1" x14ac:dyDescent="0.15">
      <c r="A586" s="62"/>
      <c r="B586" s="65"/>
      <c r="N586" s="10"/>
      <c r="O586" s="10"/>
      <c r="P586" s="10"/>
      <c r="Q586" s="10"/>
      <c r="R586" s="10"/>
      <c r="S586" s="10"/>
      <c r="T586" s="10"/>
      <c r="U586" s="10"/>
      <c r="V586" s="10"/>
    </row>
    <row r="587" spans="1:22" s="11" customFormat="1" ht="12" customHeight="1" x14ac:dyDescent="0.15">
      <c r="A587" s="62"/>
      <c r="B587" s="65"/>
      <c r="N587" s="10"/>
      <c r="O587" s="10"/>
      <c r="P587" s="10"/>
      <c r="Q587" s="10"/>
      <c r="R587" s="10"/>
      <c r="S587" s="10"/>
      <c r="T587" s="10"/>
      <c r="U587" s="10"/>
      <c r="V587" s="10"/>
    </row>
    <row r="588" spans="1:22" s="11" customFormat="1" ht="12" customHeight="1" x14ac:dyDescent="0.15">
      <c r="A588" s="62"/>
      <c r="B588" s="65"/>
      <c r="N588" s="10"/>
      <c r="O588" s="10"/>
      <c r="P588" s="10"/>
      <c r="Q588" s="10"/>
      <c r="R588" s="10"/>
      <c r="S588" s="10"/>
      <c r="T588" s="10"/>
      <c r="U588" s="10"/>
      <c r="V588" s="10"/>
    </row>
    <row r="589" spans="1:22" s="11" customFormat="1" ht="12" customHeight="1" x14ac:dyDescent="0.15">
      <c r="A589" s="62"/>
      <c r="B589" s="65"/>
      <c r="N589" s="10"/>
      <c r="O589" s="10"/>
      <c r="P589" s="10"/>
      <c r="Q589" s="10"/>
      <c r="R589" s="10"/>
      <c r="S589" s="10"/>
      <c r="T589" s="10"/>
      <c r="U589" s="10"/>
      <c r="V589" s="10"/>
    </row>
    <row r="590" spans="1:22" s="11" customFormat="1" ht="12" customHeight="1" x14ac:dyDescent="0.15">
      <c r="A590" s="62"/>
      <c r="B590" s="65"/>
      <c r="N590" s="10"/>
      <c r="O590" s="10"/>
      <c r="P590" s="10"/>
      <c r="Q590" s="10"/>
      <c r="R590" s="10"/>
      <c r="S590" s="10"/>
      <c r="T590" s="10"/>
      <c r="U590" s="10"/>
      <c r="V590" s="10"/>
    </row>
    <row r="591" spans="1:22" s="11" customFormat="1" ht="12" customHeight="1" x14ac:dyDescent="0.15">
      <c r="A591" s="62"/>
      <c r="B591" s="65"/>
      <c r="N591" s="10"/>
      <c r="O591" s="10"/>
      <c r="P591" s="10"/>
      <c r="Q591" s="10"/>
      <c r="R591" s="10"/>
      <c r="S591" s="10"/>
      <c r="T591" s="10"/>
      <c r="U591" s="10"/>
      <c r="V591" s="10"/>
    </row>
    <row r="592" spans="1:22" s="11" customFormat="1" ht="12" customHeight="1" x14ac:dyDescent="0.15">
      <c r="A592" s="62"/>
      <c r="B592" s="65"/>
      <c r="N592" s="10"/>
      <c r="O592" s="10"/>
      <c r="P592" s="10"/>
      <c r="Q592" s="10"/>
      <c r="R592" s="10"/>
      <c r="S592" s="10"/>
      <c r="T592" s="10"/>
      <c r="U592" s="10"/>
      <c r="V592" s="10"/>
    </row>
    <row r="593" spans="1:22" s="11" customFormat="1" ht="12" customHeight="1" x14ac:dyDescent="0.15">
      <c r="A593" s="62"/>
      <c r="B593" s="65"/>
      <c r="N593" s="10"/>
      <c r="O593" s="10"/>
      <c r="P593" s="10"/>
      <c r="Q593" s="10"/>
      <c r="R593" s="10"/>
      <c r="S593" s="10"/>
      <c r="T593" s="10"/>
      <c r="U593" s="10"/>
      <c r="V593" s="10"/>
    </row>
    <row r="594" spans="1:22" s="11" customFormat="1" ht="12" customHeight="1" x14ac:dyDescent="0.15">
      <c r="A594" s="62"/>
      <c r="B594" s="65"/>
      <c r="N594" s="10"/>
      <c r="O594" s="10"/>
      <c r="P594" s="10"/>
      <c r="Q594" s="10"/>
      <c r="R594" s="10"/>
      <c r="S594" s="10"/>
      <c r="T594" s="10"/>
      <c r="U594" s="10"/>
      <c r="V594" s="10"/>
    </row>
    <row r="595" spans="1:22" s="11" customFormat="1" ht="12" customHeight="1" x14ac:dyDescent="0.15">
      <c r="A595" s="62"/>
      <c r="B595" s="65"/>
      <c r="N595" s="10"/>
      <c r="O595" s="10"/>
      <c r="P595" s="10"/>
      <c r="Q595" s="10"/>
      <c r="R595" s="10"/>
      <c r="S595" s="10"/>
      <c r="T595" s="10"/>
      <c r="U595" s="10"/>
      <c r="V595" s="10"/>
    </row>
    <row r="596" spans="1:22" s="11" customFormat="1" ht="12" customHeight="1" x14ac:dyDescent="0.15">
      <c r="A596" s="62"/>
      <c r="B596" s="65"/>
      <c r="N596" s="10"/>
      <c r="O596" s="10"/>
      <c r="P596" s="10"/>
      <c r="Q596" s="10"/>
      <c r="R596" s="10"/>
      <c r="S596" s="10"/>
      <c r="T596" s="10"/>
      <c r="U596" s="10"/>
      <c r="V596" s="10"/>
    </row>
    <row r="597" spans="1:22" s="11" customFormat="1" ht="12" customHeight="1" x14ac:dyDescent="0.15">
      <c r="A597" s="62"/>
      <c r="B597" s="65"/>
      <c r="N597" s="10"/>
      <c r="O597" s="10"/>
      <c r="P597" s="10"/>
      <c r="Q597" s="10"/>
      <c r="R597" s="10"/>
      <c r="S597" s="10"/>
      <c r="T597" s="10"/>
      <c r="U597" s="10"/>
      <c r="V597" s="10"/>
    </row>
    <row r="598" spans="1:22" s="11" customFormat="1" ht="12" customHeight="1" x14ac:dyDescent="0.15">
      <c r="A598" s="62"/>
      <c r="B598" s="65"/>
      <c r="N598" s="10"/>
      <c r="O598" s="10"/>
      <c r="P598" s="10"/>
      <c r="Q598" s="10"/>
      <c r="R598" s="10"/>
      <c r="S598" s="10"/>
      <c r="T598" s="10"/>
      <c r="U598" s="10"/>
      <c r="V598" s="10"/>
    </row>
    <row r="599" spans="1:22" s="11" customFormat="1" ht="12" customHeight="1" x14ac:dyDescent="0.15">
      <c r="A599" s="62"/>
      <c r="B599" s="65"/>
      <c r="N599" s="10"/>
      <c r="O599" s="10"/>
      <c r="P599" s="10"/>
      <c r="Q599" s="10"/>
      <c r="R599" s="10"/>
      <c r="S599" s="10"/>
      <c r="T599" s="10"/>
      <c r="U599" s="10"/>
      <c r="V599" s="10"/>
    </row>
    <row r="600" spans="1:22" s="11" customFormat="1" ht="12" customHeight="1" x14ac:dyDescent="0.15">
      <c r="A600" s="62"/>
      <c r="B600" s="65"/>
      <c r="N600" s="10"/>
      <c r="O600" s="10"/>
      <c r="P600" s="10"/>
      <c r="Q600" s="10"/>
      <c r="R600" s="10"/>
      <c r="S600" s="10"/>
      <c r="T600" s="10"/>
      <c r="U600" s="10"/>
      <c r="V600" s="10"/>
    </row>
    <row r="601" spans="1:22" s="11" customFormat="1" ht="12" customHeight="1" x14ac:dyDescent="0.15">
      <c r="A601" s="62"/>
      <c r="B601" s="65"/>
      <c r="N601" s="10"/>
      <c r="O601" s="10"/>
      <c r="P601" s="10"/>
      <c r="Q601" s="10"/>
      <c r="R601" s="10"/>
      <c r="S601" s="10"/>
      <c r="T601" s="10"/>
      <c r="U601" s="10"/>
      <c r="V601" s="10"/>
    </row>
    <row r="602" spans="1:22" s="11" customFormat="1" ht="12" customHeight="1" x14ac:dyDescent="0.15">
      <c r="A602" s="62"/>
      <c r="B602" s="65"/>
      <c r="N602" s="10"/>
      <c r="O602" s="10"/>
      <c r="P602" s="10"/>
      <c r="Q602" s="10"/>
      <c r="R602" s="10"/>
      <c r="S602" s="10"/>
      <c r="T602" s="10"/>
      <c r="U602" s="10"/>
      <c r="V602" s="10"/>
    </row>
    <row r="603" spans="1:22" s="11" customFormat="1" ht="12" customHeight="1" x14ac:dyDescent="0.15">
      <c r="A603" s="62"/>
      <c r="B603" s="65"/>
      <c r="N603" s="10"/>
      <c r="O603" s="10"/>
      <c r="P603" s="10"/>
      <c r="Q603" s="10"/>
      <c r="R603" s="10"/>
      <c r="S603" s="10"/>
      <c r="T603" s="10"/>
      <c r="U603" s="10"/>
      <c r="V603" s="10"/>
    </row>
    <row r="604" spans="1:22" s="11" customFormat="1" ht="12" customHeight="1" x14ac:dyDescent="0.15">
      <c r="A604" s="62"/>
      <c r="B604" s="65"/>
      <c r="N604" s="10"/>
      <c r="O604" s="10"/>
      <c r="P604" s="10"/>
      <c r="Q604" s="10"/>
      <c r="R604" s="10"/>
      <c r="S604" s="10"/>
      <c r="T604" s="10"/>
      <c r="U604" s="10"/>
      <c r="V604" s="10"/>
    </row>
    <row r="605" spans="1:22" s="11" customFormat="1" ht="12" customHeight="1" x14ac:dyDescent="0.15">
      <c r="A605" s="62"/>
      <c r="B605" s="65"/>
      <c r="N605" s="10"/>
      <c r="O605" s="10"/>
      <c r="P605" s="10"/>
      <c r="Q605" s="10"/>
      <c r="R605" s="10"/>
      <c r="S605" s="10"/>
      <c r="T605" s="10"/>
      <c r="U605" s="10"/>
      <c r="V605" s="10"/>
    </row>
    <row r="606" spans="1:22" s="11" customFormat="1" ht="12" customHeight="1" x14ac:dyDescent="0.15">
      <c r="A606" s="62"/>
      <c r="B606" s="65"/>
      <c r="N606" s="10"/>
      <c r="O606" s="10"/>
      <c r="P606" s="10"/>
      <c r="Q606" s="10"/>
      <c r="R606" s="10"/>
      <c r="S606" s="10"/>
      <c r="T606" s="10"/>
      <c r="U606" s="10"/>
      <c r="V606" s="10"/>
    </row>
    <row r="607" spans="1:22" s="11" customFormat="1" ht="12" customHeight="1" x14ac:dyDescent="0.15">
      <c r="A607" s="62"/>
      <c r="B607" s="65"/>
      <c r="N607" s="10"/>
      <c r="O607" s="10"/>
      <c r="P607" s="10"/>
      <c r="Q607" s="10"/>
      <c r="R607" s="10"/>
      <c r="S607" s="10"/>
      <c r="T607" s="10"/>
      <c r="U607" s="10"/>
      <c r="V607" s="10"/>
    </row>
    <row r="608" spans="1:22" s="11" customFormat="1" ht="12" customHeight="1" x14ac:dyDescent="0.15">
      <c r="A608" s="62"/>
      <c r="B608" s="65"/>
      <c r="N608" s="10"/>
      <c r="O608" s="10"/>
      <c r="P608" s="10"/>
      <c r="Q608" s="10"/>
      <c r="R608" s="10"/>
      <c r="S608" s="10"/>
      <c r="T608" s="10"/>
      <c r="U608" s="10"/>
      <c r="V608" s="10"/>
    </row>
    <row r="609" spans="1:22" s="11" customFormat="1" ht="12" customHeight="1" x14ac:dyDescent="0.15">
      <c r="A609" s="62"/>
      <c r="B609" s="65"/>
      <c r="N609" s="10"/>
      <c r="O609" s="10"/>
      <c r="P609" s="10"/>
      <c r="Q609" s="10"/>
      <c r="R609" s="10"/>
      <c r="S609" s="10"/>
      <c r="T609" s="10"/>
      <c r="U609" s="10"/>
      <c r="V609" s="10"/>
    </row>
    <row r="610" spans="1:22" s="11" customFormat="1" ht="12" customHeight="1" x14ac:dyDescent="0.15">
      <c r="A610" s="62"/>
      <c r="B610" s="65"/>
      <c r="N610" s="10"/>
      <c r="O610" s="10"/>
      <c r="P610" s="10"/>
      <c r="Q610" s="10"/>
      <c r="R610" s="10"/>
      <c r="S610" s="10"/>
      <c r="T610" s="10"/>
      <c r="U610" s="10"/>
      <c r="V610" s="10"/>
    </row>
    <row r="611" spans="1:22" s="11" customFormat="1" ht="12" customHeight="1" x14ac:dyDescent="0.15">
      <c r="A611" s="62"/>
      <c r="B611" s="65"/>
      <c r="N611" s="10"/>
      <c r="O611" s="10"/>
      <c r="P611" s="10"/>
      <c r="Q611" s="10"/>
      <c r="R611" s="10"/>
      <c r="S611" s="10"/>
      <c r="T611" s="10"/>
      <c r="U611" s="10"/>
      <c r="V611" s="10"/>
    </row>
    <row r="612" spans="1:22" s="11" customFormat="1" ht="12" customHeight="1" x14ac:dyDescent="0.15">
      <c r="A612" s="62"/>
      <c r="B612" s="65"/>
      <c r="N612" s="10"/>
      <c r="O612" s="10"/>
      <c r="P612" s="10"/>
      <c r="Q612" s="10"/>
      <c r="R612" s="10"/>
      <c r="S612" s="10"/>
      <c r="T612" s="10"/>
      <c r="U612" s="10"/>
      <c r="V612" s="10"/>
    </row>
    <row r="613" spans="1:22" s="11" customFormat="1" ht="12" customHeight="1" x14ac:dyDescent="0.15">
      <c r="A613" s="62"/>
      <c r="B613" s="65"/>
      <c r="N613" s="10"/>
      <c r="O613" s="10"/>
      <c r="P613" s="10"/>
      <c r="Q613" s="10"/>
      <c r="R613" s="10"/>
      <c r="S613" s="10"/>
      <c r="T613" s="10"/>
      <c r="U613" s="10"/>
      <c r="V613" s="10"/>
    </row>
    <row r="614" spans="1:22" s="11" customFormat="1" ht="12" customHeight="1" x14ac:dyDescent="0.15">
      <c r="A614" s="62"/>
      <c r="B614" s="65"/>
      <c r="N614" s="10"/>
      <c r="O614" s="10"/>
      <c r="P614" s="10"/>
      <c r="Q614" s="10"/>
      <c r="R614" s="10"/>
      <c r="S614" s="10"/>
      <c r="T614" s="10"/>
      <c r="U614" s="10"/>
      <c r="V614" s="10"/>
    </row>
    <row r="615" spans="1:22" s="11" customFormat="1" ht="12" customHeight="1" x14ac:dyDescent="0.15">
      <c r="A615" s="62"/>
      <c r="B615" s="65"/>
      <c r="N615" s="10"/>
      <c r="O615" s="10"/>
      <c r="P615" s="10"/>
      <c r="Q615" s="10"/>
      <c r="R615" s="10"/>
      <c r="S615" s="10"/>
      <c r="T615" s="10"/>
      <c r="U615" s="10"/>
      <c r="V615" s="10"/>
    </row>
    <row r="616" spans="1:22" s="11" customFormat="1" ht="12" customHeight="1" x14ac:dyDescent="0.15">
      <c r="A616" s="62"/>
      <c r="B616" s="65"/>
      <c r="N616" s="10"/>
      <c r="O616" s="10"/>
      <c r="P616" s="10"/>
      <c r="Q616" s="10"/>
      <c r="R616" s="10"/>
      <c r="S616" s="10"/>
      <c r="T616" s="10"/>
      <c r="U616" s="10"/>
      <c r="V616" s="10"/>
    </row>
    <row r="617" spans="1:22" s="11" customFormat="1" ht="12" customHeight="1" x14ac:dyDescent="0.15">
      <c r="A617" s="62"/>
      <c r="B617" s="65"/>
      <c r="N617" s="10"/>
      <c r="O617" s="10"/>
      <c r="P617" s="10"/>
      <c r="Q617" s="10"/>
      <c r="R617" s="10"/>
      <c r="S617" s="10"/>
      <c r="T617" s="10"/>
      <c r="U617" s="10"/>
      <c r="V617" s="10"/>
    </row>
    <row r="618" spans="1:22" s="11" customFormat="1" ht="12" customHeight="1" x14ac:dyDescent="0.15">
      <c r="A618" s="62"/>
      <c r="B618" s="65"/>
      <c r="N618" s="10"/>
      <c r="O618" s="10"/>
      <c r="P618" s="10"/>
      <c r="Q618" s="10"/>
      <c r="R618" s="10"/>
      <c r="S618" s="10"/>
      <c r="T618" s="10"/>
      <c r="U618" s="10"/>
      <c r="V618" s="10"/>
    </row>
    <row r="619" spans="1:22" s="11" customFormat="1" ht="12" customHeight="1" x14ac:dyDescent="0.15">
      <c r="A619" s="62"/>
      <c r="B619" s="65"/>
      <c r="N619" s="10"/>
      <c r="O619" s="10"/>
      <c r="P619" s="10"/>
      <c r="Q619" s="10"/>
      <c r="R619" s="10"/>
      <c r="S619" s="10"/>
      <c r="T619" s="10"/>
      <c r="U619" s="10"/>
      <c r="V619" s="10"/>
    </row>
    <row r="620" spans="1:22" s="11" customFormat="1" ht="12" customHeight="1" x14ac:dyDescent="0.15">
      <c r="A620" s="62"/>
      <c r="B620" s="65"/>
      <c r="N620" s="10"/>
      <c r="O620" s="10"/>
      <c r="P620" s="10"/>
      <c r="Q620" s="10"/>
      <c r="R620" s="10"/>
      <c r="S620" s="10"/>
      <c r="T620" s="10"/>
      <c r="U620" s="10"/>
      <c r="V620" s="10"/>
    </row>
    <row r="621" spans="1:22" s="11" customFormat="1" ht="12" customHeight="1" x14ac:dyDescent="0.15">
      <c r="A621" s="62"/>
      <c r="B621" s="65"/>
      <c r="N621" s="10"/>
      <c r="O621" s="10"/>
      <c r="P621" s="10"/>
      <c r="Q621" s="10"/>
      <c r="R621" s="10"/>
      <c r="S621" s="10"/>
      <c r="T621" s="10"/>
      <c r="U621" s="10"/>
      <c r="V621" s="10"/>
    </row>
    <row r="622" spans="1:22" s="11" customFormat="1" ht="12" customHeight="1" x14ac:dyDescent="0.15">
      <c r="A622" s="62"/>
      <c r="B622" s="65"/>
      <c r="N622" s="10"/>
      <c r="O622" s="10"/>
      <c r="P622" s="10"/>
      <c r="Q622" s="10"/>
      <c r="R622" s="10"/>
      <c r="S622" s="10"/>
      <c r="T622" s="10"/>
      <c r="U622" s="10"/>
      <c r="V622" s="10"/>
    </row>
    <row r="623" spans="1:22" s="11" customFormat="1" ht="12" customHeight="1" x14ac:dyDescent="0.15">
      <c r="A623" s="62"/>
      <c r="B623" s="65"/>
      <c r="N623" s="10"/>
      <c r="O623" s="10"/>
      <c r="P623" s="10"/>
      <c r="Q623" s="10"/>
      <c r="R623" s="10"/>
      <c r="S623" s="10"/>
      <c r="T623" s="10"/>
      <c r="U623" s="10"/>
      <c r="V623" s="10"/>
    </row>
    <row r="624" spans="1:22" s="11" customFormat="1" ht="12" customHeight="1" x14ac:dyDescent="0.15">
      <c r="A624" s="62"/>
      <c r="B624" s="65"/>
      <c r="N624" s="10"/>
      <c r="O624" s="10"/>
      <c r="P624" s="10"/>
      <c r="Q624" s="10"/>
      <c r="R624" s="10"/>
      <c r="S624" s="10"/>
      <c r="T624" s="10"/>
      <c r="U624" s="10"/>
      <c r="V624" s="10"/>
    </row>
    <row r="625" spans="1:22" s="11" customFormat="1" ht="12" customHeight="1" x14ac:dyDescent="0.15">
      <c r="A625" s="62"/>
      <c r="B625" s="65"/>
      <c r="N625" s="10"/>
      <c r="O625" s="10"/>
      <c r="P625" s="10"/>
      <c r="Q625" s="10"/>
      <c r="R625" s="10"/>
      <c r="S625" s="10"/>
      <c r="T625" s="10"/>
      <c r="U625" s="10"/>
      <c r="V625" s="10"/>
    </row>
    <row r="626" spans="1:22" s="11" customFormat="1" ht="12" customHeight="1" x14ac:dyDescent="0.15">
      <c r="A626" s="62"/>
      <c r="B626" s="65"/>
      <c r="N626" s="10"/>
      <c r="O626" s="10"/>
      <c r="P626" s="10"/>
      <c r="Q626" s="10"/>
      <c r="R626" s="10"/>
      <c r="S626" s="10"/>
      <c r="T626" s="10"/>
      <c r="U626" s="10"/>
      <c r="V626" s="10"/>
    </row>
    <row r="627" spans="1:22" s="11" customFormat="1" ht="12" customHeight="1" x14ac:dyDescent="0.15">
      <c r="A627" s="62"/>
      <c r="B627" s="65"/>
      <c r="N627" s="10"/>
      <c r="O627" s="10"/>
      <c r="P627" s="10"/>
      <c r="Q627" s="10"/>
      <c r="R627" s="10"/>
      <c r="S627" s="10"/>
      <c r="T627" s="10"/>
      <c r="U627" s="10"/>
      <c r="V627" s="10"/>
    </row>
    <row r="628" spans="1:22" s="11" customFormat="1" ht="12" customHeight="1" x14ac:dyDescent="0.15">
      <c r="A628" s="62"/>
      <c r="B628" s="65"/>
      <c r="N628" s="10"/>
      <c r="O628" s="10"/>
      <c r="P628" s="10"/>
      <c r="Q628" s="10"/>
      <c r="R628" s="10"/>
      <c r="S628" s="10"/>
      <c r="T628" s="10"/>
      <c r="U628" s="10"/>
      <c r="V628" s="10"/>
    </row>
    <row r="629" spans="1:22" s="11" customFormat="1" ht="12" customHeight="1" x14ac:dyDescent="0.15">
      <c r="A629" s="62"/>
      <c r="B629" s="65"/>
      <c r="N629" s="10"/>
      <c r="O629" s="10"/>
      <c r="P629" s="10"/>
      <c r="Q629" s="10"/>
      <c r="R629" s="10"/>
      <c r="S629" s="10"/>
      <c r="T629" s="10"/>
      <c r="U629" s="10"/>
      <c r="V629" s="10"/>
    </row>
    <row r="630" spans="1:22" s="11" customFormat="1" ht="12" customHeight="1" x14ac:dyDescent="0.15">
      <c r="A630" s="62"/>
      <c r="B630" s="65"/>
      <c r="N630" s="10"/>
      <c r="O630" s="10"/>
      <c r="P630" s="10"/>
      <c r="Q630" s="10"/>
      <c r="R630" s="10"/>
      <c r="S630" s="10"/>
      <c r="T630" s="10"/>
      <c r="U630" s="10"/>
      <c r="V630" s="10"/>
    </row>
    <row r="631" spans="1:22" s="11" customFormat="1" ht="12" customHeight="1" x14ac:dyDescent="0.15">
      <c r="A631" s="62"/>
      <c r="B631" s="65"/>
      <c r="N631" s="10"/>
      <c r="O631" s="10"/>
      <c r="P631" s="10"/>
      <c r="Q631" s="10"/>
      <c r="R631" s="10"/>
      <c r="S631" s="10"/>
      <c r="T631" s="10"/>
      <c r="U631" s="10"/>
      <c r="V631" s="10"/>
    </row>
    <row r="632" spans="1:22" s="11" customFormat="1" ht="12" customHeight="1" x14ac:dyDescent="0.15">
      <c r="A632" s="62"/>
      <c r="B632" s="65"/>
      <c r="N632" s="10"/>
      <c r="O632" s="10"/>
      <c r="P632" s="10"/>
      <c r="Q632" s="10"/>
      <c r="R632" s="10"/>
      <c r="S632" s="10"/>
      <c r="T632" s="10"/>
      <c r="U632" s="10"/>
      <c r="V632" s="10"/>
    </row>
    <row r="633" spans="1:22" s="11" customFormat="1" ht="12" customHeight="1" x14ac:dyDescent="0.15">
      <c r="A633" s="62"/>
      <c r="B633" s="65"/>
      <c r="N633" s="10"/>
      <c r="O633" s="10"/>
      <c r="P633" s="10"/>
      <c r="Q633" s="10"/>
      <c r="R633" s="10"/>
      <c r="S633" s="10"/>
      <c r="T633" s="10"/>
      <c r="U633" s="10"/>
      <c r="V633" s="10"/>
    </row>
    <row r="634" spans="1:22" s="11" customFormat="1" ht="12" customHeight="1" x14ac:dyDescent="0.15">
      <c r="A634" s="62"/>
      <c r="B634" s="65"/>
      <c r="N634" s="10"/>
      <c r="O634" s="10"/>
      <c r="P634" s="10"/>
      <c r="Q634" s="10"/>
      <c r="R634" s="10"/>
      <c r="S634" s="10"/>
      <c r="T634" s="10"/>
      <c r="U634" s="10"/>
      <c r="V634" s="10"/>
    </row>
    <row r="635" spans="1:22" s="11" customFormat="1" ht="12" customHeight="1" x14ac:dyDescent="0.15">
      <c r="A635" s="62"/>
      <c r="B635" s="65"/>
      <c r="N635" s="10"/>
      <c r="O635" s="10"/>
      <c r="P635" s="10"/>
      <c r="Q635" s="10"/>
      <c r="R635" s="10"/>
      <c r="S635" s="10"/>
      <c r="T635" s="10"/>
      <c r="U635" s="10"/>
      <c r="V635" s="10"/>
    </row>
    <row r="636" spans="1:22" s="11" customFormat="1" ht="12" customHeight="1" x14ac:dyDescent="0.15">
      <c r="A636" s="62"/>
      <c r="B636" s="65"/>
      <c r="N636" s="10"/>
      <c r="O636" s="10"/>
      <c r="P636" s="10"/>
      <c r="Q636" s="10"/>
      <c r="R636" s="10"/>
      <c r="S636" s="10"/>
      <c r="T636" s="10"/>
      <c r="U636" s="10"/>
      <c r="V636" s="10"/>
    </row>
    <row r="637" spans="1:22" s="11" customFormat="1" ht="12" customHeight="1" x14ac:dyDescent="0.15">
      <c r="A637" s="62"/>
      <c r="B637" s="65"/>
      <c r="N637" s="10"/>
      <c r="O637" s="10"/>
      <c r="P637" s="10"/>
      <c r="Q637" s="10"/>
      <c r="R637" s="10"/>
      <c r="S637" s="10"/>
      <c r="T637" s="10"/>
      <c r="U637" s="10"/>
      <c r="V637" s="10"/>
    </row>
    <row r="638" spans="1:22" s="11" customFormat="1" ht="12" customHeight="1" x14ac:dyDescent="0.15">
      <c r="A638" s="62"/>
      <c r="B638" s="65"/>
      <c r="N638" s="10"/>
      <c r="O638" s="10"/>
      <c r="P638" s="10"/>
      <c r="Q638" s="10"/>
      <c r="R638" s="10"/>
      <c r="S638" s="10"/>
      <c r="T638" s="10"/>
      <c r="U638" s="10"/>
      <c r="V638" s="10"/>
    </row>
    <row r="639" spans="1:22" s="11" customFormat="1" ht="12" customHeight="1" x14ac:dyDescent="0.15">
      <c r="A639" s="62"/>
      <c r="B639" s="65"/>
      <c r="N639" s="10"/>
      <c r="O639" s="10"/>
      <c r="P639" s="10"/>
      <c r="Q639" s="10"/>
      <c r="R639" s="10"/>
      <c r="S639" s="10"/>
      <c r="T639" s="10"/>
      <c r="U639" s="10"/>
      <c r="V639" s="10"/>
    </row>
    <row r="640" spans="1:22" s="11" customFormat="1" ht="12" customHeight="1" x14ac:dyDescent="0.15">
      <c r="A640" s="62"/>
      <c r="B640" s="65"/>
      <c r="N640" s="10"/>
      <c r="O640" s="10"/>
      <c r="P640" s="10"/>
      <c r="Q640" s="10"/>
      <c r="R640" s="10"/>
      <c r="S640" s="10"/>
      <c r="T640" s="10"/>
      <c r="U640" s="10"/>
      <c r="V640" s="10"/>
    </row>
    <row r="641" spans="1:22" s="11" customFormat="1" ht="12" customHeight="1" x14ac:dyDescent="0.15">
      <c r="A641" s="62"/>
      <c r="B641" s="65"/>
      <c r="N641" s="10"/>
      <c r="O641" s="10"/>
      <c r="P641" s="10"/>
      <c r="Q641" s="10"/>
      <c r="R641" s="10"/>
      <c r="S641" s="10"/>
      <c r="T641" s="10"/>
      <c r="U641" s="10"/>
      <c r="V641" s="10"/>
    </row>
    <row r="642" spans="1:22" s="11" customFormat="1" ht="12" customHeight="1" x14ac:dyDescent="0.15">
      <c r="A642" s="62"/>
      <c r="B642" s="65"/>
      <c r="N642" s="10"/>
      <c r="O642" s="10"/>
      <c r="P642" s="10"/>
      <c r="Q642" s="10"/>
      <c r="R642" s="10"/>
      <c r="S642" s="10"/>
      <c r="T642" s="10"/>
      <c r="U642" s="10"/>
      <c r="V642" s="10"/>
    </row>
    <row r="643" spans="1:22" s="11" customFormat="1" ht="12" customHeight="1" x14ac:dyDescent="0.15">
      <c r="A643" s="62"/>
      <c r="B643" s="65"/>
      <c r="N643" s="10"/>
      <c r="O643" s="10"/>
      <c r="P643" s="10"/>
      <c r="Q643" s="10"/>
      <c r="R643" s="10"/>
      <c r="S643" s="10"/>
      <c r="T643" s="10"/>
      <c r="U643" s="10"/>
      <c r="V643" s="10"/>
    </row>
    <row r="644" spans="1:22" s="11" customFormat="1" ht="12" customHeight="1" x14ac:dyDescent="0.15">
      <c r="A644" s="62"/>
      <c r="B644" s="65"/>
      <c r="N644" s="10"/>
      <c r="O644" s="10"/>
      <c r="P644" s="10"/>
      <c r="Q644" s="10"/>
      <c r="R644" s="10"/>
      <c r="S644" s="10"/>
      <c r="T644" s="10"/>
      <c r="U644" s="10"/>
      <c r="V644" s="10"/>
    </row>
    <row r="645" spans="1:22" s="11" customFormat="1" ht="12" customHeight="1" x14ac:dyDescent="0.15">
      <c r="A645" s="62"/>
      <c r="B645" s="65"/>
      <c r="N645" s="10"/>
      <c r="O645" s="10"/>
      <c r="P645" s="10"/>
      <c r="Q645" s="10"/>
      <c r="R645" s="10"/>
      <c r="S645" s="10"/>
      <c r="T645" s="10"/>
      <c r="U645" s="10"/>
      <c r="V645" s="10"/>
    </row>
    <row r="646" spans="1:22" s="11" customFormat="1" ht="12" customHeight="1" x14ac:dyDescent="0.15">
      <c r="A646" s="62"/>
      <c r="B646" s="65"/>
      <c r="N646" s="10"/>
      <c r="O646" s="10"/>
      <c r="P646" s="10"/>
      <c r="Q646" s="10"/>
      <c r="R646" s="10"/>
      <c r="S646" s="10"/>
      <c r="T646" s="10"/>
      <c r="U646" s="10"/>
      <c r="V646" s="10"/>
    </row>
    <row r="647" spans="1:22" s="11" customFormat="1" ht="12" customHeight="1" x14ac:dyDescent="0.15">
      <c r="A647" s="62"/>
      <c r="B647" s="65"/>
      <c r="N647" s="10"/>
      <c r="O647" s="10"/>
      <c r="P647" s="10"/>
      <c r="Q647" s="10"/>
      <c r="R647" s="10"/>
      <c r="S647" s="10"/>
      <c r="T647" s="10"/>
      <c r="U647" s="10"/>
      <c r="V647" s="10"/>
    </row>
    <row r="648" spans="1:22" s="11" customFormat="1" ht="12" customHeight="1" x14ac:dyDescent="0.15">
      <c r="A648" s="62"/>
      <c r="B648" s="65"/>
      <c r="N648" s="10"/>
      <c r="O648" s="10"/>
      <c r="P648" s="10"/>
      <c r="Q648" s="10"/>
      <c r="R648" s="10"/>
      <c r="S648" s="10"/>
      <c r="T648" s="10"/>
      <c r="U648" s="10"/>
      <c r="V648" s="10"/>
    </row>
    <row r="649" spans="1:22" s="11" customFormat="1" ht="12" customHeight="1" x14ac:dyDescent="0.15">
      <c r="A649" s="62"/>
      <c r="B649" s="65"/>
      <c r="N649" s="10"/>
      <c r="O649" s="10"/>
      <c r="P649" s="10"/>
      <c r="Q649" s="10"/>
      <c r="R649" s="10"/>
      <c r="S649" s="10"/>
      <c r="T649" s="10"/>
      <c r="U649" s="10"/>
      <c r="V649" s="10"/>
    </row>
    <row r="650" spans="1:22" s="11" customFormat="1" ht="12" customHeight="1" x14ac:dyDescent="0.15">
      <c r="A650" s="62"/>
      <c r="B650" s="65"/>
      <c r="N650" s="10"/>
      <c r="O650" s="10"/>
      <c r="P650" s="10"/>
      <c r="Q650" s="10"/>
      <c r="R650" s="10"/>
      <c r="S650" s="10"/>
      <c r="T650" s="10"/>
      <c r="U650" s="10"/>
      <c r="V650" s="10"/>
    </row>
    <row r="651" spans="1:22" s="11" customFormat="1" ht="12" customHeight="1" x14ac:dyDescent="0.15">
      <c r="A651" s="62"/>
      <c r="B651" s="65"/>
      <c r="N651" s="10"/>
      <c r="O651" s="10"/>
      <c r="P651" s="10"/>
      <c r="Q651" s="10"/>
      <c r="R651" s="10"/>
      <c r="S651" s="10"/>
      <c r="T651" s="10"/>
      <c r="U651" s="10"/>
      <c r="V651" s="10"/>
    </row>
    <row r="652" spans="1:22" s="11" customFormat="1" ht="12" customHeight="1" x14ac:dyDescent="0.15">
      <c r="A652" s="62"/>
      <c r="B652" s="65"/>
      <c r="N652" s="10"/>
      <c r="O652" s="10"/>
      <c r="P652" s="10"/>
      <c r="Q652" s="10"/>
      <c r="R652" s="10"/>
      <c r="S652" s="10"/>
      <c r="T652" s="10"/>
      <c r="U652" s="10"/>
      <c r="V652" s="10"/>
    </row>
    <row r="653" spans="1:22" s="11" customFormat="1" ht="12" customHeight="1" x14ac:dyDescent="0.15">
      <c r="A653" s="62"/>
      <c r="B653" s="65"/>
      <c r="N653" s="10"/>
      <c r="O653" s="10"/>
      <c r="P653" s="10"/>
      <c r="Q653" s="10"/>
      <c r="R653" s="10"/>
      <c r="S653" s="10"/>
      <c r="T653" s="10"/>
      <c r="U653" s="10"/>
      <c r="V653" s="10"/>
    </row>
    <row r="654" spans="1:22" s="11" customFormat="1" ht="12" customHeight="1" x14ac:dyDescent="0.15">
      <c r="A654" s="62"/>
      <c r="B654" s="65"/>
      <c r="N654" s="10"/>
      <c r="O654" s="10"/>
      <c r="P654" s="10"/>
      <c r="Q654" s="10"/>
      <c r="R654" s="10"/>
      <c r="S654" s="10"/>
      <c r="T654" s="10"/>
      <c r="U654" s="10"/>
      <c r="V654" s="10"/>
    </row>
    <row r="655" spans="1:22" s="11" customFormat="1" ht="12" customHeight="1" x14ac:dyDescent="0.15">
      <c r="A655" s="62"/>
      <c r="B655" s="65"/>
      <c r="N655" s="10"/>
      <c r="O655" s="10"/>
      <c r="P655" s="10"/>
      <c r="Q655" s="10"/>
      <c r="R655" s="10"/>
      <c r="S655" s="10"/>
      <c r="T655" s="10"/>
      <c r="U655" s="10"/>
      <c r="V655" s="10"/>
    </row>
    <row r="656" spans="1:22" s="11" customFormat="1" ht="12" customHeight="1" x14ac:dyDescent="0.15">
      <c r="A656" s="62"/>
      <c r="B656" s="65"/>
      <c r="N656" s="10"/>
      <c r="O656" s="10"/>
      <c r="P656" s="10"/>
      <c r="Q656" s="10"/>
      <c r="R656" s="10"/>
      <c r="S656" s="10"/>
      <c r="T656" s="10"/>
      <c r="U656" s="10"/>
      <c r="V656" s="10"/>
    </row>
    <row r="657" spans="1:22" s="11" customFormat="1" ht="12" customHeight="1" x14ac:dyDescent="0.15">
      <c r="A657" s="62"/>
      <c r="B657" s="65"/>
      <c r="N657" s="10"/>
      <c r="O657" s="10"/>
      <c r="P657" s="10"/>
      <c r="Q657" s="10"/>
      <c r="R657" s="10"/>
      <c r="S657" s="10"/>
      <c r="T657" s="10"/>
      <c r="U657" s="10"/>
      <c r="V657" s="10"/>
    </row>
    <row r="658" spans="1:22" s="11" customFormat="1" ht="12" customHeight="1" x14ac:dyDescent="0.15">
      <c r="A658" s="62"/>
      <c r="B658" s="65"/>
      <c r="N658" s="10"/>
      <c r="O658" s="10"/>
      <c r="P658" s="10"/>
      <c r="Q658" s="10"/>
      <c r="R658" s="10"/>
      <c r="S658" s="10"/>
      <c r="T658" s="10"/>
      <c r="U658" s="10"/>
      <c r="V658" s="10"/>
    </row>
    <row r="659" spans="1:22" s="11" customFormat="1" ht="12" customHeight="1" x14ac:dyDescent="0.15">
      <c r="A659" s="62"/>
      <c r="B659" s="65"/>
      <c r="N659" s="10"/>
      <c r="O659" s="10"/>
      <c r="P659" s="10"/>
      <c r="Q659" s="10"/>
      <c r="R659" s="10"/>
      <c r="S659" s="10"/>
      <c r="T659" s="10"/>
      <c r="U659" s="10"/>
      <c r="V659" s="10"/>
    </row>
    <row r="660" spans="1:22" s="11" customFormat="1" ht="12" customHeight="1" x14ac:dyDescent="0.15">
      <c r="A660" s="62"/>
      <c r="B660" s="65"/>
      <c r="N660" s="10"/>
      <c r="O660" s="10"/>
      <c r="P660" s="10"/>
      <c r="Q660" s="10"/>
      <c r="R660" s="10"/>
      <c r="S660" s="10"/>
      <c r="T660" s="10"/>
      <c r="U660" s="10"/>
      <c r="V660" s="10"/>
    </row>
    <row r="661" spans="1:22" s="11" customFormat="1" ht="12" customHeight="1" x14ac:dyDescent="0.15">
      <c r="A661" s="62"/>
      <c r="B661" s="65"/>
      <c r="N661" s="10"/>
      <c r="O661" s="10"/>
      <c r="P661" s="10"/>
      <c r="Q661" s="10"/>
      <c r="R661" s="10"/>
      <c r="S661" s="10"/>
      <c r="T661" s="10"/>
      <c r="U661" s="10"/>
      <c r="V661" s="10"/>
    </row>
    <row r="662" spans="1:22" s="11" customFormat="1" ht="12" customHeight="1" x14ac:dyDescent="0.15">
      <c r="A662" s="62"/>
      <c r="B662" s="65"/>
      <c r="N662" s="10"/>
      <c r="O662" s="10"/>
      <c r="P662" s="10"/>
      <c r="Q662" s="10"/>
      <c r="R662" s="10"/>
      <c r="S662" s="10"/>
      <c r="T662" s="10"/>
      <c r="U662" s="10"/>
      <c r="V662" s="10"/>
    </row>
    <row r="663" spans="1:22" s="11" customFormat="1" ht="12" customHeight="1" x14ac:dyDescent="0.15">
      <c r="A663" s="62"/>
      <c r="B663" s="65"/>
      <c r="N663" s="10"/>
      <c r="O663" s="10"/>
      <c r="P663" s="10"/>
      <c r="Q663" s="10"/>
      <c r="R663" s="10"/>
      <c r="S663" s="10"/>
      <c r="T663" s="10"/>
      <c r="U663" s="10"/>
      <c r="V663" s="10"/>
    </row>
    <row r="664" spans="1:22" s="11" customFormat="1" ht="12" customHeight="1" x14ac:dyDescent="0.15">
      <c r="A664" s="62"/>
      <c r="B664" s="65"/>
      <c r="N664" s="10"/>
      <c r="O664" s="10"/>
      <c r="P664" s="10"/>
      <c r="Q664" s="10"/>
      <c r="R664" s="10"/>
      <c r="S664" s="10"/>
      <c r="T664" s="10"/>
      <c r="U664" s="10"/>
      <c r="V664" s="10"/>
    </row>
    <row r="665" spans="1:22" s="11" customFormat="1" ht="12" customHeight="1" x14ac:dyDescent="0.15">
      <c r="A665" s="62"/>
      <c r="B665" s="65"/>
      <c r="N665" s="10"/>
      <c r="O665" s="10"/>
      <c r="P665" s="10"/>
      <c r="Q665" s="10"/>
      <c r="R665" s="10"/>
      <c r="S665" s="10"/>
      <c r="T665" s="10"/>
      <c r="U665" s="10"/>
      <c r="V665" s="10"/>
    </row>
    <row r="666" spans="1:22" s="11" customFormat="1" ht="12" customHeight="1" x14ac:dyDescent="0.15">
      <c r="A666" s="62"/>
      <c r="B666" s="65"/>
      <c r="N666" s="10"/>
      <c r="O666" s="10"/>
      <c r="P666" s="10"/>
      <c r="Q666" s="10"/>
      <c r="R666" s="10"/>
      <c r="S666" s="10"/>
      <c r="T666" s="10"/>
      <c r="U666" s="10"/>
      <c r="V666" s="10"/>
    </row>
    <row r="667" spans="1:22" s="11" customFormat="1" ht="12" customHeight="1" x14ac:dyDescent="0.15">
      <c r="A667" s="62"/>
      <c r="B667" s="65"/>
      <c r="N667" s="10"/>
      <c r="O667" s="10"/>
      <c r="P667" s="10"/>
      <c r="Q667" s="10"/>
      <c r="R667" s="10"/>
      <c r="S667" s="10"/>
      <c r="T667" s="10"/>
      <c r="U667" s="10"/>
      <c r="V667" s="10"/>
    </row>
    <row r="668" spans="1:22" s="11" customFormat="1" ht="12" customHeight="1" x14ac:dyDescent="0.15">
      <c r="A668" s="62"/>
      <c r="B668" s="65"/>
      <c r="N668" s="10"/>
      <c r="O668" s="10"/>
      <c r="P668" s="10"/>
      <c r="Q668" s="10"/>
      <c r="R668" s="10"/>
      <c r="S668" s="10"/>
      <c r="T668" s="10"/>
      <c r="U668" s="10"/>
      <c r="V668" s="10"/>
    </row>
    <row r="669" spans="1:22" s="11" customFormat="1" ht="12" customHeight="1" x14ac:dyDescent="0.15">
      <c r="A669" s="62"/>
      <c r="B669" s="65"/>
      <c r="N669" s="10"/>
      <c r="O669" s="10"/>
      <c r="P669" s="10"/>
      <c r="Q669" s="10"/>
      <c r="R669" s="10"/>
      <c r="S669" s="10"/>
      <c r="T669" s="10"/>
      <c r="U669" s="10"/>
      <c r="V669" s="10"/>
    </row>
    <row r="670" spans="1:22" s="11" customFormat="1" ht="12" customHeight="1" x14ac:dyDescent="0.15">
      <c r="A670" s="62"/>
      <c r="B670" s="65"/>
      <c r="N670" s="10"/>
      <c r="O670" s="10"/>
      <c r="P670" s="10"/>
      <c r="Q670" s="10"/>
      <c r="R670" s="10"/>
      <c r="S670" s="10"/>
      <c r="T670" s="10"/>
      <c r="U670" s="10"/>
      <c r="V670" s="10"/>
    </row>
    <row r="671" spans="1:22" s="11" customFormat="1" ht="12" customHeight="1" x14ac:dyDescent="0.15">
      <c r="A671" s="62"/>
      <c r="B671" s="65"/>
      <c r="N671" s="10"/>
      <c r="O671" s="10"/>
      <c r="P671" s="10"/>
      <c r="Q671" s="10"/>
      <c r="R671" s="10"/>
      <c r="S671" s="10"/>
      <c r="T671" s="10"/>
      <c r="U671" s="10"/>
      <c r="V671" s="10"/>
    </row>
    <row r="672" spans="1:22" s="11" customFormat="1" ht="12" customHeight="1" x14ac:dyDescent="0.15">
      <c r="A672" s="62"/>
      <c r="B672" s="65"/>
      <c r="N672" s="10"/>
      <c r="O672" s="10"/>
      <c r="P672" s="10"/>
      <c r="Q672" s="10"/>
      <c r="R672" s="10"/>
      <c r="S672" s="10"/>
      <c r="T672" s="10"/>
      <c r="U672" s="10"/>
      <c r="V672" s="10"/>
    </row>
    <row r="673" spans="1:22" s="11" customFormat="1" ht="12" customHeight="1" x14ac:dyDescent="0.15">
      <c r="A673" s="62"/>
      <c r="B673" s="65"/>
      <c r="N673" s="10"/>
      <c r="O673" s="10"/>
      <c r="P673" s="10"/>
      <c r="Q673" s="10"/>
      <c r="R673" s="10"/>
      <c r="S673" s="10"/>
      <c r="T673" s="10"/>
      <c r="U673" s="10"/>
      <c r="V673" s="10"/>
    </row>
    <row r="674" spans="1:22" s="11" customFormat="1" ht="12" customHeight="1" x14ac:dyDescent="0.15">
      <c r="A674" s="62"/>
      <c r="B674" s="65"/>
      <c r="N674" s="10"/>
      <c r="O674" s="10"/>
      <c r="P674" s="10"/>
      <c r="Q674" s="10"/>
      <c r="R674" s="10"/>
      <c r="S674" s="10"/>
      <c r="T674" s="10"/>
      <c r="U674" s="10"/>
      <c r="V674" s="10"/>
    </row>
    <row r="675" spans="1:22" s="11" customFormat="1" ht="12" customHeight="1" x14ac:dyDescent="0.15">
      <c r="A675" s="62"/>
      <c r="B675" s="65"/>
      <c r="N675" s="10"/>
      <c r="O675" s="10"/>
      <c r="P675" s="10"/>
      <c r="Q675" s="10"/>
      <c r="R675" s="10"/>
      <c r="S675" s="10"/>
      <c r="T675" s="10"/>
      <c r="U675" s="10"/>
      <c r="V675" s="10"/>
    </row>
    <row r="676" spans="1:22" s="11" customFormat="1" ht="12" customHeight="1" x14ac:dyDescent="0.15">
      <c r="A676" s="62"/>
      <c r="B676" s="65"/>
      <c r="N676" s="10"/>
      <c r="O676" s="10"/>
      <c r="P676" s="10"/>
      <c r="Q676" s="10"/>
      <c r="R676" s="10"/>
      <c r="S676" s="10"/>
      <c r="T676" s="10"/>
      <c r="U676" s="10"/>
      <c r="V676" s="10"/>
    </row>
    <row r="677" spans="1:22" s="11" customFormat="1" ht="12" customHeight="1" x14ac:dyDescent="0.15">
      <c r="A677" s="62"/>
      <c r="B677" s="65"/>
      <c r="N677" s="10"/>
      <c r="O677" s="10"/>
      <c r="P677" s="10"/>
      <c r="Q677" s="10"/>
      <c r="R677" s="10"/>
      <c r="S677" s="10"/>
      <c r="T677" s="10"/>
      <c r="U677" s="10"/>
      <c r="V677" s="10"/>
    </row>
    <row r="678" spans="1:22" s="11" customFormat="1" ht="12" customHeight="1" x14ac:dyDescent="0.15">
      <c r="A678" s="62"/>
      <c r="B678" s="65"/>
      <c r="N678" s="10"/>
      <c r="O678" s="10"/>
      <c r="P678" s="10"/>
      <c r="Q678" s="10"/>
      <c r="R678" s="10"/>
      <c r="S678" s="10"/>
      <c r="T678" s="10"/>
      <c r="U678" s="10"/>
      <c r="V678" s="10"/>
    </row>
    <row r="679" spans="1:22" s="11" customFormat="1" ht="12" customHeight="1" x14ac:dyDescent="0.15">
      <c r="A679" s="62"/>
      <c r="B679" s="65"/>
      <c r="N679" s="10"/>
      <c r="O679" s="10"/>
      <c r="P679" s="10"/>
      <c r="Q679" s="10"/>
      <c r="R679" s="10"/>
      <c r="S679" s="10"/>
      <c r="T679" s="10"/>
      <c r="U679" s="10"/>
      <c r="V679" s="10"/>
    </row>
    <row r="680" spans="1:22" s="11" customFormat="1" ht="12" customHeight="1" x14ac:dyDescent="0.15">
      <c r="A680" s="62"/>
      <c r="B680" s="65"/>
      <c r="N680" s="10"/>
      <c r="O680" s="10"/>
      <c r="P680" s="10"/>
      <c r="Q680" s="10"/>
      <c r="R680" s="10"/>
      <c r="S680" s="10"/>
      <c r="T680" s="10"/>
      <c r="U680" s="10"/>
      <c r="V680" s="10"/>
    </row>
    <row r="681" spans="1:22" s="11" customFormat="1" ht="12" customHeight="1" x14ac:dyDescent="0.15">
      <c r="A681" s="62"/>
      <c r="B681" s="65"/>
      <c r="N681" s="10"/>
      <c r="O681" s="10"/>
      <c r="P681" s="10"/>
      <c r="Q681" s="10"/>
      <c r="R681" s="10"/>
      <c r="S681" s="10"/>
      <c r="T681" s="10"/>
      <c r="U681" s="10"/>
      <c r="V681" s="10"/>
    </row>
    <row r="682" spans="1:22" s="11" customFormat="1" ht="12" customHeight="1" x14ac:dyDescent="0.15">
      <c r="A682" s="62"/>
      <c r="B682" s="65"/>
      <c r="N682" s="10"/>
      <c r="O682" s="10"/>
      <c r="P682" s="10"/>
      <c r="Q682" s="10"/>
      <c r="R682" s="10"/>
      <c r="S682" s="10"/>
      <c r="T682" s="10"/>
      <c r="U682" s="10"/>
      <c r="V682" s="10"/>
    </row>
    <row r="683" spans="1:22" s="11" customFormat="1" ht="12" customHeight="1" x14ac:dyDescent="0.15">
      <c r="A683" s="62"/>
      <c r="B683" s="65"/>
      <c r="N683" s="10"/>
      <c r="O683" s="10"/>
      <c r="P683" s="10"/>
      <c r="Q683" s="10"/>
      <c r="R683" s="10"/>
      <c r="S683" s="10"/>
      <c r="T683" s="10"/>
      <c r="U683" s="10"/>
      <c r="V683" s="10"/>
    </row>
    <row r="684" spans="1:22" s="11" customFormat="1" ht="12" customHeight="1" x14ac:dyDescent="0.15">
      <c r="A684" s="62"/>
      <c r="B684" s="65"/>
      <c r="N684" s="10"/>
      <c r="O684" s="10"/>
      <c r="P684" s="10"/>
      <c r="Q684" s="10"/>
      <c r="R684" s="10"/>
      <c r="S684" s="10"/>
      <c r="T684" s="10"/>
      <c r="U684" s="10"/>
      <c r="V684" s="10"/>
    </row>
    <row r="685" spans="1:22" s="11" customFormat="1" ht="12" customHeight="1" x14ac:dyDescent="0.15">
      <c r="A685" s="62"/>
      <c r="B685" s="65"/>
      <c r="N685" s="10"/>
      <c r="O685" s="10"/>
      <c r="P685" s="10"/>
      <c r="Q685" s="10"/>
      <c r="R685" s="10"/>
      <c r="S685" s="10"/>
      <c r="T685" s="10"/>
      <c r="U685" s="10"/>
      <c r="V685" s="10"/>
    </row>
    <row r="686" spans="1:22" s="11" customFormat="1" ht="12" customHeight="1" x14ac:dyDescent="0.15">
      <c r="A686" s="62"/>
      <c r="B686" s="65"/>
      <c r="N686" s="10"/>
      <c r="O686" s="10"/>
      <c r="P686" s="10"/>
      <c r="Q686" s="10"/>
      <c r="R686" s="10"/>
      <c r="S686" s="10"/>
      <c r="T686" s="10"/>
      <c r="U686" s="10"/>
      <c r="V686" s="10"/>
    </row>
    <row r="687" spans="1:22" s="11" customFormat="1" ht="12" customHeight="1" x14ac:dyDescent="0.15">
      <c r="A687" s="62"/>
      <c r="B687" s="65"/>
      <c r="N687" s="10"/>
      <c r="O687" s="10"/>
      <c r="P687" s="10"/>
      <c r="Q687" s="10"/>
      <c r="R687" s="10"/>
      <c r="S687" s="10"/>
      <c r="T687" s="10"/>
      <c r="U687" s="10"/>
      <c r="V687" s="10"/>
    </row>
    <row r="688" spans="1:22" s="11" customFormat="1" ht="12" customHeight="1" x14ac:dyDescent="0.15">
      <c r="A688" s="62"/>
      <c r="B688" s="65"/>
      <c r="N688" s="10"/>
      <c r="O688" s="10"/>
      <c r="P688" s="10"/>
      <c r="Q688" s="10"/>
      <c r="R688" s="10"/>
      <c r="S688" s="10"/>
      <c r="T688" s="10"/>
      <c r="U688" s="10"/>
      <c r="V688" s="10"/>
    </row>
    <row r="689" spans="1:22" s="11" customFormat="1" ht="12" customHeight="1" x14ac:dyDescent="0.15">
      <c r="A689" s="62"/>
      <c r="B689" s="65"/>
      <c r="N689" s="10"/>
      <c r="O689" s="10"/>
      <c r="P689" s="10"/>
      <c r="Q689" s="10"/>
      <c r="R689" s="10"/>
      <c r="S689" s="10"/>
      <c r="T689" s="10"/>
      <c r="U689" s="10"/>
      <c r="V689" s="10"/>
    </row>
    <row r="690" spans="1:22" s="11" customFormat="1" ht="12" customHeight="1" x14ac:dyDescent="0.15">
      <c r="A690" s="62"/>
      <c r="B690" s="65"/>
      <c r="N690" s="10"/>
      <c r="O690" s="10"/>
      <c r="P690" s="10"/>
      <c r="Q690" s="10"/>
      <c r="R690" s="10"/>
      <c r="S690" s="10"/>
      <c r="T690" s="10"/>
      <c r="U690" s="10"/>
      <c r="V690" s="10"/>
    </row>
    <row r="691" spans="1:22" s="11" customFormat="1" ht="12" customHeight="1" x14ac:dyDescent="0.15">
      <c r="A691" s="62"/>
      <c r="B691" s="65"/>
      <c r="N691" s="10"/>
      <c r="O691" s="10"/>
      <c r="P691" s="10"/>
      <c r="Q691" s="10"/>
      <c r="R691" s="10"/>
      <c r="S691" s="10"/>
      <c r="T691" s="10"/>
      <c r="U691" s="10"/>
      <c r="V691" s="10"/>
    </row>
    <row r="692" spans="1:22" s="11" customFormat="1" ht="12" customHeight="1" x14ac:dyDescent="0.15">
      <c r="A692" s="62"/>
      <c r="B692" s="65"/>
      <c r="N692" s="10"/>
      <c r="O692" s="10"/>
      <c r="P692" s="10"/>
      <c r="Q692" s="10"/>
      <c r="R692" s="10"/>
      <c r="S692" s="10"/>
      <c r="T692" s="10"/>
      <c r="U692" s="10"/>
      <c r="V692" s="10"/>
    </row>
    <row r="693" spans="1:22" s="11" customFormat="1" ht="12" customHeight="1" x14ac:dyDescent="0.15">
      <c r="A693" s="62"/>
      <c r="B693" s="65"/>
      <c r="N693" s="10"/>
      <c r="O693" s="10"/>
      <c r="P693" s="10"/>
      <c r="Q693" s="10"/>
      <c r="R693" s="10"/>
      <c r="S693" s="10"/>
      <c r="T693" s="10"/>
      <c r="U693" s="10"/>
      <c r="V693" s="10"/>
    </row>
    <row r="694" spans="1:22" s="11" customFormat="1" ht="12" customHeight="1" x14ac:dyDescent="0.15">
      <c r="A694" s="62"/>
      <c r="B694" s="65"/>
      <c r="N694" s="10"/>
      <c r="O694" s="10"/>
      <c r="P694" s="10"/>
      <c r="Q694" s="10"/>
      <c r="R694" s="10"/>
      <c r="S694" s="10"/>
      <c r="T694" s="10"/>
      <c r="U694" s="10"/>
      <c r="V694" s="10"/>
    </row>
    <row r="695" spans="1:22" s="11" customFormat="1" ht="12" customHeight="1" x14ac:dyDescent="0.15">
      <c r="A695" s="62"/>
      <c r="B695" s="65"/>
      <c r="N695" s="10"/>
      <c r="O695" s="10"/>
      <c r="P695" s="10"/>
      <c r="Q695" s="10"/>
      <c r="R695" s="10"/>
      <c r="S695" s="10"/>
      <c r="T695" s="10"/>
      <c r="U695" s="10"/>
      <c r="V695" s="10"/>
    </row>
    <row r="696" spans="1:22" s="11" customFormat="1" ht="12" customHeight="1" x14ac:dyDescent="0.15">
      <c r="A696" s="62"/>
      <c r="B696" s="65"/>
      <c r="N696" s="10"/>
      <c r="O696" s="10"/>
      <c r="P696" s="10"/>
      <c r="Q696" s="10"/>
      <c r="R696" s="10"/>
      <c r="S696" s="10"/>
      <c r="T696" s="10"/>
      <c r="U696" s="10"/>
      <c r="V696" s="10"/>
    </row>
    <row r="697" spans="1:22" s="11" customFormat="1" ht="12" customHeight="1" x14ac:dyDescent="0.15">
      <c r="A697" s="62"/>
      <c r="B697" s="65"/>
      <c r="N697" s="10"/>
      <c r="O697" s="10"/>
      <c r="P697" s="10"/>
      <c r="Q697" s="10"/>
      <c r="R697" s="10"/>
      <c r="S697" s="10"/>
      <c r="T697" s="10"/>
      <c r="U697" s="10"/>
      <c r="V697" s="10"/>
    </row>
    <row r="698" spans="1:22" s="11" customFormat="1" ht="12" customHeight="1" x14ac:dyDescent="0.15">
      <c r="A698" s="62"/>
      <c r="B698" s="65"/>
      <c r="N698" s="10"/>
      <c r="O698" s="10"/>
      <c r="P698" s="10"/>
      <c r="Q698" s="10"/>
      <c r="R698" s="10"/>
      <c r="S698" s="10"/>
      <c r="T698" s="10"/>
      <c r="U698" s="10"/>
      <c r="V698" s="10"/>
    </row>
    <row r="699" spans="1:22" s="11" customFormat="1" ht="12" customHeight="1" x14ac:dyDescent="0.15">
      <c r="A699" s="62"/>
      <c r="B699" s="65"/>
      <c r="N699" s="10"/>
      <c r="O699" s="10"/>
      <c r="P699" s="10"/>
      <c r="Q699" s="10"/>
      <c r="R699" s="10"/>
      <c r="S699" s="10"/>
      <c r="T699" s="10"/>
      <c r="U699" s="10"/>
      <c r="V699" s="10"/>
    </row>
    <row r="700" spans="1:22" s="11" customFormat="1" ht="12" customHeight="1" x14ac:dyDescent="0.15">
      <c r="A700" s="62"/>
      <c r="B700" s="65"/>
      <c r="N700" s="10"/>
      <c r="O700" s="10"/>
      <c r="P700" s="10"/>
      <c r="Q700" s="10"/>
      <c r="R700" s="10"/>
      <c r="S700" s="10"/>
      <c r="T700" s="10"/>
      <c r="U700" s="10"/>
      <c r="V700" s="10"/>
    </row>
    <row r="701" spans="1:22" s="11" customFormat="1" ht="12" customHeight="1" x14ac:dyDescent="0.15">
      <c r="A701" s="62"/>
      <c r="B701" s="65"/>
      <c r="N701" s="10"/>
      <c r="O701" s="10"/>
      <c r="P701" s="10"/>
      <c r="Q701" s="10"/>
      <c r="R701" s="10"/>
      <c r="S701" s="10"/>
      <c r="T701" s="10"/>
      <c r="U701" s="10"/>
      <c r="V701" s="10"/>
    </row>
    <row r="702" spans="1:22" s="11" customFormat="1" ht="12" customHeight="1" x14ac:dyDescent="0.15">
      <c r="A702" s="62"/>
      <c r="B702" s="65"/>
      <c r="N702" s="10"/>
      <c r="O702" s="10"/>
      <c r="P702" s="10"/>
      <c r="Q702" s="10"/>
      <c r="R702" s="10"/>
      <c r="S702" s="10"/>
      <c r="T702" s="10"/>
      <c r="U702" s="10"/>
      <c r="V702" s="10"/>
    </row>
    <row r="703" spans="1:22" s="11" customFormat="1" ht="12" customHeight="1" x14ac:dyDescent="0.15">
      <c r="A703" s="62"/>
      <c r="B703" s="65"/>
      <c r="N703" s="10"/>
      <c r="O703" s="10"/>
      <c r="P703" s="10"/>
      <c r="Q703" s="10"/>
      <c r="R703" s="10"/>
      <c r="S703" s="10"/>
      <c r="T703" s="10"/>
      <c r="U703" s="10"/>
      <c r="V703" s="10"/>
    </row>
    <row r="704" spans="1:22" s="11" customFormat="1" ht="12" customHeight="1" x14ac:dyDescent="0.15">
      <c r="A704" s="62"/>
      <c r="B704" s="65"/>
      <c r="N704" s="10"/>
      <c r="O704" s="10"/>
      <c r="P704" s="10"/>
      <c r="Q704" s="10"/>
      <c r="R704" s="10"/>
      <c r="S704" s="10"/>
      <c r="T704" s="10"/>
      <c r="U704" s="10"/>
      <c r="V704" s="10"/>
    </row>
    <row r="705" spans="1:22" s="11" customFormat="1" ht="12" customHeight="1" x14ac:dyDescent="0.15">
      <c r="A705" s="62"/>
      <c r="B705" s="65"/>
      <c r="N705" s="10"/>
      <c r="O705" s="10"/>
      <c r="P705" s="10"/>
      <c r="Q705" s="10"/>
      <c r="R705" s="10"/>
      <c r="S705" s="10"/>
      <c r="T705" s="10"/>
      <c r="U705" s="10"/>
      <c r="V705" s="10"/>
    </row>
    <row r="706" spans="1:22" s="11" customFormat="1" ht="12" customHeight="1" x14ac:dyDescent="0.15">
      <c r="A706" s="62"/>
      <c r="B706" s="65"/>
      <c r="N706" s="10"/>
      <c r="O706" s="10"/>
      <c r="P706" s="10"/>
      <c r="Q706" s="10"/>
      <c r="R706" s="10"/>
      <c r="S706" s="10"/>
      <c r="T706" s="10"/>
      <c r="U706" s="10"/>
      <c r="V706" s="10"/>
    </row>
    <row r="707" spans="1:22" s="11" customFormat="1" ht="12" customHeight="1" x14ac:dyDescent="0.15">
      <c r="A707" s="62"/>
      <c r="B707" s="65"/>
      <c r="N707" s="10"/>
      <c r="O707" s="10"/>
      <c r="P707" s="10"/>
      <c r="Q707" s="10"/>
      <c r="R707" s="10"/>
      <c r="S707" s="10"/>
      <c r="T707" s="10"/>
      <c r="U707" s="10"/>
      <c r="V707" s="10"/>
    </row>
    <row r="708" spans="1:22" s="11" customFormat="1" ht="12" customHeight="1" x14ac:dyDescent="0.15">
      <c r="A708" s="62"/>
      <c r="B708" s="65"/>
      <c r="N708" s="10"/>
      <c r="O708" s="10"/>
      <c r="P708" s="10"/>
      <c r="Q708" s="10"/>
      <c r="R708" s="10"/>
      <c r="S708" s="10"/>
      <c r="T708" s="10"/>
      <c r="U708" s="10"/>
      <c r="V708" s="10"/>
    </row>
    <row r="709" spans="1:22" s="11" customFormat="1" ht="12" customHeight="1" x14ac:dyDescent="0.15">
      <c r="A709" s="62"/>
      <c r="B709" s="65"/>
      <c r="N709" s="10"/>
      <c r="O709" s="10"/>
      <c r="P709" s="10"/>
      <c r="Q709" s="10"/>
      <c r="R709" s="10"/>
      <c r="S709" s="10"/>
      <c r="T709" s="10"/>
      <c r="U709" s="10"/>
      <c r="V709" s="10"/>
    </row>
    <row r="710" spans="1:22" s="11" customFormat="1" ht="12" customHeight="1" x14ac:dyDescent="0.15">
      <c r="A710" s="62"/>
      <c r="B710" s="65"/>
      <c r="N710" s="10"/>
      <c r="O710" s="10"/>
      <c r="P710" s="10"/>
      <c r="Q710" s="10"/>
      <c r="R710" s="10"/>
      <c r="S710" s="10"/>
      <c r="T710" s="10"/>
      <c r="U710" s="10"/>
      <c r="V710" s="10"/>
    </row>
    <row r="711" spans="1:22" s="11" customFormat="1" ht="12" customHeight="1" x14ac:dyDescent="0.15">
      <c r="A711" s="62"/>
      <c r="B711" s="65"/>
      <c r="N711" s="10"/>
      <c r="O711" s="10"/>
      <c r="P711" s="10"/>
      <c r="Q711" s="10"/>
      <c r="R711" s="10"/>
      <c r="S711" s="10"/>
      <c r="T711" s="10"/>
      <c r="U711" s="10"/>
      <c r="V711" s="10"/>
    </row>
    <row r="712" spans="1:22" s="11" customFormat="1" ht="12" customHeight="1" x14ac:dyDescent="0.15">
      <c r="A712" s="62"/>
      <c r="B712" s="65"/>
      <c r="N712" s="10"/>
      <c r="O712" s="10"/>
      <c r="P712" s="10"/>
      <c r="Q712" s="10"/>
      <c r="R712" s="10"/>
      <c r="S712" s="10"/>
      <c r="T712" s="10"/>
      <c r="U712" s="10"/>
      <c r="V712" s="10"/>
    </row>
    <row r="713" spans="1:22" s="11" customFormat="1" ht="12" customHeight="1" x14ac:dyDescent="0.15">
      <c r="A713" s="62"/>
      <c r="B713" s="65"/>
      <c r="N713" s="10"/>
      <c r="O713" s="10"/>
      <c r="P713" s="10"/>
      <c r="Q713" s="10"/>
      <c r="R713" s="10"/>
      <c r="S713" s="10"/>
      <c r="T713" s="10"/>
      <c r="U713" s="10"/>
      <c r="V713" s="10"/>
    </row>
    <row r="714" spans="1:22" s="11" customFormat="1" ht="12" customHeight="1" x14ac:dyDescent="0.15">
      <c r="A714" s="62"/>
      <c r="B714" s="65"/>
      <c r="N714" s="10"/>
      <c r="O714" s="10"/>
      <c r="P714" s="10"/>
      <c r="Q714" s="10"/>
      <c r="R714" s="10"/>
      <c r="S714" s="10"/>
      <c r="T714" s="10"/>
      <c r="U714" s="10"/>
      <c r="V714" s="10"/>
    </row>
    <row r="715" spans="1:22" s="11" customFormat="1" ht="12" customHeight="1" x14ac:dyDescent="0.15">
      <c r="A715" s="62"/>
      <c r="B715" s="65"/>
      <c r="N715" s="10"/>
      <c r="O715" s="10"/>
      <c r="P715" s="10"/>
      <c r="Q715" s="10"/>
      <c r="R715" s="10"/>
      <c r="S715" s="10"/>
      <c r="T715" s="10"/>
      <c r="U715" s="10"/>
      <c r="V715" s="10"/>
    </row>
    <row r="716" spans="1:22" s="11" customFormat="1" ht="12" customHeight="1" x14ac:dyDescent="0.15">
      <c r="A716" s="62"/>
      <c r="B716" s="65"/>
      <c r="N716" s="10"/>
      <c r="O716" s="10"/>
      <c r="P716" s="10"/>
      <c r="Q716" s="10"/>
      <c r="R716" s="10"/>
      <c r="S716" s="10"/>
      <c r="T716" s="10"/>
      <c r="U716" s="10"/>
      <c r="V716" s="10"/>
    </row>
    <row r="717" spans="1:22" s="11" customFormat="1" ht="12" customHeight="1" x14ac:dyDescent="0.15">
      <c r="A717" s="62"/>
      <c r="B717" s="65"/>
      <c r="N717" s="10"/>
      <c r="O717" s="10"/>
      <c r="P717" s="10"/>
      <c r="Q717" s="10"/>
      <c r="R717" s="10"/>
      <c r="S717" s="10"/>
      <c r="T717" s="10"/>
      <c r="U717" s="10"/>
      <c r="V717" s="10"/>
    </row>
    <row r="718" spans="1:22" s="11" customFormat="1" ht="12" customHeight="1" x14ac:dyDescent="0.15">
      <c r="A718" s="62"/>
      <c r="B718" s="65"/>
      <c r="N718" s="10"/>
      <c r="O718" s="10"/>
      <c r="P718" s="10"/>
      <c r="Q718" s="10"/>
      <c r="R718" s="10"/>
      <c r="S718" s="10"/>
      <c r="T718" s="10"/>
      <c r="U718" s="10"/>
      <c r="V718" s="10"/>
    </row>
    <row r="719" spans="1:22" s="11" customFormat="1" ht="12" customHeight="1" x14ac:dyDescent="0.15">
      <c r="A719" s="62"/>
      <c r="B719" s="65"/>
      <c r="N719" s="10"/>
      <c r="O719" s="10"/>
      <c r="P719" s="10"/>
      <c r="Q719" s="10"/>
      <c r="R719" s="10"/>
      <c r="S719" s="10"/>
      <c r="T719" s="10"/>
      <c r="U719" s="10"/>
      <c r="V719" s="10"/>
    </row>
    <row r="720" spans="1:22" s="11" customFormat="1" ht="12" customHeight="1" x14ac:dyDescent="0.15">
      <c r="A720" s="62"/>
      <c r="B720" s="65"/>
      <c r="N720" s="10"/>
      <c r="O720" s="10"/>
      <c r="P720" s="10"/>
      <c r="Q720" s="10"/>
      <c r="R720" s="10"/>
      <c r="S720" s="10"/>
      <c r="T720" s="10"/>
      <c r="U720" s="10"/>
      <c r="V720" s="10"/>
    </row>
    <row r="721" spans="1:22" s="11" customFormat="1" ht="12" customHeight="1" x14ac:dyDescent="0.15">
      <c r="A721" s="62"/>
      <c r="B721" s="65"/>
      <c r="N721" s="10"/>
      <c r="O721" s="10"/>
      <c r="P721" s="10"/>
      <c r="Q721" s="10"/>
      <c r="R721" s="10"/>
      <c r="S721" s="10"/>
      <c r="T721" s="10"/>
      <c r="U721" s="10"/>
      <c r="V721" s="10"/>
    </row>
    <row r="722" spans="1:22" s="11" customFormat="1" ht="12" customHeight="1" x14ac:dyDescent="0.15">
      <c r="A722" s="62"/>
      <c r="B722" s="65"/>
      <c r="N722" s="10"/>
      <c r="O722" s="10"/>
      <c r="P722" s="10"/>
      <c r="Q722" s="10"/>
      <c r="R722" s="10"/>
      <c r="S722" s="10"/>
      <c r="T722" s="10"/>
      <c r="U722" s="10"/>
      <c r="V722" s="10"/>
    </row>
    <row r="723" spans="1:22" s="11" customFormat="1" ht="12" customHeight="1" x14ac:dyDescent="0.15">
      <c r="A723" s="62"/>
      <c r="B723" s="65"/>
      <c r="N723" s="10"/>
      <c r="O723" s="10"/>
      <c r="P723" s="10"/>
      <c r="Q723" s="10"/>
      <c r="R723" s="10"/>
      <c r="S723" s="10"/>
      <c r="T723" s="10"/>
      <c r="U723" s="10"/>
      <c r="V723" s="10"/>
    </row>
    <row r="724" spans="1:22" s="11" customFormat="1" ht="12" customHeight="1" x14ac:dyDescent="0.15">
      <c r="A724" s="62"/>
      <c r="B724" s="65"/>
      <c r="N724" s="10"/>
      <c r="O724" s="10"/>
      <c r="P724" s="10"/>
      <c r="Q724" s="10"/>
      <c r="R724" s="10"/>
      <c r="S724" s="10"/>
      <c r="T724" s="10"/>
      <c r="U724" s="10"/>
      <c r="V724" s="10"/>
    </row>
    <row r="725" spans="1:22" s="11" customFormat="1" ht="12" customHeight="1" x14ac:dyDescent="0.15">
      <c r="A725" s="62"/>
      <c r="B725" s="65"/>
      <c r="N725" s="10"/>
      <c r="O725" s="10"/>
      <c r="P725" s="10"/>
      <c r="Q725" s="10"/>
      <c r="R725" s="10"/>
      <c r="S725" s="10"/>
      <c r="T725" s="10"/>
      <c r="U725" s="10"/>
      <c r="V725" s="10"/>
    </row>
    <row r="726" spans="1:22" s="11" customFormat="1" ht="12" customHeight="1" x14ac:dyDescent="0.15">
      <c r="A726" s="62"/>
      <c r="B726" s="65"/>
      <c r="N726" s="10"/>
      <c r="O726" s="10"/>
      <c r="P726" s="10"/>
      <c r="Q726" s="10"/>
      <c r="R726" s="10"/>
      <c r="S726" s="10"/>
      <c r="T726" s="10"/>
      <c r="U726" s="10"/>
      <c r="V726" s="10"/>
    </row>
    <row r="727" spans="1:22" s="11" customFormat="1" ht="12" customHeight="1" x14ac:dyDescent="0.15">
      <c r="A727" s="62"/>
      <c r="B727" s="65"/>
      <c r="N727" s="10"/>
      <c r="O727" s="10"/>
      <c r="P727" s="10"/>
      <c r="Q727" s="10"/>
      <c r="R727" s="10"/>
      <c r="S727" s="10"/>
      <c r="T727" s="10"/>
      <c r="U727" s="10"/>
      <c r="V727" s="10"/>
    </row>
    <row r="728" spans="1:22" s="11" customFormat="1" ht="12" customHeight="1" x14ac:dyDescent="0.15">
      <c r="A728" s="62"/>
      <c r="B728" s="65"/>
      <c r="N728" s="10"/>
      <c r="O728" s="10"/>
      <c r="P728" s="10"/>
      <c r="Q728" s="10"/>
      <c r="R728" s="10"/>
      <c r="S728" s="10"/>
      <c r="T728" s="10"/>
      <c r="U728" s="10"/>
      <c r="V728" s="10"/>
    </row>
    <row r="729" spans="1:22" s="11" customFormat="1" ht="12" customHeight="1" x14ac:dyDescent="0.15">
      <c r="A729" s="62"/>
      <c r="B729" s="65"/>
      <c r="N729" s="10"/>
      <c r="O729" s="10"/>
      <c r="P729" s="10"/>
      <c r="Q729" s="10"/>
      <c r="R729" s="10"/>
      <c r="S729" s="10"/>
      <c r="T729" s="10"/>
      <c r="U729" s="10"/>
      <c r="V729" s="10"/>
    </row>
    <row r="730" spans="1:22" s="11" customFormat="1" ht="12" customHeight="1" x14ac:dyDescent="0.15">
      <c r="A730" s="62"/>
      <c r="B730" s="65"/>
      <c r="N730" s="10"/>
      <c r="O730" s="10"/>
      <c r="P730" s="10"/>
      <c r="Q730" s="10"/>
      <c r="R730" s="10"/>
      <c r="S730" s="10"/>
      <c r="T730" s="10"/>
      <c r="U730" s="10"/>
      <c r="V730" s="10"/>
    </row>
    <row r="731" spans="1:22" s="11" customFormat="1" ht="12" customHeight="1" x14ac:dyDescent="0.15">
      <c r="A731" s="62"/>
      <c r="B731" s="65"/>
      <c r="N731" s="10"/>
      <c r="O731" s="10"/>
      <c r="P731" s="10"/>
      <c r="Q731" s="10"/>
      <c r="R731" s="10"/>
      <c r="S731" s="10"/>
      <c r="T731" s="10"/>
      <c r="U731" s="10"/>
      <c r="V731" s="10"/>
    </row>
    <row r="732" spans="1:22" s="11" customFormat="1" ht="12" customHeight="1" x14ac:dyDescent="0.15">
      <c r="A732" s="62"/>
      <c r="B732" s="65"/>
      <c r="N732" s="10"/>
      <c r="O732" s="10"/>
      <c r="P732" s="10"/>
      <c r="Q732" s="10"/>
      <c r="R732" s="10"/>
      <c r="S732" s="10"/>
      <c r="T732" s="10"/>
      <c r="U732" s="10"/>
      <c r="V732" s="10"/>
    </row>
    <row r="733" spans="1:22" s="11" customFormat="1" ht="12" customHeight="1" x14ac:dyDescent="0.15">
      <c r="A733" s="62"/>
      <c r="B733" s="65"/>
      <c r="N733" s="10"/>
      <c r="O733" s="10"/>
      <c r="P733" s="10"/>
      <c r="Q733" s="10"/>
      <c r="R733" s="10"/>
      <c r="S733" s="10"/>
      <c r="T733" s="10"/>
      <c r="U733" s="10"/>
      <c r="V733" s="10"/>
    </row>
    <row r="734" spans="1:22" s="11" customFormat="1" ht="12" customHeight="1" x14ac:dyDescent="0.15">
      <c r="A734" s="62"/>
      <c r="B734" s="65"/>
      <c r="N734" s="10"/>
      <c r="O734" s="10"/>
      <c r="P734" s="10"/>
      <c r="Q734" s="10"/>
      <c r="R734" s="10"/>
      <c r="S734" s="10"/>
      <c r="T734" s="10"/>
      <c r="U734" s="10"/>
      <c r="V734" s="10"/>
    </row>
    <row r="735" spans="1:22" s="11" customFormat="1" ht="12" customHeight="1" x14ac:dyDescent="0.15">
      <c r="A735" s="62"/>
      <c r="B735" s="65"/>
      <c r="N735" s="10"/>
      <c r="O735" s="10"/>
      <c r="P735" s="10"/>
      <c r="Q735" s="10"/>
      <c r="R735" s="10"/>
      <c r="S735" s="10"/>
      <c r="T735" s="10"/>
      <c r="U735" s="10"/>
      <c r="V735" s="10"/>
    </row>
    <row r="736" spans="1:22" s="11" customFormat="1" ht="12" customHeight="1" x14ac:dyDescent="0.15">
      <c r="A736" s="62"/>
      <c r="B736" s="65"/>
      <c r="N736" s="10"/>
      <c r="O736" s="10"/>
      <c r="P736" s="10"/>
      <c r="Q736" s="10"/>
      <c r="R736" s="10"/>
      <c r="S736" s="10"/>
      <c r="T736" s="10"/>
      <c r="U736" s="10"/>
      <c r="V736" s="10"/>
    </row>
    <row r="737" spans="1:22" s="11" customFormat="1" ht="12" customHeight="1" x14ac:dyDescent="0.15">
      <c r="A737" s="62"/>
      <c r="B737" s="65"/>
      <c r="N737" s="10"/>
      <c r="O737" s="10"/>
      <c r="P737" s="10"/>
      <c r="Q737" s="10"/>
      <c r="R737" s="10"/>
      <c r="S737" s="10"/>
      <c r="T737" s="10"/>
      <c r="U737" s="10"/>
      <c r="V737" s="10"/>
    </row>
    <row r="738" spans="1:22" s="11" customFormat="1" ht="12" customHeight="1" x14ac:dyDescent="0.15">
      <c r="A738" s="62"/>
      <c r="B738" s="65"/>
      <c r="N738" s="10"/>
      <c r="O738" s="10"/>
      <c r="P738" s="10"/>
      <c r="Q738" s="10"/>
      <c r="R738" s="10"/>
      <c r="S738" s="10"/>
      <c r="T738" s="10"/>
      <c r="U738" s="10"/>
      <c r="V738" s="10"/>
    </row>
    <row r="739" spans="1:22" s="11" customFormat="1" ht="12" customHeight="1" x14ac:dyDescent="0.15">
      <c r="A739" s="62"/>
      <c r="B739" s="65"/>
      <c r="N739" s="10"/>
      <c r="O739" s="10"/>
      <c r="P739" s="10"/>
      <c r="Q739" s="10"/>
      <c r="R739" s="10"/>
      <c r="S739" s="10"/>
      <c r="T739" s="10"/>
      <c r="U739" s="10"/>
      <c r="V739" s="10"/>
    </row>
    <row r="740" spans="1:22" s="11" customFormat="1" ht="12" customHeight="1" x14ac:dyDescent="0.15">
      <c r="A740" s="62"/>
      <c r="B740" s="65"/>
      <c r="N740" s="10"/>
      <c r="O740" s="10"/>
      <c r="P740" s="10"/>
      <c r="Q740" s="10"/>
      <c r="R740" s="10"/>
      <c r="S740" s="10"/>
      <c r="T740" s="10"/>
      <c r="U740" s="10"/>
      <c r="V740" s="10"/>
    </row>
    <row r="741" spans="1:22" s="11" customFormat="1" ht="12" customHeight="1" x14ac:dyDescent="0.15">
      <c r="A741" s="62"/>
      <c r="B741" s="65"/>
      <c r="N741" s="10"/>
      <c r="O741" s="10"/>
      <c r="P741" s="10"/>
      <c r="Q741" s="10"/>
      <c r="R741" s="10"/>
      <c r="S741" s="10"/>
      <c r="T741" s="10"/>
      <c r="U741" s="10"/>
      <c r="V741" s="10"/>
    </row>
    <row r="742" spans="1:22" s="11" customFormat="1" ht="12" customHeight="1" x14ac:dyDescent="0.15">
      <c r="A742" s="62"/>
      <c r="B742" s="65"/>
      <c r="N742" s="10"/>
      <c r="O742" s="10"/>
      <c r="P742" s="10"/>
      <c r="Q742" s="10"/>
      <c r="R742" s="10"/>
      <c r="S742" s="10"/>
      <c r="T742" s="10"/>
      <c r="U742" s="10"/>
      <c r="V742" s="10"/>
    </row>
    <row r="743" spans="1:22" s="11" customFormat="1" ht="12" customHeight="1" x14ac:dyDescent="0.15">
      <c r="A743" s="62"/>
      <c r="B743" s="65"/>
      <c r="N743" s="10"/>
      <c r="O743" s="10"/>
      <c r="P743" s="10"/>
      <c r="Q743" s="10"/>
      <c r="R743" s="10"/>
      <c r="S743" s="10"/>
      <c r="T743" s="10"/>
      <c r="U743" s="10"/>
      <c r="V743" s="10"/>
    </row>
    <row r="744" spans="1:22" s="11" customFormat="1" ht="12" customHeight="1" x14ac:dyDescent="0.15">
      <c r="A744" s="62"/>
      <c r="B744" s="65"/>
      <c r="N744" s="10"/>
      <c r="O744" s="10"/>
      <c r="P744" s="10"/>
      <c r="Q744" s="10"/>
      <c r="R744" s="10"/>
      <c r="S744" s="10"/>
      <c r="T744" s="10"/>
      <c r="U744" s="10"/>
      <c r="V744" s="10"/>
    </row>
    <row r="745" spans="1:22" s="11" customFormat="1" ht="12" customHeight="1" x14ac:dyDescent="0.15">
      <c r="A745" s="62"/>
      <c r="B745" s="65"/>
      <c r="N745" s="10"/>
      <c r="O745" s="10"/>
      <c r="P745" s="10"/>
      <c r="Q745" s="10"/>
      <c r="R745" s="10"/>
      <c r="S745" s="10"/>
      <c r="T745" s="10"/>
      <c r="U745" s="10"/>
      <c r="V745" s="10"/>
    </row>
    <row r="746" spans="1:22" s="11" customFormat="1" ht="12" customHeight="1" x14ac:dyDescent="0.15">
      <c r="A746" s="62"/>
      <c r="B746" s="65"/>
      <c r="N746" s="10"/>
      <c r="O746" s="10"/>
      <c r="P746" s="10"/>
      <c r="Q746" s="10"/>
      <c r="R746" s="10"/>
      <c r="S746" s="10"/>
      <c r="T746" s="10"/>
      <c r="U746" s="10"/>
      <c r="V746" s="10"/>
    </row>
    <row r="747" spans="1:22" s="11" customFormat="1" ht="12" customHeight="1" x14ac:dyDescent="0.15">
      <c r="A747" s="62"/>
      <c r="B747" s="65"/>
      <c r="N747" s="10"/>
      <c r="O747" s="10"/>
      <c r="P747" s="10"/>
      <c r="Q747" s="10"/>
      <c r="R747" s="10"/>
      <c r="S747" s="10"/>
      <c r="T747" s="10"/>
      <c r="U747" s="10"/>
      <c r="V747" s="10"/>
    </row>
    <row r="748" spans="1:22" s="11" customFormat="1" ht="12" customHeight="1" x14ac:dyDescent="0.15">
      <c r="A748" s="62"/>
      <c r="B748" s="65"/>
      <c r="N748" s="10"/>
      <c r="O748" s="10"/>
      <c r="P748" s="10"/>
      <c r="Q748" s="10"/>
      <c r="R748" s="10"/>
      <c r="S748" s="10"/>
      <c r="T748" s="10"/>
      <c r="U748" s="10"/>
      <c r="V748" s="10"/>
    </row>
    <row r="749" spans="1:22" s="11" customFormat="1" ht="12" customHeight="1" x14ac:dyDescent="0.15">
      <c r="A749" s="62"/>
      <c r="B749" s="65"/>
      <c r="N749" s="10"/>
      <c r="O749" s="10"/>
      <c r="P749" s="10"/>
      <c r="Q749" s="10"/>
      <c r="R749" s="10"/>
      <c r="S749" s="10"/>
      <c r="T749" s="10"/>
      <c r="U749" s="10"/>
      <c r="V749" s="10"/>
    </row>
    <row r="750" spans="1:22" s="11" customFormat="1" ht="12" customHeight="1" x14ac:dyDescent="0.15">
      <c r="A750" s="62"/>
      <c r="B750" s="65"/>
      <c r="N750" s="10"/>
      <c r="O750" s="10"/>
      <c r="P750" s="10"/>
      <c r="Q750" s="10"/>
      <c r="R750" s="10"/>
      <c r="S750" s="10"/>
      <c r="T750" s="10"/>
      <c r="U750" s="10"/>
      <c r="V750" s="10"/>
    </row>
    <row r="751" spans="1:22" s="11" customFormat="1" ht="12" customHeight="1" x14ac:dyDescent="0.15">
      <c r="A751" s="62"/>
      <c r="B751" s="65"/>
      <c r="N751" s="10"/>
      <c r="O751" s="10"/>
      <c r="P751" s="10"/>
      <c r="Q751" s="10"/>
      <c r="R751" s="10"/>
      <c r="S751" s="10"/>
      <c r="T751" s="10"/>
      <c r="U751" s="10"/>
      <c r="V751" s="10"/>
    </row>
    <row r="752" spans="1:22" s="11" customFormat="1" ht="12" customHeight="1" x14ac:dyDescent="0.15">
      <c r="A752" s="62"/>
      <c r="B752" s="65"/>
      <c r="N752" s="10"/>
      <c r="O752" s="10"/>
      <c r="P752" s="10"/>
      <c r="Q752" s="10"/>
      <c r="R752" s="10"/>
      <c r="S752" s="10"/>
      <c r="T752" s="10"/>
      <c r="U752" s="10"/>
      <c r="V752" s="10"/>
    </row>
    <row r="753" spans="1:22" s="11" customFormat="1" ht="12" customHeight="1" x14ac:dyDescent="0.15">
      <c r="A753" s="62"/>
      <c r="B753" s="65"/>
      <c r="N753" s="10"/>
      <c r="O753" s="10"/>
      <c r="P753" s="10"/>
      <c r="Q753" s="10"/>
      <c r="R753" s="10"/>
      <c r="S753" s="10"/>
      <c r="T753" s="10"/>
      <c r="U753" s="10"/>
      <c r="V753" s="10"/>
    </row>
    <row r="754" spans="1:22" s="11" customFormat="1" ht="12" customHeight="1" x14ac:dyDescent="0.15">
      <c r="A754" s="62"/>
      <c r="B754" s="65"/>
      <c r="N754" s="10"/>
      <c r="O754" s="10"/>
      <c r="P754" s="10"/>
      <c r="Q754" s="10"/>
      <c r="R754" s="10"/>
      <c r="S754" s="10"/>
      <c r="T754" s="10"/>
      <c r="U754" s="10"/>
      <c r="V754" s="10"/>
    </row>
    <row r="755" spans="1:22" s="11" customFormat="1" ht="12" customHeight="1" x14ac:dyDescent="0.15">
      <c r="A755" s="62"/>
      <c r="B755" s="65"/>
      <c r="N755" s="10"/>
      <c r="O755" s="10"/>
      <c r="P755" s="10"/>
      <c r="Q755" s="10"/>
      <c r="R755" s="10"/>
      <c r="S755" s="10"/>
      <c r="T755" s="10"/>
      <c r="U755" s="10"/>
      <c r="V755" s="10"/>
    </row>
    <row r="756" spans="1:22" s="11" customFormat="1" ht="12" customHeight="1" x14ac:dyDescent="0.15">
      <c r="A756" s="62"/>
      <c r="B756" s="65"/>
      <c r="N756" s="10"/>
      <c r="O756" s="10"/>
      <c r="P756" s="10"/>
      <c r="Q756" s="10"/>
      <c r="R756" s="10"/>
      <c r="S756" s="10"/>
      <c r="T756" s="10"/>
      <c r="U756" s="10"/>
      <c r="V756" s="10"/>
    </row>
    <row r="757" spans="1:22" s="11" customFormat="1" ht="12" customHeight="1" x14ac:dyDescent="0.15">
      <c r="A757" s="62"/>
      <c r="B757" s="65"/>
      <c r="N757" s="10"/>
      <c r="O757" s="10"/>
      <c r="P757" s="10"/>
      <c r="Q757" s="10"/>
      <c r="R757" s="10"/>
      <c r="S757" s="10"/>
      <c r="T757" s="10"/>
      <c r="U757" s="10"/>
      <c r="V757" s="10"/>
    </row>
    <row r="758" spans="1:22" s="11" customFormat="1" ht="12" customHeight="1" x14ac:dyDescent="0.15">
      <c r="A758" s="62"/>
      <c r="B758" s="65"/>
      <c r="N758" s="10"/>
      <c r="O758" s="10"/>
      <c r="P758" s="10"/>
      <c r="Q758" s="10"/>
      <c r="R758" s="10"/>
      <c r="S758" s="10"/>
      <c r="T758" s="10"/>
      <c r="U758" s="10"/>
      <c r="V758" s="10"/>
    </row>
    <row r="759" spans="1:22" s="11" customFormat="1" ht="12" customHeight="1" x14ac:dyDescent="0.15">
      <c r="A759" s="62"/>
      <c r="B759" s="65"/>
      <c r="N759" s="10"/>
      <c r="O759" s="10"/>
      <c r="P759" s="10"/>
      <c r="Q759" s="10"/>
      <c r="R759" s="10"/>
      <c r="S759" s="10"/>
      <c r="T759" s="10"/>
      <c r="U759" s="10"/>
      <c r="V759" s="10"/>
    </row>
    <row r="760" spans="1:22" s="11" customFormat="1" ht="12" customHeight="1" x14ac:dyDescent="0.15">
      <c r="A760" s="62"/>
      <c r="B760" s="65"/>
      <c r="N760" s="10"/>
      <c r="O760" s="10"/>
      <c r="P760" s="10"/>
      <c r="Q760" s="10"/>
      <c r="R760" s="10"/>
      <c r="S760" s="10"/>
      <c r="T760" s="10"/>
      <c r="U760" s="10"/>
      <c r="V760" s="10"/>
    </row>
    <row r="761" spans="1:22" s="11" customFormat="1" ht="12" customHeight="1" x14ac:dyDescent="0.15">
      <c r="A761" s="62"/>
      <c r="B761" s="65"/>
      <c r="N761" s="10"/>
      <c r="O761" s="10"/>
      <c r="P761" s="10"/>
      <c r="Q761" s="10"/>
      <c r="R761" s="10"/>
      <c r="S761" s="10"/>
      <c r="T761" s="10"/>
      <c r="U761" s="10"/>
      <c r="V761" s="10"/>
    </row>
    <row r="762" spans="1:22" s="11" customFormat="1" ht="12" customHeight="1" x14ac:dyDescent="0.15">
      <c r="A762" s="62"/>
      <c r="B762" s="65"/>
      <c r="N762" s="10"/>
      <c r="O762" s="10"/>
      <c r="P762" s="10"/>
      <c r="Q762" s="10"/>
      <c r="R762" s="10"/>
      <c r="S762" s="10"/>
      <c r="T762" s="10"/>
      <c r="U762" s="10"/>
      <c r="V762" s="10"/>
    </row>
    <row r="763" spans="1:22" s="11" customFormat="1" ht="12" customHeight="1" x14ac:dyDescent="0.15">
      <c r="A763" s="62"/>
      <c r="B763" s="65"/>
      <c r="N763" s="10"/>
      <c r="O763" s="10"/>
      <c r="P763" s="10"/>
      <c r="Q763" s="10"/>
      <c r="R763" s="10"/>
      <c r="S763" s="10"/>
      <c r="T763" s="10"/>
      <c r="U763" s="10"/>
      <c r="V763" s="10"/>
    </row>
    <row r="764" spans="1:22" s="11" customFormat="1" ht="12" customHeight="1" x14ac:dyDescent="0.15">
      <c r="A764" s="62"/>
      <c r="B764" s="65"/>
      <c r="N764" s="10"/>
      <c r="O764" s="10"/>
      <c r="P764" s="10"/>
      <c r="Q764" s="10"/>
      <c r="R764" s="10"/>
      <c r="S764" s="10"/>
      <c r="T764" s="10"/>
      <c r="U764" s="10"/>
      <c r="V764" s="10"/>
    </row>
    <row r="765" spans="1:22" s="11" customFormat="1" ht="12" customHeight="1" x14ac:dyDescent="0.15">
      <c r="A765" s="62"/>
      <c r="B765" s="65"/>
      <c r="N765" s="10"/>
      <c r="O765" s="10"/>
      <c r="P765" s="10"/>
      <c r="Q765" s="10"/>
      <c r="R765" s="10"/>
      <c r="S765" s="10"/>
      <c r="T765" s="10"/>
      <c r="U765" s="10"/>
      <c r="V765" s="10"/>
    </row>
    <row r="766" spans="1:22" s="11" customFormat="1" ht="12" customHeight="1" x14ac:dyDescent="0.15">
      <c r="A766" s="62"/>
      <c r="B766" s="65"/>
      <c r="N766" s="10"/>
      <c r="O766" s="10"/>
      <c r="P766" s="10"/>
      <c r="Q766" s="10"/>
      <c r="R766" s="10"/>
      <c r="S766" s="10"/>
      <c r="T766" s="10"/>
      <c r="U766" s="10"/>
      <c r="V766" s="10"/>
    </row>
    <row r="767" spans="1:22" s="11" customFormat="1" ht="12" customHeight="1" x14ac:dyDescent="0.15">
      <c r="A767" s="62"/>
      <c r="B767" s="65"/>
      <c r="N767" s="10"/>
      <c r="O767" s="10"/>
      <c r="P767" s="10"/>
      <c r="Q767" s="10"/>
      <c r="R767" s="10"/>
      <c r="S767" s="10"/>
      <c r="T767" s="10"/>
      <c r="U767" s="10"/>
      <c r="V767" s="10"/>
    </row>
    <row r="768" spans="1:22" s="11" customFormat="1" ht="12" customHeight="1" x14ac:dyDescent="0.15">
      <c r="A768" s="62"/>
      <c r="B768" s="65"/>
      <c r="N768" s="10"/>
      <c r="O768" s="10"/>
      <c r="P768" s="10"/>
      <c r="Q768" s="10"/>
      <c r="R768" s="10"/>
      <c r="S768" s="10"/>
      <c r="T768" s="10"/>
      <c r="U768" s="10"/>
      <c r="V768" s="10"/>
    </row>
    <row r="769" spans="1:22" s="11" customFormat="1" ht="12" customHeight="1" x14ac:dyDescent="0.15">
      <c r="A769" s="62"/>
      <c r="B769" s="65"/>
      <c r="N769" s="10"/>
      <c r="O769" s="10"/>
      <c r="P769" s="10"/>
      <c r="Q769" s="10"/>
      <c r="R769" s="10"/>
      <c r="S769" s="10"/>
      <c r="T769" s="10"/>
      <c r="U769" s="10"/>
      <c r="V769" s="10"/>
    </row>
    <row r="770" spans="1:22" s="11" customFormat="1" ht="12" customHeight="1" x14ac:dyDescent="0.15">
      <c r="A770" s="62"/>
      <c r="B770" s="65"/>
      <c r="N770" s="10"/>
      <c r="O770" s="10"/>
      <c r="P770" s="10"/>
      <c r="Q770" s="10"/>
      <c r="R770" s="10"/>
      <c r="S770" s="10"/>
      <c r="T770" s="10"/>
      <c r="U770" s="10"/>
      <c r="V770" s="10"/>
    </row>
    <row r="771" spans="1:22" s="11" customFormat="1" ht="12" customHeight="1" x14ac:dyDescent="0.15">
      <c r="A771" s="62"/>
      <c r="B771" s="65"/>
      <c r="N771" s="10"/>
      <c r="O771" s="10"/>
      <c r="P771" s="10"/>
      <c r="Q771" s="10"/>
      <c r="R771" s="10"/>
      <c r="S771" s="10"/>
      <c r="T771" s="10"/>
      <c r="U771" s="10"/>
      <c r="V771" s="10"/>
    </row>
    <row r="772" spans="1:22" s="11" customFormat="1" ht="12" customHeight="1" x14ac:dyDescent="0.15">
      <c r="A772" s="62"/>
      <c r="B772" s="65"/>
      <c r="N772" s="10"/>
      <c r="O772" s="10"/>
      <c r="P772" s="10"/>
      <c r="Q772" s="10"/>
      <c r="R772" s="10"/>
      <c r="S772" s="10"/>
      <c r="T772" s="10"/>
      <c r="U772" s="10"/>
      <c r="V772" s="10"/>
    </row>
    <row r="773" spans="1:22" s="11" customFormat="1" ht="12" customHeight="1" x14ac:dyDescent="0.15">
      <c r="A773" s="62"/>
      <c r="B773" s="65"/>
      <c r="N773" s="10"/>
      <c r="O773" s="10"/>
      <c r="P773" s="10"/>
      <c r="Q773" s="10"/>
      <c r="R773" s="10"/>
      <c r="S773" s="10"/>
      <c r="T773" s="10"/>
      <c r="U773" s="10"/>
      <c r="V773" s="10"/>
    </row>
    <row r="774" spans="1:22" s="11" customFormat="1" ht="12" customHeight="1" x14ac:dyDescent="0.15">
      <c r="A774" s="62"/>
      <c r="B774" s="65"/>
      <c r="N774" s="10"/>
      <c r="O774" s="10"/>
      <c r="P774" s="10"/>
      <c r="Q774" s="10"/>
      <c r="R774" s="10"/>
      <c r="S774" s="10"/>
      <c r="T774" s="10"/>
      <c r="U774" s="10"/>
      <c r="V774" s="10"/>
    </row>
    <row r="775" spans="1:22" s="11" customFormat="1" ht="12" customHeight="1" x14ac:dyDescent="0.15">
      <c r="A775" s="62"/>
      <c r="B775" s="65"/>
      <c r="N775" s="10"/>
      <c r="O775" s="10"/>
      <c r="P775" s="10"/>
      <c r="Q775" s="10"/>
      <c r="R775" s="10"/>
      <c r="S775" s="10"/>
      <c r="T775" s="10"/>
      <c r="U775" s="10"/>
      <c r="V775" s="10"/>
    </row>
    <row r="776" spans="1:22" s="11" customFormat="1" ht="12" customHeight="1" x14ac:dyDescent="0.15">
      <c r="A776" s="62"/>
      <c r="B776" s="65"/>
      <c r="N776" s="10"/>
      <c r="O776" s="10"/>
      <c r="P776" s="10"/>
      <c r="Q776" s="10"/>
      <c r="R776" s="10"/>
      <c r="S776" s="10"/>
      <c r="T776" s="10"/>
      <c r="U776" s="10"/>
      <c r="V776" s="10"/>
    </row>
    <row r="777" spans="1:22" s="11" customFormat="1" ht="12" customHeight="1" x14ac:dyDescent="0.15">
      <c r="A777" s="62"/>
      <c r="B777" s="65"/>
      <c r="N777" s="10"/>
      <c r="O777" s="10"/>
      <c r="P777" s="10"/>
      <c r="Q777" s="10"/>
      <c r="R777" s="10"/>
      <c r="S777" s="10"/>
      <c r="T777" s="10"/>
      <c r="U777" s="10"/>
      <c r="V777" s="10"/>
    </row>
    <row r="778" spans="1:22" s="11" customFormat="1" ht="12" customHeight="1" x14ac:dyDescent="0.15">
      <c r="A778" s="62"/>
      <c r="B778" s="65"/>
      <c r="N778" s="10"/>
      <c r="O778" s="10"/>
      <c r="P778" s="10"/>
      <c r="Q778" s="10"/>
      <c r="R778" s="10"/>
      <c r="S778" s="10"/>
      <c r="T778" s="10"/>
      <c r="U778" s="10"/>
      <c r="V778" s="10"/>
    </row>
    <row r="779" spans="1:22" s="11" customFormat="1" ht="12" customHeight="1" x14ac:dyDescent="0.15">
      <c r="A779" s="62"/>
      <c r="B779" s="65"/>
      <c r="N779" s="10"/>
      <c r="O779" s="10"/>
      <c r="P779" s="10"/>
      <c r="Q779" s="10"/>
      <c r="R779" s="10"/>
      <c r="S779" s="10"/>
      <c r="T779" s="10"/>
      <c r="U779" s="10"/>
      <c r="V779" s="10"/>
    </row>
    <row r="780" spans="1:22" s="11" customFormat="1" ht="12" customHeight="1" x14ac:dyDescent="0.15">
      <c r="A780" s="62"/>
      <c r="B780" s="65"/>
      <c r="N780" s="10"/>
      <c r="O780" s="10"/>
      <c r="P780" s="10"/>
      <c r="Q780" s="10"/>
      <c r="R780" s="10"/>
      <c r="S780" s="10"/>
      <c r="T780" s="10"/>
      <c r="U780" s="10"/>
      <c r="V780" s="10"/>
    </row>
    <row r="781" spans="1:22" s="11" customFormat="1" ht="12" customHeight="1" x14ac:dyDescent="0.15">
      <c r="A781" s="62"/>
      <c r="B781" s="65"/>
      <c r="N781" s="10"/>
      <c r="O781" s="10"/>
      <c r="P781" s="10"/>
      <c r="Q781" s="10"/>
      <c r="R781" s="10"/>
      <c r="S781" s="10"/>
      <c r="T781" s="10"/>
      <c r="U781" s="10"/>
      <c r="V781" s="10"/>
    </row>
    <row r="782" spans="1:22" s="11" customFormat="1" ht="12" customHeight="1" x14ac:dyDescent="0.15">
      <c r="A782" s="62"/>
      <c r="B782" s="65"/>
      <c r="N782" s="10"/>
      <c r="O782" s="10"/>
      <c r="P782" s="10"/>
      <c r="Q782" s="10"/>
      <c r="R782" s="10"/>
      <c r="S782" s="10"/>
      <c r="T782" s="10"/>
      <c r="U782" s="10"/>
      <c r="V782" s="10"/>
    </row>
    <row r="783" spans="1:22" s="11" customFormat="1" ht="12" customHeight="1" x14ac:dyDescent="0.15">
      <c r="A783" s="62"/>
      <c r="B783" s="65"/>
      <c r="N783" s="10"/>
      <c r="O783" s="10"/>
      <c r="P783" s="10"/>
      <c r="Q783" s="10"/>
      <c r="R783" s="10"/>
      <c r="S783" s="10"/>
      <c r="T783" s="10"/>
      <c r="U783" s="10"/>
      <c r="V783" s="10"/>
    </row>
    <row r="784" spans="1:22" s="11" customFormat="1" ht="12" customHeight="1" x14ac:dyDescent="0.15">
      <c r="A784" s="62"/>
      <c r="B784" s="65"/>
      <c r="N784" s="10"/>
      <c r="O784" s="10"/>
      <c r="P784" s="10"/>
      <c r="Q784" s="10"/>
      <c r="R784" s="10"/>
      <c r="S784" s="10"/>
      <c r="T784" s="10"/>
      <c r="U784" s="10"/>
      <c r="V784" s="10"/>
    </row>
    <row r="785" spans="1:22" s="11" customFormat="1" ht="12" customHeight="1" x14ac:dyDescent="0.15">
      <c r="A785" s="62"/>
      <c r="B785" s="65"/>
      <c r="N785" s="10"/>
      <c r="O785" s="10"/>
      <c r="P785" s="10"/>
      <c r="Q785" s="10"/>
      <c r="R785" s="10"/>
      <c r="S785" s="10"/>
      <c r="T785" s="10"/>
      <c r="U785" s="10"/>
      <c r="V785" s="10"/>
    </row>
    <row r="786" spans="1:22" s="11" customFormat="1" ht="12" customHeight="1" x14ac:dyDescent="0.15">
      <c r="A786" s="62"/>
      <c r="B786" s="65"/>
      <c r="N786" s="10"/>
      <c r="O786" s="10"/>
      <c r="P786" s="10"/>
      <c r="Q786" s="10"/>
      <c r="R786" s="10"/>
      <c r="S786" s="10"/>
      <c r="T786" s="10"/>
      <c r="U786" s="10"/>
      <c r="V786" s="10"/>
    </row>
    <row r="787" spans="1:22" s="11" customFormat="1" ht="12" customHeight="1" x14ac:dyDescent="0.15">
      <c r="A787" s="62"/>
      <c r="B787" s="65"/>
      <c r="N787" s="10"/>
      <c r="O787" s="10"/>
      <c r="P787" s="10"/>
      <c r="Q787" s="10"/>
      <c r="R787" s="10"/>
      <c r="S787" s="10"/>
      <c r="T787" s="10"/>
      <c r="U787" s="10"/>
      <c r="V787" s="10"/>
    </row>
    <row r="788" spans="1:22" s="11" customFormat="1" ht="12" customHeight="1" x14ac:dyDescent="0.15">
      <c r="A788" s="62"/>
      <c r="B788" s="65"/>
      <c r="N788" s="10"/>
      <c r="O788" s="10"/>
      <c r="P788" s="10"/>
      <c r="Q788" s="10"/>
      <c r="R788" s="10"/>
      <c r="S788" s="10"/>
      <c r="T788" s="10"/>
      <c r="U788" s="10"/>
      <c r="V788" s="10"/>
    </row>
    <row r="789" spans="1:22" s="11" customFormat="1" ht="12" customHeight="1" x14ac:dyDescent="0.15">
      <c r="A789" s="62"/>
      <c r="B789" s="65"/>
      <c r="N789" s="10"/>
      <c r="O789" s="10"/>
      <c r="P789" s="10"/>
      <c r="Q789" s="10"/>
      <c r="R789" s="10"/>
      <c r="S789" s="10"/>
      <c r="T789" s="10"/>
      <c r="U789" s="10"/>
      <c r="V789" s="10"/>
    </row>
    <row r="790" spans="1:22" s="11" customFormat="1" ht="12" customHeight="1" x14ac:dyDescent="0.15">
      <c r="A790" s="62"/>
      <c r="B790" s="65"/>
      <c r="N790" s="10"/>
      <c r="O790" s="10"/>
      <c r="P790" s="10"/>
      <c r="Q790" s="10"/>
      <c r="R790" s="10"/>
      <c r="S790" s="10"/>
      <c r="T790" s="10"/>
      <c r="U790" s="10"/>
      <c r="V790" s="10"/>
    </row>
    <row r="791" spans="1:22" s="11" customFormat="1" ht="12" customHeight="1" x14ac:dyDescent="0.15">
      <c r="A791" s="62"/>
      <c r="B791" s="65"/>
      <c r="N791" s="10"/>
      <c r="O791" s="10"/>
      <c r="P791" s="10"/>
      <c r="Q791" s="10"/>
      <c r="R791" s="10"/>
      <c r="S791" s="10"/>
      <c r="T791" s="10"/>
      <c r="U791" s="10"/>
      <c r="V791" s="10"/>
    </row>
    <row r="792" spans="1:22" s="11" customFormat="1" ht="12" customHeight="1" x14ac:dyDescent="0.15">
      <c r="A792" s="62"/>
      <c r="B792" s="65"/>
      <c r="N792" s="10"/>
      <c r="O792" s="10"/>
      <c r="P792" s="10"/>
      <c r="Q792" s="10"/>
      <c r="R792" s="10"/>
      <c r="S792" s="10"/>
      <c r="T792" s="10"/>
      <c r="U792" s="10"/>
      <c r="V792" s="10"/>
    </row>
    <row r="793" spans="1:22" s="11" customFormat="1" ht="12" customHeight="1" x14ac:dyDescent="0.15">
      <c r="A793" s="62"/>
      <c r="B793" s="65"/>
      <c r="N793" s="10"/>
      <c r="O793" s="10"/>
      <c r="P793" s="10"/>
      <c r="Q793" s="10"/>
      <c r="R793" s="10"/>
      <c r="S793" s="10"/>
      <c r="T793" s="10"/>
      <c r="U793" s="10"/>
      <c r="V793" s="10"/>
    </row>
    <row r="794" spans="1:22" s="11" customFormat="1" ht="12" customHeight="1" x14ac:dyDescent="0.15">
      <c r="A794" s="62"/>
      <c r="B794" s="65"/>
      <c r="N794" s="10"/>
      <c r="O794" s="10"/>
      <c r="P794" s="10"/>
      <c r="Q794" s="10"/>
      <c r="R794" s="10"/>
      <c r="S794" s="10"/>
      <c r="T794" s="10"/>
      <c r="U794" s="10"/>
      <c r="V794" s="10"/>
    </row>
    <row r="795" spans="1:22" s="11" customFormat="1" ht="12" customHeight="1" x14ac:dyDescent="0.15">
      <c r="A795" s="62"/>
      <c r="B795" s="65"/>
      <c r="N795" s="10"/>
      <c r="O795" s="10"/>
      <c r="P795" s="10"/>
      <c r="Q795" s="10"/>
      <c r="R795" s="10"/>
      <c r="S795" s="10"/>
      <c r="T795" s="10"/>
      <c r="U795" s="10"/>
      <c r="V795" s="10"/>
    </row>
    <row r="796" spans="1:22" s="11" customFormat="1" ht="12" customHeight="1" x14ac:dyDescent="0.15">
      <c r="A796" s="62"/>
      <c r="B796" s="65"/>
      <c r="N796" s="10"/>
      <c r="O796" s="10"/>
      <c r="P796" s="10"/>
      <c r="Q796" s="10"/>
      <c r="R796" s="10"/>
      <c r="S796" s="10"/>
      <c r="T796" s="10"/>
      <c r="U796" s="10"/>
      <c r="V796" s="10"/>
    </row>
    <row r="797" spans="1:22" s="11" customFormat="1" ht="12" customHeight="1" x14ac:dyDescent="0.15">
      <c r="A797" s="62"/>
      <c r="B797" s="65"/>
      <c r="N797" s="10"/>
      <c r="O797" s="10"/>
      <c r="P797" s="10"/>
      <c r="Q797" s="10"/>
      <c r="R797" s="10"/>
      <c r="S797" s="10"/>
      <c r="T797" s="10"/>
      <c r="U797" s="10"/>
      <c r="V797" s="10"/>
    </row>
    <row r="798" spans="1:22" s="11" customFormat="1" ht="12" customHeight="1" x14ac:dyDescent="0.15">
      <c r="A798" s="62"/>
      <c r="B798" s="65"/>
      <c r="N798" s="10"/>
      <c r="O798" s="10"/>
      <c r="P798" s="10"/>
      <c r="Q798" s="10"/>
      <c r="R798" s="10"/>
      <c r="S798" s="10"/>
      <c r="T798" s="10"/>
      <c r="U798" s="10"/>
      <c r="V798" s="10"/>
    </row>
    <row r="799" spans="1:22" s="11" customFormat="1" ht="12" customHeight="1" x14ac:dyDescent="0.15">
      <c r="A799" s="62"/>
      <c r="B799" s="65"/>
      <c r="N799" s="10"/>
      <c r="O799" s="10"/>
      <c r="P799" s="10"/>
      <c r="Q799" s="10"/>
      <c r="R799" s="10"/>
      <c r="S799" s="10"/>
      <c r="T799" s="10"/>
      <c r="U799" s="10"/>
      <c r="V799" s="10"/>
    </row>
    <row r="800" spans="1:22" s="11" customFormat="1" ht="12" customHeight="1" x14ac:dyDescent="0.15">
      <c r="A800" s="62"/>
      <c r="B800" s="65"/>
      <c r="N800" s="10"/>
      <c r="O800" s="10"/>
      <c r="P800" s="10"/>
      <c r="Q800" s="10"/>
      <c r="R800" s="10"/>
      <c r="S800" s="10"/>
      <c r="T800" s="10"/>
      <c r="U800" s="10"/>
      <c r="V800" s="10"/>
    </row>
    <row r="801" spans="1:22" s="11" customFormat="1" ht="12" customHeight="1" x14ac:dyDescent="0.15">
      <c r="A801" s="62"/>
      <c r="B801" s="65"/>
      <c r="N801" s="10"/>
      <c r="O801" s="10"/>
      <c r="P801" s="10"/>
      <c r="Q801" s="10"/>
      <c r="R801" s="10"/>
      <c r="S801" s="10"/>
      <c r="T801" s="10"/>
      <c r="U801" s="10"/>
      <c r="V801" s="10"/>
    </row>
    <row r="802" spans="1:22" s="11" customFormat="1" ht="12" customHeight="1" x14ac:dyDescent="0.15">
      <c r="A802" s="62"/>
      <c r="B802" s="65"/>
      <c r="N802" s="10"/>
      <c r="O802" s="10"/>
      <c r="P802" s="10"/>
      <c r="Q802" s="10"/>
      <c r="R802" s="10"/>
      <c r="S802" s="10"/>
      <c r="T802" s="10"/>
      <c r="U802" s="10"/>
      <c r="V802" s="10"/>
    </row>
    <row r="803" spans="1:22" s="11" customFormat="1" ht="12" customHeight="1" x14ac:dyDescent="0.15">
      <c r="A803" s="62"/>
      <c r="B803" s="65"/>
      <c r="N803" s="10"/>
      <c r="O803" s="10"/>
      <c r="P803" s="10"/>
      <c r="Q803" s="10"/>
      <c r="R803" s="10"/>
      <c r="S803" s="10"/>
      <c r="T803" s="10"/>
      <c r="U803" s="10"/>
      <c r="V803" s="10"/>
    </row>
    <row r="804" spans="1:22" s="11" customFormat="1" ht="12" customHeight="1" x14ac:dyDescent="0.15">
      <c r="A804" s="62"/>
      <c r="B804" s="65"/>
      <c r="N804" s="10"/>
      <c r="O804" s="10"/>
      <c r="P804" s="10"/>
      <c r="Q804" s="10"/>
      <c r="R804" s="10"/>
      <c r="S804" s="10"/>
      <c r="T804" s="10"/>
      <c r="U804" s="10"/>
      <c r="V804" s="10"/>
    </row>
    <row r="805" spans="1:22" s="11" customFormat="1" ht="12" customHeight="1" x14ac:dyDescent="0.15">
      <c r="A805" s="62"/>
      <c r="B805" s="65"/>
      <c r="N805" s="10"/>
      <c r="O805" s="10"/>
      <c r="P805" s="10"/>
      <c r="Q805" s="10"/>
      <c r="R805" s="10"/>
      <c r="S805" s="10"/>
      <c r="T805" s="10"/>
      <c r="U805" s="10"/>
      <c r="V805" s="10"/>
    </row>
    <row r="806" spans="1:22" s="11" customFormat="1" ht="12" customHeight="1" x14ac:dyDescent="0.15">
      <c r="A806" s="62"/>
      <c r="B806" s="65"/>
      <c r="N806" s="10"/>
      <c r="O806" s="10"/>
      <c r="P806" s="10"/>
      <c r="Q806" s="10"/>
      <c r="R806" s="10"/>
      <c r="S806" s="10"/>
      <c r="T806" s="10"/>
      <c r="U806" s="10"/>
      <c r="V806" s="10"/>
    </row>
    <row r="807" spans="1:22" s="11" customFormat="1" ht="12" customHeight="1" x14ac:dyDescent="0.15">
      <c r="A807" s="62"/>
      <c r="B807" s="65"/>
      <c r="N807" s="10"/>
      <c r="O807" s="10"/>
      <c r="P807" s="10"/>
      <c r="Q807" s="10"/>
      <c r="R807" s="10"/>
      <c r="S807" s="10"/>
      <c r="T807" s="10"/>
      <c r="U807" s="10"/>
      <c r="V807" s="10"/>
    </row>
    <row r="808" spans="1:22" s="11" customFormat="1" ht="12" customHeight="1" x14ac:dyDescent="0.15">
      <c r="A808" s="62"/>
      <c r="B808" s="65"/>
      <c r="N808" s="10"/>
      <c r="O808" s="10"/>
      <c r="P808" s="10"/>
      <c r="Q808" s="10"/>
      <c r="R808" s="10"/>
      <c r="S808" s="10"/>
      <c r="T808" s="10"/>
      <c r="U808" s="10"/>
      <c r="V808" s="10"/>
    </row>
    <row r="809" spans="1:22" s="11" customFormat="1" ht="12" customHeight="1" x14ac:dyDescent="0.15">
      <c r="A809" s="62"/>
      <c r="B809" s="65"/>
      <c r="N809" s="10"/>
      <c r="O809" s="10"/>
      <c r="P809" s="10"/>
      <c r="Q809" s="10"/>
      <c r="R809" s="10"/>
      <c r="S809" s="10"/>
      <c r="T809" s="10"/>
      <c r="U809" s="10"/>
      <c r="V809" s="10"/>
    </row>
    <row r="810" spans="1:22" s="11" customFormat="1" ht="12" customHeight="1" x14ac:dyDescent="0.15">
      <c r="A810" s="62"/>
      <c r="B810" s="65"/>
      <c r="N810" s="10"/>
      <c r="O810" s="10"/>
      <c r="P810" s="10"/>
      <c r="Q810" s="10"/>
      <c r="R810" s="10"/>
      <c r="S810" s="10"/>
      <c r="T810" s="10"/>
      <c r="U810" s="10"/>
      <c r="V810" s="10"/>
    </row>
    <row r="811" spans="1:22" s="11" customFormat="1" ht="12" customHeight="1" x14ac:dyDescent="0.15">
      <c r="A811" s="62"/>
      <c r="B811" s="65"/>
      <c r="N811" s="10"/>
      <c r="O811" s="10"/>
      <c r="P811" s="10"/>
      <c r="Q811" s="10"/>
      <c r="R811" s="10"/>
      <c r="S811" s="10"/>
      <c r="T811" s="10"/>
      <c r="U811" s="10"/>
      <c r="V811" s="10"/>
    </row>
    <row r="812" spans="1:22" s="11" customFormat="1" ht="12" customHeight="1" x14ac:dyDescent="0.15">
      <c r="A812" s="62"/>
      <c r="B812" s="65"/>
      <c r="N812" s="10"/>
      <c r="O812" s="10"/>
      <c r="P812" s="10"/>
      <c r="Q812" s="10"/>
      <c r="R812" s="10"/>
      <c r="S812" s="10"/>
      <c r="T812" s="10"/>
      <c r="U812" s="10"/>
      <c r="V812" s="10"/>
    </row>
    <row r="813" spans="1:22" s="11" customFormat="1" ht="12" customHeight="1" x14ac:dyDescent="0.15">
      <c r="A813" s="62"/>
      <c r="B813" s="65"/>
      <c r="N813" s="10"/>
      <c r="O813" s="10"/>
      <c r="P813" s="10"/>
      <c r="Q813" s="10"/>
      <c r="R813" s="10"/>
      <c r="S813" s="10"/>
      <c r="T813" s="10"/>
      <c r="U813" s="10"/>
      <c r="V813" s="10"/>
    </row>
    <row r="814" spans="1:22" s="11" customFormat="1" ht="12" customHeight="1" x14ac:dyDescent="0.15">
      <c r="A814" s="62"/>
      <c r="B814" s="65"/>
      <c r="N814" s="10"/>
      <c r="O814" s="10"/>
      <c r="P814" s="10"/>
      <c r="Q814" s="10"/>
      <c r="R814" s="10"/>
      <c r="S814" s="10"/>
      <c r="T814" s="10"/>
      <c r="U814" s="10"/>
      <c r="V814" s="10"/>
    </row>
    <row r="815" spans="1:22" s="11" customFormat="1" ht="12" customHeight="1" x14ac:dyDescent="0.15">
      <c r="A815" s="62"/>
      <c r="B815" s="65"/>
      <c r="N815" s="10"/>
      <c r="O815" s="10"/>
      <c r="P815" s="10"/>
      <c r="Q815" s="10"/>
      <c r="R815" s="10"/>
      <c r="S815" s="10"/>
      <c r="T815" s="10"/>
      <c r="U815" s="10"/>
      <c r="V815" s="10"/>
    </row>
    <row r="816" spans="1:22" s="11" customFormat="1" ht="12" customHeight="1" x14ac:dyDescent="0.15">
      <c r="A816" s="62"/>
      <c r="B816" s="65"/>
      <c r="N816" s="10"/>
      <c r="O816" s="10"/>
      <c r="P816" s="10"/>
      <c r="Q816" s="10"/>
      <c r="R816" s="10"/>
      <c r="S816" s="10"/>
      <c r="T816" s="10"/>
      <c r="U816" s="10"/>
      <c r="V816" s="10"/>
    </row>
    <row r="817" spans="1:22" s="11" customFormat="1" ht="12" customHeight="1" x14ac:dyDescent="0.15">
      <c r="A817" s="62"/>
      <c r="B817" s="65"/>
      <c r="N817" s="10"/>
      <c r="O817" s="10"/>
      <c r="P817" s="10"/>
      <c r="Q817" s="10"/>
      <c r="R817" s="10"/>
      <c r="S817" s="10"/>
      <c r="T817" s="10"/>
      <c r="U817" s="10"/>
      <c r="V817" s="10"/>
    </row>
    <row r="818" spans="1:22" s="11" customFormat="1" ht="12" customHeight="1" x14ac:dyDescent="0.15">
      <c r="A818" s="62"/>
      <c r="B818" s="65"/>
      <c r="N818" s="10"/>
      <c r="O818" s="10"/>
      <c r="P818" s="10"/>
      <c r="Q818" s="10"/>
      <c r="R818" s="10"/>
      <c r="S818" s="10"/>
      <c r="T818" s="10"/>
      <c r="U818" s="10"/>
      <c r="V818" s="10"/>
    </row>
    <row r="819" spans="1:22" s="11" customFormat="1" ht="12" customHeight="1" x14ac:dyDescent="0.15">
      <c r="A819" s="62"/>
      <c r="B819" s="65"/>
      <c r="N819" s="10"/>
      <c r="O819" s="10"/>
      <c r="P819" s="10"/>
      <c r="Q819" s="10"/>
      <c r="R819" s="10"/>
      <c r="S819" s="10"/>
      <c r="T819" s="10"/>
      <c r="U819" s="10"/>
      <c r="V819" s="10"/>
    </row>
    <row r="820" spans="1:22" s="11" customFormat="1" ht="12" customHeight="1" x14ac:dyDescent="0.15">
      <c r="A820" s="62"/>
      <c r="B820" s="65"/>
      <c r="N820" s="10"/>
      <c r="O820" s="10"/>
      <c r="P820" s="10"/>
      <c r="Q820" s="10"/>
      <c r="R820" s="10"/>
      <c r="S820" s="10"/>
      <c r="T820" s="10"/>
      <c r="U820" s="10"/>
      <c r="V820" s="10"/>
    </row>
    <row r="821" spans="1:22" s="11" customFormat="1" ht="12" customHeight="1" x14ac:dyDescent="0.15">
      <c r="A821" s="62"/>
      <c r="B821" s="65"/>
      <c r="N821" s="10"/>
      <c r="O821" s="10"/>
      <c r="P821" s="10"/>
      <c r="Q821" s="10"/>
      <c r="R821" s="10"/>
      <c r="S821" s="10"/>
      <c r="T821" s="10"/>
      <c r="U821" s="10"/>
      <c r="V821" s="10"/>
    </row>
    <row r="822" spans="1:22" s="11" customFormat="1" ht="12" customHeight="1" x14ac:dyDescent="0.15">
      <c r="A822" s="62"/>
      <c r="B822" s="65"/>
      <c r="N822" s="10"/>
      <c r="O822" s="10"/>
      <c r="P822" s="10"/>
      <c r="Q822" s="10"/>
      <c r="R822" s="10"/>
      <c r="S822" s="10"/>
      <c r="T822" s="10"/>
      <c r="U822" s="10"/>
      <c r="V822" s="10"/>
    </row>
    <row r="823" spans="1:22" s="11" customFormat="1" ht="12" customHeight="1" x14ac:dyDescent="0.15">
      <c r="A823" s="62"/>
      <c r="B823" s="65"/>
      <c r="N823" s="10"/>
      <c r="O823" s="10"/>
      <c r="P823" s="10"/>
      <c r="Q823" s="10"/>
      <c r="R823" s="10"/>
      <c r="S823" s="10"/>
      <c r="T823" s="10"/>
      <c r="U823" s="10"/>
      <c r="V823" s="10"/>
    </row>
    <row r="824" spans="1:22" s="11" customFormat="1" ht="12" customHeight="1" x14ac:dyDescent="0.15">
      <c r="A824" s="62"/>
      <c r="B824" s="65"/>
      <c r="N824" s="10"/>
      <c r="O824" s="10"/>
      <c r="P824" s="10"/>
      <c r="Q824" s="10"/>
      <c r="R824" s="10"/>
      <c r="S824" s="10"/>
      <c r="T824" s="10"/>
      <c r="U824" s="10"/>
      <c r="V824" s="10"/>
    </row>
    <row r="825" spans="1:22" s="11" customFormat="1" ht="12" customHeight="1" x14ac:dyDescent="0.15">
      <c r="A825" s="62"/>
      <c r="B825" s="65"/>
      <c r="N825" s="10"/>
      <c r="O825" s="10"/>
      <c r="P825" s="10"/>
      <c r="Q825" s="10"/>
      <c r="R825" s="10"/>
      <c r="S825" s="10"/>
      <c r="T825" s="10"/>
      <c r="U825" s="10"/>
      <c r="V825" s="10"/>
    </row>
    <row r="826" spans="1:22" s="11" customFormat="1" ht="12" customHeight="1" x14ac:dyDescent="0.15">
      <c r="A826" s="62"/>
      <c r="B826" s="65"/>
      <c r="N826" s="10"/>
      <c r="O826" s="10"/>
      <c r="P826" s="10"/>
      <c r="Q826" s="10"/>
      <c r="R826" s="10"/>
      <c r="S826" s="10"/>
      <c r="T826" s="10"/>
      <c r="U826" s="10"/>
      <c r="V826" s="10"/>
    </row>
    <row r="827" spans="1:22" s="11" customFormat="1" ht="12" customHeight="1" x14ac:dyDescent="0.15">
      <c r="A827" s="62"/>
      <c r="B827" s="65"/>
      <c r="N827" s="10"/>
      <c r="O827" s="10"/>
      <c r="P827" s="10"/>
      <c r="Q827" s="10"/>
      <c r="R827" s="10"/>
      <c r="S827" s="10"/>
      <c r="T827" s="10"/>
      <c r="U827" s="10"/>
      <c r="V827" s="10"/>
    </row>
    <row r="828" spans="1:22" s="11" customFormat="1" ht="12" customHeight="1" x14ac:dyDescent="0.15">
      <c r="A828" s="62"/>
      <c r="B828" s="65"/>
      <c r="N828" s="10"/>
      <c r="O828" s="10"/>
      <c r="P828" s="10"/>
      <c r="Q828" s="10"/>
      <c r="R828" s="10"/>
      <c r="S828" s="10"/>
      <c r="T828" s="10"/>
      <c r="U828" s="10"/>
      <c r="V828" s="10"/>
    </row>
    <row r="829" spans="1:22" s="11" customFormat="1" ht="12" customHeight="1" x14ac:dyDescent="0.15">
      <c r="A829" s="62"/>
      <c r="B829" s="65"/>
      <c r="N829" s="10"/>
      <c r="O829" s="10"/>
      <c r="P829" s="10"/>
      <c r="Q829" s="10"/>
      <c r="R829" s="10"/>
      <c r="S829" s="10"/>
      <c r="T829" s="10"/>
      <c r="U829" s="10"/>
      <c r="V829" s="10"/>
    </row>
    <row r="830" spans="1:22" s="11" customFormat="1" ht="12" customHeight="1" x14ac:dyDescent="0.15">
      <c r="A830" s="62"/>
      <c r="B830" s="65"/>
      <c r="N830" s="10"/>
      <c r="O830" s="10"/>
      <c r="P830" s="10"/>
      <c r="Q830" s="10"/>
      <c r="R830" s="10"/>
      <c r="S830" s="10"/>
      <c r="T830" s="10"/>
      <c r="U830" s="10"/>
      <c r="V830" s="10"/>
    </row>
    <row r="831" spans="1:22" s="11" customFormat="1" ht="12" customHeight="1" x14ac:dyDescent="0.15">
      <c r="A831" s="62"/>
      <c r="B831" s="65"/>
      <c r="N831" s="10"/>
      <c r="O831" s="10"/>
      <c r="P831" s="10"/>
      <c r="Q831" s="10"/>
      <c r="R831" s="10"/>
      <c r="S831" s="10"/>
      <c r="T831" s="10"/>
      <c r="U831" s="10"/>
      <c r="V831" s="10"/>
    </row>
    <row r="832" spans="1:22" s="11" customFormat="1" ht="12" customHeight="1" x14ac:dyDescent="0.15">
      <c r="A832" s="62"/>
      <c r="B832" s="65"/>
      <c r="N832" s="10"/>
      <c r="O832" s="10"/>
      <c r="P832" s="10"/>
      <c r="Q832" s="10"/>
      <c r="R832" s="10"/>
      <c r="S832" s="10"/>
      <c r="T832" s="10"/>
      <c r="U832" s="10"/>
      <c r="V832" s="10"/>
    </row>
    <row r="833" spans="1:22" s="11" customFormat="1" ht="12" customHeight="1" x14ac:dyDescent="0.15">
      <c r="A833" s="62"/>
      <c r="B833" s="65"/>
      <c r="N833" s="10"/>
      <c r="O833" s="10"/>
      <c r="P833" s="10"/>
      <c r="Q833" s="10"/>
      <c r="R833" s="10"/>
      <c r="S833" s="10"/>
      <c r="T833" s="10"/>
      <c r="U833" s="10"/>
      <c r="V833" s="10"/>
    </row>
    <row r="834" spans="1:22" s="11" customFormat="1" ht="12" customHeight="1" x14ac:dyDescent="0.15">
      <c r="A834" s="62"/>
      <c r="B834" s="65"/>
      <c r="N834" s="10"/>
      <c r="O834" s="10"/>
      <c r="P834" s="10"/>
      <c r="Q834" s="10"/>
      <c r="R834" s="10"/>
      <c r="S834" s="10"/>
      <c r="T834" s="10"/>
      <c r="U834" s="10"/>
      <c r="V834" s="10"/>
    </row>
    <row r="835" spans="1:22" s="11" customFormat="1" ht="12" customHeight="1" x14ac:dyDescent="0.15">
      <c r="A835" s="62"/>
      <c r="B835" s="65"/>
      <c r="N835" s="10"/>
      <c r="O835" s="10"/>
      <c r="P835" s="10"/>
      <c r="Q835" s="10"/>
      <c r="R835" s="10"/>
      <c r="S835" s="10"/>
      <c r="T835" s="10"/>
      <c r="U835" s="10"/>
      <c r="V835" s="10"/>
    </row>
    <row r="836" spans="1:22" s="11" customFormat="1" ht="12" customHeight="1" x14ac:dyDescent="0.15">
      <c r="A836" s="62"/>
      <c r="B836" s="65"/>
      <c r="N836" s="10"/>
      <c r="O836" s="10"/>
      <c r="P836" s="10"/>
      <c r="Q836" s="10"/>
      <c r="R836" s="10"/>
      <c r="S836" s="10"/>
      <c r="T836" s="10"/>
      <c r="U836" s="10"/>
      <c r="V836" s="10"/>
    </row>
    <row r="837" spans="1:22" s="11" customFormat="1" ht="12" customHeight="1" x14ac:dyDescent="0.15">
      <c r="A837" s="62"/>
      <c r="B837" s="65"/>
      <c r="N837" s="10"/>
      <c r="O837" s="10"/>
      <c r="P837" s="10"/>
      <c r="Q837" s="10"/>
      <c r="R837" s="10"/>
      <c r="S837" s="10"/>
      <c r="T837" s="10"/>
      <c r="U837" s="10"/>
      <c r="V837" s="10"/>
    </row>
    <row r="838" spans="1:22" s="11" customFormat="1" ht="12" customHeight="1" x14ac:dyDescent="0.15">
      <c r="A838" s="62"/>
      <c r="B838" s="65"/>
      <c r="N838" s="10"/>
      <c r="O838" s="10"/>
      <c r="P838" s="10"/>
      <c r="Q838" s="10"/>
      <c r="R838" s="10"/>
      <c r="S838" s="10"/>
      <c r="T838" s="10"/>
      <c r="U838" s="10"/>
      <c r="V838" s="10"/>
    </row>
    <row r="839" spans="1:22" s="11" customFormat="1" ht="12" customHeight="1" x14ac:dyDescent="0.15">
      <c r="A839" s="62"/>
      <c r="B839" s="65"/>
      <c r="N839" s="10"/>
      <c r="O839" s="10"/>
      <c r="P839" s="10"/>
      <c r="Q839" s="10"/>
      <c r="R839" s="10"/>
      <c r="S839" s="10"/>
      <c r="T839" s="10"/>
      <c r="U839" s="10"/>
      <c r="V839" s="10"/>
    </row>
    <row r="840" spans="1:22" s="11" customFormat="1" ht="12" customHeight="1" x14ac:dyDescent="0.15">
      <c r="A840" s="62"/>
      <c r="B840" s="65"/>
      <c r="N840" s="10"/>
      <c r="O840" s="10"/>
      <c r="P840" s="10"/>
      <c r="Q840" s="10"/>
      <c r="R840" s="10"/>
      <c r="S840" s="10"/>
      <c r="T840" s="10"/>
      <c r="U840" s="10"/>
      <c r="V840" s="10"/>
    </row>
    <row r="841" spans="1:22" s="11" customFormat="1" ht="12" customHeight="1" x14ac:dyDescent="0.15">
      <c r="A841" s="62"/>
      <c r="B841" s="65"/>
      <c r="N841" s="10"/>
      <c r="O841" s="10"/>
      <c r="P841" s="10"/>
      <c r="Q841" s="10"/>
      <c r="R841" s="10"/>
      <c r="S841" s="10"/>
      <c r="T841" s="10"/>
      <c r="U841" s="10"/>
      <c r="V841" s="10"/>
    </row>
    <row r="842" spans="1:22" s="11" customFormat="1" ht="12" customHeight="1" x14ac:dyDescent="0.15">
      <c r="A842" s="62"/>
      <c r="B842" s="65"/>
      <c r="N842" s="10"/>
      <c r="O842" s="10"/>
      <c r="P842" s="10"/>
      <c r="Q842" s="10"/>
      <c r="R842" s="10"/>
      <c r="S842" s="10"/>
      <c r="T842" s="10"/>
      <c r="U842" s="10"/>
      <c r="V842" s="10"/>
    </row>
    <row r="843" spans="1:22" s="11" customFormat="1" ht="12" customHeight="1" x14ac:dyDescent="0.15">
      <c r="A843" s="62"/>
      <c r="B843" s="65"/>
      <c r="N843" s="10"/>
      <c r="O843" s="10"/>
      <c r="P843" s="10"/>
      <c r="Q843" s="10"/>
      <c r="R843" s="10"/>
      <c r="S843" s="10"/>
      <c r="T843" s="10"/>
      <c r="U843" s="10"/>
      <c r="V843" s="10"/>
    </row>
    <row r="844" spans="1:22" s="11" customFormat="1" ht="12" customHeight="1" x14ac:dyDescent="0.15">
      <c r="A844" s="62"/>
      <c r="B844" s="65"/>
      <c r="N844" s="10"/>
      <c r="O844" s="10"/>
      <c r="P844" s="10"/>
      <c r="Q844" s="10"/>
      <c r="R844" s="10"/>
      <c r="S844" s="10"/>
      <c r="T844" s="10"/>
      <c r="U844" s="10"/>
      <c r="V844" s="10"/>
    </row>
    <row r="845" spans="1:22" s="11" customFormat="1" ht="12" customHeight="1" x14ac:dyDescent="0.15">
      <c r="A845" s="62"/>
      <c r="B845" s="65"/>
      <c r="N845" s="10"/>
      <c r="O845" s="10"/>
      <c r="P845" s="10"/>
      <c r="Q845" s="10"/>
      <c r="R845" s="10"/>
      <c r="S845" s="10"/>
      <c r="T845" s="10"/>
      <c r="U845" s="10"/>
      <c r="V845" s="10"/>
    </row>
    <row r="846" spans="1:22" s="11" customFormat="1" ht="12" customHeight="1" x14ac:dyDescent="0.15">
      <c r="A846" s="62"/>
      <c r="B846" s="65"/>
      <c r="N846" s="10"/>
      <c r="O846" s="10"/>
      <c r="P846" s="10"/>
      <c r="Q846" s="10"/>
      <c r="R846" s="10"/>
      <c r="S846" s="10"/>
      <c r="T846" s="10"/>
      <c r="U846" s="10"/>
      <c r="V846" s="10"/>
    </row>
    <row r="847" spans="1:22" s="11" customFormat="1" ht="12" customHeight="1" x14ac:dyDescent="0.15">
      <c r="A847" s="62"/>
      <c r="B847" s="65"/>
      <c r="N847" s="10"/>
      <c r="O847" s="10"/>
      <c r="P847" s="10"/>
      <c r="Q847" s="10"/>
      <c r="R847" s="10"/>
      <c r="S847" s="10"/>
      <c r="T847" s="10"/>
      <c r="U847" s="10"/>
      <c r="V847" s="10"/>
    </row>
    <row r="848" spans="1:22" s="11" customFormat="1" ht="12" customHeight="1" x14ac:dyDescent="0.15">
      <c r="A848" s="62"/>
      <c r="B848" s="65"/>
      <c r="N848" s="10"/>
      <c r="O848" s="10"/>
      <c r="P848" s="10"/>
      <c r="Q848" s="10"/>
      <c r="R848" s="10"/>
      <c r="S848" s="10"/>
      <c r="T848" s="10"/>
      <c r="U848" s="10"/>
      <c r="V848" s="10"/>
    </row>
    <row r="849" spans="1:22" s="11" customFormat="1" ht="12" customHeight="1" x14ac:dyDescent="0.15">
      <c r="A849" s="62"/>
      <c r="B849" s="65"/>
      <c r="N849" s="10"/>
      <c r="O849" s="10"/>
      <c r="P849" s="10"/>
      <c r="Q849" s="10"/>
      <c r="R849" s="10"/>
      <c r="S849" s="10"/>
      <c r="T849" s="10"/>
      <c r="U849" s="10"/>
      <c r="V849" s="10"/>
    </row>
    <row r="850" spans="1:22" s="11" customFormat="1" ht="12" customHeight="1" x14ac:dyDescent="0.15">
      <c r="A850" s="62"/>
      <c r="B850" s="65"/>
      <c r="N850" s="10"/>
      <c r="O850" s="10"/>
      <c r="P850" s="10"/>
      <c r="Q850" s="10"/>
      <c r="R850" s="10"/>
      <c r="S850" s="10"/>
      <c r="T850" s="10"/>
      <c r="U850" s="10"/>
      <c r="V850" s="10"/>
    </row>
    <row r="851" spans="1:22" s="11" customFormat="1" ht="12" customHeight="1" x14ac:dyDescent="0.15">
      <c r="A851" s="62"/>
      <c r="B851" s="65"/>
      <c r="N851" s="10"/>
      <c r="O851" s="10"/>
      <c r="P851" s="10"/>
      <c r="Q851" s="10"/>
      <c r="R851" s="10"/>
      <c r="S851" s="10"/>
      <c r="T851" s="10"/>
      <c r="U851" s="10"/>
      <c r="V851" s="10"/>
    </row>
    <row r="852" spans="1:22" s="11" customFormat="1" ht="12" customHeight="1" x14ac:dyDescent="0.15">
      <c r="A852" s="62"/>
      <c r="B852" s="65"/>
      <c r="N852" s="10"/>
      <c r="O852" s="10"/>
      <c r="P852" s="10"/>
      <c r="Q852" s="10"/>
      <c r="R852" s="10"/>
      <c r="S852" s="10"/>
      <c r="T852" s="10"/>
      <c r="U852" s="10"/>
      <c r="V852" s="10"/>
    </row>
    <row r="853" spans="1:22" s="11" customFormat="1" ht="12" customHeight="1" x14ac:dyDescent="0.15">
      <c r="A853" s="62"/>
      <c r="B853" s="65"/>
      <c r="N853" s="10"/>
      <c r="O853" s="10"/>
      <c r="P853" s="10"/>
      <c r="Q853" s="10"/>
      <c r="R853" s="10"/>
      <c r="S853" s="10"/>
      <c r="T853" s="10"/>
      <c r="U853" s="10"/>
      <c r="V853" s="10"/>
    </row>
    <row r="854" spans="1:22" s="11" customFormat="1" ht="12" customHeight="1" x14ac:dyDescent="0.15">
      <c r="A854" s="62"/>
      <c r="B854" s="65"/>
      <c r="N854" s="10"/>
      <c r="O854" s="10"/>
      <c r="P854" s="10"/>
      <c r="Q854" s="10"/>
      <c r="R854" s="10"/>
      <c r="S854" s="10"/>
      <c r="T854" s="10"/>
      <c r="U854" s="10"/>
      <c r="V854" s="10"/>
    </row>
    <row r="855" spans="1:22" s="11" customFormat="1" ht="12" customHeight="1" x14ac:dyDescent="0.15">
      <c r="A855" s="62"/>
      <c r="B855" s="65"/>
      <c r="N855" s="10"/>
      <c r="O855" s="10"/>
      <c r="P855" s="10"/>
      <c r="Q855" s="10"/>
      <c r="R855" s="10"/>
      <c r="S855" s="10"/>
      <c r="T855" s="10"/>
      <c r="U855" s="10"/>
      <c r="V855" s="10"/>
    </row>
    <row r="856" spans="1:22" s="11" customFormat="1" ht="12" customHeight="1" x14ac:dyDescent="0.15">
      <c r="A856" s="62"/>
      <c r="B856" s="65"/>
      <c r="N856" s="10"/>
      <c r="O856" s="10"/>
      <c r="P856" s="10"/>
      <c r="Q856" s="10"/>
      <c r="R856" s="10"/>
      <c r="S856" s="10"/>
      <c r="T856" s="10"/>
      <c r="U856" s="10"/>
      <c r="V856" s="10"/>
    </row>
    <row r="857" spans="1:22" s="11" customFormat="1" ht="12" customHeight="1" x14ac:dyDescent="0.15">
      <c r="A857" s="62"/>
      <c r="B857" s="65"/>
      <c r="N857" s="10"/>
      <c r="O857" s="10"/>
      <c r="P857" s="10"/>
      <c r="Q857" s="10"/>
      <c r="R857" s="10"/>
      <c r="S857" s="10"/>
      <c r="T857" s="10"/>
      <c r="U857" s="10"/>
      <c r="V857" s="10"/>
    </row>
    <row r="858" spans="1:22" s="11" customFormat="1" ht="12" customHeight="1" x14ac:dyDescent="0.15">
      <c r="A858" s="62"/>
      <c r="B858" s="65"/>
      <c r="N858" s="10"/>
      <c r="O858" s="10"/>
      <c r="P858" s="10"/>
      <c r="Q858" s="10"/>
      <c r="R858" s="10"/>
      <c r="S858" s="10"/>
      <c r="T858" s="10"/>
      <c r="U858" s="10"/>
      <c r="V858" s="10"/>
    </row>
    <row r="859" spans="1:22" s="11" customFormat="1" ht="12" customHeight="1" x14ac:dyDescent="0.15">
      <c r="A859" s="62"/>
      <c r="B859" s="65"/>
      <c r="N859" s="10"/>
      <c r="O859" s="10"/>
      <c r="P859" s="10"/>
      <c r="Q859" s="10"/>
      <c r="R859" s="10"/>
      <c r="S859" s="10"/>
      <c r="T859" s="10"/>
      <c r="U859" s="10"/>
      <c r="V859" s="10"/>
    </row>
    <row r="860" spans="1:22" s="11" customFormat="1" ht="12" customHeight="1" x14ac:dyDescent="0.15">
      <c r="A860" s="62"/>
      <c r="B860" s="65"/>
      <c r="N860" s="10"/>
      <c r="O860" s="10"/>
      <c r="P860" s="10"/>
      <c r="Q860" s="10"/>
      <c r="R860" s="10"/>
      <c r="S860" s="10"/>
      <c r="T860" s="10"/>
      <c r="U860" s="10"/>
      <c r="V860" s="10"/>
    </row>
    <row r="861" spans="1:22" s="11" customFormat="1" ht="12" customHeight="1" x14ac:dyDescent="0.15">
      <c r="A861" s="62"/>
      <c r="B861" s="65"/>
      <c r="N861" s="10"/>
      <c r="O861" s="10"/>
      <c r="P861" s="10"/>
      <c r="Q861" s="10"/>
      <c r="R861" s="10"/>
      <c r="S861" s="10"/>
      <c r="T861" s="10"/>
      <c r="U861" s="10"/>
      <c r="V861" s="10"/>
    </row>
    <row r="862" spans="1:22" s="11" customFormat="1" ht="12" customHeight="1" x14ac:dyDescent="0.15">
      <c r="A862" s="62"/>
      <c r="B862" s="65"/>
      <c r="N862" s="10"/>
      <c r="O862" s="10"/>
      <c r="P862" s="10"/>
      <c r="Q862" s="10"/>
      <c r="R862" s="10"/>
      <c r="S862" s="10"/>
      <c r="T862" s="10"/>
      <c r="U862" s="10"/>
      <c r="V862" s="10"/>
    </row>
    <row r="863" spans="1:22" s="11" customFormat="1" ht="12" customHeight="1" x14ac:dyDescent="0.15">
      <c r="A863" s="62"/>
      <c r="B863" s="65"/>
      <c r="N863" s="10"/>
      <c r="O863" s="10"/>
      <c r="P863" s="10"/>
      <c r="Q863" s="10"/>
      <c r="R863" s="10"/>
      <c r="S863" s="10"/>
      <c r="T863" s="10"/>
      <c r="U863" s="10"/>
      <c r="V863" s="10"/>
    </row>
    <row r="864" spans="1:22" s="11" customFormat="1" ht="12" customHeight="1" x14ac:dyDescent="0.15">
      <c r="A864" s="62"/>
      <c r="B864" s="65"/>
      <c r="N864" s="10"/>
      <c r="O864" s="10"/>
      <c r="P864" s="10"/>
      <c r="Q864" s="10"/>
      <c r="R864" s="10"/>
      <c r="S864" s="10"/>
      <c r="T864" s="10"/>
      <c r="U864" s="10"/>
      <c r="V864" s="10"/>
    </row>
    <row r="865" spans="1:22" s="11" customFormat="1" ht="12" customHeight="1" x14ac:dyDescent="0.15">
      <c r="A865" s="62"/>
      <c r="B865" s="65"/>
      <c r="N865" s="10"/>
      <c r="O865" s="10"/>
      <c r="P865" s="10"/>
      <c r="Q865" s="10"/>
      <c r="R865" s="10"/>
      <c r="S865" s="10"/>
      <c r="T865" s="10"/>
      <c r="U865" s="10"/>
      <c r="V865" s="10"/>
    </row>
    <row r="866" spans="1:22" s="11" customFormat="1" ht="12" customHeight="1" x14ac:dyDescent="0.15">
      <c r="A866" s="62"/>
      <c r="B866" s="65"/>
      <c r="N866" s="10"/>
      <c r="O866" s="10"/>
      <c r="P866" s="10"/>
      <c r="Q866" s="10"/>
      <c r="R866" s="10"/>
      <c r="S866" s="10"/>
      <c r="T866" s="10"/>
      <c r="U866" s="10"/>
      <c r="V866" s="10"/>
    </row>
    <row r="867" spans="1:22" s="11" customFormat="1" ht="12" customHeight="1" x14ac:dyDescent="0.15">
      <c r="A867" s="62"/>
      <c r="B867" s="65"/>
      <c r="N867" s="10"/>
      <c r="O867" s="10"/>
      <c r="P867" s="10"/>
      <c r="Q867" s="10"/>
      <c r="R867" s="10"/>
      <c r="S867" s="10"/>
      <c r="T867" s="10"/>
      <c r="U867" s="10"/>
      <c r="V867" s="10"/>
    </row>
    <row r="868" spans="1:22" s="11" customFormat="1" ht="12" customHeight="1" x14ac:dyDescent="0.15">
      <c r="A868" s="62"/>
      <c r="B868" s="65"/>
      <c r="N868" s="10"/>
      <c r="O868" s="10"/>
      <c r="P868" s="10"/>
      <c r="Q868" s="10"/>
      <c r="R868" s="10"/>
      <c r="S868" s="10"/>
      <c r="T868" s="10"/>
      <c r="U868" s="10"/>
      <c r="V868" s="10"/>
    </row>
    <row r="869" spans="1:22" s="11" customFormat="1" ht="12" customHeight="1" x14ac:dyDescent="0.15">
      <c r="A869" s="62"/>
      <c r="B869" s="65"/>
      <c r="N869" s="10"/>
      <c r="O869" s="10"/>
      <c r="P869" s="10"/>
      <c r="Q869" s="10"/>
      <c r="R869" s="10"/>
      <c r="S869" s="10"/>
      <c r="T869" s="10"/>
      <c r="U869" s="10"/>
      <c r="V869" s="10"/>
    </row>
    <row r="870" spans="1:22" s="11" customFormat="1" ht="12" customHeight="1" x14ac:dyDescent="0.15">
      <c r="A870" s="62"/>
      <c r="B870" s="65"/>
      <c r="N870" s="10"/>
      <c r="O870" s="10"/>
      <c r="P870" s="10"/>
      <c r="Q870" s="10"/>
      <c r="R870" s="10"/>
      <c r="S870" s="10"/>
      <c r="T870" s="10"/>
      <c r="U870" s="10"/>
      <c r="V870" s="10"/>
    </row>
    <row r="871" spans="1:22" s="11" customFormat="1" ht="12" customHeight="1" x14ac:dyDescent="0.15">
      <c r="A871" s="62"/>
      <c r="B871" s="65"/>
      <c r="N871" s="10"/>
      <c r="O871" s="10"/>
      <c r="P871" s="10"/>
      <c r="Q871" s="10"/>
      <c r="R871" s="10"/>
      <c r="S871" s="10"/>
      <c r="T871" s="10"/>
      <c r="U871" s="10"/>
      <c r="V871" s="10"/>
    </row>
    <row r="872" spans="1:22" s="11" customFormat="1" ht="12" customHeight="1" x14ac:dyDescent="0.15">
      <c r="A872" s="62"/>
      <c r="B872" s="65"/>
      <c r="N872" s="10"/>
      <c r="O872" s="10"/>
      <c r="P872" s="10"/>
      <c r="Q872" s="10"/>
      <c r="R872" s="10"/>
      <c r="S872" s="10"/>
      <c r="T872" s="10"/>
      <c r="U872" s="10"/>
      <c r="V872" s="10"/>
    </row>
    <row r="873" spans="1:22" s="11" customFormat="1" ht="12" customHeight="1" x14ac:dyDescent="0.15">
      <c r="A873" s="62"/>
      <c r="B873" s="65"/>
      <c r="N873" s="10"/>
      <c r="O873" s="10"/>
      <c r="P873" s="10"/>
      <c r="Q873" s="10"/>
      <c r="R873" s="10"/>
      <c r="S873" s="10"/>
      <c r="T873" s="10"/>
      <c r="U873" s="10"/>
      <c r="V873" s="10"/>
    </row>
    <row r="874" spans="1:22" s="11" customFormat="1" ht="12" customHeight="1" x14ac:dyDescent="0.15">
      <c r="A874" s="62"/>
      <c r="B874" s="65"/>
      <c r="N874" s="10"/>
      <c r="O874" s="10"/>
      <c r="P874" s="10"/>
      <c r="Q874" s="10"/>
      <c r="R874" s="10"/>
      <c r="S874" s="10"/>
      <c r="T874" s="10"/>
      <c r="U874" s="10"/>
      <c r="V874" s="10"/>
    </row>
    <row r="875" spans="1:22" s="11" customFormat="1" ht="12" customHeight="1" x14ac:dyDescent="0.15">
      <c r="A875" s="62"/>
      <c r="B875" s="65"/>
      <c r="N875" s="10"/>
      <c r="O875" s="10"/>
      <c r="P875" s="10"/>
      <c r="Q875" s="10"/>
      <c r="R875" s="10"/>
      <c r="S875" s="10"/>
      <c r="T875" s="10"/>
      <c r="U875" s="10"/>
      <c r="V875" s="10"/>
    </row>
    <row r="876" spans="1:22" s="11" customFormat="1" ht="12" customHeight="1" x14ac:dyDescent="0.15">
      <c r="A876" s="62"/>
      <c r="B876" s="65"/>
      <c r="N876" s="10"/>
      <c r="O876" s="10"/>
      <c r="P876" s="10"/>
      <c r="Q876" s="10"/>
      <c r="R876" s="10"/>
      <c r="S876" s="10"/>
      <c r="T876" s="10"/>
      <c r="U876" s="10"/>
      <c r="V876" s="10"/>
    </row>
    <row r="877" spans="1:22" s="11" customFormat="1" ht="12" customHeight="1" x14ac:dyDescent="0.15">
      <c r="A877" s="62"/>
      <c r="B877" s="65"/>
      <c r="N877" s="10"/>
      <c r="O877" s="10"/>
      <c r="P877" s="10"/>
      <c r="Q877" s="10"/>
      <c r="R877" s="10"/>
      <c r="S877" s="10"/>
      <c r="T877" s="10"/>
      <c r="U877" s="10"/>
      <c r="V877" s="10"/>
    </row>
    <row r="878" spans="1:22" s="11" customFormat="1" ht="12" customHeight="1" x14ac:dyDescent="0.15">
      <c r="A878" s="62"/>
      <c r="B878" s="65"/>
      <c r="N878" s="10"/>
      <c r="O878" s="10"/>
      <c r="P878" s="10"/>
      <c r="Q878" s="10"/>
      <c r="R878" s="10"/>
      <c r="S878" s="10"/>
      <c r="T878" s="10"/>
      <c r="U878" s="10"/>
      <c r="V878" s="10"/>
    </row>
    <row r="879" spans="1:22" s="11" customFormat="1" ht="12" customHeight="1" x14ac:dyDescent="0.15">
      <c r="A879" s="62"/>
      <c r="B879" s="65"/>
      <c r="N879" s="10"/>
      <c r="O879" s="10"/>
      <c r="P879" s="10"/>
      <c r="Q879" s="10"/>
      <c r="R879" s="10"/>
      <c r="S879" s="10"/>
      <c r="T879" s="10"/>
      <c r="U879" s="10"/>
      <c r="V879" s="10"/>
    </row>
    <row r="880" spans="1:22" s="11" customFormat="1" ht="12" customHeight="1" x14ac:dyDescent="0.15">
      <c r="A880" s="62"/>
      <c r="B880" s="65"/>
      <c r="N880" s="10"/>
      <c r="O880" s="10"/>
      <c r="P880" s="10"/>
      <c r="Q880" s="10"/>
      <c r="R880" s="10"/>
      <c r="S880" s="10"/>
      <c r="T880" s="10"/>
      <c r="U880" s="10"/>
      <c r="V880" s="10"/>
    </row>
    <row r="881" spans="1:22" s="11" customFormat="1" ht="12" customHeight="1" x14ac:dyDescent="0.15">
      <c r="A881" s="62"/>
      <c r="B881" s="65"/>
      <c r="N881" s="10"/>
      <c r="O881" s="10"/>
      <c r="P881" s="10"/>
      <c r="Q881" s="10"/>
      <c r="R881" s="10"/>
      <c r="S881" s="10"/>
      <c r="T881" s="10"/>
      <c r="U881" s="10"/>
      <c r="V881" s="10"/>
    </row>
    <row r="882" spans="1:22" s="11" customFormat="1" ht="12" customHeight="1" x14ac:dyDescent="0.15">
      <c r="A882" s="62"/>
      <c r="B882" s="65"/>
      <c r="N882" s="10"/>
      <c r="O882" s="10"/>
      <c r="P882" s="10"/>
      <c r="Q882" s="10"/>
      <c r="R882" s="10"/>
      <c r="S882" s="10"/>
      <c r="T882" s="10"/>
      <c r="U882" s="10"/>
      <c r="V882" s="10"/>
    </row>
    <row r="883" spans="1:22" s="11" customFormat="1" ht="12" customHeight="1" x14ac:dyDescent="0.15">
      <c r="A883" s="62"/>
      <c r="B883" s="65"/>
      <c r="N883" s="10"/>
      <c r="O883" s="10"/>
      <c r="P883" s="10"/>
      <c r="Q883" s="10"/>
      <c r="R883" s="10"/>
      <c r="S883" s="10"/>
      <c r="T883" s="10"/>
      <c r="U883" s="10"/>
      <c r="V883" s="10"/>
    </row>
    <row r="884" spans="1:22" s="11" customFormat="1" ht="12" customHeight="1" x14ac:dyDescent="0.15">
      <c r="A884" s="62"/>
      <c r="B884" s="65"/>
      <c r="N884" s="10"/>
      <c r="O884" s="10"/>
      <c r="P884" s="10"/>
      <c r="Q884" s="10"/>
      <c r="R884" s="10"/>
      <c r="S884" s="10"/>
      <c r="T884" s="10"/>
      <c r="U884" s="10"/>
      <c r="V884" s="10"/>
    </row>
    <row r="885" spans="1:22" s="11" customFormat="1" ht="12" customHeight="1" x14ac:dyDescent="0.15">
      <c r="A885" s="62"/>
      <c r="B885" s="65"/>
      <c r="N885" s="10"/>
      <c r="O885" s="10"/>
      <c r="P885" s="10"/>
      <c r="Q885" s="10"/>
      <c r="R885" s="10"/>
      <c r="S885" s="10"/>
      <c r="T885" s="10"/>
      <c r="U885" s="10"/>
      <c r="V885" s="10"/>
    </row>
    <row r="886" spans="1:22" s="11" customFormat="1" ht="12" customHeight="1" x14ac:dyDescent="0.15">
      <c r="A886" s="62"/>
      <c r="B886" s="65"/>
      <c r="N886" s="10"/>
      <c r="O886" s="10"/>
      <c r="P886" s="10"/>
      <c r="Q886" s="10"/>
      <c r="R886" s="10"/>
      <c r="S886" s="10"/>
      <c r="T886" s="10"/>
      <c r="U886" s="10"/>
      <c r="V886" s="10"/>
    </row>
    <row r="887" spans="1:22" s="11" customFormat="1" ht="12" customHeight="1" x14ac:dyDescent="0.15">
      <c r="A887" s="62"/>
      <c r="B887" s="65"/>
      <c r="N887" s="10"/>
      <c r="O887" s="10"/>
      <c r="P887" s="10"/>
      <c r="Q887" s="10"/>
      <c r="R887" s="10"/>
      <c r="S887" s="10"/>
      <c r="T887" s="10"/>
      <c r="U887" s="10"/>
      <c r="V887" s="10"/>
    </row>
    <row r="888" spans="1:22" s="11" customFormat="1" ht="12" customHeight="1" x14ac:dyDescent="0.15">
      <c r="A888" s="62"/>
      <c r="B888" s="65"/>
      <c r="N888" s="10"/>
      <c r="O888" s="10"/>
      <c r="P888" s="10"/>
      <c r="Q888" s="10"/>
      <c r="R888" s="10"/>
      <c r="S888" s="10"/>
      <c r="T888" s="10"/>
      <c r="U888" s="10"/>
      <c r="V888" s="10"/>
    </row>
    <row r="889" spans="1:22" s="11" customFormat="1" ht="12" customHeight="1" x14ac:dyDescent="0.15">
      <c r="A889" s="62"/>
      <c r="B889" s="65"/>
      <c r="N889" s="10"/>
      <c r="O889" s="10"/>
      <c r="P889" s="10"/>
      <c r="Q889" s="10"/>
      <c r="R889" s="10"/>
      <c r="S889" s="10"/>
      <c r="T889" s="10"/>
      <c r="U889" s="10"/>
      <c r="V889" s="10"/>
    </row>
    <row r="890" spans="1:22" s="11" customFormat="1" ht="12" customHeight="1" x14ac:dyDescent="0.15">
      <c r="A890" s="62"/>
      <c r="B890" s="65"/>
      <c r="N890" s="10"/>
      <c r="O890" s="10"/>
      <c r="P890" s="10"/>
      <c r="Q890" s="10"/>
      <c r="R890" s="10"/>
      <c r="S890" s="10"/>
      <c r="T890" s="10"/>
      <c r="U890" s="10"/>
      <c r="V890" s="10"/>
    </row>
    <row r="891" spans="1:22" s="11" customFormat="1" ht="12" customHeight="1" x14ac:dyDescent="0.15">
      <c r="A891" s="62"/>
      <c r="B891" s="65"/>
      <c r="N891" s="10"/>
      <c r="O891" s="10"/>
      <c r="P891" s="10"/>
      <c r="Q891" s="10"/>
      <c r="R891" s="10"/>
      <c r="S891" s="10"/>
      <c r="T891" s="10"/>
      <c r="U891" s="10"/>
      <c r="V891" s="10"/>
    </row>
    <row r="892" spans="1:22" s="11" customFormat="1" ht="12" customHeight="1" x14ac:dyDescent="0.15">
      <c r="A892" s="62"/>
      <c r="B892" s="65"/>
      <c r="N892" s="10"/>
      <c r="O892" s="10"/>
      <c r="P892" s="10"/>
      <c r="Q892" s="10"/>
      <c r="R892" s="10"/>
      <c r="S892" s="10"/>
      <c r="T892" s="10"/>
      <c r="U892" s="10"/>
      <c r="V892" s="10"/>
    </row>
    <row r="893" spans="1:22" s="11" customFormat="1" ht="12" customHeight="1" x14ac:dyDescent="0.15">
      <c r="A893" s="62"/>
      <c r="B893" s="65"/>
      <c r="N893" s="10"/>
      <c r="O893" s="10"/>
      <c r="P893" s="10"/>
      <c r="Q893" s="10"/>
      <c r="R893" s="10"/>
      <c r="S893" s="10"/>
      <c r="T893" s="10"/>
      <c r="U893" s="10"/>
      <c r="V893" s="10"/>
    </row>
    <row r="894" spans="1:22" s="11" customFormat="1" ht="12" customHeight="1" x14ac:dyDescent="0.15">
      <c r="A894" s="62"/>
      <c r="B894" s="65"/>
      <c r="N894" s="10"/>
      <c r="O894" s="10"/>
      <c r="P894" s="10"/>
      <c r="Q894" s="10"/>
      <c r="R894" s="10"/>
      <c r="S894" s="10"/>
      <c r="T894" s="10"/>
      <c r="U894" s="10"/>
      <c r="V894" s="10"/>
    </row>
    <row r="895" spans="1:22" s="11" customFormat="1" ht="12" customHeight="1" x14ac:dyDescent="0.15">
      <c r="A895" s="62"/>
      <c r="B895" s="65"/>
      <c r="N895" s="10"/>
      <c r="O895" s="10"/>
      <c r="P895" s="10"/>
      <c r="Q895" s="10"/>
      <c r="R895" s="10"/>
      <c r="S895" s="10"/>
      <c r="T895" s="10"/>
      <c r="U895" s="10"/>
      <c r="V895" s="10"/>
    </row>
    <row r="896" spans="1:22" s="11" customFormat="1" ht="12" customHeight="1" x14ac:dyDescent="0.15">
      <c r="A896" s="62"/>
      <c r="B896" s="65"/>
      <c r="N896" s="10"/>
      <c r="O896" s="10"/>
      <c r="P896" s="10"/>
      <c r="Q896" s="10"/>
      <c r="R896" s="10"/>
      <c r="S896" s="10"/>
      <c r="T896" s="10"/>
      <c r="U896" s="10"/>
      <c r="V896" s="10"/>
    </row>
    <row r="897" spans="1:22" s="11" customFormat="1" ht="12" customHeight="1" x14ac:dyDescent="0.15">
      <c r="A897" s="62"/>
      <c r="B897" s="65"/>
      <c r="N897" s="10"/>
      <c r="O897" s="10"/>
      <c r="P897" s="10"/>
      <c r="Q897" s="10"/>
      <c r="R897" s="10"/>
      <c r="S897" s="10"/>
      <c r="T897" s="10"/>
      <c r="U897" s="10"/>
      <c r="V897" s="10"/>
    </row>
    <row r="898" spans="1:22" s="11" customFormat="1" ht="12" customHeight="1" x14ac:dyDescent="0.15">
      <c r="A898" s="62"/>
      <c r="B898" s="65"/>
      <c r="N898" s="10"/>
      <c r="O898" s="10"/>
      <c r="P898" s="10"/>
      <c r="Q898" s="10"/>
      <c r="R898" s="10"/>
      <c r="S898" s="10"/>
      <c r="T898" s="10"/>
      <c r="U898" s="10"/>
      <c r="V898" s="10"/>
    </row>
    <row r="899" spans="1:22" s="11" customFormat="1" ht="12" customHeight="1" x14ac:dyDescent="0.15">
      <c r="A899" s="62"/>
      <c r="B899" s="65"/>
      <c r="N899" s="10"/>
      <c r="O899" s="10"/>
      <c r="P899" s="10"/>
      <c r="Q899" s="10"/>
      <c r="R899" s="10"/>
      <c r="S899" s="10"/>
      <c r="T899" s="10"/>
      <c r="U899" s="10"/>
      <c r="V899" s="10"/>
    </row>
    <row r="900" spans="1:22" s="11" customFormat="1" ht="12" customHeight="1" x14ac:dyDescent="0.15">
      <c r="A900" s="62"/>
      <c r="B900" s="65"/>
      <c r="N900" s="10"/>
      <c r="O900" s="10"/>
      <c r="P900" s="10"/>
      <c r="Q900" s="10"/>
      <c r="R900" s="10"/>
      <c r="S900" s="10"/>
      <c r="T900" s="10"/>
      <c r="U900" s="10"/>
      <c r="V900" s="10"/>
    </row>
    <row r="901" spans="1:22" s="11" customFormat="1" ht="12" customHeight="1" x14ac:dyDescent="0.15">
      <c r="A901" s="62"/>
      <c r="B901" s="65"/>
      <c r="N901" s="10"/>
      <c r="O901" s="10"/>
      <c r="P901" s="10"/>
      <c r="Q901" s="10"/>
      <c r="R901" s="10"/>
      <c r="S901" s="10"/>
      <c r="T901" s="10"/>
      <c r="U901" s="10"/>
      <c r="V901" s="10"/>
    </row>
    <row r="902" spans="1:22" s="11" customFormat="1" ht="12" customHeight="1" x14ac:dyDescent="0.15">
      <c r="A902" s="62"/>
      <c r="B902" s="65"/>
      <c r="N902" s="10"/>
      <c r="O902" s="10"/>
      <c r="P902" s="10"/>
      <c r="Q902" s="10"/>
      <c r="R902" s="10"/>
      <c r="S902" s="10"/>
      <c r="T902" s="10"/>
      <c r="U902" s="10"/>
      <c r="V902" s="10"/>
    </row>
    <row r="903" spans="1:22" s="11" customFormat="1" ht="12" customHeight="1" x14ac:dyDescent="0.15">
      <c r="A903" s="62"/>
      <c r="B903" s="65"/>
      <c r="N903" s="10"/>
      <c r="O903" s="10"/>
      <c r="P903" s="10"/>
      <c r="Q903" s="10"/>
      <c r="R903" s="10"/>
      <c r="S903" s="10"/>
      <c r="T903" s="10"/>
      <c r="U903" s="10"/>
      <c r="V903" s="10"/>
    </row>
    <row r="904" spans="1:22" s="11" customFormat="1" ht="12" customHeight="1" x14ac:dyDescent="0.15">
      <c r="A904" s="62"/>
      <c r="B904" s="65"/>
      <c r="N904" s="10"/>
      <c r="O904" s="10"/>
      <c r="P904" s="10"/>
      <c r="Q904" s="10"/>
      <c r="R904" s="10"/>
      <c r="S904" s="10"/>
      <c r="T904" s="10"/>
      <c r="U904" s="10"/>
      <c r="V904" s="10"/>
    </row>
    <row r="905" spans="1:22" s="11" customFormat="1" ht="12" customHeight="1" x14ac:dyDescent="0.15">
      <c r="A905" s="62"/>
      <c r="B905" s="65"/>
      <c r="N905" s="10"/>
      <c r="O905" s="10"/>
      <c r="P905" s="10"/>
      <c r="Q905" s="10"/>
      <c r="R905" s="10"/>
      <c r="S905" s="10"/>
      <c r="T905" s="10"/>
      <c r="U905" s="10"/>
      <c r="V905" s="10"/>
    </row>
    <row r="906" spans="1:22" s="11" customFormat="1" ht="12" customHeight="1" x14ac:dyDescent="0.15">
      <c r="A906" s="62"/>
      <c r="B906" s="65"/>
      <c r="N906" s="10"/>
      <c r="O906" s="10"/>
      <c r="P906" s="10"/>
      <c r="Q906" s="10"/>
      <c r="R906" s="10"/>
      <c r="S906" s="10"/>
      <c r="T906" s="10"/>
      <c r="U906" s="10"/>
      <c r="V906" s="10"/>
    </row>
    <row r="907" spans="1:22" s="11" customFormat="1" ht="12" customHeight="1" x14ac:dyDescent="0.15">
      <c r="A907" s="62"/>
      <c r="B907" s="65"/>
      <c r="N907" s="10"/>
      <c r="O907" s="10"/>
      <c r="P907" s="10"/>
      <c r="Q907" s="10"/>
      <c r="R907" s="10"/>
      <c r="S907" s="10"/>
      <c r="T907" s="10"/>
      <c r="U907" s="10"/>
      <c r="V907" s="10"/>
    </row>
    <row r="908" spans="1:22" s="11" customFormat="1" ht="12" customHeight="1" x14ac:dyDescent="0.15">
      <c r="A908" s="62"/>
      <c r="B908" s="65"/>
      <c r="N908" s="10"/>
      <c r="O908" s="10"/>
      <c r="P908" s="10"/>
      <c r="Q908" s="10"/>
      <c r="R908" s="10"/>
      <c r="S908" s="10"/>
      <c r="T908" s="10"/>
      <c r="U908" s="10"/>
      <c r="V908" s="10"/>
    </row>
    <row r="909" spans="1:22" s="11" customFormat="1" ht="12" customHeight="1" x14ac:dyDescent="0.15">
      <c r="A909" s="62"/>
      <c r="B909" s="65"/>
      <c r="N909" s="10"/>
      <c r="O909" s="10"/>
      <c r="P909" s="10"/>
      <c r="Q909" s="10"/>
      <c r="R909" s="10"/>
      <c r="S909" s="10"/>
      <c r="T909" s="10"/>
      <c r="U909" s="10"/>
      <c r="V909" s="10"/>
    </row>
    <row r="910" spans="1:22" s="11" customFormat="1" ht="12" customHeight="1" x14ac:dyDescent="0.15">
      <c r="A910" s="62"/>
      <c r="B910" s="65"/>
      <c r="N910" s="10"/>
      <c r="O910" s="10"/>
      <c r="P910" s="10"/>
      <c r="Q910" s="10"/>
      <c r="R910" s="10"/>
      <c r="S910" s="10"/>
      <c r="T910" s="10"/>
      <c r="U910" s="10"/>
      <c r="V910" s="10"/>
    </row>
    <row r="911" spans="1:22" s="11" customFormat="1" ht="12" customHeight="1" x14ac:dyDescent="0.15">
      <c r="A911" s="62"/>
      <c r="B911" s="65"/>
      <c r="N911" s="10"/>
      <c r="O911" s="10"/>
      <c r="P911" s="10"/>
      <c r="Q911" s="10"/>
      <c r="R911" s="10"/>
      <c r="S911" s="10"/>
      <c r="T911" s="10"/>
      <c r="U911" s="10"/>
      <c r="V911" s="10"/>
    </row>
    <row r="912" spans="1:22" s="11" customFormat="1" ht="12" customHeight="1" x14ac:dyDescent="0.15">
      <c r="A912" s="62"/>
      <c r="B912" s="65"/>
      <c r="N912" s="10"/>
      <c r="O912" s="10"/>
      <c r="P912" s="10"/>
      <c r="Q912" s="10"/>
      <c r="R912" s="10"/>
      <c r="S912" s="10"/>
      <c r="T912" s="10"/>
      <c r="U912" s="10"/>
      <c r="V912" s="10"/>
    </row>
    <row r="913" spans="1:22" s="11" customFormat="1" ht="12" customHeight="1" x14ac:dyDescent="0.15">
      <c r="A913" s="62"/>
      <c r="B913" s="65"/>
      <c r="N913" s="10"/>
      <c r="O913" s="10"/>
      <c r="P913" s="10"/>
      <c r="Q913" s="10"/>
      <c r="R913" s="10"/>
      <c r="S913" s="10"/>
      <c r="T913" s="10"/>
      <c r="U913" s="10"/>
      <c r="V913" s="10"/>
    </row>
    <row r="914" spans="1:22" s="11" customFormat="1" ht="12" customHeight="1" x14ac:dyDescent="0.15">
      <c r="A914" s="62"/>
      <c r="B914" s="65"/>
      <c r="N914" s="10"/>
      <c r="O914" s="10"/>
      <c r="P914" s="10"/>
      <c r="Q914" s="10"/>
      <c r="R914" s="10"/>
      <c r="S914" s="10"/>
      <c r="T914" s="10"/>
      <c r="U914" s="10"/>
      <c r="V914" s="10"/>
    </row>
    <row r="915" spans="1:22" s="11" customFormat="1" ht="12" customHeight="1" x14ac:dyDescent="0.15">
      <c r="A915" s="62"/>
      <c r="B915" s="65"/>
      <c r="N915" s="10"/>
      <c r="O915" s="10"/>
      <c r="P915" s="10"/>
      <c r="Q915" s="10"/>
      <c r="R915" s="10"/>
      <c r="S915" s="10"/>
      <c r="T915" s="10"/>
      <c r="U915" s="10"/>
      <c r="V915" s="10"/>
    </row>
    <row r="916" spans="1:22" s="11" customFormat="1" ht="12" customHeight="1" x14ac:dyDescent="0.15">
      <c r="A916" s="62"/>
      <c r="B916" s="65"/>
      <c r="N916" s="10"/>
      <c r="O916" s="10"/>
      <c r="P916" s="10"/>
      <c r="Q916" s="10"/>
      <c r="R916" s="10"/>
      <c r="S916" s="10"/>
      <c r="T916" s="10"/>
      <c r="U916" s="10"/>
      <c r="V916" s="10"/>
    </row>
    <row r="917" spans="1:22" s="11" customFormat="1" ht="12" customHeight="1" x14ac:dyDescent="0.15">
      <c r="A917" s="62"/>
      <c r="B917" s="65"/>
      <c r="N917" s="10"/>
      <c r="O917" s="10"/>
      <c r="P917" s="10"/>
      <c r="Q917" s="10"/>
      <c r="R917" s="10"/>
      <c r="S917" s="10"/>
      <c r="T917" s="10"/>
      <c r="U917" s="10"/>
      <c r="V917" s="10"/>
    </row>
    <row r="918" spans="1:22" s="11" customFormat="1" ht="12" customHeight="1" x14ac:dyDescent="0.15">
      <c r="A918" s="62"/>
      <c r="B918" s="65"/>
      <c r="N918" s="10"/>
      <c r="O918" s="10"/>
      <c r="P918" s="10"/>
      <c r="Q918" s="10"/>
      <c r="R918" s="10"/>
      <c r="S918" s="10"/>
      <c r="T918" s="10"/>
      <c r="U918" s="10"/>
      <c r="V918" s="10"/>
    </row>
    <row r="919" spans="1:22" s="11" customFormat="1" ht="12" customHeight="1" x14ac:dyDescent="0.15">
      <c r="A919" s="62"/>
      <c r="B919" s="65"/>
      <c r="N919" s="10"/>
      <c r="O919" s="10"/>
      <c r="P919" s="10"/>
      <c r="Q919" s="10"/>
      <c r="R919" s="10"/>
      <c r="S919" s="10"/>
      <c r="T919" s="10"/>
      <c r="U919" s="10"/>
      <c r="V919" s="10"/>
    </row>
    <row r="920" spans="1:22" s="11" customFormat="1" ht="12" customHeight="1" x14ac:dyDescent="0.15">
      <c r="A920" s="62"/>
      <c r="B920" s="65"/>
      <c r="N920" s="10"/>
      <c r="O920" s="10"/>
      <c r="P920" s="10"/>
      <c r="Q920" s="10"/>
      <c r="R920" s="10"/>
      <c r="S920" s="10"/>
      <c r="T920" s="10"/>
      <c r="U920" s="10"/>
      <c r="V920" s="10"/>
    </row>
    <row r="921" spans="1:22" s="11" customFormat="1" ht="12" customHeight="1" x14ac:dyDescent="0.15">
      <c r="A921" s="62"/>
      <c r="B921" s="65"/>
      <c r="N921" s="10"/>
      <c r="O921" s="10"/>
      <c r="P921" s="10"/>
      <c r="Q921" s="10"/>
      <c r="R921" s="10"/>
      <c r="S921" s="10"/>
      <c r="T921" s="10"/>
      <c r="U921" s="10"/>
      <c r="V921" s="10"/>
    </row>
    <row r="922" spans="1:22" s="11" customFormat="1" ht="12" customHeight="1" x14ac:dyDescent="0.15">
      <c r="A922" s="62"/>
      <c r="B922" s="65"/>
      <c r="N922" s="10"/>
      <c r="O922" s="10"/>
      <c r="P922" s="10"/>
      <c r="Q922" s="10"/>
      <c r="R922" s="10"/>
      <c r="S922" s="10"/>
      <c r="T922" s="10"/>
      <c r="U922" s="10"/>
      <c r="V922" s="10"/>
    </row>
    <row r="923" spans="1:22" s="11" customFormat="1" ht="12" customHeight="1" x14ac:dyDescent="0.15">
      <c r="A923" s="62"/>
      <c r="B923" s="65"/>
      <c r="N923" s="10"/>
      <c r="O923" s="10"/>
      <c r="P923" s="10"/>
      <c r="Q923" s="10"/>
      <c r="R923" s="10"/>
      <c r="S923" s="10"/>
      <c r="T923" s="10"/>
      <c r="U923" s="10"/>
      <c r="V923" s="10"/>
    </row>
    <row r="924" spans="1:22" s="11" customFormat="1" ht="12" customHeight="1" x14ac:dyDescent="0.15">
      <c r="A924" s="62"/>
      <c r="B924" s="65"/>
      <c r="N924" s="10"/>
      <c r="O924" s="10"/>
      <c r="P924" s="10"/>
      <c r="Q924" s="10"/>
      <c r="R924" s="10"/>
      <c r="S924" s="10"/>
      <c r="T924" s="10"/>
      <c r="U924" s="10"/>
      <c r="V924" s="10"/>
    </row>
    <row r="925" spans="1:22" s="11" customFormat="1" ht="12" customHeight="1" x14ac:dyDescent="0.15">
      <c r="A925" s="62"/>
      <c r="B925" s="65"/>
      <c r="N925" s="10"/>
      <c r="O925" s="10"/>
      <c r="P925" s="10"/>
      <c r="Q925" s="10"/>
      <c r="R925" s="10"/>
      <c r="S925" s="10"/>
      <c r="T925" s="10"/>
      <c r="U925" s="10"/>
      <c r="V925" s="10"/>
    </row>
    <row r="926" spans="1:22" s="11" customFormat="1" ht="12" customHeight="1" x14ac:dyDescent="0.15">
      <c r="A926" s="62"/>
      <c r="B926" s="65"/>
      <c r="N926" s="10"/>
      <c r="O926" s="10"/>
      <c r="P926" s="10"/>
      <c r="Q926" s="10"/>
      <c r="R926" s="10"/>
      <c r="S926" s="10"/>
      <c r="T926" s="10"/>
      <c r="U926" s="10"/>
      <c r="V926" s="10"/>
    </row>
    <row r="927" spans="1:22" s="11" customFormat="1" ht="12" customHeight="1" x14ac:dyDescent="0.15">
      <c r="A927" s="62"/>
      <c r="B927" s="65"/>
      <c r="N927" s="10"/>
      <c r="O927" s="10"/>
      <c r="P927" s="10"/>
      <c r="Q927" s="10"/>
      <c r="R927" s="10"/>
      <c r="S927" s="10"/>
      <c r="T927" s="10"/>
      <c r="U927" s="10"/>
      <c r="V927" s="10"/>
    </row>
    <row r="928" spans="1:22" s="11" customFormat="1" ht="12" customHeight="1" x14ac:dyDescent="0.15">
      <c r="A928" s="62"/>
      <c r="B928" s="65"/>
      <c r="N928" s="10"/>
      <c r="O928" s="10"/>
      <c r="P928" s="10"/>
      <c r="Q928" s="10"/>
      <c r="R928" s="10"/>
      <c r="S928" s="10"/>
      <c r="T928" s="10"/>
      <c r="U928" s="10"/>
      <c r="V928" s="10"/>
    </row>
    <row r="929" spans="1:22" s="11" customFormat="1" ht="12" customHeight="1" x14ac:dyDescent="0.15">
      <c r="A929" s="62"/>
      <c r="B929" s="65"/>
      <c r="N929" s="10"/>
      <c r="O929" s="10"/>
      <c r="P929" s="10"/>
      <c r="Q929" s="10"/>
      <c r="R929" s="10"/>
      <c r="S929" s="10"/>
      <c r="T929" s="10"/>
      <c r="U929" s="10"/>
      <c r="V929" s="10"/>
    </row>
    <row r="930" spans="1:22" s="11" customFormat="1" ht="12" customHeight="1" x14ac:dyDescent="0.15">
      <c r="A930" s="62"/>
      <c r="B930" s="65"/>
      <c r="N930" s="10"/>
      <c r="O930" s="10"/>
      <c r="P930" s="10"/>
      <c r="Q930" s="10"/>
      <c r="R930" s="10"/>
      <c r="S930" s="10"/>
      <c r="T930" s="10"/>
      <c r="U930" s="10"/>
      <c r="V930" s="10"/>
    </row>
    <row r="931" spans="1:22" s="11" customFormat="1" ht="12" customHeight="1" x14ac:dyDescent="0.15">
      <c r="A931" s="62"/>
      <c r="B931" s="65"/>
      <c r="N931" s="10"/>
      <c r="O931" s="10"/>
      <c r="P931" s="10"/>
      <c r="Q931" s="10"/>
      <c r="R931" s="10"/>
      <c r="S931" s="10"/>
      <c r="T931" s="10"/>
      <c r="U931" s="10"/>
      <c r="V931" s="10"/>
    </row>
    <row r="932" spans="1:22" s="11" customFormat="1" ht="12" customHeight="1" x14ac:dyDescent="0.15">
      <c r="A932" s="62"/>
      <c r="B932" s="65"/>
      <c r="N932" s="10"/>
      <c r="O932" s="10"/>
      <c r="P932" s="10"/>
      <c r="Q932" s="10"/>
      <c r="R932" s="10"/>
      <c r="S932" s="10"/>
      <c r="T932" s="10"/>
      <c r="U932" s="10"/>
      <c r="V932" s="10"/>
    </row>
    <row r="933" spans="1:22" s="11" customFormat="1" ht="12" customHeight="1" x14ac:dyDescent="0.15">
      <c r="A933" s="62"/>
      <c r="B933" s="65"/>
      <c r="N933" s="10"/>
      <c r="O933" s="10"/>
      <c r="P933" s="10"/>
      <c r="Q933" s="10"/>
      <c r="R933" s="10"/>
      <c r="S933" s="10"/>
      <c r="T933" s="10"/>
      <c r="U933" s="10"/>
      <c r="V933" s="10"/>
    </row>
    <row r="934" spans="1:22" s="11" customFormat="1" ht="12" customHeight="1" x14ac:dyDescent="0.15">
      <c r="A934" s="62"/>
      <c r="B934" s="65"/>
      <c r="N934" s="10"/>
      <c r="O934" s="10"/>
      <c r="P934" s="10"/>
      <c r="Q934" s="10"/>
      <c r="R934" s="10"/>
      <c r="S934" s="10"/>
      <c r="T934" s="10"/>
      <c r="U934" s="10"/>
      <c r="V934" s="10"/>
    </row>
    <row r="935" spans="1:22" s="11" customFormat="1" ht="12" customHeight="1" x14ac:dyDescent="0.15">
      <c r="A935" s="62"/>
      <c r="B935" s="65"/>
      <c r="N935" s="10"/>
      <c r="O935" s="10"/>
      <c r="P935" s="10"/>
      <c r="Q935" s="10"/>
      <c r="R935" s="10"/>
      <c r="S935" s="10"/>
      <c r="T935" s="10"/>
      <c r="U935" s="10"/>
      <c r="V935" s="10"/>
    </row>
    <row r="936" spans="1:22" s="11" customFormat="1" ht="12" customHeight="1" x14ac:dyDescent="0.15">
      <c r="A936" s="62"/>
      <c r="B936" s="65"/>
      <c r="N936" s="10"/>
      <c r="O936" s="10"/>
      <c r="P936" s="10"/>
      <c r="Q936" s="10"/>
      <c r="R936" s="10"/>
      <c r="S936" s="10"/>
      <c r="T936" s="10"/>
      <c r="U936" s="10"/>
      <c r="V936" s="10"/>
    </row>
    <row r="937" spans="1:22" s="11" customFormat="1" ht="12" customHeight="1" x14ac:dyDescent="0.15">
      <c r="A937" s="62"/>
      <c r="B937" s="65"/>
      <c r="N937" s="10"/>
      <c r="O937" s="10"/>
      <c r="P937" s="10"/>
      <c r="Q937" s="10"/>
      <c r="R937" s="10"/>
      <c r="S937" s="10"/>
      <c r="T937" s="10"/>
      <c r="U937" s="10"/>
      <c r="V937" s="10"/>
    </row>
    <row r="938" spans="1:22" s="11" customFormat="1" ht="12" customHeight="1" x14ac:dyDescent="0.15">
      <c r="A938" s="62"/>
      <c r="B938" s="65"/>
      <c r="N938" s="10"/>
      <c r="O938" s="10"/>
      <c r="P938" s="10"/>
      <c r="Q938" s="10"/>
      <c r="R938" s="10"/>
      <c r="S938" s="10"/>
      <c r="T938" s="10"/>
      <c r="U938" s="10"/>
      <c r="V938" s="10"/>
    </row>
    <row r="939" spans="1:22" s="11" customFormat="1" ht="12" customHeight="1" x14ac:dyDescent="0.15">
      <c r="A939" s="62"/>
      <c r="B939" s="65"/>
      <c r="N939" s="10"/>
      <c r="O939" s="10"/>
      <c r="P939" s="10"/>
      <c r="Q939" s="10"/>
      <c r="R939" s="10"/>
      <c r="S939" s="10"/>
      <c r="T939" s="10"/>
      <c r="U939" s="10"/>
      <c r="V939" s="10"/>
    </row>
    <row r="940" spans="1:22" s="11" customFormat="1" ht="12" customHeight="1" x14ac:dyDescent="0.15">
      <c r="A940" s="62"/>
      <c r="B940" s="65"/>
      <c r="N940" s="10"/>
      <c r="O940" s="10"/>
      <c r="P940" s="10"/>
      <c r="Q940" s="10"/>
      <c r="R940" s="10"/>
      <c r="S940" s="10"/>
      <c r="T940" s="10"/>
      <c r="U940" s="10"/>
      <c r="V940" s="10"/>
    </row>
    <row r="941" spans="1:22" s="11" customFormat="1" ht="12" customHeight="1" x14ac:dyDescent="0.15">
      <c r="A941" s="62"/>
      <c r="B941" s="65"/>
      <c r="N941" s="10"/>
      <c r="O941" s="10"/>
      <c r="P941" s="10"/>
      <c r="Q941" s="10"/>
      <c r="R941" s="10"/>
      <c r="S941" s="10"/>
      <c r="T941" s="10"/>
      <c r="U941" s="10"/>
      <c r="V941" s="10"/>
    </row>
    <row r="942" spans="1:22" s="11" customFormat="1" ht="12" customHeight="1" x14ac:dyDescent="0.15">
      <c r="A942" s="62"/>
      <c r="B942" s="65"/>
      <c r="N942" s="10"/>
      <c r="O942" s="10"/>
      <c r="P942" s="10"/>
      <c r="Q942" s="10"/>
      <c r="R942" s="10"/>
      <c r="S942" s="10"/>
      <c r="T942" s="10"/>
      <c r="U942" s="10"/>
      <c r="V942" s="10"/>
    </row>
    <row r="943" spans="1:22" s="11" customFormat="1" ht="12" customHeight="1" x14ac:dyDescent="0.15">
      <c r="A943" s="62"/>
      <c r="B943" s="65"/>
      <c r="N943" s="10"/>
      <c r="O943" s="10"/>
      <c r="P943" s="10"/>
      <c r="Q943" s="10"/>
      <c r="R943" s="10"/>
      <c r="S943" s="10"/>
      <c r="T943" s="10"/>
      <c r="U943" s="10"/>
      <c r="V943" s="10"/>
    </row>
    <row r="944" spans="1:22" s="11" customFormat="1" ht="12" customHeight="1" x14ac:dyDescent="0.15">
      <c r="A944" s="62"/>
      <c r="B944" s="65"/>
      <c r="N944" s="10"/>
      <c r="O944" s="10"/>
      <c r="P944" s="10"/>
      <c r="Q944" s="10"/>
      <c r="R944" s="10"/>
      <c r="S944" s="10"/>
      <c r="T944" s="10"/>
      <c r="U944" s="10"/>
      <c r="V944" s="10"/>
    </row>
    <row r="945" spans="1:22" s="11" customFormat="1" ht="12" customHeight="1" x14ac:dyDescent="0.15">
      <c r="A945" s="62"/>
      <c r="B945" s="65"/>
      <c r="N945" s="10"/>
      <c r="O945" s="10"/>
      <c r="P945" s="10"/>
      <c r="Q945" s="10"/>
      <c r="R945" s="10"/>
      <c r="S945" s="10"/>
      <c r="T945" s="10"/>
      <c r="U945" s="10"/>
      <c r="V945" s="10"/>
    </row>
    <row r="946" spans="1:22" s="11" customFormat="1" ht="12" customHeight="1" x14ac:dyDescent="0.15">
      <c r="A946" s="62"/>
      <c r="B946" s="65"/>
      <c r="N946" s="10"/>
      <c r="O946" s="10"/>
      <c r="P946" s="10"/>
      <c r="Q946" s="10"/>
      <c r="R946" s="10"/>
      <c r="S946" s="10"/>
      <c r="T946" s="10"/>
      <c r="U946" s="10"/>
      <c r="V946" s="10"/>
    </row>
    <row r="947" spans="1:22" s="11" customFormat="1" ht="12" customHeight="1" x14ac:dyDescent="0.15">
      <c r="A947" s="62"/>
      <c r="B947" s="65"/>
      <c r="N947" s="10"/>
      <c r="O947" s="10"/>
      <c r="P947" s="10"/>
      <c r="Q947" s="10"/>
      <c r="R947" s="10"/>
      <c r="S947" s="10"/>
      <c r="T947" s="10"/>
      <c r="U947" s="10"/>
      <c r="V947" s="10"/>
    </row>
    <row r="948" spans="1:22" s="11" customFormat="1" ht="12" customHeight="1" x14ac:dyDescent="0.15">
      <c r="A948" s="62"/>
      <c r="B948" s="65"/>
      <c r="N948" s="10"/>
      <c r="O948" s="10"/>
      <c r="P948" s="10"/>
      <c r="Q948" s="10"/>
      <c r="R948" s="10"/>
      <c r="S948" s="10"/>
      <c r="T948" s="10"/>
      <c r="U948" s="10"/>
      <c r="V948" s="10"/>
    </row>
    <row r="949" spans="1:22" s="11" customFormat="1" ht="12" customHeight="1" x14ac:dyDescent="0.15">
      <c r="A949" s="62"/>
      <c r="B949" s="65"/>
      <c r="N949" s="10"/>
      <c r="O949" s="10"/>
      <c r="P949" s="10"/>
      <c r="Q949" s="10"/>
      <c r="R949" s="10"/>
      <c r="S949" s="10"/>
      <c r="T949" s="10"/>
      <c r="U949" s="10"/>
      <c r="V949" s="10"/>
    </row>
    <row r="950" spans="1:22" s="11" customFormat="1" ht="12" customHeight="1" x14ac:dyDescent="0.15">
      <c r="A950" s="62"/>
      <c r="B950" s="65"/>
      <c r="N950" s="10"/>
      <c r="O950" s="10"/>
      <c r="P950" s="10"/>
      <c r="Q950" s="10"/>
      <c r="R950" s="10"/>
      <c r="S950" s="10"/>
      <c r="T950" s="10"/>
      <c r="U950" s="10"/>
      <c r="V950" s="10"/>
    </row>
    <row r="951" spans="1:22" s="11" customFormat="1" ht="12" customHeight="1" x14ac:dyDescent="0.15">
      <c r="A951" s="62"/>
      <c r="B951" s="65"/>
      <c r="N951" s="10"/>
      <c r="O951" s="10"/>
      <c r="P951" s="10"/>
      <c r="Q951" s="10"/>
      <c r="R951" s="10"/>
      <c r="S951" s="10"/>
      <c r="T951" s="10"/>
      <c r="U951" s="10"/>
      <c r="V951" s="10"/>
    </row>
    <row r="952" spans="1:22" s="11" customFormat="1" ht="12" customHeight="1" x14ac:dyDescent="0.15">
      <c r="A952" s="62"/>
      <c r="B952" s="65"/>
      <c r="N952" s="10"/>
      <c r="O952" s="10"/>
      <c r="P952" s="10"/>
      <c r="Q952" s="10"/>
      <c r="R952" s="10"/>
      <c r="S952" s="10"/>
      <c r="T952" s="10"/>
      <c r="U952" s="10"/>
      <c r="V952" s="10"/>
    </row>
    <row r="953" spans="1:22" s="11" customFormat="1" ht="12" customHeight="1" x14ac:dyDescent="0.15">
      <c r="A953" s="62"/>
      <c r="B953" s="65"/>
      <c r="N953" s="10"/>
      <c r="O953" s="10"/>
      <c r="P953" s="10"/>
      <c r="Q953" s="10"/>
      <c r="R953" s="10"/>
      <c r="S953" s="10"/>
      <c r="T953" s="10"/>
      <c r="U953" s="10"/>
      <c r="V953" s="10"/>
    </row>
    <row r="954" spans="1:22" s="11" customFormat="1" ht="12" customHeight="1" x14ac:dyDescent="0.15">
      <c r="A954" s="62"/>
      <c r="B954" s="65"/>
      <c r="N954" s="10"/>
      <c r="O954" s="10"/>
      <c r="P954" s="10"/>
      <c r="Q954" s="10"/>
      <c r="R954" s="10"/>
      <c r="S954" s="10"/>
      <c r="T954" s="10"/>
      <c r="U954" s="10"/>
      <c r="V954" s="10"/>
    </row>
    <row r="955" spans="1:22" s="11" customFormat="1" ht="12" customHeight="1" x14ac:dyDescent="0.15">
      <c r="A955" s="62"/>
      <c r="B955" s="65"/>
      <c r="N955" s="10"/>
      <c r="O955" s="10"/>
      <c r="P955" s="10"/>
      <c r="Q955" s="10"/>
      <c r="R955" s="10"/>
      <c r="S955" s="10"/>
      <c r="T955" s="10"/>
      <c r="U955" s="10"/>
      <c r="V955" s="10"/>
    </row>
    <row r="956" spans="1:22" s="11" customFormat="1" ht="12" customHeight="1" x14ac:dyDescent="0.15">
      <c r="A956" s="62"/>
      <c r="B956" s="65"/>
      <c r="N956" s="10"/>
      <c r="O956" s="10"/>
      <c r="P956" s="10"/>
      <c r="Q956" s="10"/>
      <c r="R956" s="10"/>
      <c r="S956" s="10"/>
      <c r="T956" s="10"/>
      <c r="U956" s="10"/>
      <c r="V956" s="10"/>
    </row>
    <row r="957" spans="1:22" s="11" customFormat="1" ht="12" customHeight="1" x14ac:dyDescent="0.15">
      <c r="A957" s="62"/>
      <c r="B957" s="65"/>
      <c r="N957" s="10"/>
      <c r="O957" s="10"/>
      <c r="P957" s="10"/>
      <c r="Q957" s="10"/>
      <c r="R957" s="10"/>
      <c r="S957" s="10"/>
      <c r="T957" s="10"/>
      <c r="U957" s="10"/>
      <c r="V957" s="10"/>
    </row>
    <row r="958" spans="1:22" s="11" customFormat="1" ht="12" customHeight="1" x14ac:dyDescent="0.15">
      <c r="A958" s="62"/>
      <c r="B958" s="65"/>
      <c r="N958" s="10"/>
      <c r="O958" s="10"/>
      <c r="P958" s="10"/>
      <c r="Q958" s="10"/>
      <c r="R958" s="10"/>
      <c r="S958" s="10"/>
      <c r="T958" s="10"/>
      <c r="U958" s="10"/>
      <c r="V958" s="10"/>
    </row>
    <row r="959" spans="1:22" s="11" customFormat="1" ht="12" customHeight="1" x14ac:dyDescent="0.15">
      <c r="A959" s="62"/>
      <c r="B959" s="65"/>
      <c r="N959" s="10"/>
      <c r="O959" s="10"/>
      <c r="P959" s="10"/>
      <c r="Q959" s="10"/>
      <c r="R959" s="10"/>
      <c r="S959" s="10"/>
      <c r="T959" s="10"/>
      <c r="U959" s="10"/>
      <c r="V959" s="10"/>
    </row>
    <row r="960" spans="1:22" s="11" customFormat="1" ht="12" customHeight="1" x14ac:dyDescent="0.15">
      <c r="A960" s="62"/>
      <c r="B960" s="65"/>
      <c r="N960" s="10"/>
      <c r="O960" s="10"/>
      <c r="P960" s="10"/>
      <c r="Q960" s="10"/>
      <c r="R960" s="10"/>
      <c r="S960" s="10"/>
      <c r="T960" s="10"/>
      <c r="U960" s="10"/>
      <c r="V960" s="10"/>
    </row>
    <row r="961" spans="1:22" s="11" customFormat="1" ht="12" customHeight="1" x14ac:dyDescent="0.15">
      <c r="A961" s="62"/>
      <c r="B961" s="65"/>
      <c r="N961" s="10"/>
      <c r="O961" s="10"/>
      <c r="P961" s="10"/>
      <c r="Q961" s="10"/>
      <c r="R961" s="10"/>
      <c r="S961" s="10"/>
      <c r="T961" s="10"/>
      <c r="U961" s="10"/>
      <c r="V961" s="10"/>
    </row>
    <row r="962" spans="1:22" s="11" customFormat="1" ht="12" customHeight="1" x14ac:dyDescent="0.15">
      <c r="A962" s="62"/>
      <c r="B962" s="65"/>
      <c r="N962" s="10"/>
      <c r="O962" s="10"/>
      <c r="P962" s="10"/>
      <c r="Q962" s="10"/>
      <c r="R962" s="10"/>
      <c r="S962" s="10"/>
      <c r="T962" s="10"/>
      <c r="U962" s="10"/>
      <c r="V962" s="10"/>
    </row>
    <row r="963" spans="1:22" s="11" customFormat="1" ht="12" customHeight="1" x14ac:dyDescent="0.15">
      <c r="A963" s="62"/>
      <c r="B963" s="65"/>
      <c r="N963" s="10"/>
      <c r="O963" s="10"/>
      <c r="P963" s="10"/>
      <c r="Q963" s="10"/>
      <c r="R963" s="10"/>
      <c r="S963" s="10"/>
      <c r="T963" s="10"/>
      <c r="U963" s="10"/>
      <c r="V963" s="10"/>
    </row>
    <row r="964" spans="1:22" s="11" customFormat="1" ht="12" customHeight="1" x14ac:dyDescent="0.15">
      <c r="A964" s="62"/>
      <c r="B964" s="65"/>
      <c r="N964" s="10"/>
      <c r="O964" s="10"/>
      <c r="P964" s="10"/>
      <c r="Q964" s="10"/>
      <c r="R964" s="10"/>
      <c r="S964" s="10"/>
      <c r="T964" s="10"/>
      <c r="U964" s="10"/>
      <c r="V964" s="10"/>
    </row>
    <row r="965" spans="1:22" s="11" customFormat="1" ht="12" customHeight="1" x14ac:dyDescent="0.15">
      <c r="A965" s="62"/>
      <c r="B965" s="65"/>
      <c r="N965" s="10"/>
      <c r="O965" s="10"/>
      <c r="P965" s="10"/>
      <c r="Q965" s="10"/>
      <c r="R965" s="10"/>
      <c r="S965" s="10"/>
      <c r="T965" s="10"/>
      <c r="U965" s="10"/>
      <c r="V965" s="10"/>
    </row>
    <row r="966" spans="1:22" s="11" customFormat="1" ht="12" customHeight="1" x14ac:dyDescent="0.15">
      <c r="A966" s="62"/>
      <c r="B966" s="65"/>
      <c r="N966" s="10"/>
      <c r="O966" s="10"/>
      <c r="P966" s="10"/>
      <c r="Q966" s="10"/>
      <c r="R966" s="10"/>
      <c r="S966" s="10"/>
      <c r="T966" s="10"/>
      <c r="U966" s="10"/>
      <c r="V966" s="10"/>
    </row>
    <row r="967" spans="1:22" s="11" customFormat="1" ht="12" customHeight="1" x14ac:dyDescent="0.15">
      <c r="A967" s="62"/>
      <c r="B967" s="65"/>
      <c r="N967" s="10"/>
      <c r="O967" s="10"/>
      <c r="P967" s="10"/>
      <c r="Q967" s="10"/>
      <c r="R967" s="10"/>
      <c r="S967" s="10"/>
      <c r="T967" s="10"/>
      <c r="U967" s="10"/>
      <c r="V967" s="10"/>
    </row>
    <row r="968" spans="1:22" s="11" customFormat="1" ht="12" customHeight="1" x14ac:dyDescent="0.15">
      <c r="A968" s="62"/>
      <c r="B968" s="65"/>
      <c r="N968" s="10"/>
      <c r="O968" s="10"/>
      <c r="P968" s="10"/>
      <c r="Q968" s="10"/>
      <c r="R968" s="10"/>
      <c r="S968" s="10"/>
      <c r="T968" s="10"/>
      <c r="U968" s="10"/>
      <c r="V968" s="10"/>
    </row>
    <row r="969" spans="1:22" s="11" customFormat="1" ht="12" customHeight="1" x14ac:dyDescent="0.15">
      <c r="A969" s="62"/>
      <c r="B969" s="65"/>
      <c r="N969" s="10"/>
      <c r="O969" s="10"/>
      <c r="P969" s="10"/>
      <c r="Q969" s="10"/>
      <c r="R969" s="10"/>
      <c r="S969" s="10"/>
      <c r="T969" s="10"/>
      <c r="U969" s="10"/>
      <c r="V969" s="10"/>
    </row>
    <row r="970" spans="1:22" s="11" customFormat="1" ht="12" customHeight="1" x14ac:dyDescent="0.15">
      <c r="A970" s="62"/>
      <c r="B970" s="65"/>
      <c r="N970" s="10"/>
      <c r="O970" s="10"/>
      <c r="P970" s="10"/>
      <c r="Q970" s="10"/>
      <c r="R970" s="10"/>
      <c r="S970" s="10"/>
      <c r="T970" s="10"/>
      <c r="U970" s="10"/>
      <c r="V970" s="10"/>
    </row>
    <row r="971" spans="1:22" s="11" customFormat="1" ht="12" customHeight="1" x14ac:dyDescent="0.15">
      <c r="A971" s="62"/>
      <c r="B971" s="65"/>
      <c r="N971" s="10"/>
      <c r="O971" s="10"/>
      <c r="P971" s="10"/>
      <c r="Q971" s="10"/>
      <c r="R971" s="10"/>
      <c r="S971" s="10"/>
      <c r="T971" s="10"/>
      <c r="U971" s="10"/>
      <c r="V971" s="10"/>
    </row>
    <row r="972" spans="1:22" s="11" customFormat="1" ht="12" customHeight="1" x14ac:dyDescent="0.15">
      <c r="A972" s="62"/>
      <c r="B972" s="65"/>
      <c r="N972" s="10"/>
      <c r="O972" s="10"/>
      <c r="P972" s="10"/>
      <c r="Q972" s="10"/>
      <c r="R972" s="10"/>
      <c r="S972" s="10"/>
      <c r="T972" s="10"/>
      <c r="U972" s="10"/>
      <c r="V972" s="10"/>
    </row>
    <row r="973" spans="1:22" s="11" customFormat="1" ht="12" customHeight="1" x14ac:dyDescent="0.15">
      <c r="A973" s="62"/>
      <c r="B973" s="65"/>
      <c r="N973" s="10"/>
      <c r="O973" s="10"/>
      <c r="P973" s="10"/>
      <c r="Q973" s="10"/>
      <c r="R973" s="10"/>
      <c r="S973" s="10"/>
      <c r="T973" s="10"/>
      <c r="U973" s="10"/>
      <c r="V973" s="10"/>
    </row>
    <row r="974" spans="1:22" s="11" customFormat="1" ht="12" customHeight="1" x14ac:dyDescent="0.15">
      <c r="A974" s="62"/>
      <c r="B974" s="65"/>
      <c r="N974" s="10"/>
      <c r="O974" s="10"/>
      <c r="P974" s="10"/>
      <c r="Q974" s="10"/>
      <c r="R974" s="10"/>
      <c r="S974" s="10"/>
      <c r="T974" s="10"/>
      <c r="U974" s="10"/>
      <c r="V974" s="10"/>
    </row>
    <row r="975" spans="1:22" s="11" customFormat="1" ht="12" customHeight="1" x14ac:dyDescent="0.15">
      <c r="A975" s="62"/>
      <c r="B975" s="65"/>
      <c r="N975" s="10"/>
      <c r="O975" s="10"/>
      <c r="P975" s="10"/>
      <c r="Q975" s="10"/>
      <c r="R975" s="10"/>
      <c r="S975" s="10"/>
      <c r="T975" s="10"/>
      <c r="U975" s="10"/>
      <c r="V975" s="10"/>
    </row>
    <row r="976" spans="1:22" s="11" customFormat="1" ht="12" customHeight="1" x14ac:dyDescent="0.15">
      <c r="A976" s="62"/>
      <c r="B976" s="65"/>
      <c r="N976" s="10"/>
      <c r="O976" s="10"/>
      <c r="P976" s="10"/>
      <c r="Q976" s="10"/>
      <c r="R976" s="10"/>
      <c r="S976" s="10"/>
      <c r="T976" s="10"/>
      <c r="U976" s="10"/>
      <c r="V976" s="10"/>
    </row>
    <row r="977" spans="1:22" s="11" customFormat="1" ht="12" customHeight="1" x14ac:dyDescent="0.15">
      <c r="A977" s="62"/>
      <c r="B977" s="65"/>
      <c r="N977" s="10"/>
      <c r="O977" s="10"/>
      <c r="P977" s="10"/>
      <c r="Q977" s="10"/>
      <c r="R977" s="10"/>
      <c r="S977" s="10"/>
      <c r="T977" s="10"/>
      <c r="U977" s="10"/>
      <c r="V977" s="10"/>
    </row>
    <row r="978" spans="1:22" s="11" customFormat="1" ht="12" customHeight="1" x14ac:dyDescent="0.15">
      <c r="A978" s="62"/>
      <c r="B978" s="65"/>
      <c r="N978" s="10"/>
      <c r="O978" s="10"/>
      <c r="P978" s="10"/>
      <c r="Q978" s="10"/>
      <c r="R978" s="10"/>
      <c r="S978" s="10"/>
      <c r="T978" s="10"/>
      <c r="U978" s="10"/>
      <c r="V978" s="10"/>
    </row>
    <row r="979" spans="1:22" s="11" customFormat="1" ht="12" customHeight="1" x14ac:dyDescent="0.15">
      <c r="A979" s="62"/>
      <c r="B979" s="65"/>
      <c r="N979" s="10"/>
      <c r="O979" s="10"/>
      <c r="P979" s="10"/>
      <c r="Q979" s="10"/>
      <c r="R979" s="10"/>
      <c r="S979" s="10"/>
      <c r="T979" s="10"/>
      <c r="U979" s="10"/>
      <c r="V979" s="10"/>
    </row>
    <row r="980" spans="1:22" s="11" customFormat="1" ht="12" customHeight="1" x14ac:dyDescent="0.15">
      <c r="A980" s="62"/>
      <c r="B980" s="65"/>
      <c r="N980" s="10"/>
      <c r="O980" s="10"/>
      <c r="P980" s="10"/>
      <c r="Q980" s="10"/>
      <c r="R980" s="10"/>
      <c r="S980" s="10"/>
      <c r="T980" s="10"/>
      <c r="U980" s="10"/>
      <c r="V980" s="10"/>
    </row>
    <row r="981" spans="1:22" s="11" customFormat="1" ht="12" customHeight="1" x14ac:dyDescent="0.15">
      <c r="A981" s="62"/>
      <c r="B981" s="65"/>
      <c r="N981" s="10"/>
      <c r="O981" s="10"/>
      <c r="P981" s="10"/>
      <c r="Q981" s="10"/>
      <c r="R981" s="10"/>
      <c r="S981" s="10"/>
      <c r="T981" s="10"/>
      <c r="U981" s="10"/>
      <c r="V981" s="10"/>
    </row>
    <row r="982" spans="1:22" s="11" customFormat="1" ht="12" customHeight="1" x14ac:dyDescent="0.15">
      <c r="A982" s="62"/>
      <c r="B982" s="65"/>
      <c r="N982" s="10"/>
      <c r="O982" s="10"/>
      <c r="P982" s="10"/>
      <c r="Q982" s="10"/>
      <c r="R982" s="10"/>
      <c r="S982" s="10"/>
      <c r="T982" s="10"/>
      <c r="U982" s="10"/>
      <c r="V982" s="10"/>
    </row>
    <row r="983" spans="1:22" s="11" customFormat="1" ht="12" customHeight="1" x14ac:dyDescent="0.15">
      <c r="A983" s="62"/>
      <c r="B983" s="65"/>
      <c r="N983" s="10"/>
      <c r="O983" s="10"/>
      <c r="P983" s="10"/>
      <c r="Q983" s="10"/>
      <c r="R983" s="10"/>
      <c r="S983" s="10"/>
      <c r="T983" s="10"/>
      <c r="U983" s="10"/>
      <c r="V983" s="10"/>
    </row>
    <row r="984" spans="1:22" s="11" customFormat="1" ht="12" customHeight="1" x14ac:dyDescent="0.15">
      <c r="A984" s="62"/>
      <c r="B984" s="65"/>
      <c r="N984" s="10"/>
      <c r="O984" s="10"/>
      <c r="P984" s="10"/>
      <c r="Q984" s="10"/>
      <c r="R984" s="10"/>
      <c r="S984" s="10"/>
      <c r="T984" s="10"/>
      <c r="U984" s="10"/>
      <c r="V984" s="10"/>
    </row>
    <row r="985" spans="1:22" s="11" customFormat="1" ht="12" customHeight="1" x14ac:dyDescent="0.15">
      <c r="A985" s="62"/>
      <c r="B985" s="65"/>
      <c r="N985" s="10"/>
      <c r="O985" s="10"/>
      <c r="P985" s="10"/>
      <c r="Q985" s="10"/>
      <c r="R985" s="10"/>
      <c r="S985" s="10"/>
      <c r="T985" s="10"/>
      <c r="U985" s="10"/>
      <c r="V985" s="10"/>
    </row>
    <row r="986" spans="1:22" s="11" customFormat="1" ht="12" customHeight="1" x14ac:dyDescent="0.15">
      <c r="A986" s="62"/>
      <c r="B986" s="65"/>
      <c r="N986" s="10"/>
      <c r="O986" s="10"/>
      <c r="P986" s="10"/>
      <c r="Q986" s="10"/>
      <c r="R986" s="10"/>
      <c r="S986" s="10"/>
      <c r="T986" s="10"/>
      <c r="U986" s="10"/>
      <c r="V986" s="10"/>
    </row>
    <row r="987" spans="1:22" s="11" customFormat="1" ht="12" customHeight="1" x14ac:dyDescent="0.15">
      <c r="A987" s="62"/>
      <c r="B987" s="65"/>
      <c r="N987" s="10"/>
      <c r="O987" s="10"/>
      <c r="P987" s="10"/>
      <c r="Q987" s="10"/>
      <c r="R987" s="10"/>
      <c r="S987" s="10"/>
      <c r="T987" s="10"/>
      <c r="U987" s="10"/>
      <c r="V987" s="10"/>
    </row>
    <row r="988" spans="1:22" s="11" customFormat="1" ht="12" customHeight="1" x14ac:dyDescent="0.15">
      <c r="A988" s="62"/>
      <c r="B988" s="65"/>
      <c r="N988" s="10"/>
      <c r="O988" s="10"/>
      <c r="P988" s="10"/>
      <c r="Q988" s="10"/>
      <c r="R988" s="10"/>
      <c r="S988" s="10"/>
      <c r="T988" s="10"/>
      <c r="U988" s="10"/>
      <c r="V988" s="10"/>
    </row>
    <row r="989" spans="1:22" s="11" customFormat="1" ht="12" customHeight="1" x14ac:dyDescent="0.15">
      <c r="A989" s="62"/>
      <c r="B989" s="65"/>
      <c r="N989" s="10"/>
      <c r="O989" s="10"/>
      <c r="P989" s="10"/>
      <c r="Q989" s="10"/>
      <c r="R989" s="10"/>
      <c r="S989" s="10"/>
      <c r="T989" s="10"/>
      <c r="U989" s="10"/>
      <c r="V989" s="10"/>
    </row>
    <row r="990" spans="1:22" s="11" customFormat="1" ht="12" customHeight="1" x14ac:dyDescent="0.15">
      <c r="A990" s="62"/>
      <c r="B990" s="65"/>
      <c r="N990" s="10"/>
      <c r="O990" s="10"/>
      <c r="P990" s="10"/>
      <c r="Q990" s="10"/>
      <c r="R990" s="10"/>
      <c r="S990" s="10"/>
      <c r="T990" s="10"/>
      <c r="U990" s="10"/>
      <c r="V990" s="10"/>
    </row>
    <row r="991" spans="1:22" s="11" customFormat="1" ht="12" customHeight="1" x14ac:dyDescent="0.15">
      <c r="A991" s="62"/>
      <c r="B991" s="65"/>
      <c r="N991" s="10"/>
      <c r="O991" s="10"/>
      <c r="P991" s="10"/>
      <c r="Q991" s="10"/>
      <c r="R991" s="10"/>
      <c r="S991" s="10"/>
      <c r="T991" s="10"/>
      <c r="U991" s="10"/>
      <c r="V991" s="10"/>
    </row>
    <row r="992" spans="1:22" s="11" customFormat="1" ht="12" customHeight="1" x14ac:dyDescent="0.15">
      <c r="A992" s="62"/>
      <c r="B992" s="65"/>
      <c r="N992" s="10"/>
      <c r="O992" s="10"/>
      <c r="P992" s="10"/>
      <c r="Q992" s="10"/>
      <c r="R992" s="10"/>
      <c r="S992" s="10"/>
      <c r="T992" s="10"/>
      <c r="U992" s="10"/>
      <c r="V992" s="10"/>
    </row>
    <row r="993" spans="1:22" s="11" customFormat="1" ht="12" customHeight="1" x14ac:dyDescent="0.15">
      <c r="A993" s="62"/>
      <c r="B993" s="65"/>
      <c r="N993" s="10"/>
      <c r="O993" s="10"/>
      <c r="P993" s="10"/>
      <c r="Q993" s="10"/>
      <c r="R993" s="10"/>
      <c r="S993" s="10"/>
      <c r="T993" s="10"/>
      <c r="U993" s="10"/>
      <c r="V993" s="10"/>
    </row>
    <row r="994" spans="1:22" s="11" customFormat="1" ht="12" customHeight="1" x14ac:dyDescent="0.15">
      <c r="A994" s="62"/>
      <c r="B994" s="65"/>
      <c r="N994" s="10"/>
      <c r="O994" s="10"/>
      <c r="P994" s="10"/>
      <c r="Q994" s="10"/>
      <c r="R994" s="10"/>
      <c r="S994" s="10"/>
      <c r="T994" s="10"/>
      <c r="U994" s="10"/>
      <c r="V994" s="10"/>
    </row>
    <row r="995" spans="1:22" s="11" customFormat="1" ht="12" customHeight="1" x14ac:dyDescent="0.15">
      <c r="A995" s="62"/>
      <c r="B995" s="65"/>
      <c r="N995" s="10"/>
      <c r="O995" s="10"/>
      <c r="P995" s="10"/>
      <c r="Q995" s="10"/>
      <c r="R995" s="10"/>
      <c r="S995" s="10"/>
      <c r="T995" s="10"/>
      <c r="U995" s="10"/>
      <c r="V995" s="10"/>
    </row>
    <row r="996" spans="1:22" s="11" customFormat="1" ht="12" customHeight="1" x14ac:dyDescent="0.15">
      <c r="A996" s="62"/>
      <c r="B996" s="65"/>
      <c r="N996" s="10"/>
      <c r="O996" s="10"/>
      <c r="P996" s="10"/>
      <c r="Q996" s="10"/>
      <c r="R996" s="10"/>
      <c r="S996" s="10"/>
      <c r="T996" s="10"/>
      <c r="U996" s="10"/>
      <c r="V996" s="10"/>
    </row>
    <row r="997" spans="1:22" s="11" customFormat="1" ht="12" customHeight="1" x14ac:dyDescent="0.15">
      <c r="A997" s="62"/>
      <c r="B997" s="65"/>
      <c r="N997" s="10"/>
      <c r="O997" s="10"/>
      <c r="P997" s="10"/>
      <c r="Q997" s="10"/>
      <c r="R997" s="10"/>
      <c r="S997" s="10"/>
      <c r="T997" s="10"/>
      <c r="U997" s="10"/>
      <c r="V997" s="10"/>
    </row>
    <row r="998" spans="1:22" s="11" customFormat="1" ht="12" customHeight="1" x14ac:dyDescent="0.15">
      <c r="A998" s="62"/>
      <c r="B998" s="65"/>
      <c r="N998" s="10"/>
      <c r="O998" s="10"/>
      <c r="P998" s="10"/>
      <c r="Q998" s="10"/>
      <c r="R998" s="10"/>
      <c r="S998" s="10"/>
      <c r="T998" s="10"/>
      <c r="U998" s="10"/>
      <c r="V998" s="10"/>
    </row>
    <row r="999" spans="1:22" s="11" customFormat="1" ht="12" customHeight="1" x14ac:dyDescent="0.15">
      <c r="A999" s="62"/>
      <c r="B999" s="65"/>
      <c r="N999" s="10"/>
      <c r="O999" s="10"/>
      <c r="P999" s="10"/>
      <c r="Q999" s="10"/>
      <c r="R999" s="10"/>
      <c r="S999" s="10"/>
      <c r="T999" s="10"/>
      <c r="U999" s="10"/>
      <c r="V999" s="10"/>
    </row>
    <row r="1000" spans="1:22" s="11" customFormat="1" ht="12" customHeight="1" x14ac:dyDescent="0.15">
      <c r="A1000" s="62"/>
      <c r="B1000" s="65"/>
      <c r="N1000" s="10"/>
      <c r="O1000" s="10"/>
      <c r="P1000" s="10"/>
      <c r="Q1000" s="10"/>
      <c r="R1000" s="10"/>
      <c r="S1000" s="10"/>
      <c r="T1000" s="10"/>
      <c r="U1000" s="10"/>
      <c r="V1000" s="10"/>
    </row>
    <row r="1001" spans="1:22" s="11" customFormat="1" ht="12" customHeight="1" x14ac:dyDescent="0.15">
      <c r="A1001" s="62"/>
      <c r="B1001" s="65"/>
      <c r="N1001" s="10"/>
      <c r="O1001" s="10"/>
      <c r="P1001" s="10"/>
      <c r="Q1001" s="10"/>
      <c r="R1001" s="10"/>
      <c r="S1001" s="10"/>
      <c r="T1001" s="10"/>
      <c r="U1001" s="10"/>
      <c r="V1001" s="10"/>
    </row>
    <row r="1002" spans="1:22" s="11" customFormat="1" ht="12" customHeight="1" x14ac:dyDescent="0.15">
      <c r="A1002" s="62"/>
      <c r="B1002" s="65"/>
      <c r="N1002" s="10"/>
      <c r="O1002" s="10"/>
      <c r="P1002" s="10"/>
      <c r="Q1002" s="10"/>
      <c r="R1002" s="10"/>
      <c r="S1002" s="10"/>
      <c r="T1002" s="10"/>
      <c r="U1002" s="10"/>
      <c r="V1002" s="10"/>
    </row>
    <row r="1003" spans="1:22" s="11" customFormat="1" ht="12" customHeight="1" x14ac:dyDescent="0.15">
      <c r="A1003" s="62"/>
      <c r="B1003" s="65"/>
      <c r="N1003" s="10"/>
      <c r="O1003" s="10"/>
      <c r="P1003" s="10"/>
      <c r="Q1003" s="10"/>
      <c r="R1003" s="10"/>
      <c r="S1003" s="10"/>
      <c r="T1003" s="10"/>
      <c r="U1003" s="10"/>
      <c r="V1003" s="10"/>
    </row>
    <row r="1004" spans="1:22" s="11" customFormat="1" ht="12" customHeight="1" x14ac:dyDescent="0.15">
      <c r="A1004" s="62"/>
      <c r="B1004" s="65"/>
      <c r="N1004" s="10"/>
      <c r="O1004" s="10"/>
      <c r="P1004" s="10"/>
      <c r="Q1004" s="10"/>
      <c r="R1004" s="10"/>
      <c r="S1004" s="10"/>
      <c r="T1004" s="10"/>
      <c r="U1004" s="10"/>
      <c r="V1004" s="10"/>
    </row>
    <row r="1005" spans="1:22" s="11" customFormat="1" ht="12" customHeight="1" x14ac:dyDescent="0.15">
      <c r="A1005" s="62"/>
      <c r="B1005" s="65"/>
      <c r="N1005" s="10"/>
      <c r="O1005" s="10"/>
      <c r="P1005" s="10"/>
      <c r="Q1005" s="10"/>
      <c r="R1005" s="10"/>
      <c r="S1005" s="10"/>
      <c r="T1005" s="10"/>
      <c r="U1005" s="10"/>
      <c r="V1005" s="10"/>
    </row>
    <row r="1006" spans="1:22" s="11" customFormat="1" ht="12" customHeight="1" x14ac:dyDescent="0.15">
      <c r="A1006" s="62"/>
      <c r="B1006" s="65"/>
      <c r="N1006" s="10"/>
      <c r="O1006" s="10"/>
      <c r="P1006" s="10"/>
      <c r="Q1006" s="10"/>
      <c r="R1006" s="10"/>
      <c r="S1006" s="10"/>
      <c r="T1006" s="10"/>
      <c r="U1006" s="10"/>
      <c r="V1006" s="10"/>
    </row>
    <row r="1007" spans="1:22" s="11" customFormat="1" ht="12" customHeight="1" x14ac:dyDescent="0.15">
      <c r="A1007" s="62"/>
      <c r="B1007" s="65"/>
      <c r="N1007" s="10"/>
      <c r="O1007" s="10"/>
      <c r="P1007" s="10"/>
      <c r="Q1007" s="10"/>
      <c r="R1007" s="10"/>
      <c r="S1007" s="10"/>
      <c r="T1007" s="10"/>
      <c r="U1007" s="10"/>
      <c r="V1007" s="10"/>
    </row>
    <row r="1008" spans="1:22" s="11" customFormat="1" ht="12" customHeight="1" x14ac:dyDescent="0.15">
      <c r="A1008" s="62"/>
      <c r="B1008" s="65"/>
      <c r="N1008" s="10"/>
      <c r="O1008" s="10"/>
      <c r="P1008" s="10"/>
      <c r="Q1008" s="10"/>
      <c r="R1008" s="10"/>
      <c r="S1008" s="10"/>
      <c r="T1008" s="10"/>
      <c r="U1008" s="10"/>
      <c r="V1008" s="10"/>
    </row>
    <row r="1009" spans="1:22" s="11" customFormat="1" ht="12" customHeight="1" x14ac:dyDescent="0.15">
      <c r="A1009" s="62"/>
      <c r="B1009" s="65"/>
      <c r="N1009" s="10"/>
      <c r="O1009" s="10"/>
      <c r="P1009" s="10"/>
      <c r="Q1009" s="10"/>
      <c r="R1009" s="10"/>
      <c r="S1009" s="10"/>
      <c r="T1009" s="10"/>
      <c r="U1009" s="10"/>
      <c r="V1009" s="10"/>
    </row>
    <row r="1010" spans="1:22" s="11" customFormat="1" ht="12" customHeight="1" x14ac:dyDescent="0.15">
      <c r="A1010" s="62"/>
      <c r="B1010" s="65"/>
      <c r="N1010" s="10"/>
      <c r="O1010" s="10"/>
      <c r="P1010" s="10"/>
      <c r="Q1010" s="10"/>
      <c r="R1010" s="10"/>
      <c r="S1010" s="10"/>
      <c r="T1010" s="10"/>
      <c r="U1010" s="10"/>
      <c r="V1010" s="10"/>
    </row>
    <row r="1011" spans="1:22" s="11" customFormat="1" ht="12" customHeight="1" x14ac:dyDescent="0.15">
      <c r="A1011" s="62"/>
      <c r="B1011" s="65"/>
      <c r="N1011" s="10"/>
      <c r="O1011" s="10"/>
      <c r="P1011" s="10"/>
      <c r="Q1011" s="10"/>
      <c r="R1011" s="10"/>
      <c r="S1011" s="10"/>
      <c r="T1011" s="10"/>
      <c r="U1011" s="10"/>
      <c r="V1011" s="10"/>
    </row>
    <row r="1012" spans="1:22" s="11" customFormat="1" ht="12" customHeight="1" x14ac:dyDescent="0.15">
      <c r="A1012" s="62"/>
      <c r="B1012" s="65"/>
      <c r="N1012" s="10"/>
      <c r="O1012" s="10"/>
      <c r="P1012" s="10"/>
      <c r="Q1012" s="10"/>
      <c r="R1012" s="10"/>
      <c r="S1012" s="10"/>
      <c r="T1012" s="10"/>
      <c r="U1012" s="10"/>
      <c r="V1012" s="10"/>
    </row>
    <row r="1013" spans="1:22" s="11" customFormat="1" ht="12" customHeight="1" x14ac:dyDescent="0.15">
      <c r="A1013" s="62"/>
      <c r="B1013" s="65"/>
      <c r="N1013" s="10"/>
      <c r="O1013" s="10"/>
      <c r="P1013" s="10"/>
      <c r="Q1013" s="10"/>
      <c r="R1013" s="10"/>
      <c r="S1013" s="10"/>
      <c r="T1013" s="10"/>
      <c r="U1013" s="10"/>
      <c r="V1013" s="10"/>
    </row>
    <row r="1014" spans="1:22" s="11" customFormat="1" ht="12" customHeight="1" x14ac:dyDescent="0.15">
      <c r="A1014" s="62"/>
      <c r="B1014" s="65"/>
      <c r="N1014" s="10"/>
      <c r="O1014" s="10"/>
      <c r="P1014" s="10"/>
      <c r="Q1014" s="10"/>
      <c r="R1014" s="10"/>
      <c r="S1014" s="10"/>
      <c r="T1014" s="10"/>
      <c r="U1014" s="10"/>
      <c r="V1014" s="10"/>
    </row>
    <row r="1015" spans="1:22" s="11" customFormat="1" ht="12" customHeight="1" x14ac:dyDescent="0.15">
      <c r="A1015" s="62"/>
      <c r="B1015" s="65"/>
      <c r="N1015" s="10"/>
      <c r="O1015" s="10"/>
      <c r="P1015" s="10"/>
      <c r="Q1015" s="10"/>
      <c r="R1015" s="10"/>
      <c r="S1015" s="10"/>
      <c r="T1015" s="10"/>
      <c r="U1015" s="10"/>
      <c r="V1015" s="10"/>
    </row>
    <row r="1016" spans="1:22" s="11" customFormat="1" ht="12" customHeight="1" x14ac:dyDescent="0.15">
      <c r="A1016" s="62"/>
      <c r="B1016" s="65"/>
      <c r="N1016" s="10"/>
      <c r="O1016" s="10"/>
      <c r="P1016" s="10"/>
      <c r="Q1016" s="10"/>
      <c r="R1016" s="10"/>
      <c r="S1016" s="10"/>
      <c r="T1016" s="10"/>
      <c r="U1016" s="10"/>
      <c r="V1016" s="10"/>
    </row>
    <row r="1017" spans="1:22" s="11" customFormat="1" ht="12" customHeight="1" x14ac:dyDescent="0.15">
      <c r="A1017" s="62"/>
      <c r="B1017" s="65"/>
      <c r="N1017" s="10"/>
      <c r="O1017" s="10"/>
      <c r="P1017" s="10"/>
      <c r="Q1017" s="10"/>
      <c r="R1017" s="10"/>
      <c r="S1017" s="10"/>
      <c r="T1017" s="10"/>
      <c r="U1017" s="10"/>
      <c r="V1017" s="10"/>
    </row>
    <row r="1018" spans="1:22" s="11" customFormat="1" ht="12" customHeight="1" x14ac:dyDescent="0.15">
      <c r="A1018" s="62"/>
      <c r="B1018" s="65"/>
      <c r="N1018" s="10"/>
      <c r="O1018" s="10"/>
      <c r="P1018" s="10"/>
      <c r="Q1018" s="10"/>
      <c r="R1018" s="10"/>
      <c r="S1018" s="10"/>
      <c r="T1018" s="10"/>
      <c r="U1018" s="10"/>
      <c r="V1018" s="10"/>
    </row>
    <row r="1019" spans="1:22" s="11" customFormat="1" ht="12" customHeight="1" x14ac:dyDescent="0.15">
      <c r="A1019" s="62"/>
      <c r="B1019" s="65"/>
      <c r="N1019" s="10"/>
      <c r="O1019" s="10"/>
      <c r="P1019" s="10"/>
      <c r="Q1019" s="10"/>
      <c r="R1019" s="10"/>
      <c r="S1019" s="10"/>
      <c r="T1019" s="10"/>
      <c r="U1019" s="10"/>
      <c r="V1019" s="10"/>
    </row>
    <row r="1020" spans="1:22" s="11" customFormat="1" ht="12" customHeight="1" x14ac:dyDescent="0.15">
      <c r="A1020" s="62"/>
      <c r="B1020" s="65"/>
      <c r="N1020" s="10"/>
      <c r="O1020" s="10"/>
      <c r="P1020" s="10"/>
      <c r="Q1020" s="10"/>
      <c r="R1020" s="10"/>
      <c r="S1020" s="10"/>
      <c r="T1020" s="10"/>
      <c r="U1020" s="10"/>
      <c r="V1020" s="10"/>
    </row>
    <row r="1021" spans="1:22" s="11" customFormat="1" ht="12" customHeight="1" x14ac:dyDescent="0.15">
      <c r="A1021" s="62"/>
      <c r="B1021" s="65"/>
      <c r="N1021" s="10"/>
      <c r="O1021" s="10"/>
      <c r="P1021" s="10"/>
      <c r="Q1021" s="10"/>
      <c r="R1021" s="10"/>
      <c r="S1021" s="10"/>
      <c r="T1021" s="10"/>
      <c r="U1021" s="10"/>
      <c r="V1021" s="10"/>
    </row>
    <row r="1022" spans="1:22" s="11" customFormat="1" ht="12" customHeight="1" x14ac:dyDescent="0.15">
      <c r="A1022" s="62"/>
      <c r="B1022" s="65"/>
      <c r="N1022" s="10"/>
      <c r="O1022" s="10"/>
      <c r="P1022" s="10"/>
      <c r="Q1022" s="10"/>
      <c r="R1022" s="10"/>
      <c r="S1022" s="10"/>
      <c r="T1022" s="10"/>
      <c r="U1022" s="10"/>
      <c r="V1022" s="10"/>
    </row>
    <row r="1023" spans="1:22" s="11" customFormat="1" ht="12" customHeight="1" x14ac:dyDescent="0.15">
      <c r="A1023" s="62"/>
      <c r="B1023" s="65"/>
      <c r="N1023" s="10"/>
      <c r="O1023" s="10"/>
      <c r="P1023" s="10"/>
      <c r="Q1023" s="10"/>
      <c r="R1023" s="10"/>
      <c r="S1023" s="10"/>
      <c r="T1023" s="10"/>
      <c r="U1023" s="10"/>
      <c r="V1023" s="10"/>
    </row>
    <row r="1024" spans="1:22" s="11" customFormat="1" ht="12" customHeight="1" x14ac:dyDescent="0.15">
      <c r="A1024" s="62"/>
      <c r="B1024" s="65"/>
      <c r="N1024" s="10"/>
      <c r="O1024" s="10"/>
      <c r="P1024" s="10"/>
      <c r="Q1024" s="10"/>
      <c r="R1024" s="10"/>
      <c r="S1024" s="10"/>
      <c r="T1024" s="10"/>
      <c r="U1024" s="10"/>
      <c r="V1024" s="10"/>
    </row>
    <row r="1025" spans="1:22" s="11" customFormat="1" ht="12" customHeight="1" x14ac:dyDescent="0.15">
      <c r="A1025" s="62"/>
      <c r="B1025" s="65"/>
      <c r="N1025" s="10"/>
      <c r="O1025" s="10"/>
      <c r="P1025" s="10"/>
      <c r="Q1025" s="10"/>
      <c r="R1025" s="10"/>
      <c r="S1025" s="10"/>
      <c r="T1025" s="10"/>
      <c r="U1025" s="10"/>
      <c r="V1025" s="10"/>
    </row>
    <row r="1026" spans="1:22" s="11" customFormat="1" ht="12" customHeight="1" x14ac:dyDescent="0.15">
      <c r="A1026" s="62"/>
      <c r="B1026" s="65"/>
      <c r="N1026" s="10"/>
      <c r="O1026" s="10"/>
      <c r="P1026" s="10"/>
      <c r="Q1026" s="10"/>
      <c r="R1026" s="10"/>
      <c r="S1026" s="10"/>
      <c r="T1026" s="10"/>
      <c r="U1026" s="10"/>
      <c r="V1026" s="10"/>
    </row>
    <row r="1027" spans="1:22" s="11" customFormat="1" ht="12" customHeight="1" x14ac:dyDescent="0.15">
      <c r="A1027" s="62"/>
      <c r="B1027" s="65"/>
      <c r="N1027" s="10"/>
      <c r="O1027" s="10"/>
      <c r="P1027" s="10"/>
      <c r="Q1027" s="10"/>
      <c r="R1027" s="10"/>
      <c r="S1027" s="10"/>
      <c r="T1027" s="10"/>
      <c r="U1027" s="10"/>
      <c r="V1027" s="10"/>
    </row>
    <row r="1028" spans="1:22" s="11" customFormat="1" ht="12" customHeight="1" x14ac:dyDescent="0.15">
      <c r="A1028" s="62"/>
      <c r="B1028" s="65"/>
      <c r="N1028" s="10"/>
      <c r="O1028" s="10"/>
      <c r="P1028" s="10"/>
      <c r="Q1028" s="10"/>
      <c r="R1028" s="10"/>
      <c r="S1028" s="10"/>
      <c r="T1028" s="10"/>
      <c r="U1028" s="10"/>
      <c r="V1028" s="10"/>
    </row>
    <row r="1029" spans="1:22" s="11" customFormat="1" ht="12" customHeight="1" x14ac:dyDescent="0.15">
      <c r="A1029" s="62"/>
      <c r="B1029" s="65"/>
      <c r="N1029" s="10"/>
      <c r="O1029" s="10"/>
      <c r="P1029" s="10"/>
      <c r="Q1029" s="10"/>
      <c r="R1029" s="10"/>
      <c r="S1029" s="10"/>
      <c r="T1029" s="10"/>
      <c r="U1029" s="10"/>
      <c r="V1029" s="10"/>
    </row>
    <row r="1030" spans="1:22" s="11" customFormat="1" ht="12" customHeight="1" x14ac:dyDescent="0.15">
      <c r="A1030" s="62"/>
      <c r="B1030" s="65"/>
      <c r="N1030" s="10"/>
      <c r="O1030" s="10"/>
      <c r="P1030" s="10"/>
      <c r="Q1030" s="10"/>
      <c r="R1030" s="10"/>
      <c r="S1030" s="10"/>
      <c r="T1030" s="10"/>
      <c r="U1030" s="10"/>
      <c r="V1030" s="10"/>
    </row>
    <row r="1031" spans="1:22" s="11" customFormat="1" ht="12" customHeight="1" x14ac:dyDescent="0.15">
      <c r="A1031" s="62"/>
      <c r="B1031" s="65"/>
      <c r="N1031" s="10"/>
      <c r="O1031" s="10"/>
      <c r="P1031" s="10"/>
      <c r="Q1031" s="10"/>
      <c r="R1031" s="10"/>
      <c r="S1031" s="10"/>
      <c r="T1031" s="10"/>
      <c r="U1031" s="10"/>
      <c r="V1031" s="10"/>
    </row>
    <row r="1032" spans="1:22" s="11" customFormat="1" ht="12" customHeight="1" x14ac:dyDescent="0.15">
      <c r="A1032" s="62"/>
      <c r="B1032" s="65"/>
      <c r="N1032" s="10"/>
      <c r="O1032" s="10"/>
      <c r="P1032" s="10"/>
      <c r="Q1032" s="10"/>
      <c r="R1032" s="10"/>
      <c r="S1032" s="10"/>
      <c r="T1032" s="10"/>
      <c r="U1032" s="10"/>
      <c r="V1032" s="10"/>
    </row>
    <row r="1033" spans="1:22" s="11" customFormat="1" ht="12" customHeight="1" x14ac:dyDescent="0.15">
      <c r="A1033" s="62"/>
      <c r="B1033" s="65"/>
      <c r="N1033" s="10"/>
      <c r="O1033" s="10"/>
      <c r="P1033" s="10"/>
      <c r="Q1033" s="10"/>
      <c r="R1033" s="10"/>
      <c r="S1033" s="10"/>
      <c r="T1033" s="10"/>
      <c r="U1033" s="10"/>
      <c r="V1033" s="10"/>
    </row>
    <row r="1034" spans="1:22" s="11" customFormat="1" ht="12" customHeight="1" x14ac:dyDescent="0.15">
      <c r="A1034" s="62"/>
      <c r="B1034" s="65"/>
      <c r="N1034" s="10"/>
      <c r="O1034" s="10"/>
      <c r="P1034" s="10"/>
      <c r="Q1034" s="10"/>
      <c r="R1034" s="10"/>
      <c r="S1034" s="10"/>
      <c r="T1034" s="10"/>
      <c r="U1034" s="10"/>
      <c r="V1034" s="10"/>
    </row>
    <row r="1035" spans="1:22" s="11" customFormat="1" ht="12" customHeight="1" x14ac:dyDescent="0.15">
      <c r="A1035" s="62"/>
      <c r="B1035" s="65"/>
      <c r="N1035" s="10"/>
      <c r="O1035" s="10"/>
      <c r="P1035" s="10"/>
      <c r="Q1035" s="10"/>
      <c r="R1035" s="10"/>
      <c r="S1035" s="10"/>
      <c r="T1035" s="10"/>
      <c r="U1035" s="10"/>
      <c r="V1035" s="10"/>
    </row>
    <row r="1036" spans="1:22" s="11" customFormat="1" ht="12" customHeight="1" x14ac:dyDescent="0.15">
      <c r="A1036" s="62"/>
      <c r="B1036" s="65"/>
      <c r="N1036" s="10"/>
      <c r="O1036" s="10"/>
      <c r="P1036" s="10"/>
      <c r="Q1036" s="10"/>
      <c r="R1036" s="10"/>
      <c r="S1036" s="10"/>
      <c r="T1036" s="10"/>
      <c r="U1036" s="10"/>
      <c r="V1036" s="10"/>
    </row>
    <row r="1037" spans="1:22" s="11" customFormat="1" ht="12" customHeight="1" x14ac:dyDescent="0.15">
      <c r="A1037" s="62"/>
      <c r="B1037" s="65"/>
      <c r="N1037" s="10"/>
      <c r="O1037" s="10"/>
      <c r="P1037" s="10"/>
      <c r="Q1037" s="10"/>
      <c r="R1037" s="10"/>
      <c r="S1037" s="10"/>
      <c r="T1037" s="10"/>
      <c r="U1037" s="10"/>
      <c r="V1037" s="10"/>
    </row>
    <row r="1038" spans="1:22" s="11" customFormat="1" ht="12" customHeight="1" x14ac:dyDescent="0.15">
      <c r="A1038" s="62"/>
      <c r="B1038" s="65"/>
      <c r="N1038" s="10"/>
      <c r="O1038" s="10"/>
      <c r="P1038" s="10"/>
      <c r="Q1038" s="10"/>
      <c r="R1038" s="10"/>
      <c r="S1038" s="10"/>
      <c r="T1038" s="10"/>
      <c r="U1038" s="10"/>
      <c r="V1038" s="10"/>
    </row>
    <row r="1039" spans="1:22" s="11" customFormat="1" ht="12" customHeight="1" x14ac:dyDescent="0.15">
      <c r="A1039" s="62"/>
      <c r="B1039" s="65"/>
      <c r="N1039" s="10"/>
      <c r="O1039" s="10"/>
      <c r="P1039" s="10"/>
      <c r="Q1039" s="10"/>
      <c r="R1039" s="10"/>
      <c r="S1039" s="10"/>
      <c r="T1039" s="10"/>
      <c r="U1039" s="10"/>
      <c r="V1039" s="10"/>
    </row>
    <row r="1040" spans="1:22" s="11" customFormat="1" ht="12" customHeight="1" x14ac:dyDescent="0.15">
      <c r="A1040" s="62"/>
      <c r="B1040" s="65"/>
      <c r="N1040" s="10"/>
      <c r="O1040" s="10"/>
      <c r="P1040" s="10"/>
      <c r="Q1040" s="10"/>
      <c r="R1040" s="10"/>
      <c r="S1040" s="10"/>
      <c r="T1040" s="10"/>
      <c r="U1040" s="10"/>
      <c r="V1040" s="10"/>
    </row>
    <row r="1041" spans="1:22" s="11" customFormat="1" ht="12" customHeight="1" x14ac:dyDescent="0.15">
      <c r="A1041" s="62"/>
      <c r="B1041" s="65"/>
      <c r="N1041" s="10"/>
      <c r="O1041" s="10"/>
      <c r="P1041" s="10"/>
      <c r="Q1041" s="10"/>
      <c r="R1041" s="10"/>
      <c r="S1041" s="10"/>
      <c r="T1041" s="10"/>
      <c r="U1041" s="10"/>
      <c r="V1041" s="10"/>
    </row>
    <row r="1042" spans="1:22" s="11" customFormat="1" ht="12" customHeight="1" x14ac:dyDescent="0.15">
      <c r="A1042" s="62"/>
      <c r="B1042" s="65"/>
      <c r="N1042" s="10"/>
      <c r="O1042" s="10"/>
      <c r="P1042" s="10"/>
      <c r="Q1042" s="10"/>
      <c r="R1042" s="10"/>
      <c r="S1042" s="10"/>
      <c r="T1042" s="10"/>
      <c r="U1042" s="10"/>
      <c r="V1042" s="10"/>
    </row>
    <row r="1043" spans="1:22" s="11" customFormat="1" ht="12" customHeight="1" x14ac:dyDescent="0.15">
      <c r="A1043" s="62"/>
      <c r="B1043" s="65"/>
      <c r="N1043" s="10"/>
      <c r="O1043" s="10"/>
      <c r="P1043" s="10"/>
      <c r="Q1043" s="10"/>
      <c r="R1043" s="10"/>
      <c r="S1043" s="10"/>
      <c r="T1043" s="10"/>
      <c r="U1043" s="10"/>
      <c r="V1043" s="10"/>
    </row>
    <row r="1044" spans="1:22" s="11" customFormat="1" ht="12" customHeight="1" x14ac:dyDescent="0.15">
      <c r="A1044" s="62"/>
      <c r="B1044" s="65"/>
      <c r="N1044" s="10"/>
      <c r="O1044" s="10"/>
      <c r="P1044" s="10"/>
      <c r="Q1044" s="10"/>
      <c r="R1044" s="10"/>
      <c r="S1044" s="10"/>
      <c r="T1044" s="10"/>
      <c r="U1044" s="10"/>
      <c r="V1044" s="10"/>
    </row>
    <row r="1045" spans="1:22" s="11" customFormat="1" ht="12" customHeight="1" x14ac:dyDescent="0.15">
      <c r="A1045" s="62"/>
      <c r="B1045" s="65"/>
      <c r="N1045" s="10"/>
      <c r="O1045" s="10"/>
      <c r="P1045" s="10"/>
      <c r="Q1045" s="10"/>
      <c r="R1045" s="10"/>
      <c r="S1045" s="10"/>
      <c r="T1045" s="10"/>
      <c r="U1045" s="10"/>
      <c r="V1045" s="10"/>
    </row>
    <row r="1046" spans="1:22" s="11" customFormat="1" ht="12" customHeight="1" x14ac:dyDescent="0.15">
      <c r="A1046" s="62"/>
      <c r="B1046" s="65"/>
      <c r="N1046" s="10"/>
      <c r="O1046" s="10"/>
      <c r="P1046" s="10"/>
      <c r="Q1046" s="10"/>
      <c r="R1046" s="10"/>
      <c r="S1046" s="10"/>
      <c r="T1046" s="10"/>
      <c r="U1046" s="10"/>
      <c r="V1046" s="10"/>
    </row>
    <row r="1047" spans="1:22" s="11" customFormat="1" ht="12" customHeight="1" x14ac:dyDescent="0.15">
      <c r="A1047" s="62"/>
      <c r="B1047" s="65"/>
      <c r="N1047" s="10"/>
      <c r="O1047" s="10"/>
      <c r="P1047" s="10"/>
      <c r="Q1047" s="10"/>
      <c r="R1047" s="10"/>
      <c r="S1047" s="10"/>
      <c r="T1047" s="10"/>
      <c r="U1047" s="10"/>
      <c r="V1047" s="10"/>
    </row>
    <row r="1048" spans="1:22" s="11" customFormat="1" ht="12" customHeight="1" x14ac:dyDescent="0.15">
      <c r="A1048" s="62"/>
      <c r="B1048" s="65"/>
      <c r="N1048" s="10"/>
      <c r="O1048" s="10"/>
      <c r="P1048" s="10"/>
      <c r="Q1048" s="10"/>
      <c r="R1048" s="10"/>
      <c r="S1048" s="10"/>
      <c r="T1048" s="10"/>
      <c r="U1048" s="10"/>
      <c r="V1048" s="10"/>
    </row>
    <row r="1049" spans="1:22" s="11" customFormat="1" ht="12" customHeight="1" x14ac:dyDescent="0.15">
      <c r="A1049" s="62"/>
      <c r="B1049" s="65"/>
      <c r="N1049" s="10"/>
      <c r="O1049" s="10"/>
      <c r="P1049" s="10"/>
      <c r="Q1049" s="10"/>
      <c r="R1049" s="10"/>
      <c r="S1049" s="10"/>
      <c r="T1049" s="10"/>
      <c r="U1049" s="10"/>
      <c r="V1049" s="10"/>
    </row>
    <row r="1050" spans="1:22" s="11" customFormat="1" ht="12" customHeight="1" x14ac:dyDescent="0.15">
      <c r="A1050" s="62"/>
      <c r="B1050" s="65"/>
      <c r="N1050" s="10"/>
      <c r="O1050" s="10"/>
      <c r="P1050" s="10"/>
      <c r="Q1050" s="10"/>
      <c r="R1050" s="10"/>
      <c r="S1050" s="10"/>
      <c r="T1050" s="10"/>
      <c r="U1050" s="10"/>
      <c r="V1050" s="10"/>
    </row>
    <row r="1051" spans="1:22" s="11" customFormat="1" ht="12" customHeight="1" x14ac:dyDescent="0.15">
      <c r="A1051" s="62"/>
      <c r="B1051" s="65"/>
      <c r="N1051" s="10"/>
      <c r="O1051" s="10"/>
      <c r="P1051" s="10"/>
      <c r="Q1051" s="10"/>
      <c r="R1051" s="10"/>
      <c r="S1051" s="10"/>
      <c r="T1051" s="10"/>
      <c r="U1051" s="10"/>
      <c r="V1051" s="10"/>
    </row>
    <row r="1052" spans="1:22" s="11" customFormat="1" ht="12" customHeight="1" x14ac:dyDescent="0.15">
      <c r="A1052" s="62"/>
      <c r="B1052" s="65"/>
      <c r="N1052" s="10"/>
      <c r="O1052" s="10"/>
      <c r="P1052" s="10"/>
      <c r="Q1052" s="10"/>
      <c r="R1052" s="10"/>
      <c r="S1052" s="10"/>
      <c r="T1052" s="10"/>
      <c r="U1052" s="10"/>
      <c r="V1052" s="10"/>
    </row>
    <row r="1053" spans="1:22" s="11" customFormat="1" ht="12" customHeight="1" x14ac:dyDescent="0.15">
      <c r="A1053" s="62"/>
      <c r="B1053" s="65"/>
      <c r="N1053" s="10"/>
      <c r="O1053" s="10"/>
      <c r="P1053" s="10"/>
      <c r="Q1053" s="10"/>
      <c r="R1053" s="10"/>
      <c r="S1053" s="10"/>
      <c r="T1053" s="10"/>
      <c r="U1053" s="10"/>
      <c r="V1053" s="10"/>
    </row>
    <row r="1054" spans="1:22" s="11" customFormat="1" ht="12" customHeight="1" x14ac:dyDescent="0.15">
      <c r="A1054" s="62"/>
      <c r="B1054" s="65"/>
      <c r="N1054" s="10"/>
      <c r="O1054" s="10"/>
      <c r="P1054" s="10"/>
      <c r="Q1054" s="10"/>
      <c r="R1054" s="10"/>
      <c r="S1054" s="10"/>
      <c r="T1054" s="10"/>
      <c r="U1054" s="10"/>
      <c r="V1054" s="10"/>
    </row>
    <row r="1055" spans="1:22" s="11" customFormat="1" ht="12" customHeight="1" x14ac:dyDescent="0.15">
      <c r="A1055" s="62"/>
      <c r="B1055" s="65"/>
      <c r="N1055" s="10"/>
      <c r="O1055" s="10"/>
      <c r="P1055" s="10"/>
      <c r="Q1055" s="10"/>
      <c r="R1055" s="10"/>
      <c r="S1055" s="10"/>
      <c r="T1055" s="10"/>
      <c r="U1055" s="10"/>
      <c r="V1055" s="10"/>
    </row>
    <row r="1056" spans="1:22" s="11" customFormat="1" ht="12" customHeight="1" x14ac:dyDescent="0.15">
      <c r="A1056" s="62"/>
      <c r="B1056" s="65"/>
      <c r="N1056" s="10"/>
      <c r="O1056" s="10"/>
      <c r="P1056" s="10"/>
      <c r="Q1056" s="10"/>
      <c r="R1056" s="10"/>
      <c r="S1056" s="10"/>
      <c r="T1056" s="10"/>
      <c r="U1056" s="10"/>
      <c r="V1056" s="10"/>
    </row>
    <row r="1057" spans="1:22" s="11" customFormat="1" ht="12" customHeight="1" x14ac:dyDescent="0.15">
      <c r="A1057" s="62"/>
      <c r="B1057" s="65"/>
      <c r="N1057" s="10"/>
      <c r="O1057" s="10"/>
      <c r="P1057" s="10"/>
      <c r="Q1057" s="10"/>
      <c r="R1057" s="10"/>
      <c r="S1057" s="10"/>
      <c r="T1057" s="10"/>
      <c r="U1057" s="10"/>
      <c r="V1057" s="10"/>
    </row>
    <row r="1058" spans="1:22" s="11" customFormat="1" ht="12" customHeight="1" x14ac:dyDescent="0.15">
      <c r="A1058" s="62"/>
      <c r="B1058" s="65"/>
      <c r="N1058" s="10"/>
      <c r="O1058" s="10"/>
      <c r="P1058" s="10"/>
      <c r="Q1058" s="10"/>
      <c r="R1058" s="10"/>
      <c r="S1058" s="10"/>
      <c r="T1058" s="10"/>
      <c r="U1058" s="10"/>
      <c r="V1058" s="10"/>
    </row>
    <row r="1059" spans="1:22" s="11" customFormat="1" ht="12" customHeight="1" x14ac:dyDescent="0.15">
      <c r="A1059" s="62"/>
      <c r="B1059" s="65"/>
      <c r="N1059" s="10"/>
      <c r="O1059" s="10"/>
      <c r="P1059" s="10"/>
      <c r="Q1059" s="10"/>
      <c r="R1059" s="10"/>
      <c r="S1059" s="10"/>
      <c r="T1059" s="10"/>
      <c r="U1059" s="10"/>
      <c r="V1059" s="10"/>
    </row>
    <row r="1060" spans="1:22" s="11" customFormat="1" ht="12" customHeight="1" x14ac:dyDescent="0.15">
      <c r="A1060" s="62"/>
      <c r="B1060" s="65"/>
      <c r="N1060" s="10"/>
      <c r="O1060" s="10"/>
      <c r="P1060" s="10"/>
      <c r="Q1060" s="10"/>
      <c r="R1060" s="10"/>
      <c r="S1060" s="10"/>
      <c r="T1060" s="10"/>
      <c r="U1060" s="10"/>
      <c r="V1060" s="10"/>
    </row>
    <row r="1061" spans="1:22" s="11" customFormat="1" ht="12" customHeight="1" x14ac:dyDescent="0.15">
      <c r="A1061" s="62"/>
      <c r="B1061" s="65"/>
      <c r="N1061" s="10"/>
      <c r="O1061" s="10"/>
      <c r="P1061" s="10"/>
      <c r="Q1061" s="10"/>
      <c r="R1061" s="10"/>
      <c r="S1061" s="10"/>
      <c r="T1061" s="10"/>
      <c r="U1061" s="10"/>
      <c r="V1061" s="10"/>
    </row>
    <row r="1062" spans="1:22" s="11" customFormat="1" ht="12" customHeight="1" x14ac:dyDescent="0.15">
      <c r="A1062" s="62"/>
      <c r="B1062" s="65"/>
      <c r="N1062" s="10"/>
      <c r="O1062" s="10"/>
      <c r="P1062" s="10"/>
      <c r="Q1062" s="10"/>
      <c r="R1062" s="10"/>
      <c r="S1062" s="10"/>
      <c r="T1062" s="10"/>
      <c r="U1062" s="10"/>
      <c r="V1062" s="10"/>
    </row>
    <row r="1063" spans="1:22" s="11" customFormat="1" ht="12" customHeight="1" x14ac:dyDescent="0.15">
      <c r="A1063" s="62"/>
      <c r="B1063" s="65"/>
      <c r="N1063" s="10"/>
      <c r="O1063" s="10"/>
      <c r="P1063" s="10"/>
      <c r="Q1063" s="10"/>
      <c r="R1063" s="10"/>
      <c r="S1063" s="10"/>
      <c r="T1063" s="10"/>
      <c r="U1063" s="10"/>
      <c r="V1063" s="10"/>
    </row>
    <row r="1064" spans="1:22" s="11" customFormat="1" ht="12" customHeight="1" x14ac:dyDescent="0.15">
      <c r="A1064" s="62"/>
      <c r="B1064" s="65"/>
      <c r="N1064" s="10"/>
      <c r="O1064" s="10"/>
      <c r="P1064" s="10"/>
      <c r="Q1064" s="10"/>
      <c r="R1064" s="10"/>
      <c r="S1064" s="10"/>
      <c r="T1064" s="10"/>
      <c r="U1064" s="10"/>
      <c r="V1064" s="10"/>
    </row>
    <row r="1065" spans="1:22" s="11" customFormat="1" ht="12" customHeight="1" x14ac:dyDescent="0.15">
      <c r="A1065" s="62"/>
      <c r="B1065" s="65"/>
      <c r="N1065" s="10"/>
      <c r="O1065" s="10"/>
      <c r="P1065" s="10"/>
      <c r="Q1065" s="10"/>
      <c r="R1065" s="10"/>
      <c r="S1065" s="10"/>
      <c r="T1065" s="10"/>
      <c r="U1065" s="10"/>
      <c r="V1065" s="10"/>
    </row>
    <row r="1066" spans="1:22" s="11" customFormat="1" ht="12" customHeight="1" x14ac:dyDescent="0.15">
      <c r="A1066" s="62"/>
      <c r="B1066" s="65"/>
      <c r="N1066" s="10"/>
      <c r="O1066" s="10"/>
      <c r="P1066" s="10"/>
      <c r="Q1066" s="10"/>
      <c r="R1066" s="10"/>
      <c r="S1066" s="10"/>
      <c r="T1066" s="10"/>
      <c r="U1066" s="10"/>
      <c r="V1066" s="10"/>
    </row>
    <row r="1067" spans="1:22" s="11" customFormat="1" ht="12" customHeight="1" x14ac:dyDescent="0.15">
      <c r="A1067" s="62"/>
      <c r="B1067" s="65"/>
      <c r="N1067" s="10"/>
      <c r="O1067" s="10"/>
      <c r="P1067" s="10"/>
      <c r="Q1067" s="10"/>
      <c r="R1067" s="10"/>
      <c r="S1067" s="10"/>
      <c r="T1067" s="10"/>
      <c r="U1067" s="10"/>
      <c r="V1067" s="10"/>
    </row>
    <row r="1068" spans="1:22" s="11" customFormat="1" ht="12" customHeight="1" x14ac:dyDescent="0.15">
      <c r="A1068" s="62"/>
      <c r="B1068" s="65"/>
      <c r="N1068" s="10"/>
      <c r="O1068" s="10"/>
      <c r="P1068" s="10"/>
      <c r="Q1068" s="10"/>
      <c r="R1068" s="10"/>
      <c r="S1068" s="10"/>
      <c r="T1068" s="10"/>
      <c r="U1068" s="10"/>
      <c r="V1068" s="10"/>
    </row>
    <row r="1069" spans="1:22" s="11" customFormat="1" ht="12" customHeight="1" x14ac:dyDescent="0.15">
      <c r="A1069" s="62"/>
      <c r="B1069" s="65"/>
      <c r="N1069" s="10"/>
      <c r="O1069" s="10"/>
      <c r="P1069" s="10"/>
      <c r="Q1069" s="10"/>
      <c r="R1069" s="10"/>
      <c r="S1069" s="10"/>
      <c r="T1069" s="10"/>
      <c r="U1069" s="10"/>
      <c r="V1069" s="10"/>
    </row>
    <row r="1070" spans="1:22" s="11" customFormat="1" ht="12" customHeight="1" x14ac:dyDescent="0.15">
      <c r="A1070" s="62"/>
      <c r="B1070" s="65"/>
      <c r="N1070" s="10"/>
      <c r="O1070" s="10"/>
      <c r="P1070" s="10"/>
      <c r="Q1070" s="10"/>
      <c r="R1070" s="10"/>
      <c r="S1070" s="10"/>
      <c r="T1070" s="10"/>
      <c r="U1070" s="10"/>
      <c r="V1070" s="10"/>
    </row>
    <row r="1071" spans="1:22" s="11" customFormat="1" ht="12" customHeight="1" x14ac:dyDescent="0.15">
      <c r="A1071" s="62"/>
      <c r="B1071" s="65"/>
      <c r="N1071" s="10"/>
      <c r="O1071" s="10"/>
      <c r="P1071" s="10"/>
      <c r="Q1071" s="10"/>
      <c r="R1071" s="10"/>
      <c r="S1071" s="10"/>
      <c r="T1071" s="10"/>
      <c r="U1071" s="10"/>
      <c r="V1071" s="10"/>
    </row>
    <row r="1072" spans="1:22" s="11" customFormat="1" ht="12" customHeight="1" x14ac:dyDescent="0.15">
      <c r="A1072" s="62"/>
      <c r="B1072" s="65"/>
      <c r="N1072" s="10"/>
      <c r="O1072" s="10"/>
      <c r="P1072" s="10"/>
      <c r="Q1072" s="10"/>
      <c r="R1072" s="10"/>
      <c r="S1072" s="10"/>
      <c r="T1072" s="10"/>
      <c r="U1072" s="10"/>
      <c r="V1072" s="10"/>
    </row>
    <row r="1073" spans="1:22" s="11" customFormat="1" ht="12" customHeight="1" x14ac:dyDescent="0.15">
      <c r="A1073" s="62"/>
      <c r="B1073" s="65"/>
      <c r="N1073" s="10"/>
      <c r="O1073" s="10"/>
      <c r="P1073" s="10"/>
      <c r="Q1073" s="10"/>
      <c r="R1073" s="10"/>
      <c r="S1073" s="10"/>
      <c r="T1073" s="10"/>
      <c r="U1073" s="10"/>
      <c r="V1073" s="10"/>
    </row>
    <row r="1074" spans="1:22" s="11" customFormat="1" ht="12" customHeight="1" x14ac:dyDescent="0.15">
      <c r="A1074" s="62"/>
      <c r="B1074" s="65"/>
      <c r="N1074" s="10"/>
      <c r="O1074" s="10"/>
      <c r="P1074" s="10"/>
      <c r="Q1074" s="10"/>
      <c r="R1074" s="10"/>
      <c r="S1074" s="10"/>
      <c r="T1074" s="10"/>
      <c r="U1074" s="10"/>
      <c r="V1074" s="10"/>
    </row>
    <row r="1075" spans="1:22" s="11" customFormat="1" ht="12" customHeight="1" x14ac:dyDescent="0.15">
      <c r="A1075" s="62"/>
      <c r="B1075" s="65"/>
      <c r="N1075" s="10"/>
      <c r="O1075" s="10"/>
      <c r="P1075" s="10"/>
      <c r="Q1075" s="10"/>
      <c r="R1075" s="10"/>
      <c r="S1075" s="10"/>
      <c r="T1075" s="10"/>
      <c r="U1075" s="10"/>
      <c r="V1075" s="10"/>
    </row>
  </sheetData>
  <mergeCells count="2">
    <mergeCell ref="A1:L1"/>
    <mergeCell ref="A5:L5"/>
  </mergeCells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EBB391"/>
  </sheetPr>
  <dimension ref="A1:A56"/>
  <sheetViews>
    <sheetView zoomScale="48" zoomScaleNormal="48" workbookViewId="0">
      <selection activeCell="Z42" sqref="Z42"/>
    </sheetView>
  </sheetViews>
  <sheetFormatPr baseColWidth="10" defaultColWidth="8.6640625" defaultRowHeight="13" x14ac:dyDescent="0.15"/>
  <cols>
    <col min="1" max="2" width="8.6640625" style="358" customWidth="1"/>
    <col min="3" max="16384" width="8.6640625" style="358"/>
  </cols>
  <sheetData>
    <row r="1" ht="12" customHeight="1" x14ac:dyDescent="0.15"/>
    <row r="2" ht="12" customHeight="1" x14ac:dyDescent="0.15"/>
    <row r="3" ht="12" customHeight="1" x14ac:dyDescent="0.15"/>
    <row r="4" ht="12" customHeight="1" x14ac:dyDescent="0.15"/>
    <row r="5" ht="12" customHeight="1" x14ac:dyDescent="0.15"/>
    <row r="6" ht="12" customHeight="1" x14ac:dyDescent="0.15"/>
    <row r="7" ht="12" customHeight="1" x14ac:dyDescent="0.15"/>
    <row r="8" ht="12" customHeight="1" x14ac:dyDescent="0.15"/>
    <row r="9" ht="12" customHeight="1" x14ac:dyDescent="0.15"/>
    <row r="10" ht="12" customHeight="1" x14ac:dyDescent="0.15"/>
    <row r="11" ht="12" customHeight="1" x14ac:dyDescent="0.15"/>
    <row r="12" ht="12" customHeight="1" x14ac:dyDescent="0.15"/>
    <row r="13" ht="12" customHeight="1" x14ac:dyDescent="0.15"/>
    <row r="14" ht="12" customHeight="1" x14ac:dyDescent="0.15"/>
    <row r="15" ht="12" customHeight="1" x14ac:dyDescent="0.15"/>
    <row r="16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BABA"/>
  </sheetPr>
  <dimension ref="A1:A46"/>
  <sheetViews>
    <sheetView zoomScale="60" zoomScaleNormal="60" workbookViewId="0">
      <selection activeCell="C3" sqref="C3"/>
    </sheetView>
  </sheetViews>
  <sheetFormatPr baseColWidth="10" defaultColWidth="8.6640625" defaultRowHeight="13" x14ac:dyDescent="0.15"/>
  <cols>
    <col min="1" max="2" width="8.6640625" style="358" customWidth="1"/>
    <col min="3" max="16384" width="8.6640625" style="358"/>
  </cols>
  <sheetData>
    <row r="1" ht="12" customHeight="1" x14ac:dyDescent="0.15"/>
    <row r="2" ht="12" customHeight="1" x14ac:dyDescent="0.15"/>
    <row r="3" ht="12" customHeight="1" x14ac:dyDescent="0.15"/>
    <row r="4" ht="12" customHeight="1" x14ac:dyDescent="0.15"/>
    <row r="5" ht="12" customHeight="1" x14ac:dyDescent="0.15"/>
    <row r="6" ht="12" customHeight="1" x14ac:dyDescent="0.15"/>
    <row r="7" ht="12" customHeight="1" x14ac:dyDescent="0.15"/>
    <row r="8" ht="12" customHeight="1" x14ac:dyDescent="0.15"/>
    <row r="9" ht="12" customHeight="1" x14ac:dyDescent="0.15"/>
    <row r="10" ht="12" customHeight="1" x14ac:dyDescent="0.15"/>
    <row r="11" ht="12" customHeight="1" x14ac:dyDescent="0.15"/>
    <row r="12" ht="12" customHeight="1" x14ac:dyDescent="0.15"/>
    <row r="13" ht="12" customHeight="1" x14ac:dyDescent="0.15"/>
    <row r="14" ht="12" customHeight="1" x14ac:dyDescent="0.15"/>
    <row r="15" ht="12" customHeight="1" x14ac:dyDescent="0.15"/>
    <row r="16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D4E2ED"/>
  </sheetPr>
  <dimension ref="A1:A37"/>
  <sheetViews>
    <sheetView zoomScale="73" zoomScaleNormal="73" workbookViewId="0">
      <selection activeCell="R16" sqref="R16"/>
    </sheetView>
  </sheetViews>
  <sheetFormatPr baseColWidth="10" defaultColWidth="8.6640625" defaultRowHeight="13" x14ac:dyDescent="0.15"/>
  <cols>
    <col min="1" max="2" width="8.6640625" style="358" customWidth="1"/>
    <col min="3" max="16384" width="8.6640625" style="358"/>
  </cols>
  <sheetData>
    <row r="1" ht="12" customHeight="1" x14ac:dyDescent="0.15"/>
    <row r="2" ht="12" customHeight="1" x14ac:dyDescent="0.15"/>
    <row r="3" ht="12" customHeight="1" x14ac:dyDescent="0.15"/>
    <row r="4" ht="12" customHeight="1" x14ac:dyDescent="0.15"/>
    <row r="5" ht="12" customHeight="1" x14ac:dyDescent="0.15"/>
    <row r="6" ht="12" customHeight="1" x14ac:dyDescent="0.15"/>
    <row r="7" ht="12" customHeight="1" x14ac:dyDescent="0.15"/>
    <row r="8" ht="12" customHeight="1" x14ac:dyDescent="0.15"/>
    <row r="9" ht="12" customHeight="1" x14ac:dyDescent="0.15"/>
    <row r="10" ht="12" customHeight="1" x14ac:dyDescent="0.15"/>
    <row r="11" ht="12" customHeight="1" x14ac:dyDescent="0.15"/>
    <row r="12" ht="12" customHeight="1" x14ac:dyDescent="0.15"/>
    <row r="13" ht="12" customHeight="1" x14ac:dyDescent="0.15"/>
    <row r="14" ht="12" customHeight="1" x14ac:dyDescent="0.15"/>
    <row r="15" ht="12" customHeight="1" x14ac:dyDescent="0.15"/>
    <row r="16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D4E2ED"/>
  </sheetPr>
  <dimension ref="A1:A39"/>
  <sheetViews>
    <sheetView topLeftCell="A6" zoomScale="78" zoomScaleNormal="78" workbookViewId="0">
      <selection activeCell="R24" sqref="R24"/>
    </sheetView>
  </sheetViews>
  <sheetFormatPr baseColWidth="10" defaultColWidth="8.6640625" defaultRowHeight="13" x14ac:dyDescent="0.15"/>
  <cols>
    <col min="1" max="2" width="8.6640625" style="358" customWidth="1"/>
    <col min="3" max="16384" width="8.6640625" style="358"/>
  </cols>
  <sheetData>
    <row r="1" ht="12" customHeight="1" x14ac:dyDescent="0.15"/>
    <row r="2" ht="12" customHeight="1" x14ac:dyDescent="0.15"/>
    <row r="3" ht="12" customHeight="1" x14ac:dyDescent="0.15"/>
    <row r="4" ht="12" customHeight="1" x14ac:dyDescent="0.15"/>
    <row r="5" ht="12" customHeight="1" x14ac:dyDescent="0.15"/>
    <row r="6" ht="12" customHeight="1" x14ac:dyDescent="0.15"/>
    <row r="7" ht="12" customHeight="1" x14ac:dyDescent="0.15"/>
    <row r="8" ht="12" customHeight="1" x14ac:dyDescent="0.15"/>
    <row r="9" ht="12" customHeight="1" x14ac:dyDescent="0.15"/>
    <row r="10" ht="12" customHeight="1" x14ac:dyDescent="0.15"/>
    <row r="11" ht="12" customHeight="1" x14ac:dyDescent="0.15"/>
    <row r="12" ht="12" customHeight="1" x14ac:dyDescent="0.15"/>
    <row r="13" ht="12" customHeight="1" x14ac:dyDescent="0.15"/>
    <row r="14" ht="12" customHeight="1" x14ac:dyDescent="0.15"/>
    <row r="15" ht="12" customHeight="1" x14ac:dyDescent="0.15"/>
    <row r="16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4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R1048576"/>
  <sheetViews>
    <sheetView zoomScale="89" zoomScaleNormal="89" workbookViewId="0">
      <selection activeCell="A2" sqref="A2:XFD2"/>
    </sheetView>
  </sheetViews>
  <sheetFormatPr baseColWidth="10" defaultColWidth="9.1640625" defaultRowHeight="13" x14ac:dyDescent="0.15"/>
  <cols>
    <col min="1" max="1" width="7.33203125" style="359" customWidth="1"/>
    <col min="2" max="2" width="2.83203125" style="360" customWidth="1"/>
    <col min="3" max="3" width="15.5" style="361" customWidth="1"/>
    <col min="4" max="4" width="11.83203125" style="361" customWidth="1"/>
    <col min="5" max="5" width="11" style="127" customWidth="1"/>
    <col min="6" max="6" width="11.83203125" style="127" customWidth="1"/>
    <col min="7" max="7" width="13.83203125" style="127" customWidth="1"/>
    <col min="8" max="8" width="14.5" style="127" customWidth="1"/>
    <col min="9" max="9" width="13.5" style="127" customWidth="1"/>
    <col min="10" max="10" width="9.5" style="127" customWidth="1"/>
    <col min="11" max="11" width="7.33203125" style="362" customWidth="1"/>
    <col min="12" max="12" width="11.5" style="127" customWidth="1"/>
    <col min="13" max="13" width="11.1640625" style="361" customWidth="1"/>
    <col min="14" max="14" width="17" style="127" customWidth="1"/>
    <col min="15" max="15" width="8.33203125" style="127" customWidth="1"/>
    <col min="16" max="16" width="7.5" style="127" customWidth="1"/>
    <col min="17" max="17" width="6.1640625" style="361" customWidth="1"/>
    <col min="18" max="18" width="5.6640625" style="127" customWidth="1"/>
    <col min="19" max="19" width="9.5" style="362" customWidth="1"/>
    <col min="20" max="20" width="4.5" style="363" customWidth="1"/>
    <col min="21" max="21" width="4.83203125" style="364" customWidth="1"/>
    <col min="22" max="22" width="9.5" style="362" customWidth="1"/>
    <col min="23" max="23" width="11.5" style="362" customWidth="1"/>
    <col min="24" max="24" width="12.33203125" style="362" customWidth="1"/>
    <col min="25" max="25" width="9.1640625" style="362" customWidth="1"/>
    <col min="26" max="26" width="9.1640625" style="229" customWidth="1"/>
    <col min="27" max="27" width="9.5" style="229" customWidth="1"/>
    <col min="28" max="28" width="2.5" style="365" customWidth="1"/>
    <col min="29" max="29" width="13.33203125" style="229" customWidth="1"/>
    <col min="30" max="30" width="18.5" style="229" customWidth="1"/>
    <col min="31" max="31" width="3.5" style="365" customWidth="1"/>
    <col min="32" max="32" width="9.1640625" style="229" customWidth="1"/>
    <col min="33" max="33" width="16.83203125" style="229" customWidth="1"/>
    <col min="34" max="34" width="15.83203125" style="365" customWidth="1"/>
    <col min="35" max="35" width="13" style="366" customWidth="1"/>
    <col min="36" max="36" width="13.5" style="366" customWidth="1"/>
    <col min="37" max="37" width="9.1640625" style="365" customWidth="1"/>
    <col min="38" max="38" width="17.5" style="365" customWidth="1"/>
    <col min="39" max="39" width="16" style="365" customWidth="1"/>
    <col min="40" max="40" width="9.5" style="365" customWidth="1"/>
    <col min="41" max="41" width="9.1640625" style="365" customWidth="1"/>
    <col min="42" max="42" width="23.33203125" style="365" customWidth="1"/>
    <col min="43" max="43" width="19.33203125" style="365" customWidth="1"/>
    <col min="44" max="44" width="9.1640625" style="365" customWidth="1"/>
    <col min="45" max="46" width="9.1640625" style="229" customWidth="1"/>
    <col min="47" max="16384" width="9.1640625" style="229"/>
  </cols>
  <sheetData>
    <row r="1" spans="1:44" ht="51.75" customHeight="1" x14ac:dyDescent="0.25">
      <c r="A1" s="367"/>
      <c r="B1" s="368"/>
      <c r="C1" s="594" t="s">
        <v>0</v>
      </c>
      <c r="D1" s="595"/>
      <c r="E1" s="596"/>
      <c r="F1" s="596"/>
      <c r="G1" s="596"/>
      <c r="H1" s="596"/>
      <c r="I1" s="596"/>
      <c r="J1" s="596"/>
      <c r="K1" s="597"/>
      <c r="L1" s="367"/>
      <c r="M1" s="367"/>
      <c r="N1" s="367"/>
      <c r="O1" s="367"/>
      <c r="P1" s="367"/>
      <c r="Q1" s="367"/>
      <c r="R1" s="367"/>
      <c r="S1" s="369"/>
      <c r="T1" s="370"/>
      <c r="U1" s="369"/>
      <c r="V1" s="369"/>
      <c r="W1" s="369"/>
      <c r="X1" s="369"/>
      <c r="Y1" s="369"/>
      <c r="Z1" s="369"/>
      <c r="AA1" s="369"/>
      <c r="AB1" s="369"/>
      <c r="AC1" s="369"/>
      <c r="AD1" s="369"/>
      <c r="AE1" s="369"/>
      <c r="AF1" s="369"/>
      <c r="AG1" s="369"/>
      <c r="AH1" s="369"/>
      <c r="AI1" s="368"/>
      <c r="AJ1" s="368"/>
      <c r="AK1" s="369"/>
      <c r="AL1" s="369"/>
      <c r="AM1" s="369"/>
      <c r="AN1" s="369"/>
      <c r="AO1" s="369"/>
      <c r="AP1" s="369"/>
      <c r="AQ1" s="369"/>
      <c r="AR1" s="369"/>
    </row>
    <row r="2" spans="1:44" ht="13" customHeight="1" x14ac:dyDescent="0.15">
      <c r="A2" s="367"/>
      <c r="B2" s="371"/>
      <c r="C2" s="371"/>
      <c r="D2" s="371"/>
      <c r="E2" s="183"/>
      <c r="F2" s="183"/>
      <c r="G2" s="183"/>
      <c r="H2" s="183"/>
      <c r="I2" s="183"/>
      <c r="J2" s="183"/>
      <c r="K2" s="183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W2" s="370"/>
      <c r="X2" s="370"/>
      <c r="Y2" s="369"/>
      <c r="Z2" s="369"/>
      <c r="AA2" s="369"/>
      <c r="AB2" s="369"/>
      <c r="AC2" s="369"/>
      <c r="AD2" s="369"/>
      <c r="AE2" s="369"/>
      <c r="AF2" s="369"/>
      <c r="AG2" s="369"/>
      <c r="AH2" s="369"/>
      <c r="AI2" s="368"/>
      <c r="AJ2" s="368"/>
      <c r="AK2" s="369"/>
      <c r="AL2" s="372"/>
      <c r="AM2" s="372"/>
      <c r="AN2" s="372"/>
      <c r="AO2" s="372"/>
      <c r="AP2" s="372"/>
      <c r="AQ2" s="372"/>
      <c r="AR2" s="369"/>
    </row>
    <row r="3" spans="1:44" ht="18" customHeight="1" x14ac:dyDescent="0.2">
      <c r="A3" s="373"/>
      <c r="B3" s="368"/>
      <c r="C3" s="368"/>
      <c r="D3" s="368"/>
      <c r="E3" s="369"/>
      <c r="F3" s="369"/>
      <c r="G3" s="369"/>
      <c r="H3" s="369"/>
      <c r="I3" s="369"/>
      <c r="J3" s="369"/>
      <c r="K3" s="369"/>
      <c r="L3" s="369"/>
      <c r="M3" s="368"/>
      <c r="N3" s="369"/>
      <c r="O3" s="369"/>
      <c r="P3" s="374"/>
      <c r="Q3" s="368"/>
      <c r="R3" s="369"/>
      <c r="S3" s="369"/>
      <c r="T3" s="370"/>
      <c r="U3" s="369"/>
      <c r="V3" s="369"/>
      <c r="W3" s="369"/>
      <c r="X3" s="369"/>
      <c r="Y3" s="369"/>
      <c r="Z3" s="369"/>
      <c r="AA3" s="369"/>
      <c r="AB3" s="369"/>
      <c r="AC3" s="369"/>
      <c r="AD3" s="369"/>
      <c r="AE3" s="369"/>
      <c r="AF3" s="369"/>
      <c r="AG3" s="369"/>
      <c r="AH3" s="369"/>
      <c r="AI3" s="368"/>
      <c r="AJ3" s="368"/>
      <c r="AK3" s="369"/>
      <c r="AL3" s="372"/>
      <c r="AM3" s="372"/>
      <c r="AN3" s="372"/>
      <c r="AO3" s="372"/>
      <c r="AP3" s="372"/>
      <c r="AQ3" s="372"/>
      <c r="AR3" s="369"/>
    </row>
    <row r="4" spans="1:44" s="385" customFormat="1" ht="4.5" customHeight="1" x14ac:dyDescent="0.2">
      <c r="A4" s="359"/>
      <c r="B4" s="375"/>
      <c r="C4" s="376"/>
      <c r="D4" s="376"/>
      <c r="E4" s="377"/>
      <c r="F4" s="377"/>
      <c r="G4" s="377"/>
      <c r="H4" s="377"/>
      <c r="I4" s="377"/>
      <c r="J4" s="377"/>
      <c r="K4" s="378"/>
      <c r="L4" s="379"/>
      <c r="M4" s="127"/>
      <c r="N4" s="127"/>
      <c r="O4" s="127"/>
      <c r="P4" s="379"/>
      <c r="Q4" s="127"/>
      <c r="R4" s="127"/>
      <c r="S4" s="362"/>
      <c r="T4" s="380"/>
      <c r="U4" s="378"/>
      <c r="V4" s="362"/>
      <c r="W4" s="362"/>
      <c r="X4" s="362"/>
      <c r="Y4" s="362"/>
      <c r="Z4" s="362"/>
      <c r="AA4" s="362"/>
      <c r="AB4" s="362"/>
      <c r="AC4" s="362"/>
      <c r="AD4" s="362"/>
      <c r="AE4" s="362"/>
      <c r="AF4" s="362"/>
      <c r="AG4" s="362"/>
      <c r="AH4" s="378"/>
      <c r="AI4" s="3"/>
      <c r="AJ4" s="381"/>
      <c r="AK4" s="382"/>
      <c r="AL4" s="383"/>
      <c r="AM4" s="383"/>
      <c r="AN4" s="383"/>
      <c r="AO4" s="383"/>
      <c r="AP4" s="383"/>
      <c r="AQ4" s="383"/>
      <c r="AR4" s="384"/>
    </row>
    <row r="5" spans="1:44" s="391" customFormat="1" ht="23.25" customHeight="1" x14ac:dyDescent="0.2">
      <c r="A5" s="386"/>
      <c r="B5" s="387"/>
      <c r="C5" s="598" t="s">
        <v>1</v>
      </c>
      <c r="D5" s="599"/>
      <c r="E5" s="599"/>
      <c r="F5" s="599"/>
      <c r="G5" s="599"/>
      <c r="H5" s="388"/>
      <c r="I5" s="388"/>
      <c r="J5" s="388"/>
      <c r="K5" s="378"/>
      <c r="L5" s="389" t="s">
        <v>2</v>
      </c>
      <c r="M5" s="362"/>
      <c r="N5" s="362"/>
      <c r="O5" s="362"/>
      <c r="P5" s="390"/>
      <c r="Q5" s="362"/>
      <c r="R5" s="362"/>
      <c r="S5" s="362"/>
      <c r="T5" s="362"/>
      <c r="U5" s="362"/>
      <c r="V5" s="362"/>
      <c r="W5" s="362"/>
      <c r="X5" s="362"/>
      <c r="Y5" s="362"/>
      <c r="Z5" s="362"/>
      <c r="AA5" s="362"/>
      <c r="AB5" s="362"/>
      <c r="AC5" s="362"/>
      <c r="AD5" s="362"/>
      <c r="AE5" s="362"/>
      <c r="AF5" s="362"/>
      <c r="AG5" s="362"/>
      <c r="AH5" s="378"/>
      <c r="AI5" s="603"/>
      <c r="AJ5" s="599"/>
      <c r="AK5" s="382"/>
      <c r="AL5" s="383"/>
      <c r="AM5" s="383"/>
      <c r="AN5" s="383"/>
      <c r="AO5" s="383"/>
      <c r="AP5" s="383"/>
      <c r="AQ5" s="383"/>
      <c r="AR5" s="378"/>
    </row>
    <row r="6" spans="1:44" ht="6.75" customHeight="1" x14ac:dyDescent="0.2">
      <c r="A6" s="386"/>
      <c r="M6" s="392"/>
      <c r="Q6" s="392"/>
      <c r="T6" s="362"/>
      <c r="U6" s="362"/>
      <c r="Z6" s="362"/>
      <c r="AA6" s="362"/>
      <c r="AB6" s="362"/>
      <c r="AC6" s="362"/>
      <c r="AD6" s="362"/>
      <c r="AE6" s="362"/>
      <c r="AF6" s="362"/>
      <c r="AG6" s="362"/>
      <c r="AH6" s="362"/>
      <c r="AI6" s="360"/>
      <c r="AJ6" s="360"/>
      <c r="AK6" s="393"/>
      <c r="AL6" s="383"/>
      <c r="AM6" s="383"/>
      <c r="AN6" s="383"/>
      <c r="AO6" s="383"/>
      <c r="AP6" s="383"/>
      <c r="AQ6" s="383"/>
      <c r="AR6" s="362"/>
    </row>
    <row r="7" spans="1:44" s="399" customFormat="1" ht="13.5" customHeight="1" x14ac:dyDescent="0.15">
      <c r="A7" s="394"/>
      <c r="B7" s="383"/>
      <c r="C7" s="383"/>
      <c r="D7" s="395" t="s">
        <v>3</v>
      </c>
      <c r="E7" s="396" t="s">
        <v>4</v>
      </c>
      <c r="F7" s="395" t="s">
        <v>5</v>
      </c>
      <c r="G7" s="396" t="s">
        <v>6</v>
      </c>
      <c r="H7" s="396" t="s">
        <v>7</v>
      </c>
      <c r="I7" s="396" t="s">
        <v>8</v>
      </c>
      <c r="J7" s="397"/>
      <c r="K7" s="398"/>
      <c r="L7" s="398"/>
      <c r="M7" s="383" t="s">
        <v>9</v>
      </c>
      <c r="N7" s="383" t="s">
        <v>10</v>
      </c>
      <c r="O7" s="383" t="s">
        <v>11</v>
      </c>
      <c r="P7" s="398"/>
      <c r="Q7" s="383"/>
      <c r="R7" s="383"/>
      <c r="S7" s="398"/>
      <c r="T7" s="362"/>
      <c r="U7" s="362"/>
      <c r="V7" s="362"/>
      <c r="W7" s="362"/>
      <c r="X7" s="362"/>
      <c r="Y7" s="362"/>
      <c r="Z7" s="362"/>
      <c r="AA7" s="362"/>
      <c r="AB7" s="362"/>
      <c r="AC7" s="362"/>
      <c r="AD7" s="362"/>
      <c r="AE7" s="362"/>
      <c r="AF7" s="362"/>
      <c r="AG7" s="362"/>
      <c r="AH7" s="398"/>
      <c r="AI7" s="383"/>
      <c r="AJ7" s="383"/>
      <c r="AK7" s="383"/>
      <c r="AL7" s="383"/>
      <c r="AM7" s="383"/>
      <c r="AN7" s="383"/>
      <c r="AO7" s="383"/>
      <c r="AP7" s="383"/>
      <c r="AQ7" s="383"/>
      <c r="AR7" s="398"/>
    </row>
    <row r="8" spans="1:44" s="407" customFormat="1" ht="12.75" customHeight="1" x14ac:dyDescent="0.15">
      <c r="A8" s="400"/>
      <c r="B8" s="401"/>
      <c r="C8" s="401"/>
      <c r="D8" s="401">
        <f ca="1">total_cost_inavo</f>
        <v>564896.03165435349</v>
      </c>
      <c r="E8" s="401">
        <f ca="1">total_cost_placebo</f>
        <v>130006.3158303559</v>
      </c>
      <c r="F8" s="402">
        <f ca="1">total_LY_inavo</f>
        <v>4.317068216073106</v>
      </c>
      <c r="G8" s="402">
        <f ca="1">total_LY_placebo</f>
        <v>3.9298240003301932</v>
      </c>
      <c r="H8" s="402">
        <f ca="1">total_QALY_inavo</f>
        <v>2.5778096484197528</v>
      </c>
      <c r="I8" s="402">
        <f ca="1">total_QALY_placebo</f>
        <v>2.1834817744306618</v>
      </c>
      <c r="J8" s="402"/>
      <c r="K8" s="402"/>
      <c r="L8" s="402"/>
      <c r="M8" s="401">
        <f ca="1">D8-E8</f>
        <v>434889.71582399757</v>
      </c>
      <c r="N8" s="403">
        <f ca="1">F8-G8</f>
        <v>0.38724421574291279</v>
      </c>
      <c r="O8" s="403">
        <f ca="1">H8-I8</f>
        <v>0.39432787398909097</v>
      </c>
      <c r="P8" s="402"/>
      <c r="Q8" s="402"/>
      <c r="R8" s="402"/>
      <c r="S8" s="404"/>
      <c r="T8" s="362"/>
      <c r="U8" s="362"/>
      <c r="V8" s="362"/>
      <c r="W8" s="362"/>
      <c r="X8" s="362"/>
      <c r="Y8" s="362"/>
      <c r="Z8" s="362"/>
      <c r="AA8" s="362"/>
      <c r="AB8" s="362"/>
      <c r="AC8" s="362"/>
      <c r="AD8" s="362"/>
      <c r="AE8" s="362"/>
      <c r="AF8" s="362"/>
      <c r="AG8" s="362"/>
      <c r="AH8" s="402"/>
      <c r="AI8" s="405"/>
      <c r="AJ8" s="405"/>
      <c r="AK8" s="406"/>
      <c r="AL8" s="383"/>
      <c r="AM8" s="383"/>
      <c r="AN8" s="383"/>
      <c r="AO8" s="383"/>
      <c r="AP8" s="383"/>
      <c r="AQ8" s="383"/>
      <c r="AR8" s="402"/>
    </row>
    <row r="9" spans="1:44" ht="9" customHeight="1" x14ac:dyDescent="0.2">
      <c r="A9" s="408"/>
      <c r="B9" s="409"/>
      <c r="C9" s="410"/>
      <c r="D9" s="410"/>
      <c r="E9" s="410"/>
      <c r="F9" s="410"/>
      <c r="G9" s="410"/>
      <c r="H9" s="410"/>
      <c r="I9" s="410"/>
      <c r="J9" s="254"/>
      <c r="T9" s="362"/>
      <c r="U9" s="362"/>
      <c r="Z9" s="362"/>
      <c r="AA9" s="362"/>
      <c r="AB9" s="362"/>
      <c r="AC9" s="362"/>
      <c r="AD9" s="362"/>
      <c r="AE9" s="362"/>
      <c r="AF9" s="362"/>
      <c r="AG9" s="362"/>
      <c r="AH9" s="362"/>
      <c r="AI9" s="360"/>
      <c r="AJ9" s="360"/>
      <c r="AK9" s="360"/>
      <c r="AL9" s="383"/>
      <c r="AM9" s="383"/>
      <c r="AN9" s="383"/>
      <c r="AO9" s="383"/>
      <c r="AP9" s="383"/>
      <c r="AQ9" s="383"/>
      <c r="AR9" s="362"/>
    </row>
    <row r="10" spans="1:44" ht="13.5" customHeight="1" x14ac:dyDescent="0.15">
      <c r="A10" s="394"/>
      <c r="B10" s="411"/>
      <c r="C10" s="411"/>
      <c r="D10" s="411"/>
      <c r="E10" s="412"/>
      <c r="F10" s="412"/>
      <c r="G10" s="412"/>
      <c r="H10" s="412">
        <v>0</v>
      </c>
      <c r="I10" s="412">
        <v>0</v>
      </c>
      <c r="J10" s="412"/>
      <c r="L10" s="602"/>
      <c r="M10" s="595"/>
      <c r="N10" s="596"/>
      <c r="O10" s="596"/>
      <c r="P10" s="596"/>
      <c r="Q10" s="595"/>
      <c r="R10" s="596"/>
      <c r="S10" s="597"/>
      <c r="T10" s="362"/>
      <c r="U10" s="362"/>
      <c r="Z10" s="362"/>
      <c r="AA10" s="362"/>
      <c r="AB10" s="362"/>
      <c r="AC10" s="362"/>
      <c r="AD10" s="362"/>
      <c r="AE10" s="362"/>
      <c r="AF10" s="362"/>
      <c r="AG10" s="362"/>
      <c r="AH10" s="413"/>
      <c r="AI10" s="600"/>
      <c r="AJ10" s="601"/>
      <c r="AK10" s="358"/>
      <c r="AL10" s="383"/>
      <c r="AM10" s="383"/>
      <c r="AN10" s="383"/>
      <c r="AO10" s="383"/>
      <c r="AP10" s="383"/>
      <c r="AQ10" s="383"/>
      <c r="AR10" s="362"/>
    </row>
    <row r="11" spans="1:44" s="419" customFormat="1" ht="13.5" customHeight="1" x14ac:dyDescent="0.15">
      <c r="A11" s="394"/>
      <c r="B11" s="414"/>
      <c r="C11" s="415" t="s">
        <v>12</v>
      </c>
      <c r="D11" s="415">
        <f t="shared" ref="D11:I11" si="0">AVERAGE(D18:D1017)</f>
        <v>603755.62562888162</v>
      </c>
      <c r="E11" s="415">
        <f t="shared" si="0"/>
        <v>156534.7737561352</v>
      </c>
      <c r="F11" s="416">
        <f t="shared" si="0"/>
        <v>4.3648429409870531</v>
      </c>
      <c r="G11" s="416">
        <f t="shared" si="0"/>
        <v>3.9349621331144387</v>
      </c>
      <c r="H11" s="416">
        <f t="shared" si="0"/>
        <v>2.6167713638889993</v>
      </c>
      <c r="I11" s="416">
        <f t="shared" si="0"/>
        <v>2.2015221846929145</v>
      </c>
      <c r="J11" s="417"/>
      <c r="K11" s="418"/>
      <c r="L11" s="417" t="s">
        <v>12</v>
      </c>
      <c r="M11" s="415">
        <f>AVERAGE(M18:M1017)</f>
        <v>447220.85187274526</v>
      </c>
      <c r="N11" s="416">
        <f>AVERAGE(N18:N1017)</f>
        <v>0.42988080787261446</v>
      </c>
      <c r="O11" s="416">
        <f>AVERAGE(O18:O1017)</f>
        <v>0.4152491791960895</v>
      </c>
      <c r="P11" s="417"/>
      <c r="Q11" s="417"/>
      <c r="R11" s="417"/>
      <c r="S11" s="418"/>
      <c r="T11" s="362"/>
      <c r="U11" s="362"/>
      <c r="V11" s="362"/>
      <c r="W11" s="362"/>
      <c r="X11" s="362"/>
      <c r="Y11" s="362"/>
      <c r="Z11" s="362"/>
      <c r="AA11" s="362"/>
      <c r="AB11" s="362"/>
      <c r="AC11" s="362"/>
      <c r="AD11" s="362"/>
      <c r="AE11" s="362"/>
      <c r="AF11" s="362"/>
      <c r="AG11" s="362"/>
      <c r="AH11" s="418"/>
      <c r="AI11" s="414"/>
      <c r="AJ11" s="414"/>
      <c r="AK11" s="418"/>
      <c r="AL11" s="383"/>
      <c r="AM11" s="383"/>
      <c r="AN11" s="383"/>
      <c r="AO11" s="383"/>
      <c r="AP11" s="383"/>
      <c r="AQ11" s="383"/>
      <c r="AR11" s="418"/>
    </row>
    <row r="12" spans="1:44" s="419" customFormat="1" ht="13.5" customHeight="1" x14ac:dyDescent="0.15">
      <c r="A12" s="420"/>
      <c r="B12" s="414"/>
      <c r="C12" s="415" t="s">
        <v>13</v>
      </c>
      <c r="D12" s="415">
        <f t="shared" ref="D12:I12" si="1">MIN(D18:D1017)</f>
        <v>439654.98613366758</v>
      </c>
      <c r="E12" s="415">
        <f t="shared" si="1"/>
        <v>82932.942138324433</v>
      </c>
      <c r="F12" s="416">
        <f t="shared" si="1"/>
        <v>3.4560692052830233</v>
      </c>
      <c r="G12" s="416">
        <f t="shared" si="1"/>
        <v>3.0103895040043458</v>
      </c>
      <c r="H12" s="416">
        <f t="shared" si="1"/>
        <v>1.7449214375579265</v>
      </c>
      <c r="I12" s="416">
        <f t="shared" si="1"/>
        <v>1.5602479313789996</v>
      </c>
      <c r="J12" s="417"/>
      <c r="K12" s="418"/>
      <c r="L12" s="417" t="s">
        <v>13</v>
      </c>
      <c r="M12" s="415">
        <f>MIN(M18:M1017)</f>
        <v>299457.11835075787</v>
      </c>
      <c r="N12" s="416">
        <f>MIN(N18:N1017)</f>
        <v>-0.8934743676072201</v>
      </c>
      <c r="O12" s="416">
        <f>MIN(O18:O1017)</f>
        <v>-0.31561289777383061</v>
      </c>
      <c r="P12" s="417"/>
      <c r="Q12" s="417"/>
      <c r="R12" s="417"/>
      <c r="S12" s="418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418"/>
      <c r="AI12" s="414"/>
      <c r="AJ12" s="414"/>
      <c r="AK12" s="418"/>
      <c r="AL12" s="383"/>
      <c r="AM12" s="383"/>
      <c r="AN12" s="383"/>
      <c r="AO12" s="383"/>
      <c r="AP12" s="383"/>
      <c r="AQ12" s="383"/>
      <c r="AR12" s="418"/>
    </row>
    <row r="13" spans="1:44" s="419" customFormat="1" ht="13.5" customHeight="1" x14ac:dyDescent="0.15">
      <c r="A13" s="420"/>
      <c r="B13" s="414"/>
      <c r="C13" s="415" t="s">
        <v>14</v>
      </c>
      <c r="D13" s="415">
        <f t="shared" ref="D13:I13" si="2">MAX(D18:D1017)</f>
        <v>834160.82765160128</v>
      </c>
      <c r="E13" s="415">
        <f t="shared" si="2"/>
        <v>368876.73956984753</v>
      </c>
      <c r="F13" s="416">
        <f t="shared" si="2"/>
        <v>5.5385019208590656</v>
      </c>
      <c r="G13" s="416">
        <f t="shared" si="2"/>
        <v>5.0314746996801523</v>
      </c>
      <c r="H13" s="416">
        <f t="shared" si="2"/>
        <v>3.6280914883746571</v>
      </c>
      <c r="I13" s="416">
        <f t="shared" si="2"/>
        <v>2.9334535284604941</v>
      </c>
      <c r="J13" s="417"/>
      <c r="K13" s="418"/>
      <c r="L13" s="417" t="s">
        <v>14</v>
      </c>
      <c r="M13" s="415">
        <f>MAX(M18:M1017)</f>
        <v>663205.27098885796</v>
      </c>
      <c r="N13" s="416">
        <f>MAX(N18:N1017)</f>
        <v>2.001036431746599</v>
      </c>
      <c r="O13" s="416">
        <f>MAX(O18:O1017)</f>
        <v>1.4296062753013161</v>
      </c>
      <c r="P13" s="417"/>
      <c r="Q13" s="417"/>
      <c r="R13" s="417"/>
      <c r="S13" s="418"/>
      <c r="T13" s="362"/>
      <c r="U13" s="362"/>
      <c r="V13" s="362"/>
      <c r="W13" s="362"/>
      <c r="X13" s="362"/>
      <c r="Y13" s="362"/>
      <c r="Z13" s="362"/>
      <c r="AA13" s="362"/>
      <c r="AB13" s="362"/>
      <c r="AC13" s="362"/>
      <c r="AD13" s="362"/>
      <c r="AE13" s="362"/>
      <c r="AF13" s="362"/>
      <c r="AG13" s="362"/>
      <c r="AH13" s="418"/>
      <c r="AI13" s="414"/>
      <c r="AJ13" s="414"/>
      <c r="AK13" s="418"/>
      <c r="AL13" s="383"/>
      <c r="AM13" s="383"/>
      <c r="AN13" s="383"/>
      <c r="AO13" s="383"/>
      <c r="AP13" s="383"/>
      <c r="AQ13" s="383"/>
      <c r="AR13" s="418"/>
    </row>
    <row r="14" spans="1:44" s="419" customFormat="1" ht="13.5" customHeight="1" x14ac:dyDescent="0.15">
      <c r="A14" s="420"/>
      <c r="B14" s="414"/>
      <c r="C14" s="415" t="s">
        <v>15</v>
      </c>
      <c r="D14" s="415">
        <f t="shared" ref="D14:I14" si="3">STDEV(D18:D1017)</f>
        <v>68189.252980897989</v>
      </c>
      <c r="E14" s="415">
        <f t="shared" si="3"/>
        <v>36482.676361185222</v>
      </c>
      <c r="F14" s="416">
        <f t="shared" si="3"/>
        <v>0.33703039078350561</v>
      </c>
      <c r="G14" s="416">
        <f t="shared" si="3"/>
        <v>0.31356883902074911</v>
      </c>
      <c r="H14" s="416">
        <f t="shared" si="3"/>
        <v>0.26338919002531247</v>
      </c>
      <c r="I14" s="416">
        <f t="shared" si="3"/>
        <v>0.22960850019954146</v>
      </c>
      <c r="J14" s="417"/>
      <c r="K14" s="418"/>
      <c r="L14" s="417" t="s">
        <v>15</v>
      </c>
      <c r="M14" s="415">
        <f>STDEV(M18:M1017)</f>
        <v>58917.610300702021</v>
      </c>
      <c r="N14" s="416">
        <f>STDEV(N18:N1017)</f>
        <v>0.46057210359715012</v>
      </c>
      <c r="O14" s="416">
        <f>STDEV(O18:O1017)</f>
        <v>0.25975010853911068</v>
      </c>
      <c r="P14" s="417"/>
      <c r="Q14" s="417"/>
      <c r="R14" s="417"/>
      <c r="S14" s="418"/>
      <c r="T14" s="362"/>
      <c r="U14" s="362"/>
      <c r="V14" s="362"/>
      <c r="W14" s="362"/>
      <c r="X14" s="362"/>
      <c r="Y14" s="362"/>
      <c r="Z14" s="362"/>
      <c r="AA14" s="362"/>
      <c r="AB14" s="362"/>
      <c r="AC14" s="362"/>
      <c r="AD14" s="362"/>
      <c r="AE14" s="362"/>
      <c r="AF14" s="362"/>
      <c r="AG14" s="362"/>
      <c r="AH14" s="418"/>
      <c r="AI14" s="414"/>
      <c r="AJ14" s="414"/>
      <c r="AK14" s="418"/>
      <c r="AL14" s="418"/>
      <c r="AM14" s="418"/>
      <c r="AN14" s="418"/>
      <c r="AO14" s="418"/>
      <c r="AP14" s="421"/>
      <c r="AQ14" s="393"/>
      <c r="AR14" s="418"/>
    </row>
    <row r="15" spans="1:44" s="419" customFormat="1" ht="13.5" customHeight="1" x14ac:dyDescent="0.15">
      <c r="A15" s="420"/>
      <c r="B15" s="414"/>
      <c r="C15" s="415" t="s">
        <v>16</v>
      </c>
      <c r="D15" s="415">
        <f t="shared" ref="D15:I15" si="4">PERCENTILE(D18:D1017,0.025)</f>
        <v>485092.72657815064</v>
      </c>
      <c r="E15" s="415">
        <f t="shared" si="4"/>
        <v>105129.36095498261</v>
      </c>
      <c r="F15" s="416">
        <f t="shared" si="4"/>
        <v>3.7228419410938187</v>
      </c>
      <c r="G15" s="416">
        <f t="shared" si="4"/>
        <v>3.3274378540720977</v>
      </c>
      <c r="H15" s="416">
        <f t="shared" si="4"/>
        <v>2.1185543412555541</v>
      </c>
      <c r="I15" s="416">
        <f t="shared" si="4"/>
        <v>1.7841442661830964</v>
      </c>
      <c r="J15" s="417"/>
      <c r="K15" s="418"/>
      <c r="L15" s="417" t="s">
        <v>16</v>
      </c>
      <c r="M15" s="415">
        <f>PERCENTILE(M18:M1017,0.025)</f>
        <v>350180.15432349237</v>
      </c>
      <c r="N15" s="416">
        <f>PERCENTILE(N18:N1017,0.025)</f>
        <v>-0.46786135350342406</v>
      </c>
      <c r="O15" s="416">
        <f>PERCENTILE(O18:O1017,0.025)</f>
        <v>-9.6640501050948777E-2</v>
      </c>
      <c r="P15" s="417"/>
      <c r="Q15" s="417"/>
      <c r="R15" s="417"/>
      <c r="S15" s="418"/>
      <c r="T15" s="362"/>
      <c r="U15" s="362"/>
      <c r="V15" s="362"/>
      <c r="W15" s="362"/>
      <c r="X15" s="362"/>
      <c r="Y15" s="362"/>
      <c r="Z15" s="362"/>
      <c r="AA15" s="362"/>
      <c r="AB15" s="362"/>
      <c r="AC15" s="362"/>
      <c r="AD15" s="362"/>
      <c r="AE15" s="362"/>
      <c r="AF15" s="362"/>
      <c r="AG15" s="362"/>
      <c r="AH15" s="418"/>
      <c r="AI15" s="414"/>
      <c r="AJ15" s="414"/>
      <c r="AK15" s="418"/>
      <c r="AL15" s="418"/>
      <c r="AM15" s="418"/>
      <c r="AN15" s="418"/>
      <c r="AO15" s="418"/>
      <c r="AP15" s="421"/>
      <c r="AQ15" s="393"/>
      <c r="AR15" s="418"/>
    </row>
    <row r="16" spans="1:44" s="419" customFormat="1" ht="13.5" customHeight="1" x14ac:dyDescent="0.15">
      <c r="A16" s="420"/>
      <c r="B16" s="414"/>
      <c r="C16" s="415" t="s">
        <v>17</v>
      </c>
      <c r="D16" s="415">
        <f t="shared" ref="D16:I16" si="5">PERCENTILE(D18:D1017,0.975)</f>
        <v>751514.9920982552</v>
      </c>
      <c r="E16" s="415">
        <f t="shared" si="5"/>
        <v>241267.3127856745</v>
      </c>
      <c r="F16" s="416">
        <f t="shared" si="5"/>
        <v>5.0637959889395283</v>
      </c>
      <c r="G16" s="416">
        <f t="shared" si="5"/>
        <v>4.5673486979449498</v>
      </c>
      <c r="H16" s="416">
        <f t="shared" si="5"/>
        <v>3.1357829057161597</v>
      </c>
      <c r="I16" s="416">
        <f t="shared" si="5"/>
        <v>2.6599218009287013</v>
      </c>
      <c r="J16" s="417"/>
      <c r="K16" s="418"/>
      <c r="L16" s="417" t="s">
        <v>17</v>
      </c>
      <c r="M16" s="415">
        <f>PERCENTILE(M18:M1017,0.975)</f>
        <v>574160.67414332693</v>
      </c>
      <c r="N16" s="416">
        <f>PERCENTILE(N18:N1017,0.975)</f>
        <v>1.2979090452297379</v>
      </c>
      <c r="O16" s="416">
        <f>PERCENTILE(O18:O1017,0.975)</f>
        <v>0.92268147864225181</v>
      </c>
      <c r="P16" s="417"/>
      <c r="Q16" s="417"/>
      <c r="R16" s="417"/>
      <c r="S16" s="418"/>
      <c r="T16" s="362"/>
      <c r="U16" s="362"/>
      <c r="V16" s="362"/>
      <c r="W16" s="362"/>
      <c r="X16" s="362"/>
      <c r="Y16" s="362"/>
      <c r="Z16" s="362"/>
      <c r="AA16" s="362"/>
      <c r="AB16" s="362"/>
      <c r="AC16" s="362"/>
      <c r="AD16" s="362"/>
      <c r="AE16" s="362"/>
      <c r="AF16" s="362"/>
      <c r="AG16" s="362"/>
      <c r="AH16" s="418"/>
      <c r="AI16" s="414"/>
      <c r="AJ16" s="414"/>
      <c r="AK16" s="418"/>
      <c r="AL16" s="418"/>
      <c r="AM16" s="418"/>
      <c r="AN16" s="418"/>
      <c r="AO16" s="418"/>
      <c r="AP16" s="421"/>
      <c r="AQ16" s="393"/>
      <c r="AR16" s="418"/>
    </row>
    <row r="17" spans="1:44" ht="13.5" customHeight="1" x14ac:dyDescent="0.15">
      <c r="A17" s="420"/>
      <c r="B17" s="409"/>
      <c r="C17" s="409"/>
      <c r="D17" s="422" t="s">
        <v>3</v>
      </c>
      <c r="E17" s="423" t="s">
        <v>4</v>
      </c>
      <c r="F17" s="423" t="s">
        <v>5</v>
      </c>
      <c r="G17" s="423" t="s">
        <v>6</v>
      </c>
      <c r="H17" s="423" t="s">
        <v>7</v>
      </c>
      <c r="I17" s="423" t="s">
        <v>8</v>
      </c>
      <c r="J17" s="424"/>
      <c r="L17" s="425"/>
      <c r="M17" s="426"/>
      <c r="N17" s="425"/>
      <c r="O17" s="425"/>
      <c r="P17" s="425"/>
      <c r="Q17" s="426"/>
      <c r="R17" s="425"/>
      <c r="S17" s="425"/>
      <c r="T17" s="362"/>
      <c r="U17" s="362"/>
      <c r="Z17" s="362"/>
      <c r="AA17" s="362"/>
      <c r="AB17" s="362"/>
      <c r="AC17" s="362"/>
      <c r="AD17" s="362"/>
      <c r="AE17" s="362"/>
      <c r="AF17" s="362"/>
      <c r="AG17" s="362"/>
      <c r="AH17" s="362"/>
      <c r="AI17" s="360"/>
      <c r="AJ17" s="360"/>
      <c r="AK17" s="362"/>
      <c r="AL17" s="362"/>
      <c r="AM17" s="362"/>
      <c r="AN17" s="362"/>
      <c r="AO17" s="362"/>
      <c r="AP17" s="421"/>
      <c r="AQ17" s="427"/>
      <c r="AR17" s="362"/>
    </row>
    <row r="18" spans="1:44" s="430" customFormat="1" ht="12" customHeight="1" x14ac:dyDescent="0.15">
      <c r="A18" s="394"/>
      <c r="B18" s="393"/>
      <c r="C18" s="428"/>
      <c r="D18" s="428">
        <v>564408.58605906449</v>
      </c>
      <c r="E18" s="224">
        <v>157043.47646881256</v>
      </c>
      <c r="F18" s="224">
        <v>4.255671905676377</v>
      </c>
      <c r="G18" s="224">
        <v>3.7655155780469931</v>
      </c>
      <c r="H18" s="224">
        <v>2.5477648450619466</v>
      </c>
      <c r="I18" s="224">
        <v>2.228666789773627</v>
      </c>
      <c r="J18" s="224"/>
      <c r="K18" s="421"/>
      <c r="L18" s="224"/>
      <c r="M18" s="224">
        <f t="shared" ref="M18:M81" si="6">+D18-E18</f>
        <v>407365.10959025193</v>
      </c>
      <c r="N18" s="224">
        <f t="shared" ref="N18:N81" si="7">+F18-G18</f>
        <v>0.49015632762938388</v>
      </c>
      <c r="O18" s="224">
        <f t="shared" ref="O18:O81" si="8">+H18-I18</f>
        <v>0.31909805528831958</v>
      </c>
      <c r="P18" s="224"/>
      <c r="Q18" s="224"/>
      <c r="R18" s="224"/>
      <c r="S18" s="429"/>
      <c r="T18" s="362"/>
      <c r="U18" s="362"/>
      <c r="V18" s="362"/>
      <c r="W18" s="362"/>
      <c r="X18" s="362"/>
      <c r="Y18" s="362"/>
      <c r="Z18" s="362"/>
      <c r="AA18" s="362"/>
      <c r="AB18" s="362"/>
      <c r="AC18" s="362"/>
      <c r="AD18" s="362"/>
      <c r="AE18" s="362"/>
      <c r="AF18" s="362"/>
      <c r="AG18" s="362"/>
      <c r="AH18" s="421"/>
      <c r="AI18" s="393"/>
      <c r="AJ18" s="393"/>
      <c r="AK18" s="421"/>
      <c r="AL18" s="421"/>
      <c r="AM18" s="421"/>
      <c r="AN18" s="421"/>
      <c r="AO18" s="421"/>
      <c r="AP18" s="421"/>
      <c r="AQ18" s="427"/>
      <c r="AR18" s="421"/>
    </row>
    <row r="19" spans="1:44" ht="12.75" customHeight="1" x14ac:dyDescent="0.15">
      <c r="A19" s="431"/>
      <c r="B19" s="393"/>
      <c r="C19" s="428"/>
      <c r="D19" s="428">
        <v>541438.50684211217</v>
      </c>
      <c r="E19" s="224">
        <v>148492.49304886663</v>
      </c>
      <c r="F19" s="224">
        <v>4.0689717027385948</v>
      </c>
      <c r="G19" s="224">
        <v>3.9507585713628042</v>
      </c>
      <c r="H19" s="224">
        <v>2.4293084775140366</v>
      </c>
      <c r="I19" s="224">
        <v>2.2898350586724354</v>
      </c>
      <c r="J19" s="224"/>
      <c r="M19" s="224">
        <f t="shared" si="6"/>
        <v>392946.01379324554</v>
      </c>
      <c r="N19" s="224">
        <f t="shared" si="7"/>
        <v>0.11821313137579059</v>
      </c>
      <c r="O19" s="224">
        <f t="shared" si="8"/>
        <v>0.13947341884160114</v>
      </c>
      <c r="Q19" s="224"/>
      <c r="R19" s="224"/>
      <c r="S19" s="429"/>
      <c r="T19" s="362"/>
      <c r="U19" s="362"/>
      <c r="Z19" s="362"/>
      <c r="AA19" s="362"/>
      <c r="AB19" s="362"/>
      <c r="AC19" s="362"/>
      <c r="AD19" s="362"/>
      <c r="AE19" s="362"/>
      <c r="AF19" s="362"/>
      <c r="AG19" s="362"/>
      <c r="AH19" s="362"/>
      <c r="AI19" s="393"/>
      <c r="AJ19" s="393"/>
      <c r="AK19" s="362"/>
      <c r="AL19" s="362"/>
      <c r="AM19" s="362"/>
      <c r="AN19" s="421"/>
      <c r="AO19" s="362"/>
      <c r="AP19" s="424"/>
      <c r="AQ19" s="362"/>
      <c r="AR19" s="362"/>
    </row>
    <row r="20" spans="1:44" ht="12.75" customHeight="1" x14ac:dyDescent="0.15">
      <c r="A20" s="431"/>
      <c r="B20" s="393"/>
      <c r="C20" s="428"/>
      <c r="D20" s="428">
        <v>510004.24292383762</v>
      </c>
      <c r="E20" s="224">
        <v>152585.69636468124</v>
      </c>
      <c r="F20" s="224">
        <v>4.5545536886585758</v>
      </c>
      <c r="G20" s="224">
        <v>4.6301738931391636</v>
      </c>
      <c r="H20" s="224">
        <v>2.8318461374531583</v>
      </c>
      <c r="I20" s="224">
        <v>2.9171319522216472</v>
      </c>
      <c r="J20" s="224"/>
      <c r="M20" s="224">
        <f t="shared" si="6"/>
        <v>357418.54655915638</v>
      </c>
      <c r="N20" s="224">
        <f t="shared" si="7"/>
        <v>-7.5620204480587816E-2</v>
      </c>
      <c r="O20" s="224">
        <f t="shared" si="8"/>
        <v>-8.5285814768488954E-2</v>
      </c>
      <c r="Q20" s="224"/>
      <c r="R20" s="224"/>
      <c r="S20" s="429"/>
      <c r="T20" s="362"/>
      <c r="U20" s="362"/>
      <c r="Z20" s="362"/>
      <c r="AA20" s="362"/>
      <c r="AB20" s="362"/>
      <c r="AC20" s="362"/>
      <c r="AD20" s="362"/>
      <c r="AE20" s="362"/>
      <c r="AF20" s="362"/>
      <c r="AG20" s="362"/>
      <c r="AH20" s="362"/>
      <c r="AI20" s="393"/>
      <c r="AJ20" s="393"/>
      <c r="AK20" s="362"/>
      <c r="AL20" s="362"/>
      <c r="AM20" s="362"/>
      <c r="AN20" s="421"/>
      <c r="AO20" s="362"/>
      <c r="AP20" s="424"/>
      <c r="AQ20" s="362"/>
      <c r="AR20" s="362"/>
    </row>
    <row r="21" spans="1:44" ht="12.75" customHeight="1" x14ac:dyDescent="0.15">
      <c r="A21" s="431"/>
      <c r="B21" s="393"/>
      <c r="C21" s="428"/>
      <c r="D21" s="428">
        <v>579248.92643541656</v>
      </c>
      <c r="E21" s="224">
        <v>207343.73307614017</v>
      </c>
      <c r="F21" s="224">
        <v>4.3034061863404247</v>
      </c>
      <c r="G21" s="224">
        <v>4.4239310081886938</v>
      </c>
      <c r="H21" s="224">
        <v>2.200846730767545</v>
      </c>
      <c r="I21" s="224">
        <v>2.2416620778258531</v>
      </c>
      <c r="J21" s="224"/>
      <c r="M21" s="224">
        <f t="shared" si="6"/>
        <v>371905.1933592764</v>
      </c>
      <c r="N21" s="224">
        <f t="shared" si="7"/>
        <v>-0.12052482184826907</v>
      </c>
      <c r="O21" s="224">
        <f t="shared" si="8"/>
        <v>-4.0815347058308138E-2</v>
      </c>
      <c r="Q21" s="224"/>
      <c r="R21" s="224"/>
      <c r="S21" s="429"/>
      <c r="T21" s="362"/>
      <c r="U21" s="362"/>
      <c r="Z21" s="362"/>
      <c r="AA21" s="362"/>
      <c r="AB21" s="362"/>
      <c r="AC21" s="362"/>
      <c r="AD21" s="362"/>
      <c r="AE21" s="362"/>
      <c r="AF21" s="362"/>
      <c r="AG21" s="362"/>
      <c r="AH21" s="362"/>
      <c r="AI21" s="393"/>
      <c r="AJ21" s="393"/>
      <c r="AK21" s="362"/>
      <c r="AL21" s="362"/>
      <c r="AM21" s="362"/>
      <c r="AN21" s="421"/>
      <c r="AO21" s="362"/>
      <c r="AP21" s="362"/>
      <c r="AQ21" s="362"/>
      <c r="AR21" s="362"/>
    </row>
    <row r="22" spans="1:44" ht="12.75" customHeight="1" x14ac:dyDescent="0.15">
      <c r="A22" s="431"/>
      <c r="B22" s="393"/>
      <c r="C22" s="428"/>
      <c r="D22" s="428">
        <v>599828.97942556022</v>
      </c>
      <c r="E22" s="224">
        <v>160564.49634536321</v>
      </c>
      <c r="F22" s="224">
        <v>4.1862200947039518</v>
      </c>
      <c r="G22" s="224">
        <v>4.0215403285440887</v>
      </c>
      <c r="H22" s="224">
        <v>2.4497115069487085</v>
      </c>
      <c r="I22" s="224">
        <v>2.1443779510223147</v>
      </c>
      <c r="J22" s="224"/>
      <c r="M22" s="224">
        <f t="shared" si="6"/>
        <v>439264.48308019701</v>
      </c>
      <c r="N22" s="224">
        <f t="shared" si="7"/>
        <v>0.16467976615986313</v>
      </c>
      <c r="O22" s="224">
        <f t="shared" si="8"/>
        <v>0.30533355592639388</v>
      </c>
      <c r="Q22" s="224"/>
      <c r="R22" s="224"/>
      <c r="S22" s="429"/>
      <c r="T22" s="362"/>
      <c r="U22" s="362"/>
      <c r="Z22" s="362"/>
      <c r="AA22" s="362"/>
      <c r="AB22" s="362"/>
      <c r="AC22" s="362"/>
      <c r="AD22" s="362"/>
      <c r="AE22" s="362"/>
      <c r="AF22" s="362"/>
      <c r="AG22" s="362"/>
      <c r="AH22" s="362"/>
      <c r="AI22" s="393"/>
      <c r="AJ22" s="393"/>
      <c r="AK22" s="362"/>
      <c r="AL22" s="362"/>
      <c r="AM22" s="362"/>
      <c r="AN22" s="421"/>
      <c r="AO22" s="362"/>
      <c r="AP22" s="362"/>
      <c r="AQ22" s="362"/>
      <c r="AR22" s="362"/>
    </row>
    <row r="23" spans="1:44" ht="12.75" customHeight="1" x14ac:dyDescent="0.15">
      <c r="A23" s="431"/>
      <c r="B23" s="393"/>
      <c r="C23" s="428"/>
      <c r="D23" s="428">
        <v>614746.05670610489</v>
      </c>
      <c r="E23" s="224">
        <v>92700.506787127073</v>
      </c>
      <c r="F23" s="224">
        <v>4.2562028991369294</v>
      </c>
      <c r="G23" s="224">
        <v>3.680034295165866</v>
      </c>
      <c r="H23" s="224">
        <v>2.7097609078101308</v>
      </c>
      <c r="I23" s="224">
        <v>2.0241206146700903</v>
      </c>
      <c r="J23" s="224"/>
      <c r="M23" s="224">
        <f t="shared" si="6"/>
        <v>522045.54991897783</v>
      </c>
      <c r="N23" s="224">
        <f t="shared" si="7"/>
        <v>0.5761686039710634</v>
      </c>
      <c r="O23" s="224">
        <f t="shared" si="8"/>
        <v>0.68564029314004049</v>
      </c>
      <c r="Q23" s="224"/>
      <c r="R23" s="224"/>
      <c r="S23" s="429"/>
      <c r="T23" s="362"/>
      <c r="U23" s="362"/>
      <c r="Z23" s="362"/>
      <c r="AA23" s="362"/>
      <c r="AB23" s="362"/>
      <c r="AC23" s="362"/>
      <c r="AD23" s="362"/>
      <c r="AE23" s="362"/>
      <c r="AF23" s="362"/>
      <c r="AG23" s="362"/>
      <c r="AH23" s="362"/>
      <c r="AI23" s="393"/>
      <c r="AJ23" s="393"/>
      <c r="AK23" s="362"/>
      <c r="AL23" s="362"/>
      <c r="AM23" s="362"/>
      <c r="AN23" s="421"/>
      <c r="AO23" s="362"/>
      <c r="AP23" s="362"/>
      <c r="AQ23" s="362"/>
      <c r="AR23" s="362"/>
    </row>
    <row r="24" spans="1:44" ht="12.75" customHeight="1" x14ac:dyDescent="0.15">
      <c r="A24" s="431"/>
      <c r="B24" s="393"/>
      <c r="C24" s="428"/>
      <c r="D24" s="428">
        <v>496649.09455664828</v>
      </c>
      <c r="E24" s="224">
        <v>143819.93132185511</v>
      </c>
      <c r="F24" s="224">
        <v>4.0303297806529521</v>
      </c>
      <c r="G24" s="224">
        <v>3.9613343423359852</v>
      </c>
      <c r="H24" s="224">
        <v>2.3553569816555209</v>
      </c>
      <c r="I24" s="224">
        <v>2.1938001238381695</v>
      </c>
      <c r="J24" s="224"/>
      <c r="M24" s="224">
        <f t="shared" si="6"/>
        <v>352829.16323479317</v>
      </c>
      <c r="N24" s="224">
        <f t="shared" si="7"/>
        <v>6.8995438316966862E-2</v>
      </c>
      <c r="O24" s="224">
        <f t="shared" si="8"/>
        <v>0.16155685781735141</v>
      </c>
      <c r="Q24" s="224"/>
      <c r="R24" s="224"/>
      <c r="S24" s="429"/>
      <c r="T24" s="362"/>
      <c r="U24" s="362"/>
      <c r="Z24" s="362"/>
      <c r="AA24" s="362"/>
      <c r="AB24" s="362"/>
      <c r="AC24" s="362"/>
      <c r="AD24" s="362"/>
      <c r="AE24" s="362"/>
      <c r="AF24" s="362"/>
      <c r="AG24" s="362"/>
      <c r="AH24" s="362"/>
      <c r="AI24" s="393"/>
      <c r="AJ24" s="393"/>
      <c r="AK24" s="362"/>
      <c r="AL24" s="362"/>
      <c r="AM24" s="362"/>
      <c r="AN24" s="421"/>
      <c r="AO24" s="362"/>
      <c r="AP24" s="362"/>
      <c r="AQ24" s="362"/>
      <c r="AR24" s="362"/>
    </row>
    <row r="25" spans="1:44" ht="12.75" customHeight="1" x14ac:dyDescent="0.15">
      <c r="A25" s="431"/>
      <c r="B25" s="393"/>
      <c r="C25" s="428"/>
      <c r="D25" s="428">
        <v>606415.16960035102</v>
      </c>
      <c r="E25" s="224">
        <v>214652.76729669602</v>
      </c>
      <c r="F25" s="224">
        <v>4.8235913299660345</v>
      </c>
      <c r="G25" s="224">
        <v>4.3606794014999197</v>
      </c>
      <c r="H25" s="224">
        <v>2.6962664933623923</v>
      </c>
      <c r="I25" s="224">
        <v>2.4855612000918845</v>
      </c>
      <c r="J25" s="224"/>
      <c r="M25" s="224">
        <f t="shared" si="6"/>
        <v>391762.40230365499</v>
      </c>
      <c r="N25" s="224">
        <f t="shared" si="7"/>
        <v>0.46291192846611473</v>
      </c>
      <c r="O25" s="224">
        <f t="shared" si="8"/>
        <v>0.2107052932705078</v>
      </c>
      <c r="Q25" s="224"/>
      <c r="R25" s="224"/>
      <c r="S25" s="429"/>
      <c r="T25" s="362"/>
      <c r="U25" s="362"/>
      <c r="Z25" s="362"/>
      <c r="AA25" s="362"/>
      <c r="AB25" s="362"/>
      <c r="AC25" s="362"/>
      <c r="AD25" s="362"/>
      <c r="AE25" s="362"/>
      <c r="AF25" s="362"/>
      <c r="AG25" s="362"/>
      <c r="AH25" s="362"/>
      <c r="AI25" s="393"/>
      <c r="AJ25" s="393"/>
      <c r="AK25" s="362"/>
      <c r="AL25" s="362"/>
      <c r="AM25" s="362"/>
      <c r="AN25" s="421"/>
      <c r="AO25" s="362"/>
      <c r="AP25" s="362"/>
      <c r="AQ25" s="362"/>
      <c r="AR25" s="362"/>
    </row>
    <row r="26" spans="1:44" ht="12.75" customHeight="1" x14ac:dyDescent="0.15">
      <c r="A26" s="431"/>
      <c r="B26" s="393"/>
      <c r="C26" s="428"/>
      <c r="D26" s="428">
        <v>625295.04245291441</v>
      </c>
      <c r="E26" s="224">
        <v>147693.08967120035</v>
      </c>
      <c r="F26" s="224">
        <v>4.222971647849536</v>
      </c>
      <c r="G26" s="224">
        <v>3.8805159072077946</v>
      </c>
      <c r="H26" s="224">
        <v>2.6125915012977661</v>
      </c>
      <c r="I26" s="224">
        <v>1.9838369362198252</v>
      </c>
      <c r="J26" s="224"/>
      <c r="M26" s="224">
        <f t="shared" si="6"/>
        <v>477601.95278171403</v>
      </c>
      <c r="N26" s="224">
        <f t="shared" si="7"/>
        <v>0.34245574064174145</v>
      </c>
      <c r="O26" s="224">
        <f t="shared" si="8"/>
        <v>0.62875456507794092</v>
      </c>
      <c r="Q26" s="224"/>
      <c r="R26" s="224"/>
      <c r="S26" s="429"/>
      <c r="T26" s="362"/>
      <c r="U26" s="362"/>
      <c r="Z26" s="362"/>
      <c r="AA26" s="362"/>
      <c r="AB26" s="362"/>
      <c r="AC26" s="362"/>
      <c r="AD26" s="362"/>
      <c r="AE26" s="362"/>
      <c r="AF26" s="362"/>
      <c r="AG26" s="362"/>
      <c r="AH26" s="362"/>
      <c r="AI26" s="393"/>
      <c r="AJ26" s="393"/>
      <c r="AK26" s="362"/>
      <c r="AL26" s="362"/>
      <c r="AM26" s="362"/>
      <c r="AN26" s="421"/>
      <c r="AO26" s="362"/>
      <c r="AP26" s="362"/>
      <c r="AQ26" s="362"/>
      <c r="AR26" s="362"/>
    </row>
    <row r="27" spans="1:44" ht="12.75" customHeight="1" x14ac:dyDescent="0.15">
      <c r="A27" s="431"/>
      <c r="B27" s="393"/>
      <c r="C27" s="428"/>
      <c r="D27" s="428">
        <v>601087.1769053943</v>
      </c>
      <c r="E27" s="224">
        <v>159084.24298628329</v>
      </c>
      <c r="F27" s="224">
        <v>4.3797175569671616</v>
      </c>
      <c r="G27" s="224">
        <v>3.9244262286731351</v>
      </c>
      <c r="H27" s="224">
        <v>2.1069842157608027</v>
      </c>
      <c r="I27" s="224">
        <v>1.8313833320646451</v>
      </c>
      <c r="J27" s="224"/>
      <c r="M27" s="224">
        <f t="shared" si="6"/>
        <v>442002.93391911103</v>
      </c>
      <c r="N27" s="224">
        <f t="shared" si="7"/>
        <v>0.45529132829402652</v>
      </c>
      <c r="O27" s="224">
        <f t="shared" si="8"/>
        <v>0.27560088369615765</v>
      </c>
      <c r="Q27" s="224"/>
      <c r="R27" s="224"/>
      <c r="S27" s="429"/>
      <c r="T27" s="362"/>
      <c r="U27" s="362"/>
      <c r="Z27" s="362"/>
      <c r="AA27" s="362"/>
      <c r="AB27" s="362"/>
      <c r="AC27" s="362"/>
      <c r="AD27" s="362"/>
      <c r="AE27" s="362"/>
      <c r="AF27" s="362"/>
      <c r="AG27" s="362"/>
      <c r="AH27" s="362"/>
      <c r="AI27" s="393"/>
      <c r="AJ27" s="393"/>
      <c r="AK27" s="362"/>
      <c r="AL27" s="362"/>
      <c r="AM27" s="362"/>
      <c r="AN27" s="421"/>
      <c r="AO27" s="362"/>
      <c r="AP27" s="362"/>
      <c r="AQ27" s="362"/>
      <c r="AR27" s="362"/>
    </row>
    <row r="28" spans="1:44" ht="12.75" customHeight="1" x14ac:dyDescent="0.15">
      <c r="A28" s="431"/>
      <c r="B28" s="393"/>
      <c r="C28" s="428"/>
      <c r="D28" s="428">
        <v>534817.75645473355</v>
      </c>
      <c r="E28" s="224">
        <v>121982.35628159285</v>
      </c>
      <c r="F28" s="224">
        <v>4.0818606514608726</v>
      </c>
      <c r="G28" s="224">
        <v>3.9901197759527376</v>
      </c>
      <c r="H28" s="224">
        <v>2.1251438566738581</v>
      </c>
      <c r="I28" s="224">
        <v>1.8333778298242767</v>
      </c>
      <c r="J28" s="224"/>
      <c r="M28" s="224">
        <f t="shared" si="6"/>
        <v>412835.40017314069</v>
      </c>
      <c r="N28" s="224">
        <f t="shared" si="7"/>
        <v>9.1740875508135034E-2</v>
      </c>
      <c r="O28" s="224">
        <f t="shared" si="8"/>
        <v>0.29176602684958142</v>
      </c>
      <c r="Q28" s="224"/>
      <c r="R28" s="224"/>
      <c r="S28" s="429"/>
      <c r="T28" s="362"/>
      <c r="U28" s="362"/>
      <c r="Z28" s="362"/>
      <c r="AA28" s="362"/>
      <c r="AB28" s="362"/>
      <c r="AC28" s="362"/>
      <c r="AD28" s="362"/>
      <c r="AE28" s="362"/>
      <c r="AF28" s="362"/>
      <c r="AG28" s="362"/>
      <c r="AH28" s="362"/>
      <c r="AI28" s="393"/>
      <c r="AJ28" s="393"/>
      <c r="AK28" s="362"/>
      <c r="AL28" s="362"/>
      <c r="AM28" s="362"/>
      <c r="AN28" s="421"/>
      <c r="AO28" s="362"/>
      <c r="AP28" s="362"/>
      <c r="AQ28" s="362"/>
      <c r="AR28" s="362"/>
    </row>
    <row r="29" spans="1:44" ht="12.75" customHeight="1" x14ac:dyDescent="0.15">
      <c r="A29" s="431"/>
      <c r="B29" s="393"/>
      <c r="C29" s="428"/>
      <c r="D29" s="428">
        <v>553308.72865380847</v>
      </c>
      <c r="E29" s="224">
        <v>168736.56958251787</v>
      </c>
      <c r="F29" s="224">
        <v>4.4608980646508769</v>
      </c>
      <c r="G29" s="224">
        <v>4.0513563980471057</v>
      </c>
      <c r="H29" s="224">
        <v>2.4370909608676161</v>
      </c>
      <c r="I29" s="224">
        <v>2.1798763835282378</v>
      </c>
      <c r="J29" s="224"/>
      <c r="M29" s="224">
        <f t="shared" si="6"/>
        <v>384572.15907129063</v>
      </c>
      <c r="N29" s="224">
        <f t="shared" si="7"/>
        <v>0.40954166660377123</v>
      </c>
      <c r="O29" s="224">
        <f t="shared" si="8"/>
        <v>0.25721457733937836</v>
      </c>
      <c r="Q29" s="224"/>
      <c r="R29" s="224"/>
      <c r="S29" s="429"/>
      <c r="T29" s="362"/>
      <c r="U29" s="362"/>
      <c r="Z29" s="362"/>
      <c r="AA29" s="362"/>
      <c r="AB29" s="362"/>
      <c r="AC29" s="362"/>
      <c r="AD29" s="362"/>
      <c r="AE29" s="362"/>
      <c r="AF29" s="362"/>
      <c r="AG29" s="362"/>
      <c r="AH29" s="362"/>
      <c r="AI29" s="393"/>
      <c r="AJ29" s="393"/>
      <c r="AK29" s="362"/>
      <c r="AL29" s="362"/>
      <c r="AM29" s="362"/>
      <c r="AN29" s="421"/>
      <c r="AO29" s="362"/>
      <c r="AP29" s="362"/>
      <c r="AQ29" s="362"/>
      <c r="AR29" s="362"/>
    </row>
    <row r="30" spans="1:44" ht="12.75" customHeight="1" x14ac:dyDescent="0.15">
      <c r="A30" s="431"/>
      <c r="B30" s="393"/>
      <c r="C30" s="428"/>
      <c r="D30" s="428">
        <v>529709.55222496798</v>
      </c>
      <c r="E30" s="224">
        <v>137413.8299379198</v>
      </c>
      <c r="F30" s="224">
        <v>4.337627688284706</v>
      </c>
      <c r="G30" s="224">
        <v>3.8813665211149502</v>
      </c>
      <c r="H30" s="224">
        <v>2.7293749053107645</v>
      </c>
      <c r="I30" s="224">
        <v>2.3109192091009798</v>
      </c>
      <c r="J30" s="224"/>
      <c r="M30" s="224">
        <f t="shared" si="6"/>
        <v>392295.72228704818</v>
      </c>
      <c r="N30" s="224">
        <f t="shared" si="7"/>
        <v>0.45626116716975584</v>
      </c>
      <c r="O30" s="224">
        <f t="shared" si="8"/>
        <v>0.41845569620978473</v>
      </c>
      <c r="Q30" s="224"/>
      <c r="R30" s="224"/>
      <c r="S30" s="429"/>
      <c r="T30" s="362"/>
      <c r="U30" s="362"/>
      <c r="Z30" s="362"/>
      <c r="AA30" s="362"/>
      <c r="AB30" s="362"/>
      <c r="AC30" s="362"/>
      <c r="AD30" s="362"/>
      <c r="AE30" s="362"/>
      <c r="AF30" s="362"/>
      <c r="AG30" s="362"/>
      <c r="AH30" s="362"/>
      <c r="AI30" s="393"/>
      <c r="AJ30" s="393"/>
      <c r="AK30" s="362"/>
      <c r="AL30" s="362"/>
      <c r="AM30" s="362"/>
      <c r="AN30" s="421"/>
      <c r="AO30" s="362"/>
      <c r="AP30" s="362"/>
      <c r="AQ30" s="362"/>
      <c r="AR30" s="362"/>
    </row>
    <row r="31" spans="1:44" ht="12.75" customHeight="1" x14ac:dyDescent="0.15">
      <c r="A31" s="431"/>
      <c r="B31" s="393"/>
      <c r="C31" s="428"/>
      <c r="D31" s="428">
        <v>556550.31370323012</v>
      </c>
      <c r="E31" s="224">
        <v>188252.94685245858</v>
      </c>
      <c r="F31" s="224">
        <v>4.7768803861471598</v>
      </c>
      <c r="G31" s="224">
        <v>4.0418765459317205</v>
      </c>
      <c r="H31" s="224">
        <v>2.5604644960215106</v>
      </c>
      <c r="I31" s="224">
        <v>2.1693513799020678</v>
      </c>
      <c r="J31" s="224"/>
      <c r="M31" s="224">
        <f t="shared" si="6"/>
        <v>368297.36685077153</v>
      </c>
      <c r="N31" s="224">
        <f t="shared" si="7"/>
        <v>0.7350038402154393</v>
      </c>
      <c r="O31" s="224">
        <f t="shared" si="8"/>
        <v>0.39111311611944277</v>
      </c>
      <c r="Q31" s="224"/>
      <c r="R31" s="224"/>
      <c r="S31" s="429"/>
      <c r="T31" s="362"/>
      <c r="U31" s="362"/>
      <c r="Z31" s="362"/>
      <c r="AA31" s="362"/>
      <c r="AB31" s="362"/>
      <c r="AC31" s="362"/>
      <c r="AD31" s="362"/>
      <c r="AE31" s="362"/>
      <c r="AF31" s="362"/>
      <c r="AG31" s="362"/>
      <c r="AH31" s="362"/>
      <c r="AI31" s="393"/>
      <c r="AJ31" s="393"/>
      <c r="AK31" s="362"/>
      <c r="AL31" s="362"/>
      <c r="AM31" s="362"/>
      <c r="AN31" s="421"/>
      <c r="AO31" s="362"/>
      <c r="AP31" s="362"/>
      <c r="AQ31" s="362"/>
      <c r="AR31" s="362"/>
    </row>
    <row r="32" spans="1:44" ht="12.75" customHeight="1" x14ac:dyDescent="0.15">
      <c r="A32" s="431"/>
      <c r="B32" s="393"/>
      <c r="C32" s="428"/>
      <c r="D32" s="428">
        <v>713193.3067529744</v>
      </c>
      <c r="E32" s="224">
        <v>180204.06276754965</v>
      </c>
      <c r="F32" s="224">
        <v>4.8587423555390696</v>
      </c>
      <c r="G32" s="224">
        <v>4.2148845709724334</v>
      </c>
      <c r="H32" s="224">
        <v>2.8457515491450502</v>
      </c>
      <c r="I32" s="224">
        <v>2.2681928462488168</v>
      </c>
      <c r="J32" s="224"/>
      <c r="M32" s="224">
        <f t="shared" si="6"/>
        <v>532989.24398542475</v>
      </c>
      <c r="N32" s="224">
        <f t="shared" si="7"/>
        <v>0.64385778456663623</v>
      </c>
      <c r="O32" s="224">
        <f t="shared" si="8"/>
        <v>0.57755870289623346</v>
      </c>
      <c r="Q32" s="224"/>
      <c r="R32" s="224"/>
      <c r="S32" s="429"/>
      <c r="T32" s="362"/>
      <c r="U32" s="362"/>
      <c r="Z32" s="362"/>
      <c r="AA32" s="362"/>
      <c r="AB32" s="362"/>
      <c r="AC32" s="362"/>
      <c r="AD32" s="362"/>
      <c r="AE32" s="362"/>
      <c r="AF32" s="362"/>
      <c r="AG32" s="362"/>
      <c r="AH32" s="362"/>
      <c r="AI32" s="393"/>
      <c r="AJ32" s="393"/>
      <c r="AK32" s="362"/>
      <c r="AL32" s="362"/>
      <c r="AM32" s="362"/>
      <c r="AN32" s="421"/>
      <c r="AO32" s="362"/>
      <c r="AP32" s="362"/>
      <c r="AQ32" s="362"/>
      <c r="AR32" s="362"/>
    </row>
    <row r="33" spans="1:44" ht="12.75" customHeight="1" x14ac:dyDescent="0.15">
      <c r="A33" s="431"/>
      <c r="B33" s="393"/>
      <c r="C33" s="428"/>
      <c r="D33" s="428">
        <v>612084.65066144231</v>
      </c>
      <c r="E33" s="224">
        <v>177261.42119018239</v>
      </c>
      <c r="F33" s="224">
        <v>4.3289940642150526</v>
      </c>
      <c r="G33" s="224">
        <v>4.3072957020691973</v>
      </c>
      <c r="H33" s="224">
        <v>2.8205925789483697</v>
      </c>
      <c r="I33" s="224">
        <v>2.4097378643069631</v>
      </c>
      <c r="J33" s="224"/>
      <c r="M33" s="224">
        <f t="shared" si="6"/>
        <v>434823.22947125993</v>
      </c>
      <c r="N33" s="224">
        <f t="shared" si="7"/>
        <v>2.1698362145855299E-2</v>
      </c>
      <c r="O33" s="224">
        <f t="shared" si="8"/>
        <v>0.41085471464140655</v>
      </c>
      <c r="Q33" s="224"/>
      <c r="R33" s="224"/>
      <c r="S33" s="429"/>
      <c r="T33" s="362"/>
      <c r="U33" s="362"/>
      <c r="Z33" s="362"/>
      <c r="AA33" s="362"/>
      <c r="AB33" s="362"/>
      <c r="AC33" s="362"/>
      <c r="AD33" s="362"/>
      <c r="AE33" s="362"/>
      <c r="AF33" s="362"/>
      <c r="AG33" s="362"/>
      <c r="AH33" s="362"/>
      <c r="AI33" s="393"/>
      <c r="AJ33" s="393"/>
      <c r="AK33" s="362"/>
      <c r="AL33" s="362"/>
      <c r="AM33" s="362"/>
      <c r="AN33" s="421"/>
      <c r="AO33" s="362"/>
      <c r="AP33" s="362"/>
      <c r="AQ33" s="362"/>
      <c r="AR33" s="362"/>
    </row>
    <row r="34" spans="1:44" ht="12.75" customHeight="1" x14ac:dyDescent="0.15">
      <c r="A34" s="431"/>
      <c r="B34" s="393"/>
      <c r="C34" s="428"/>
      <c r="D34" s="428">
        <v>671031.5652980631</v>
      </c>
      <c r="E34" s="224">
        <v>235413.75675349345</v>
      </c>
      <c r="F34" s="224">
        <v>4.6187180039701863</v>
      </c>
      <c r="G34" s="224">
        <v>3.7572523782432308</v>
      </c>
      <c r="H34" s="224">
        <v>2.605502178636109</v>
      </c>
      <c r="I34" s="224">
        <v>2.0978247823402154</v>
      </c>
      <c r="J34" s="224"/>
      <c r="M34" s="224">
        <f t="shared" si="6"/>
        <v>435617.80854456965</v>
      </c>
      <c r="N34" s="224">
        <f t="shared" si="7"/>
        <v>0.86146562572695551</v>
      </c>
      <c r="O34" s="224">
        <f t="shared" si="8"/>
        <v>0.50767739629589359</v>
      </c>
      <c r="Q34" s="224"/>
      <c r="R34" s="224"/>
      <c r="S34" s="429"/>
      <c r="T34" s="362"/>
      <c r="U34" s="362"/>
      <c r="Z34" s="362"/>
      <c r="AA34" s="362"/>
      <c r="AB34" s="362"/>
      <c r="AC34" s="362"/>
      <c r="AD34" s="362"/>
      <c r="AE34" s="362"/>
      <c r="AF34" s="362"/>
      <c r="AG34" s="362"/>
      <c r="AH34" s="362"/>
      <c r="AI34" s="393"/>
      <c r="AJ34" s="393"/>
      <c r="AK34" s="362"/>
      <c r="AL34" s="362"/>
      <c r="AM34" s="362"/>
      <c r="AN34" s="421"/>
      <c r="AO34" s="362"/>
      <c r="AP34" s="362"/>
      <c r="AQ34" s="362"/>
      <c r="AR34" s="362"/>
    </row>
    <row r="35" spans="1:44" ht="12.75" customHeight="1" x14ac:dyDescent="0.15">
      <c r="A35" s="431"/>
      <c r="B35" s="393"/>
      <c r="C35" s="428"/>
      <c r="D35" s="428">
        <v>616056.91079121199</v>
      </c>
      <c r="E35" s="224">
        <v>192408.91011729359</v>
      </c>
      <c r="F35" s="224">
        <v>4.2089078494078311</v>
      </c>
      <c r="G35" s="224">
        <v>4.3608285442999231</v>
      </c>
      <c r="H35" s="224">
        <v>2.549663629112259</v>
      </c>
      <c r="I35" s="224">
        <v>2.4944147112661477</v>
      </c>
      <c r="J35" s="224"/>
      <c r="M35" s="224">
        <f t="shared" si="6"/>
        <v>423648.0006739184</v>
      </c>
      <c r="N35" s="224">
        <f t="shared" si="7"/>
        <v>-0.15192069489209192</v>
      </c>
      <c r="O35" s="224">
        <f t="shared" si="8"/>
        <v>5.5248917846111301E-2</v>
      </c>
      <c r="Q35" s="224"/>
      <c r="R35" s="224"/>
      <c r="S35" s="429"/>
      <c r="T35" s="362"/>
      <c r="U35" s="362"/>
      <c r="Z35" s="362"/>
      <c r="AA35" s="362"/>
      <c r="AB35" s="362"/>
      <c r="AC35" s="362"/>
      <c r="AD35" s="362"/>
      <c r="AE35" s="362"/>
      <c r="AF35" s="362"/>
      <c r="AG35" s="362"/>
      <c r="AH35" s="362"/>
      <c r="AI35" s="393"/>
      <c r="AJ35" s="393"/>
      <c r="AK35" s="362"/>
      <c r="AL35" s="362"/>
      <c r="AM35" s="362"/>
      <c r="AN35" s="421"/>
      <c r="AO35" s="362"/>
      <c r="AP35" s="362"/>
      <c r="AQ35" s="362"/>
      <c r="AR35" s="362"/>
    </row>
    <row r="36" spans="1:44" ht="12.75" customHeight="1" x14ac:dyDescent="0.15">
      <c r="A36" s="431"/>
      <c r="B36" s="393"/>
      <c r="C36" s="428"/>
      <c r="D36" s="428">
        <v>600026.61580561101</v>
      </c>
      <c r="E36" s="224">
        <v>182310.83090574393</v>
      </c>
      <c r="F36" s="224">
        <v>4.3440430939991783</v>
      </c>
      <c r="G36" s="224">
        <v>3.8584820416659475</v>
      </c>
      <c r="H36" s="224">
        <v>2.3807783977830828</v>
      </c>
      <c r="I36" s="224">
        <v>1.9837443194844242</v>
      </c>
      <c r="J36" s="224"/>
      <c r="M36" s="224">
        <f t="shared" si="6"/>
        <v>417715.78489986708</v>
      </c>
      <c r="N36" s="224">
        <f t="shared" si="7"/>
        <v>0.48556105233323077</v>
      </c>
      <c r="O36" s="224">
        <f t="shared" si="8"/>
        <v>0.39703407829865855</v>
      </c>
      <c r="Q36" s="224"/>
      <c r="R36" s="224"/>
      <c r="S36" s="429"/>
      <c r="T36" s="362"/>
      <c r="U36" s="362"/>
      <c r="Z36" s="362"/>
      <c r="AA36" s="362"/>
      <c r="AB36" s="362"/>
      <c r="AC36" s="362"/>
      <c r="AD36" s="362"/>
      <c r="AE36" s="362"/>
      <c r="AF36" s="362"/>
      <c r="AG36" s="362"/>
      <c r="AH36" s="362"/>
      <c r="AI36" s="393"/>
      <c r="AJ36" s="393"/>
      <c r="AK36" s="362"/>
      <c r="AL36" s="362"/>
      <c r="AM36" s="362"/>
      <c r="AN36" s="421"/>
      <c r="AO36" s="362"/>
      <c r="AP36" s="362"/>
      <c r="AQ36" s="362"/>
      <c r="AR36" s="362"/>
    </row>
    <row r="37" spans="1:44" ht="12.75" customHeight="1" x14ac:dyDescent="0.15">
      <c r="A37" s="431"/>
      <c r="B37" s="393"/>
      <c r="C37" s="428"/>
      <c r="D37" s="428">
        <v>658300.16216057632</v>
      </c>
      <c r="E37" s="224">
        <v>178143.09022552869</v>
      </c>
      <c r="F37" s="224">
        <v>4.4516723533415643</v>
      </c>
      <c r="G37" s="224">
        <v>3.4389716763370259</v>
      </c>
      <c r="H37" s="224">
        <v>2.6950117843247341</v>
      </c>
      <c r="I37" s="224">
        <v>1.9045195986306713</v>
      </c>
      <c r="J37" s="224"/>
      <c r="M37" s="224">
        <f t="shared" si="6"/>
        <v>480157.07193504763</v>
      </c>
      <c r="N37" s="224">
        <f t="shared" si="7"/>
        <v>1.0127006770045384</v>
      </c>
      <c r="O37" s="224">
        <f t="shared" si="8"/>
        <v>0.79049218569406277</v>
      </c>
      <c r="Q37" s="224"/>
      <c r="R37" s="224"/>
      <c r="S37" s="429"/>
      <c r="T37" s="362"/>
      <c r="U37" s="362"/>
      <c r="Z37" s="362"/>
      <c r="AA37" s="362"/>
      <c r="AB37" s="362"/>
      <c r="AC37" s="362"/>
      <c r="AD37" s="362"/>
      <c r="AE37" s="362"/>
      <c r="AF37" s="362"/>
      <c r="AG37" s="362"/>
      <c r="AH37" s="362"/>
      <c r="AI37" s="393"/>
      <c r="AJ37" s="393"/>
      <c r="AK37" s="362"/>
      <c r="AL37" s="362"/>
      <c r="AM37" s="362"/>
      <c r="AN37" s="421"/>
      <c r="AO37" s="362"/>
      <c r="AP37" s="362"/>
      <c r="AQ37" s="362"/>
      <c r="AR37" s="362"/>
    </row>
    <row r="38" spans="1:44" ht="12.75" customHeight="1" x14ac:dyDescent="0.15">
      <c r="A38" s="431"/>
      <c r="B38" s="393"/>
      <c r="C38" s="428"/>
      <c r="D38" s="428">
        <v>693093.67425424745</v>
      </c>
      <c r="E38" s="224">
        <v>201487.48299785078</v>
      </c>
      <c r="F38" s="224">
        <v>4.4813317554376679</v>
      </c>
      <c r="G38" s="224">
        <v>4.0832080712688255</v>
      </c>
      <c r="H38" s="224">
        <v>3.0415214899128675</v>
      </c>
      <c r="I38" s="224">
        <v>2.3187509106983635</v>
      </c>
      <c r="J38" s="224"/>
      <c r="M38" s="224">
        <f t="shared" si="6"/>
        <v>491606.19125639671</v>
      </c>
      <c r="N38" s="224">
        <f t="shared" si="7"/>
        <v>0.39812368416884247</v>
      </c>
      <c r="O38" s="224">
        <f t="shared" si="8"/>
        <v>0.72277057921450405</v>
      </c>
      <c r="Q38" s="224"/>
      <c r="R38" s="224"/>
      <c r="S38" s="429"/>
      <c r="T38" s="362"/>
      <c r="U38" s="362"/>
      <c r="Z38" s="362"/>
      <c r="AA38" s="362"/>
      <c r="AB38" s="362"/>
      <c r="AC38" s="362"/>
      <c r="AD38" s="362"/>
      <c r="AE38" s="362"/>
      <c r="AF38" s="362"/>
      <c r="AG38" s="362"/>
      <c r="AH38" s="362"/>
      <c r="AI38" s="393"/>
      <c r="AJ38" s="393"/>
      <c r="AK38" s="362"/>
      <c r="AL38" s="362"/>
      <c r="AM38" s="362"/>
      <c r="AN38" s="421"/>
      <c r="AO38" s="362"/>
      <c r="AP38" s="362"/>
      <c r="AQ38" s="362"/>
      <c r="AR38" s="362"/>
    </row>
    <row r="39" spans="1:44" ht="12.75" customHeight="1" x14ac:dyDescent="0.15">
      <c r="A39" s="431"/>
      <c r="B39" s="393"/>
      <c r="C39" s="428"/>
      <c r="D39" s="428">
        <v>556991.04698782507</v>
      </c>
      <c r="E39" s="224">
        <v>152789.67445556863</v>
      </c>
      <c r="F39" s="224">
        <v>4.9936632670596728</v>
      </c>
      <c r="G39" s="224">
        <v>4.052717225754999</v>
      </c>
      <c r="H39" s="224">
        <v>2.6431292091088454</v>
      </c>
      <c r="I39" s="224">
        <v>2.0879811191590765</v>
      </c>
      <c r="J39" s="224"/>
      <c r="M39" s="224">
        <f t="shared" si="6"/>
        <v>404201.37253225641</v>
      </c>
      <c r="N39" s="224">
        <f t="shared" si="7"/>
        <v>0.94094604130467374</v>
      </c>
      <c r="O39" s="224">
        <f t="shared" si="8"/>
        <v>0.55514808994976894</v>
      </c>
      <c r="Q39" s="224"/>
      <c r="R39" s="224"/>
      <c r="S39" s="429"/>
      <c r="T39" s="362"/>
      <c r="U39" s="362"/>
      <c r="Z39" s="362"/>
      <c r="AA39" s="362"/>
      <c r="AB39" s="362"/>
      <c r="AC39" s="362"/>
      <c r="AD39" s="362"/>
      <c r="AE39" s="362"/>
      <c r="AF39" s="362"/>
      <c r="AG39" s="362"/>
      <c r="AH39" s="362"/>
      <c r="AI39" s="393"/>
      <c r="AJ39" s="393"/>
      <c r="AK39" s="362"/>
      <c r="AL39" s="362"/>
      <c r="AM39" s="362"/>
      <c r="AN39" s="421"/>
      <c r="AO39" s="362"/>
      <c r="AP39" s="362"/>
      <c r="AQ39" s="362"/>
      <c r="AR39" s="362"/>
    </row>
    <row r="40" spans="1:44" ht="12.75" customHeight="1" x14ac:dyDescent="0.15">
      <c r="A40" s="431"/>
      <c r="B40" s="393"/>
      <c r="C40" s="428"/>
      <c r="D40" s="428">
        <v>571050.66393337841</v>
      </c>
      <c r="E40" s="224">
        <v>164587.06917371659</v>
      </c>
      <c r="F40" s="224">
        <v>4.3795264468210018</v>
      </c>
      <c r="G40" s="224">
        <v>4.1365169215504851</v>
      </c>
      <c r="H40" s="224">
        <v>2.447952431577495</v>
      </c>
      <c r="I40" s="224">
        <v>2.0955328986918289</v>
      </c>
      <c r="J40" s="224"/>
      <c r="M40" s="224">
        <f t="shared" si="6"/>
        <v>406463.59475966182</v>
      </c>
      <c r="N40" s="224">
        <f t="shared" si="7"/>
        <v>0.24300952527051667</v>
      </c>
      <c r="O40" s="224">
        <f t="shared" si="8"/>
        <v>0.35241953288566608</v>
      </c>
      <c r="Q40" s="224"/>
      <c r="R40" s="224"/>
      <c r="S40" s="429"/>
      <c r="T40" s="362"/>
      <c r="U40" s="362"/>
      <c r="Z40" s="362"/>
      <c r="AA40" s="362"/>
      <c r="AB40" s="362"/>
      <c r="AC40" s="362"/>
      <c r="AD40" s="362"/>
      <c r="AE40" s="362"/>
      <c r="AF40" s="362"/>
      <c r="AG40" s="362"/>
      <c r="AH40" s="362"/>
      <c r="AI40" s="393"/>
      <c r="AJ40" s="393"/>
      <c r="AK40" s="362"/>
      <c r="AL40" s="362"/>
      <c r="AM40" s="362"/>
      <c r="AN40" s="421"/>
      <c r="AO40" s="362"/>
      <c r="AP40" s="362"/>
      <c r="AQ40" s="362"/>
      <c r="AR40" s="362"/>
    </row>
    <row r="41" spans="1:44" ht="12.75" customHeight="1" x14ac:dyDescent="0.15">
      <c r="A41" s="431"/>
      <c r="B41" s="393"/>
      <c r="C41" s="428"/>
      <c r="D41" s="428">
        <v>620661.63014424313</v>
      </c>
      <c r="E41" s="224">
        <v>151803.08636878352</v>
      </c>
      <c r="F41" s="224">
        <v>3.8498972914059695</v>
      </c>
      <c r="G41" s="224">
        <v>4.0437478704007352</v>
      </c>
      <c r="H41" s="224">
        <v>2.5398156209540952</v>
      </c>
      <c r="I41" s="224">
        <v>2.546792433574252</v>
      </c>
      <c r="J41" s="224"/>
      <c r="M41" s="224">
        <f t="shared" si="6"/>
        <v>468858.54377545964</v>
      </c>
      <c r="N41" s="224">
        <f t="shared" si="7"/>
        <v>-0.19385057899476577</v>
      </c>
      <c r="O41" s="224">
        <f t="shared" si="8"/>
        <v>-6.9768126201568137E-3</v>
      </c>
      <c r="Q41" s="224"/>
      <c r="R41" s="224"/>
      <c r="S41" s="429"/>
      <c r="T41" s="362"/>
      <c r="U41" s="362"/>
      <c r="Z41" s="362"/>
      <c r="AA41" s="362"/>
      <c r="AB41" s="362"/>
      <c r="AC41" s="362"/>
      <c r="AD41" s="362"/>
      <c r="AE41" s="362"/>
      <c r="AF41" s="362"/>
      <c r="AG41" s="362"/>
      <c r="AH41" s="362"/>
      <c r="AI41" s="393"/>
      <c r="AJ41" s="393"/>
      <c r="AK41" s="362"/>
      <c r="AL41" s="362"/>
      <c r="AM41" s="362"/>
      <c r="AN41" s="421"/>
      <c r="AO41" s="362"/>
      <c r="AP41" s="362"/>
      <c r="AQ41" s="362"/>
      <c r="AR41" s="362"/>
    </row>
    <row r="42" spans="1:44" ht="12.75" customHeight="1" x14ac:dyDescent="0.15">
      <c r="A42" s="431"/>
      <c r="B42" s="393"/>
      <c r="C42" s="428"/>
      <c r="D42" s="428">
        <v>580314.78492933523</v>
      </c>
      <c r="E42" s="224">
        <v>149787.79516041421</v>
      </c>
      <c r="F42" s="224">
        <v>4.7786909685288324</v>
      </c>
      <c r="G42" s="224">
        <v>4.2651502823628409</v>
      </c>
      <c r="H42" s="224">
        <v>2.6234266663876489</v>
      </c>
      <c r="I42" s="224">
        <v>2.2782146741902789</v>
      </c>
      <c r="J42" s="224"/>
      <c r="M42" s="224">
        <f t="shared" si="6"/>
        <v>430526.98976892105</v>
      </c>
      <c r="N42" s="224">
        <f t="shared" si="7"/>
        <v>0.51354068616599147</v>
      </c>
      <c r="O42" s="224">
        <f t="shared" si="8"/>
        <v>0.34521199219736998</v>
      </c>
      <c r="Q42" s="224"/>
      <c r="R42" s="224"/>
      <c r="S42" s="429"/>
      <c r="T42" s="362"/>
      <c r="U42" s="362"/>
      <c r="Z42" s="362"/>
      <c r="AA42" s="362"/>
      <c r="AB42" s="362"/>
      <c r="AC42" s="362"/>
      <c r="AD42" s="362"/>
      <c r="AE42" s="362"/>
      <c r="AF42" s="362"/>
      <c r="AG42" s="362"/>
      <c r="AH42" s="362"/>
      <c r="AI42" s="393"/>
      <c r="AJ42" s="393"/>
      <c r="AK42" s="362"/>
      <c r="AL42" s="362"/>
      <c r="AM42" s="362"/>
      <c r="AN42" s="421"/>
      <c r="AO42" s="362"/>
      <c r="AP42" s="362"/>
      <c r="AQ42" s="362"/>
      <c r="AR42" s="362"/>
    </row>
    <row r="43" spans="1:44" ht="12.75" customHeight="1" x14ac:dyDescent="0.15">
      <c r="A43" s="431"/>
      <c r="B43" s="393"/>
      <c r="C43" s="428"/>
      <c r="D43" s="428">
        <v>619435.93909387127</v>
      </c>
      <c r="E43" s="224">
        <v>165122.46796469524</v>
      </c>
      <c r="F43" s="224">
        <v>4.5721911476390407</v>
      </c>
      <c r="G43" s="224">
        <v>3.9713569661562884</v>
      </c>
      <c r="H43" s="224">
        <v>2.6275980868250204</v>
      </c>
      <c r="I43" s="224">
        <v>2.1585670975689015</v>
      </c>
      <c r="J43" s="224"/>
      <c r="M43" s="224">
        <f t="shared" si="6"/>
        <v>454313.47112917603</v>
      </c>
      <c r="N43" s="224">
        <f t="shared" si="7"/>
        <v>0.60083418148275225</v>
      </c>
      <c r="O43" s="224">
        <f t="shared" si="8"/>
        <v>0.46903098925611886</v>
      </c>
      <c r="Q43" s="224"/>
      <c r="R43" s="224"/>
      <c r="S43" s="429"/>
      <c r="V43" s="432"/>
      <c r="Z43" s="362"/>
      <c r="AA43" s="362"/>
      <c r="AB43" s="362"/>
      <c r="AC43" s="362"/>
      <c r="AD43" s="362"/>
      <c r="AE43" s="362"/>
      <c r="AF43" s="362"/>
      <c r="AG43" s="362"/>
      <c r="AH43" s="362"/>
      <c r="AI43" s="393"/>
      <c r="AJ43" s="393"/>
      <c r="AK43" s="362"/>
      <c r="AL43" s="362"/>
      <c r="AM43" s="362"/>
      <c r="AN43" s="421"/>
      <c r="AO43" s="362"/>
      <c r="AP43" s="362"/>
      <c r="AQ43" s="362"/>
      <c r="AR43" s="362"/>
    </row>
    <row r="44" spans="1:44" ht="12.75" customHeight="1" x14ac:dyDescent="0.15">
      <c r="A44" s="431"/>
      <c r="B44" s="393"/>
      <c r="C44" s="428"/>
      <c r="D44" s="428">
        <v>524472.66411197069</v>
      </c>
      <c r="E44" s="224">
        <v>116843.78440559952</v>
      </c>
      <c r="F44" s="224">
        <v>4.4798272399282784</v>
      </c>
      <c r="G44" s="224">
        <v>3.4407384991314669</v>
      </c>
      <c r="H44" s="224">
        <v>2.5276221517350868</v>
      </c>
      <c r="I44" s="224">
        <v>2.0923966028055854</v>
      </c>
      <c r="J44" s="224"/>
      <c r="M44" s="224">
        <f t="shared" si="6"/>
        <v>407628.87970637117</v>
      </c>
      <c r="N44" s="224">
        <f t="shared" si="7"/>
        <v>1.0390887407968115</v>
      </c>
      <c r="O44" s="224">
        <f t="shared" si="8"/>
        <v>0.43522554892950138</v>
      </c>
      <c r="Q44" s="224"/>
      <c r="R44" s="224"/>
      <c r="S44" s="429"/>
      <c r="V44" s="432"/>
      <c r="Z44" s="362"/>
      <c r="AA44" s="362"/>
      <c r="AB44" s="362"/>
      <c r="AC44" s="362"/>
      <c r="AD44" s="362"/>
      <c r="AE44" s="362"/>
      <c r="AF44" s="362"/>
      <c r="AG44" s="362"/>
      <c r="AH44" s="362"/>
      <c r="AI44" s="393"/>
      <c r="AJ44" s="393"/>
      <c r="AK44" s="362"/>
      <c r="AL44" s="362"/>
      <c r="AM44" s="362"/>
      <c r="AN44" s="421"/>
      <c r="AO44" s="362"/>
      <c r="AP44" s="362"/>
      <c r="AQ44" s="362"/>
      <c r="AR44" s="362"/>
    </row>
    <row r="45" spans="1:44" ht="12.75" customHeight="1" x14ac:dyDescent="0.15">
      <c r="A45" s="431"/>
      <c r="B45" s="393"/>
      <c r="C45" s="428"/>
      <c r="D45" s="428">
        <v>591509.28503007384</v>
      </c>
      <c r="E45" s="224">
        <v>168098.46416035559</v>
      </c>
      <c r="F45" s="224">
        <v>4.4403758126644597</v>
      </c>
      <c r="G45" s="224">
        <v>3.8590316367497226</v>
      </c>
      <c r="H45" s="224">
        <v>2.7182411567182778</v>
      </c>
      <c r="I45" s="224">
        <v>2.5328846119488166</v>
      </c>
      <c r="J45" s="224"/>
      <c r="M45" s="224">
        <f t="shared" si="6"/>
        <v>423410.82086971821</v>
      </c>
      <c r="N45" s="224">
        <f t="shared" si="7"/>
        <v>0.58134417591473708</v>
      </c>
      <c r="O45" s="224">
        <f t="shared" si="8"/>
        <v>0.18535654476946117</v>
      </c>
      <c r="Q45" s="224"/>
      <c r="R45" s="224"/>
      <c r="S45" s="429"/>
      <c r="V45" s="432"/>
      <c r="Z45" s="362"/>
      <c r="AA45" s="362"/>
      <c r="AB45" s="362"/>
      <c r="AC45" s="362"/>
      <c r="AD45" s="362"/>
      <c r="AE45" s="362"/>
      <c r="AF45" s="362"/>
      <c r="AG45" s="362"/>
      <c r="AH45" s="362"/>
      <c r="AI45" s="393"/>
      <c r="AJ45" s="393"/>
      <c r="AK45" s="362"/>
      <c r="AL45" s="362"/>
      <c r="AM45" s="362"/>
      <c r="AN45" s="421"/>
      <c r="AO45" s="362"/>
      <c r="AP45" s="362"/>
      <c r="AQ45" s="362"/>
      <c r="AR45" s="362"/>
    </row>
    <row r="46" spans="1:44" ht="12.75" customHeight="1" x14ac:dyDescent="0.15">
      <c r="A46" s="431"/>
      <c r="B46" s="393"/>
      <c r="C46" s="428"/>
      <c r="D46" s="428">
        <v>637133.10617562663</v>
      </c>
      <c r="E46" s="224">
        <v>151941.25793789068</v>
      </c>
      <c r="F46" s="224">
        <v>4.4148546193105469</v>
      </c>
      <c r="G46" s="224">
        <v>4.3784611503166611</v>
      </c>
      <c r="H46" s="224">
        <v>2.3417898981545062</v>
      </c>
      <c r="I46" s="224">
        <v>2.1461325468277948</v>
      </c>
      <c r="J46" s="224"/>
      <c r="M46" s="224">
        <f t="shared" si="6"/>
        <v>485191.84823773592</v>
      </c>
      <c r="N46" s="224">
        <f t="shared" si="7"/>
        <v>3.6393468993885847E-2</v>
      </c>
      <c r="O46" s="224">
        <f t="shared" si="8"/>
        <v>0.19565735132671147</v>
      </c>
      <c r="Q46" s="224"/>
      <c r="R46" s="224"/>
      <c r="S46" s="429"/>
      <c r="V46" s="432"/>
      <c r="Z46" s="362"/>
      <c r="AA46" s="362"/>
      <c r="AB46" s="362"/>
      <c r="AC46" s="362"/>
      <c r="AD46" s="362"/>
      <c r="AE46" s="362"/>
      <c r="AF46" s="362"/>
      <c r="AG46" s="362"/>
      <c r="AH46" s="362"/>
      <c r="AI46" s="393"/>
      <c r="AJ46" s="393"/>
      <c r="AK46" s="362"/>
      <c r="AL46" s="362"/>
      <c r="AM46" s="362"/>
      <c r="AN46" s="421"/>
      <c r="AO46" s="362"/>
      <c r="AP46" s="362"/>
      <c r="AQ46" s="362"/>
      <c r="AR46" s="362"/>
    </row>
    <row r="47" spans="1:44" ht="12.75" customHeight="1" x14ac:dyDescent="0.15">
      <c r="A47" s="431"/>
      <c r="B47" s="393"/>
      <c r="C47" s="428"/>
      <c r="D47" s="428">
        <v>712831.63401590125</v>
      </c>
      <c r="E47" s="224">
        <v>173428.51735710894</v>
      </c>
      <c r="F47" s="224">
        <v>4.7103690696590634</v>
      </c>
      <c r="G47" s="224">
        <v>3.991094586897781</v>
      </c>
      <c r="H47" s="224">
        <v>2.2730583071513171</v>
      </c>
      <c r="I47" s="224">
        <v>1.7208984593794086</v>
      </c>
      <c r="J47" s="224"/>
      <c r="M47" s="224">
        <f t="shared" si="6"/>
        <v>539403.11665879237</v>
      </c>
      <c r="N47" s="224">
        <f t="shared" si="7"/>
        <v>0.71927448276128247</v>
      </c>
      <c r="O47" s="224">
        <f t="shared" si="8"/>
        <v>0.55215984777190852</v>
      </c>
      <c r="Q47" s="224"/>
      <c r="R47" s="224"/>
      <c r="S47" s="429"/>
      <c r="V47" s="432"/>
      <c r="Z47" s="362"/>
      <c r="AA47" s="362"/>
      <c r="AB47" s="362"/>
      <c r="AC47" s="362"/>
      <c r="AD47" s="362"/>
      <c r="AE47" s="362"/>
      <c r="AF47" s="362"/>
      <c r="AG47" s="362"/>
      <c r="AH47" s="362"/>
      <c r="AI47" s="393"/>
      <c r="AJ47" s="393"/>
      <c r="AK47" s="362"/>
      <c r="AL47" s="362"/>
      <c r="AM47" s="362"/>
      <c r="AN47" s="421"/>
      <c r="AO47" s="362"/>
      <c r="AP47" s="362"/>
      <c r="AQ47" s="362"/>
      <c r="AR47" s="362"/>
    </row>
    <row r="48" spans="1:44" ht="12.75" customHeight="1" x14ac:dyDescent="0.15">
      <c r="A48" s="431"/>
      <c r="B48" s="393"/>
      <c r="C48" s="428"/>
      <c r="D48" s="428">
        <v>536692.73321587918</v>
      </c>
      <c r="E48" s="224">
        <v>111461.20237962939</v>
      </c>
      <c r="F48" s="224">
        <v>4.3997537277508583</v>
      </c>
      <c r="G48" s="224">
        <v>3.5169303140769541</v>
      </c>
      <c r="H48" s="224">
        <v>2.5727345192609632</v>
      </c>
      <c r="I48" s="224">
        <v>2.0982341441434009</v>
      </c>
      <c r="J48" s="224"/>
      <c r="M48" s="224">
        <f t="shared" si="6"/>
        <v>425231.53083624982</v>
      </c>
      <c r="N48" s="224">
        <f t="shared" si="7"/>
        <v>0.88282341367390416</v>
      </c>
      <c r="O48" s="224">
        <f t="shared" si="8"/>
        <v>0.47450037511756227</v>
      </c>
      <c r="Q48" s="224"/>
      <c r="R48" s="224"/>
      <c r="S48" s="429"/>
      <c r="V48" s="432"/>
      <c r="Z48" s="362"/>
      <c r="AA48" s="362"/>
      <c r="AB48" s="362"/>
      <c r="AC48" s="362"/>
      <c r="AD48" s="362"/>
      <c r="AE48" s="362"/>
      <c r="AF48" s="362"/>
      <c r="AG48" s="362"/>
      <c r="AH48" s="362"/>
      <c r="AI48" s="393"/>
      <c r="AJ48" s="393"/>
      <c r="AK48" s="362"/>
      <c r="AL48" s="362"/>
      <c r="AM48" s="362"/>
      <c r="AN48" s="421"/>
      <c r="AO48" s="362"/>
      <c r="AP48" s="362"/>
      <c r="AQ48" s="362"/>
      <c r="AR48" s="362"/>
    </row>
    <row r="49" spans="1:44" ht="12.75" customHeight="1" x14ac:dyDescent="0.15">
      <c r="A49" s="431"/>
      <c r="B49" s="393"/>
      <c r="C49" s="428"/>
      <c r="D49" s="428">
        <v>608516.61569345568</v>
      </c>
      <c r="E49" s="224">
        <v>152235.27892903378</v>
      </c>
      <c r="F49" s="224">
        <v>4.3560155088722201</v>
      </c>
      <c r="G49" s="224">
        <v>3.7594012451461531</v>
      </c>
      <c r="H49" s="224">
        <v>2.8587149566144463</v>
      </c>
      <c r="I49" s="224">
        <v>2.109587428541515</v>
      </c>
      <c r="J49" s="224"/>
      <c r="M49" s="224">
        <f t="shared" si="6"/>
        <v>456281.3367644219</v>
      </c>
      <c r="N49" s="224">
        <f t="shared" si="7"/>
        <v>0.59661426372606696</v>
      </c>
      <c r="O49" s="224">
        <f t="shared" si="8"/>
        <v>0.74912752807293126</v>
      </c>
      <c r="Q49" s="224"/>
      <c r="R49" s="224"/>
      <c r="S49" s="429"/>
      <c r="V49" s="432"/>
      <c r="Z49" s="362"/>
      <c r="AA49" s="362"/>
      <c r="AB49" s="362"/>
      <c r="AC49" s="362"/>
      <c r="AD49" s="362"/>
      <c r="AE49" s="362"/>
      <c r="AF49" s="362"/>
      <c r="AG49" s="362"/>
      <c r="AH49" s="362"/>
      <c r="AI49" s="393"/>
      <c r="AJ49" s="393"/>
      <c r="AK49" s="362"/>
      <c r="AL49" s="362"/>
      <c r="AM49" s="362"/>
      <c r="AN49" s="421"/>
      <c r="AO49" s="362"/>
      <c r="AP49" s="362"/>
      <c r="AQ49" s="362"/>
      <c r="AR49" s="362"/>
    </row>
    <row r="50" spans="1:44" ht="12.75" customHeight="1" x14ac:dyDescent="0.15">
      <c r="A50" s="431"/>
      <c r="B50" s="393"/>
      <c r="C50" s="428"/>
      <c r="D50" s="428">
        <v>498456.04275854432</v>
      </c>
      <c r="E50" s="224">
        <v>165423.1027525496</v>
      </c>
      <c r="F50" s="224">
        <v>4.1014770183804607</v>
      </c>
      <c r="G50" s="224">
        <v>3.943902397394031</v>
      </c>
      <c r="H50" s="224">
        <v>2.366349410872886</v>
      </c>
      <c r="I50" s="224">
        <v>2.2252182668990028</v>
      </c>
      <c r="J50" s="224"/>
      <c r="M50" s="224">
        <f t="shared" si="6"/>
        <v>333032.94000599475</v>
      </c>
      <c r="N50" s="224">
        <f t="shared" si="7"/>
        <v>0.15757462098642971</v>
      </c>
      <c r="O50" s="224">
        <f t="shared" si="8"/>
        <v>0.14113114397388316</v>
      </c>
      <c r="Q50" s="224"/>
      <c r="R50" s="224"/>
      <c r="S50" s="429"/>
      <c r="V50" s="432"/>
      <c r="Z50" s="362"/>
      <c r="AA50" s="362"/>
      <c r="AB50" s="362"/>
      <c r="AC50" s="362"/>
      <c r="AD50" s="362"/>
      <c r="AE50" s="362"/>
      <c r="AF50" s="362"/>
      <c r="AG50" s="362"/>
      <c r="AH50" s="362"/>
      <c r="AI50" s="393"/>
      <c r="AJ50" s="393"/>
      <c r="AK50" s="362"/>
      <c r="AL50" s="362"/>
      <c r="AM50" s="362"/>
      <c r="AN50" s="421"/>
      <c r="AO50" s="362"/>
      <c r="AP50" s="362"/>
      <c r="AQ50" s="362"/>
      <c r="AR50" s="362"/>
    </row>
    <row r="51" spans="1:44" ht="12.75" customHeight="1" x14ac:dyDescent="0.15">
      <c r="A51" s="431"/>
      <c r="B51" s="393"/>
      <c r="C51" s="428"/>
      <c r="D51" s="428">
        <v>551227.55123077752</v>
      </c>
      <c r="E51" s="224">
        <v>119876.57570411713</v>
      </c>
      <c r="F51" s="224">
        <v>4.1396682409026484</v>
      </c>
      <c r="G51" s="224">
        <v>3.6413788611294842</v>
      </c>
      <c r="H51" s="224">
        <v>2.4626724588183806</v>
      </c>
      <c r="I51" s="224">
        <v>1.9686260749493987</v>
      </c>
      <c r="J51" s="224"/>
      <c r="M51" s="224">
        <f t="shared" si="6"/>
        <v>431350.97552666039</v>
      </c>
      <c r="N51" s="224">
        <f t="shared" si="7"/>
        <v>0.49828937977316423</v>
      </c>
      <c r="O51" s="224">
        <f t="shared" si="8"/>
        <v>0.49404638386898192</v>
      </c>
      <c r="Q51" s="224"/>
      <c r="R51" s="224"/>
      <c r="S51" s="429"/>
      <c r="V51" s="432"/>
      <c r="Z51" s="362"/>
      <c r="AA51" s="362"/>
      <c r="AB51" s="362"/>
      <c r="AC51" s="362"/>
      <c r="AD51" s="362"/>
      <c r="AE51" s="362"/>
      <c r="AF51" s="362"/>
      <c r="AG51" s="362"/>
      <c r="AH51" s="362"/>
      <c r="AI51" s="393"/>
      <c r="AJ51" s="393"/>
      <c r="AK51" s="362"/>
      <c r="AL51" s="362"/>
      <c r="AM51" s="362"/>
      <c r="AN51" s="421"/>
      <c r="AO51" s="362"/>
      <c r="AP51" s="362"/>
      <c r="AQ51" s="362"/>
      <c r="AR51" s="362"/>
    </row>
    <row r="52" spans="1:44" ht="12.75" customHeight="1" x14ac:dyDescent="0.15">
      <c r="A52" s="431"/>
      <c r="B52" s="393"/>
      <c r="C52" s="428"/>
      <c r="D52" s="428">
        <v>643508.65271256934</v>
      </c>
      <c r="E52" s="224">
        <v>167076.17067471912</v>
      </c>
      <c r="F52" s="224">
        <v>4.2871406865174695</v>
      </c>
      <c r="G52" s="224">
        <v>3.7043428534148028</v>
      </c>
      <c r="H52" s="224">
        <v>2.50565355017048</v>
      </c>
      <c r="I52" s="224">
        <v>1.9949846005678264</v>
      </c>
      <c r="J52" s="224"/>
      <c r="M52" s="224">
        <f t="shared" si="6"/>
        <v>476432.48203785019</v>
      </c>
      <c r="N52" s="224">
        <f t="shared" si="7"/>
        <v>0.58279783310266664</v>
      </c>
      <c r="O52" s="224">
        <f t="shared" si="8"/>
        <v>0.51066894960265352</v>
      </c>
      <c r="Q52" s="224"/>
      <c r="R52" s="224"/>
      <c r="S52" s="429"/>
      <c r="V52" s="432"/>
      <c r="Z52" s="362"/>
      <c r="AA52" s="362"/>
      <c r="AB52" s="362"/>
      <c r="AC52" s="362"/>
      <c r="AD52" s="362"/>
      <c r="AE52" s="362"/>
      <c r="AF52" s="362"/>
      <c r="AG52" s="362"/>
      <c r="AH52" s="362"/>
      <c r="AI52" s="393"/>
      <c r="AJ52" s="393"/>
      <c r="AK52" s="362"/>
      <c r="AL52" s="362"/>
      <c r="AM52" s="362"/>
      <c r="AN52" s="421"/>
      <c r="AO52" s="362"/>
      <c r="AP52" s="362"/>
      <c r="AQ52" s="362"/>
      <c r="AR52" s="362"/>
    </row>
    <row r="53" spans="1:44" ht="12.75" customHeight="1" x14ac:dyDescent="0.15">
      <c r="A53" s="431"/>
      <c r="B53" s="393"/>
      <c r="C53" s="428"/>
      <c r="D53" s="428">
        <v>601426.45416768582</v>
      </c>
      <c r="E53" s="224">
        <v>151151.95264635712</v>
      </c>
      <c r="F53" s="224">
        <v>3.9294018402329693</v>
      </c>
      <c r="G53" s="224">
        <v>4.2230959167009807</v>
      </c>
      <c r="H53" s="224">
        <v>2.2767068452148416</v>
      </c>
      <c r="I53" s="224">
        <v>2.2631995451060081</v>
      </c>
      <c r="J53" s="224"/>
      <c r="M53" s="224">
        <f t="shared" si="6"/>
        <v>450274.5015213287</v>
      </c>
      <c r="N53" s="224">
        <f t="shared" si="7"/>
        <v>-0.29369407646801138</v>
      </c>
      <c r="O53" s="224">
        <f t="shared" si="8"/>
        <v>1.3507300108833498E-2</v>
      </c>
      <c r="Q53" s="224"/>
      <c r="R53" s="224"/>
      <c r="S53" s="429"/>
      <c r="V53" s="432"/>
      <c r="Z53" s="362"/>
      <c r="AA53" s="362"/>
      <c r="AB53" s="362"/>
      <c r="AC53" s="362"/>
      <c r="AD53" s="362"/>
      <c r="AE53" s="362"/>
      <c r="AF53" s="362"/>
      <c r="AG53" s="362"/>
      <c r="AH53" s="362"/>
      <c r="AI53" s="393"/>
      <c r="AJ53" s="393"/>
      <c r="AK53" s="362"/>
      <c r="AL53" s="362"/>
      <c r="AM53" s="362"/>
      <c r="AN53" s="421"/>
      <c r="AO53" s="362"/>
      <c r="AP53" s="362"/>
      <c r="AQ53" s="362"/>
      <c r="AR53" s="362"/>
    </row>
    <row r="54" spans="1:44" ht="12.75" customHeight="1" x14ac:dyDescent="0.15">
      <c r="A54" s="431"/>
      <c r="B54" s="393"/>
      <c r="C54" s="428"/>
      <c r="D54" s="428">
        <v>535287.88310920389</v>
      </c>
      <c r="E54" s="224">
        <v>156806.14120570401</v>
      </c>
      <c r="F54" s="224">
        <v>4.3326965049635806</v>
      </c>
      <c r="G54" s="224">
        <v>4.4486082072455986</v>
      </c>
      <c r="H54" s="224">
        <v>2.391257174185037</v>
      </c>
      <c r="I54" s="224">
        <v>2.2434226086155347</v>
      </c>
      <c r="J54" s="224"/>
      <c r="M54" s="224">
        <f t="shared" si="6"/>
        <v>378481.74190349987</v>
      </c>
      <c r="N54" s="224">
        <f t="shared" si="7"/>
        <v>-0.11591170228201797</v>
      </c>
      <c r="O54" s="224">
        <f t="shared" si="8"/>
        <v>0.14783456556950236</v>
      </c>
      <c r="Q54" s="224"/>
      <c r="R54" s="224"/>
      <c r="S54" s="429"/>
      <c r="V54" s="432"/>
      <c r="Z54" s="362"/>
      <c r="AA54" s="362"/>
      <c r="AB54" s="362"/>
      <c r="AC54" s="362"/>
      <c r="AD54" s="362"/>
      <c r="AE54" s="362"/>
      <c r="AF54" s="362"/>
      <c r="AG54" s="362"/>
      <c r="AH54" s="362"/>
      <c r="AI54" s="393"/>
      <c r="AJ54" s="393"/>
      <c r="AK54" s="362"/>
      <c r="AL54" s="362"/>
      <c r="AM54" s="362"/>
      <c r="AN54" s="421"/>
      <c r="AO54" s="362"/>
      <c r="AP54" s="362"/>
      <c r="AQ54" s="362"/>
      <c r="AR54" s="362"/>
    </row>
    <row r="55" spans="1:44" ht="12.75" customHeight="1" x14ac:dyDescent="0.15">
      <c r="A55" s="431"/>
      <c r="B55" s="393"/>
      <c r="C55" s="428"/>
      <c r="D55" s="428">
        <v>669176.05274582212</v>
      </c>
      <c r="E55" s="224">
        <v>208376.76105291565</v>
      </c>
      <c r="F55" s="224">
        <v>3.9524314512276204</v>
      </c>
      <c r="G55" s="224">
        <v>3.8737593847680438</v>
      </c>
      <c r="H55" s="224">
        <v>2.6381353745474678</v>
      </c>
      <c r="I55" s="224">
        <v>2.2920733381760554</v>
      </c>
      <c r="J55" s="224"/>
      <c r="M55" s="224">
        <f t="shared" si="6"/>
        <v>460799.29169290647</v>
      </c>
      <c r="N55" s="224">
        <f t="shared" si="7"/>
        <v>7.8672066459576584E-2</v>
      </c>
      <c r="O55" s="224">
        <f t="shared" si="8"/>
        <v>0.34606203637141242</v>
      </c>
      <c r="Q55" s="224"/>
      <c r="R55" s="224"/>
      <c r="S55" s="429"/>
      <c r="V55" s="432"/>
      <c r="Z55" s="362"/>
      <c r="AA55" s="362"/>
      <c r="AB55" s="362"/>
      <c r="AC55" s="362"/>
      <c r="AD55" s="362"/>
      <c r="AE55" s="362"/>
      <c r="AF55" s="362"/>
      <c r="AG55" s="362"/>
      <c r="AH55" s="362"/>
      <c r="AI55" s="393"/>
      <c r="AJ55" s="393"/>
      <c r="AK55" s="362"/>
      <c r="AL55" s="362"/>
      <c r="AM55" s="362"/>
      <c r="AN55" s="421"/>
      <c r="AO55" s="362"/>
      <c r="AP55" s="362"/>
      <c r="AQ55" s="362"/>
      <c r="AR55" s="362"/>
    </row>
    <row r="56" spans="1:44" ht="12.75" customHeight="1" x14ac:dyDescent="0.15">
      <c r="A56" s="431"/>
      <c r="B56" s="393"/>
      <c r="C56" s="428"/>
      <c r="D56" s="428">
        <v>627882.36114615214</v>
      </c>
      <c r="E56" s="224">
        <v>140585.66450275099</v>
      </c>
      <c r="F56" s="224">
        <v>4.5496311099135953</v>
      </c>
      <c r="G56" s="224">
        <v>3.7347203121863757</v>
      </c>
      <c r="H56" s="224">
        <v>2.9546839511603396</v>
      </c>
      <c r="I56" s="224">
        <v>2.2989080697007376</v>
      </c>
      <c r="J56" s="224"/>
      <c r="M56" s="224">
        <f t="shared" si="6"/>
        <v>487296.69664340117</v>
      </c>
      <c r="N56" s="224">
        <f t="shared" si="7"/>
        <v>0.81491079772721964</v>
      </c>
      <c r="O56" s="224">
        <f t="shared" si="8"/>
        <v>0.65577588145960197</v>
      </c>
      <c r="Q56" s="224"/>
      <c r="R56" s="224"/>
      <c r="S56" s="429"/>
      <c r="V56" s="432"/>
      <c r="Z56" s="362"/>
      <c r="AA56" s="362"/>
      <c r="AB56" s="362"/>
      <c r="AC56" s="362"/>
      <c r="AD56" s="362"/>
      <c r="AE56" s="362"/>
      <c r="AF56" s="362"/>
      <c r="AG56" s="362"/>
      <c r="AH56" s="362"/>
      <c r="AI56" s="393"/>
      <c r="AJ56" s="393"/>
      <c r="AK56" s="362"/>
      <c r="AL56" s="362"/>
      <c r="AM56" s="362"/>
      <c r="AN56" s="421"/>
      <c r="AO56" s="362"/>
      <c r="AP56" s="362"/>
      <c r="AQ56" s="362"/>
      <c r="AR56" s="362"/>
    </row>
    <row r="57" spans="1:44" ht="12.75" customHeight="1" x14ac:dyDescent="0.15">
      <c r="A57" s="431"/>
      <c r="B57" s="393"/>
      <c r="C57" s="428"/>
      <c r="D57" s="428">
        <v>614038.79332107783</v>
      </c>
      <c r="E57" s="224">
        <v>229036.53494183777</v>
      </c>
      <c r="F57" s="224">
        <v>4.2864016176706299</v>
      </c>
      <c r="G57" s="224">
        <v>4.7735400154820349</v>
      </c>
      <c r="H57" s="224">
        <v>2.5727475610184638</v>
      </c>
      <c r="I57" s="224">
        <v>2.5478223151117967</v>
      </c>
      <c r="J57" s="224"/>
      <c r="M57" s="224">
        <f t="shared" si="6"/>
        <v>385002.25837924005</v>
      </c>
      <c r="N57" s="224">
        <f t="shared" si="7"/>
        <v>-0.487138397811405</v>
      </c>
      <c r="O57" s="224">
        <f t="shared" si="8"/>
        <v>2.4925245906667115E-2</v>
      </c>
      <c r="Q57" s="224"/>
      <c r="R57" s="224"/>
      <c r="S57" s="429"/>
      <c r="V57" s="432"/>
      <c r="Z57" s="362"/>
      <c r="AA57" s="421"/>
      <c r="AB57" s="362"/>
      <c r="AC57" s="362"/>
      <c r="AD57" s="362"/>
      <c r="AE57" s="362"/>
      <c r="AF57" s="362"/>
      <c r="AG57" s="362"/>
      <c r="AH57" s="362"/>
      <c r="AI57" s="393"/>
      <c r="AJ57" s="393"/>
      <c r="AK57" s="362"/>
      <c r="AL57" s="362"/>
      <c r="AM57" s="362"/>
      <c r="AN57" s="421"/>
      <c r="AO57" s="362"/>
      <c r="AP57" s="362"/>
      <c r="AQ57" s="362"/>
      <c r="AR57" s="362"/>
    </row>
    <row r="58" spans="1:44" ht="12.75" customHeight="1" x14ac:dyDescent="0.15">
      <c r="A58" s="431"/>
      <c r="B58" s="393"/>
      <c r="C58" s="428"/>
      <c r="D58" s="428">
        <v>548462.59153117833</v>
      </c>
      <c r="E58" s="224">
        <v>127255.58255459132</v>
      </c>
      <c r="F58" s="224">
        <v>3.9347660596582261</v>
      </c>
      <c r="G58" s="224">
        <v>3.848821400450174</v>
      </c>
      <c r="H58" s="224">
        <v>2.5468683713977724</v>
      </c>
      <c r="I58" s="224">
        <v>2.2679009805164019</v>
      </c>
      <c r="J58" s="224"/>
      <c r="M58" s="224">
        <f t="shared" si="6"/>
        <v>421207.00897658698</v>
      </c>
      <c r="N58" s="224">
        <f t="shared" si="7"/>
        <v>8.5944659208052165E-2</v>
      </c>
      <c r="O58" s="224">
        <f t="shared" si="8"/>
        <v>0.27896739088137057</v>
      </c>
      <c r="Q58" s="224"/>
      <c r="R58" s="224"/>
      <c r="S58" s="429"/>
      <c r="V58" s="432"/>
      <c r="Z58" s="362"/>
      <c r="AA58" s="421"/>
      <c r="AB58" s="362"/>
      <c r="AC58" s="362"/>
      <c r="AD58" s="362"/>
      <c r="AE58" s="362"/>
      <c r="AF58" s="362"/>
      <c r="AG58" s="362"/>
      <c r="AH58" s="362"/>
      <c r="AI58" s="393"/>
      <c r="AJ58" s="393"/>
      <c r="AK58" s="362"/>
      <c r="AL58" s="362"/>
      <c r="AM58" s="362"/>
      <c r="AN58" s="421"/>
      <c r="AO58" s="362"/>
      <c r="AP58" s="362"/>
      <c r="AQ58" s="362"/>
      <c r="AR58" s="362"/>
    </row>
    <row r="59" spans="1:44" ht="12.75" customHeight="1" x14ac:dyDescent="0.15">
      <c r="A59" s="431"/>
      <c r="B59" s="393"/>
      <c r="C59" s="428"/>
      <c r="D59" s="428">
        <v>554094.1240845992</v>
      </c>
      <c r="E59" s="224">
        <v>150993.0490862125</v>
      </c>
      <c r="F59" s="224">
        <v>4.2371837495481417</v>
      </c>
      <c r="G59" s="224">
        <v>4.3865073148150087</v>
      </c>
      <c r="H59" s="224">
        <v>2.5136837279417006</v>
      </c>
      <c r="I59" s="224">
        <v>2.3221872236784069</v>
      </c>
      <c r="J59" s="224"/>
      <c r="M59" s="224">
        <f t="shared" si="6"/>
        <v>403101.07499838667</v>
      </c>
      <c r="N59" s="224">
        <f t="shared" si="7"/>
        <v>-0.14932356526686696</v>
      </c>
      <c r="O59" s="224">
        <f t="shared" si="8"/>
        <v>0.19149650426329368</v>
      </c>
      <c r="Q59" s="224"/>
      <c r="R59" s="224"/>
      <c r="S59" s="429"/>
      <c r="V59" s="432"/>
      <c r="Z59" s="362"/>
      <c r="AA59" s="421"/>
      <c r="AB59" s="362"/>
      <c r="AC59" s="362"/>
      <c r="AD59" s="362"/>
      <c r="AE59" s="362"/>
      <c r="AF59" s="362"/>
      <c r="AG59" s="362"/>
      <c r="AH59" s="362"/>
      <c r="AI59" s="393"/>
      <c r="AJ59" s="393"/>
      <c r="AK59" s="362"/>
      <c r="AL59" s="362"/>
      <c r="AM59" s="362"/>
      <c r="AN59" s="421"/>
      <c r="AO59" s="362"/>
      <c r="AP59" s="362"/>
      <c r="AQ59" s="362"/>
      <c r="AR59" s="362"/>
    </row>
    <row r="60" spans="1:44" ht="12.75" customHeight="1" x14ac:dyDescent="0.15">
      <c r="A60" s="431"/>
      <c r="B60" s="393"/>
      <c r="C60" s="428"/>
      <c r="D60" s="428">
        <v>628007.35060312832</v>
      </c>
      <c r="E60" s="224">
        <v>157963.23813005126</v>
      </c>
      <c r="F60" s="224">
        <v>4.2445855344171184</v>
      </c>
      <c r="G60" s="224">
        <v>3.6574677265943296</v>
      </c>
      <c r="H60" s="224">
        <v>2.7412573147487018</v>
      </c>
      <c r="I60" s="224">
        <v>2.2631187698850006</v>
      </c>
      <c r="J60" s="224"/>
      <c r="M60" s="224">
        <f t="shared" si="6"/>
        <v>470044.11247307702</v>
      </c>
      <c r="N60" s="224">
        <f t="shared" si="7"/>
        <v>0.58711780782278877</v>
      </c>
      <c r="O60" s="224">
        <f t="shared" si="8"/>
        <v>0.47813854486370122</v>
      </c>
      <c r="Q60" s="224"/>
      <c r="R60" s="224"/>
      <c r="S60" s="429"/>
      <c r="V60" s="432"/>
      <c r="Z60" s="362"/>
      <c r="AA60" s="421"/>
      <c r="AB60" s="362"/>
      <c r="AC60" s="362"/>
      <c r="AD60" s="362"/>
      <c r="AE60" s="362"/>
      <c r="AF60" s="362"/>
      <c r="AG60" s="362"/>
      <c r="AH60" s="362"/>
      <c r="AI60" s="393"/>
      <c r="AJ60" s="393"/>
      <c r="AK60" s="362"/>
      <c r="AL60" s="362"/>
      <c r="AM60" s="362"/>
      <c r="AN60" s="421"/>
      <c r="AO60" s="362"/>
      <c r="AP60" s="362"/>
      <c r="AQ60" s="362"/>
      <c r="AR60" s="362"/>
    </row>
    <row r="61" spans="1:44" ht="12.75" customHeight="1" x14ac:dyDescent="0.15">
      <c r="A61" s="431"/>
      <c r="B61" s="393"/>
      <c r="C61" s="428"/>
      <c r="D61" s="428">
        <v>597329.74972980097</v>
      </c>
      <c r="E61" s="224">
        <v>108703.08771438139</v>
      </c>
      <c r="F61" s="224">
        <v>4.2695933369830215</v>
      </c>
      <c r="G61" s="224">
        <v>3.8703977783798087</v>
      </c>
      <c r="H61" s="224">
        <v>2.433928331538282</v>
      </c>
      <c r="I61" s="224">
        <v>2.1233762678393182</v>
      </c>
      <c r="J61" s="224"/>
      <c r="M61" s="224">
        <f t="shared" si="6"/>
        <v>488626.66201541957</v>
      </c>
      <c r="N61" s="224">
        <f t="shared" si="7"/>
        <v>0.39919555860321276</v>
      </c>
      <c r="O61" s="224">
        <f t="shared" si="8"/>
        <v>0.31055206369896382</v>
      </c>
      <c r="Q61" s="224"/>
      <c r="R61" s="224"/>
      <c r="S61" s="429"/>
      <c r="V61" s="432"/>
      <c r="Z61" s="362"/>
      <c r="AA61" s="421"/>
      <c r="AB61" s="362"/>
      <c r="AC61" s="362"/>
      <c r="AD61" s="362"/>
      <c r="AE61" s="362"/>
      <c r="AF61" s="362"/>
      <c r="AG61" s="362"/>
      <c r="AH61" s="362"/>
      <c r="AI61" s="393"/>
      <c r="AJ61" s="393"/>
      <c r="AK61" s="362"/>
      <c r="AL61" s="362"/>
      <c r="AM61" s="362"/>
      <c r="AN61" s="421"/>
      <c r="AO61" s="362"/>
      <c r="AP61" s="362"/>
      <c r="AQ61" s="362"/>
      <c r="AR61" s="362"/>
    </row>
    <row r="62" spans="1:44" ht="12.75" customHeight="1" x14ac:dyDescent="0.15">
      <c r="A62" s="431"/>
      <c r="B62" s="393"/>
      <c r="C62" s="428"/>
      <c r="D62" s="428">
        <v>532308.08842569334</v>
      </c>
      <c r="E62" s="224">
        <v>141464.93862064197</v>
      </c>
      <c r="F62" s="224">
        <v>4.4087361114516561</v>
      </c>
      <c r="G62" s="224">
        <v>4.1539946004718677</v>
      </c>
      <c r="H62" s="224">
        <v>2.185964087197807</v>
      </c>
      <c r="I62" s="224">
        <v>1.9927892634478237</v>
      </c>
      <c r="J62" s="224"/>
      <c r="M62" s="224">
        <f t="shared" si="6"/>
        <v>390843.14980505139</v>
      </c>
      <c r="N62" s="224">
        <f t="shared" si="7"/>
        <v>0.25474151097978837</v>
      </c>
      <c r="O62" s="224">
        <f t="shared" si="8"/>
        <v>0.19317482374998329</v>
      </c>
      <c r="Q62" s="224"/>
      <c r="R62" s="224"/>
      <c r="S62" s="429"/>
      <c r="V62" s="432"/>
      <c r="Z62" s="362"/>
      <c r="AA62" s="421"/>
      <c r="AB62" s="362"/>
      <c r="AC62" s="362"/>
      <c r="AD62" s="362"/>
      <c r="AE62" s="362"/>
      <c r="AF62" s="362"/>
      <c r="AG62" s="362"/>
      <c r="AH62" s="362"/>
      <c r="AI62" s="393"/>
      <c r="AJ62" s="393"/>
      <c r="AK62" s="362"/>
      <c r="AL62" s="362"/>
      <c r="AM62" s="362"/>
      <c r="AN62" s="421"/>
      <c r="AO62" s="362"/>
      <c r="AP62" s="362"/>
      <c r="AQ62" s="362"/>
      <c r="AR62" s="362"/>
    </row>
    <row r="63" spans="1:44" ht="12.75" customHeight="1" x14ac:dyDescent="0.15">
      <c r="A63" s="431"/>
      <c r="B63" s="393"/>
      <c r="C63" s="428"/>
      <c r="D63" s="428">
        <v>600187.9781145188</v>
      </c>
      <c r="E63" s="224">
        <v>203328.01903630901</v>
      </c>
      <c r="F63" s="224">
        <v>4.2256200883333568</v>
      </c>
      <c r="G63" s="224">
        <v>4.138523454573555</v>
      </c>
      <c r="H63" s="224">
        <v>2.5861161364986236</v>
      </c>
      <c r="I63" s="224">
        <v>2.3744013339473464</v>
      </c>
      <c r="J63" s="224"/>
      <c r="M63" s="224">
        <f t="shared" si="6"/>
        <v>396859.95907820982</v>
      </c>
      <c r="N63" s="224">
        <f t="shared" si="7"/>
        <v>8.7096633759801811E-2</v>
      </c>
      <c r="O63" s="224">
        <f t="shared" si="8"/>
        <v>0.21171480255127717</v>
      </c>
      <c r="Q63" s="224"/>
      <c r="R63" s="224"/>
      <c r="S63" s="429"/>
      <c r="V63" s="432"/>
      <c r="Z63" s="362"/>
      <c r="AA63" s="421"/>
      <c r="AB63" s="362"/>
      <c r="AC63" s="362"/>
      <c r="AD63" s="362"/>
      <c r="AE63" s="362"/>
      <c r="AF63" s="362"/>
      <c r="AG63" s="362"/>
      <c r="AH63" s="362"/>
      <c r="AI63" s="393"/>
      <c r="AJ63" s="393"/>
      <c r="AK63" s="362"/>
      <c r="AL63" s="362"/>
      <c r="AM63" s="362"/>
      <c r="AN63" s="421"/>
      <c r="AO63" s="362"/>
      <c r="AP63" s="362"/>
      <c r="AQ63" s="362"/>
      <c r="AR63" s="362"/>
    </row>
    <row r="64" spans="1:44" ht="12.75" customHeight="1" x14ac:dyDescent="0.15">
      <c r="A64" s="431"/>
      <c r="B64" s="393"/>
      <c r="C64" s="428"/>
      <c r="D64" s="428">
        <v>583319.34196415718</v>
      </c>
      <c r="E64" s="224">
        <v>162868.71023246954</v>
      </c>
      <c r="F64" s="224">
        <v>4.1808705106595054</v>
      </c>
      <c r="G64" s="224">
        <v>3.9163244248897162</v>
      </c>
      <c r="H64" s="224">
        <v>2.6245151106507367</v>
      </c>
      <c r="I64" s="224">
        <v>2.5750888542533503</v>
      </c>
      <c r="J64" s="224"/>
      <c r="M64" s="224">
        <f t="shared" si="6"/>
        <v>420450.63173168764</v>
      </c>
      <c r="N64" s="224">
        <f t="shared" si="7"/>
        <v>0.26454608576978922</v>
      </c>
      <c r="O64" s="224">
        <f t="shared" si="8"/>
        <v>4.9426256397386403E-2</v>
      </c>
      <c r="Q64" s="224"/>
      <c r="R64" s="224"/>
      <c r="S64" s="429"/>
      <c r="V64" s="432"/>
      <c r="Z64" s="362"/>
      <c r="AA64" s="421"/>
      <c r="AB64" s="362"/>
      <c r="AC64" s="362"/>
      <c r="AD64" s="362"/>
      <c r="AE64" s="362"/>
      <c r="AF64" s="362"/>
      <c r="AG64" s="362"/>
      <c r="AH64" s="362"/>
      <c r="AI64" s="393"/>
      <c r="AJ64" s="393"/>
      <c r="AK64" s="362"/>
      <c r="AL64" s="362"/>
      <c r="AM64" s="362"/>
      <c r="AN64" s="421"/>
      <c r="AO64" s="362"/>
      <c r="AP64" s="362"/>
      <c r="AQ64" s="362"/>
      <c r="AR64" s="362"/>
    </row>
    <row r="65" spans="1:44" ht="12.75" customHeight="1" x14ac:dyDescent="0.15">
      <c r="A65" s="431"/>
      <c r="B65" s="393"/>
      <c r="C65" s="428"/>
      <c r="D65" s="428">
        <v>530309.81175012735</v>
      </c>
      <c r="E65" s="224">
        <v>123255.9919424789</v>
      </c>
      <c r="F65" s="224">
        <v>3.6882418803063777</v>
      </c>
      <c r="G65" s="224">
        <v>3.935782409971643</v>
      </c>
      <c r="H65" s="224">
        <v>2.2311526052584463</v>
      </c>
      <c r="I65" s="224">
        <v>1.9211265336512116</v>
      </c>
      <c r="J65" s="224"/>
      <c r="M65" s="224">
        <f t="shared" si="6"/>
        <v>407053.81980764843</v>
      </c>
      <c r="N65" s="224">
        <f t="shared" si="7"/>
        <v>-0.2475405296652653</v>
      </c>
      <c r="O65" s="224">
        <f t="shared" si="8"/>
        <v>0.31002607160723472</v>
      </c>
      <c r="Q65" s="224"/>
      <c r="R65" s="224"/>
      <c r="S65" s="429"/>
      <c r="V65" s="432"/>
      <c r="Z65" s="362"/>
      <c r="AA65" s="421"/>
      <c r="AB65" s="362"/>
      <c r="AC65" s="362"/>
      <c r="AD65" s="362"/>
      <c r="AE65" s="362"/>
      <c r="AF65" s="362"/>
      <c r="AG65" s="362"/>
      <c r="AH65" s="362"/>
      <c r="AI65" s="393"/>
      <c r="AJ65" s="393"/>
      <c r="AK65" s="362"/>
      <c r="AL65" s="362"/>
      <c r="AM65" s="362"/>
      <c r="AN65" s="421"/>
      <c r="AO65" s="362"/>
      <c r="AP65" s="362"/>
      <c r="AQ65" s="362"/>
      <c r="AR65" s="362"/>
    </row>
    <row r="66" spans="1:44" ht="12.75" customHeight="1" x14ac:dyDescent="0.15">
      <c r="A66" s="431"/>
      <c r="B66" s="393"/>
      <c r="C66" s="428"/>
      <c r="D66" s="428">
        <v>506043.93662411976</v>
      </c>
      <c r="E66" s="224">
        <v>138196.74408946061</v>
      </c>
      <c r="F66" s="224">
        <v>4.4000496251720049</v>
      </c>
      <c r="G66" s="224">
        <v>3.7065253981833468</v>
      </c>
      <c r="H66" s="224">
        <v>2.300013275514162</v>
      </c>
      <c r="I66" s="224">
        <v>2.1004480792138502</v>
      </c>
      <c r="J66" s="224"/>
      <c r="M66" s="224">
        <f t="shared" si="6"/>
        <v>367847.19253465917</v>
      </c>
      <c r="N66" s="224">
        <f t="shared" si="7"/>
        <v>0.69352422698865812</v>
      </c>
      <c r="O66" s="224">
        <f t="shared" si="8"/>
        <v>0.19956519630031178</v>
      </c>
      <c r="Q66" s="224"/>
      <c r="R66" s="224"/>
      <c r="S66" s="429"/>
      <c r="V66" s="432"/>
      <c r="Z66" s="362"/>
      <c r="AA66" s="421"/>
      <c r="AB66" s="362"/>
      <c r="AC66" s="362"/>
      <c r="AD66" s="362"/>
      <c r="AE66" s="362"/>
      <c r="AF66" s="362"/>
      <c r="AG66" s="362"/>
      <c r="AH66" s="362"/>
      <c r="AI66" s="393"/>
      <c r="AJ66" s="393"/>
      <c r="AK66" s="362"/>
      <c r="AL66" s="362"/>
      <c r="AM66" s="362"/>
      <c r="AN66" s="421"/>
      <c r="AO66" s="362"/>
      <c r="AP66" s="362"/>
      <c r="AQ66" s="362"/>
      <c r="AR66" s="362"/>
    </row>
    <row r="67" spans="1:44" ht="12.75" customHeight="1" x14ac:dyDescent="0.15">
      <c r="A67" s="431"/>
      <c r="B67" s="393"/>
      <c r="C67" s="428"/>
      <c r="D67" s="428">
        <v>655430.13690609834</v>
      </c>
      <c r="E67" s="224">
        <v>194902.79051848306</v>
      </c>
      <c r="F67" s="224">
        <v>4.4534442725750845</v>
      </c>
      <c r="G67" s="224">
        <v>4.0009882411729079</v>
      </c>
      <c r="H67" s="224">
        <v>2.5730945088237509</v>
      </c>
      <c r="I67" s="224">
        <v>2.1562228326030812</v>
      </c>
      <c r="J67" s="224"/>
      <c r="M67" s="224">
        <f t="shared" si="6"/>
        <v>460527.34638761531</v>
      </c>
      <c r="N67" s="224">
        <f t="shared" si="7"/>
        <v>0.45245603140217661</v>
      </c>
      <c r="O67" s="224">
        <f t="shared" si="8"/>
        <v>0.41687167622066967</v>
      </c>
      <c r="Q67" s="224"/>
      <c r="R67" s="224"/>
      <c r="S67" s="429"/>
      <c r="V67" s="432"/>
      <c r="Z67" s="362"/>
      <c r="AA67" s="421"/>
      <c r="AB67" s="362"/>
      <c r="AC67" s="362"/>
      <c r="AD67" s="362"/>
      <c r="AE67" s="362"/>
      <c r="AF67" s="362"/>
      <c r="AG67" s="362"/>
      <c r="AH67" s="362"/>
      <c r="AI67" s="393"/>
      <c r="AJ67" s="393"/>
      <c r="AK67" s="362"/>
      <c r="AL67" s="362"/>
      <c r="AM67" s="362"/>
      <c r="AN67" s="421"/>
      <c r="AO67" s="362"/>
      <c r="AP67" s="362"/>
      <c r="AQ67" s="362"/>
      <c r="AR67" s="362"/>
    </row>
    <row r="68" spans="1:44" ht="12.75" customHeight="1" x14ac:dyDescent="0.15">
      <c r="A68" s="431"/>
      <c r="B68" s="393"/>
      <c r="C68" s="428"/>
      <c r="D68" s="428">
        <v>592196.55713180476</v>
      </c>
      <c r="E68" s="224">
        <v>146064.30798980372</v>
      </c>
      <c r="F68" s="224">
        <v>4.3234270712963356</v>
      </c>
      <c r="G68" s="224">
        <v>3.6278860333618512</v>
      </c>
      <c r="H68" s="224">
        <v>2.4743887035404835</v>
      </c>
      <c r="I68" s="224">
        <v>1.9632765967695887</v>
      </c>
      <c r="J68" s="224"/>
      <c r="M68" s="224">
        <f t="shared" si="6"/>
        <v>446132.24914200103</v>
      </c>
      <c r="N68" s="224">
        <f t="shared" si="7"/>
        <v>0.69554103793448441</v>
      </c>
      <c r="O68" s="224">
        <f t="shared" si="8"/>
        <v>0.5111121067708948</v>
      </c>
      <c r="Q68" s="224"/>
      <c r="R68" s="224"/>
      <c r="S68" s="429"/>
      <c r="V68" s="432"/>
      <c r="Z68" s="362"/>
      <c r="AA68" s="421"/>
      <c r="AB68" s="362"/>
      <c r="AC68" s="362"/>
      <c r="AD68" s="362"/>
      <c r="AE68" s="362"/>
      <c r="AF68" s="362"/>
      <c r="AG68" s="362"/>
      <c r="AH68" s="362"/>
      <c r="AI68" s="393"/>
      <c r="AJ68" s="393"/>
      <c r="AK68" s="362"/>
      <c r="AL68" s="362"/>
      <c r="AM68" s="362"/>
      <c r="AN68" s="421"/>
      <c r="AO68" s="362"/>
      <c r="AP68" s="362"/>
      <c r="AQ68" s="362"/>
      <c r="AR68" s="362"/>
    </row>
    <row r="69" spans="1:44" ht="12.75" customHeight="1" x14ac:dyDescent="0.15">
      <c r="A69" s="431"/>
      <c r="B69" s="393"/>
      <c r="C69" s="428"/>
      <c r="D69" s="428">
        <v>619423.80957974494</v>
      </c>
      <c r="E69" s="224">
        <v>126094.47676549904</v>
      </c>
      <c r="F69" s="224">
        <v>4.8281657860269025</v>
      </c>
      <c r="G69" s="224">
        <v>4.1935333257392573</v>
      </c>
      <c r="H69" s="224">
        <v>2.6067454982686118</v>
      </c>
      <c r="I69" s="224">
        <v>2.1805957166612879</v>
      </c>
      <c r="J69" s="224"/>
      <c r="M69" s="224">
        <f t="shared" si="6"/>
        <v>493329.33281424589</v>
      </c>
      <c r="N69" s="224">
        <f t="shared" si="7"/>
        <v>0.63463246028764519</v>
      </c>
      <c r="O69" s="224">
        <f t="shared" si="8"/>
        <v>0.42614978160732386</v>
      </c>
      <c r="Q69" s="224"/>
      <c r="R69" s="224"/>
      <c r="S69" s="429"/>
      <c r="V69" s="432"/>
      <c r="Z69" s="362"/>
      <c r="AA69" s="421"/>
      <c r="AB69" s="362"/>
      <c r="AC69" s="362"/>
      <c r="AD69" s="362"/>
      <c r="AE69" s="362"/>
      <c r="AF69" s="362"/>
      <c r="AG69" s="362"/>
      <c r="AH69" s="362"/>
      <c r="AI69" s="393"/>
      <c r="AJ69" s="393"/>
      <c r="AK69" s="362"/>
      <c r="AL69" s="362"/>
      <c r="AM69" s="362"/>
      <c r="AN69" s="421"/>
      <c r="AO69" s="362"/>
      <c r="AP69" s="362"/>
      <c r="AQ69" s="362"/>
      <c r="AR69" s="362"/>
    </row>
    <row r="70" spans="1:44" ht="12.75" customHeight="1" x14ac:dyDescent="0.15">
      <c r="A70" s="431"/>
      <c r="B70" s="393"/>
      <c r="C70" s="428"/>
      <c r="D70" s="428">
        <v>508421.27739560435</v>
      </c>
      <c r="E70" s="224">
        <v>121419.42784618757</v>
      </c>
      <c r="F70" s="224">
        <v>4.4384076166479201</v>
      </c>
      <c r="G70" s="224">
        <v>3.8614319701508282</v>
      </c>
      <c r="H70" s="224">
        <v>2.7409690666112816</v>
      </c>
      <c r="I70" s="224">
        <v>2.2578993400931626</v>
      </c>
      <c r="J70" s="224"/>
      <c r="M70" s="224">
        <f t="shared" si="6"/>
        <v>387001.8495494168</v>
      </c>
      <c r="N70" s="224">
        <f t="shared" si="7"/>
        <v>0.57697564649709188</v>
      </c>
      <c r="O70" s="224">
        <f t="shared" si="8"/>
        <v>0.48306972651811897</v>
      </c>
      <c r="Q70" s="224"/>
      <c r="R70" s="224"/>
      <c r="S70" s="429"/>
      <c r="V70" s="432"/>
      <c r="Z70" s="362"/>
      <c r="AA70" s="421"/>
      <c r="AB70" s="362"/>
      <c r="AC70" s="362"/>
      <c r="AD70" s="362"/>
      <c r="AE70" s="362"/>
      <c r="AF70" s="362"/>
      <c r="AG70" s="362"/>
      <c r="AH70" s="362"/>
      <c r="AI70" s="393"/>
      <c r="AJ70" s="393"/>
      <c r="AK70" s="362"/>
      <c r="AL70" s="362"/>
      <c r="AM70" s="362"/>
      <c r="AN70" s="421"/>
      <c r="AO70" s="362"/>
      <c r="AP70" s="362"/>
      <c r="AQ70" s="362"/>
      <c r="AR70" s="362"/>
    </row>
    <row r="71" spans="1:44" ht="12.75" customHeight="1" x14ac:dyDescent="0.15">
      <c r="A71" s="431"/>
      <c r="B71" s="393"/>
      <c r="C71" s="428"/>
      <c r="D71" s="428">
        <v>707681.18365711486</v>
      </c>
      <c r="E71" s="224">
        <v>197986.71290810045</v>
      </c>
      <c r="F71" s="224">
        <v>4.5430861078364142</v>
      </c>
      <c r="G71" s="224">
        <v>4.2793064178059446</v>
      </c>
      <c r="H71" s="224">
        <v>3.0583298560163614</v>
      </c>
      <c r="I71" s="224">
        <v>2.493498640874432</v>
      </c>
      <c r="J71" s="224"/>
      <c r="M71" s="224">
        <f t="shared" si="6"/>
        <v>509694.47074901441</v>
      </c>
      <c r="N71" s="224">
        <f t="shared" si="7"/>
        <v>0.26377969003046964</v>
      </c>
      <c r="O71" s="224">
        <f t="shared" si="8"/>
        <v>0.56483121514192947</v>
      </c>
      <c r="Q71" s="224"/>
      <c r="R71" s="224"/>
      <c r="S71" s="429"/>
      <c r="V71" s="432"/>
      <c r="Z71" s="362"/>
      <c r="AA71" s="421"/>
      <c r="AB71" s="362"/>
      <c r="AC71" s="362"/>
      <c r="AD71" s="362"/>
      <c r="AE71" s="362"/>
      <c r="AF71" s="362"/>
      <c r="AG71" s="362"/>
      <c r="AH71" s="362"/>
      <c r="AI71" s="393"/>
      <c r="AJ71" s="393"/>
      <c r="AK71" s="362"/>
      <c r="AL71" s="362"/>
      <c r="AM71" s="362"/>
      <c r="AN71" s="421"/>
      <c r="AO71" s="362"/>
      <c r="AP71" s="362"/>
      <c r="AQ71" s="362"/>
      <c r="AR71" s="362"/>
    </row>
    <row r="72" spans="1:44" ht="12.75" customHeight="1" x14ac:dyDescent="0.15">
      <c r="A72" s="431"/>
      <c r="B72" s="393"/>
      <c r="C72" s="428"/>
      <c r="D72" s="428">
        <v>595453.68686074915</v>
      </c>
      <c r="E72" s="224">
        <v>130573.22270501249</v>
      </c>
      <c r="F72" s="224">
        <v>3.6776430662224713</v>
      </c>
      <c r="G72" s="224">
        <v>4.2674007869234432</v>
      </c>
      <c r="H72" s="224">
        <v>2.5447460136967974</v>
      </c>
      <c r="I72" s="224">
        <v>2.6528823508816961</v>
      </c>
      <c r="J72" s="224"/>
      <c r="M72" s="224">
        <f t="shared" si="6"/>
        <v>464880.46415573667</v>
      </c>
      <c r="N72" s="224">
        <f t="shared" si="7"/>
        <v>-0.58975772070097188</v>
      </c>
      <c r="O72" s="224">
        <f t="shared" si="8"/>
        <v>-0.10813633718489868</v>
      </c>
      <c r="Q72" s="224"/>
      <c r="R72" s="224"/>
      <c r="S72" s="429"/>
      <c r="V72" s="432"/>
      <c r="Z72" s="362"/>
      <c r="AA72" s="421"/>
      <c r="AB72" s="362"/>
      <c r="AC72" s="362"/>
      <c r="AD72" s="362"/>
      <c r="AE72" s="362"/>
      <c r="AF72" s="362"/>
      <c r="AG72" s="362"/>
      <c r="AH72" s="362"/>
      <c r="AI72" s="393"/>
      <c r="AJ72" s="393"/>
      <c r="AK72" s="362"/>
      <c r="AL72" s="362"/>
      <c r="AM72" s="362"/>
      <c r="AN72" s="421"/>
      <c r="AO72" s="362"/>
      <c r="AP72" s="362"/>
      <c r="AQ72" s="362"/>
      <c r="AR72" s="362"/>
    </row>
    <row r="73" spans="1:44" ht="12.75" customHeight="1" x14ac:dyDescent="0.15">
      <c r="A73" s="431"/>
      <c r="B73" s="393"/>
      <c r="C73" s="428"/>
      <c r="D73" s="428">
        <v>616641.48536356341</v>
      </c>
      <c r="E73" s="224">
        <v>154290.36718589129</v>
      </c>
      <c r="F73" s="224">
        <v>3.9383071923232582</v>
      </c>
      <c r="G73" s="224">
        <v>4.3320872862264395</v>
      </c>
      <c r="H73" s="224">
        <v>2.658417375281088</v>
      </c>
      <c r="I73" s="224">
        <v>2.4708471906144092</v>
      </c>
      <c r="J73" s="224"/>
      <c r="M73" s="224">
        <f t="shared" si="6"/>
        <v>462351.11817767215</v>
      </c>
      <c r="N73" s="224">
        <f t="shared" si="7"/>
        <v>-0.39378009390318125</v>
      </c>
      <c r="O73" s="224">
        <f t="shared" si="8"/>
        <v>0.18757018466667885</v>
      </c>
      <c r="Q73" s="224"/>
      <c r="R73" s="224"/>
      <c r="S73" s="429"/>
      <c r="V73" s="432"/>
      <c r="Z73" s="362"/>
      <c r="AA73" s="421"/>
      <c r="AB73" s="362"/>
      <c r="AC73" s="362"/>
      <c r="AD73" s="362"/>
      <c r="AE73" s="362"/>
      <c r="AF73" s="362"/>
      <c r="AG73" s="362"/>
      <c r="AH73" s="362"/>
      <c r="AI73" s="393"/>
      <c r="AJ73" s="393"/>
      <c r="AK73" s="362"/>
      <c r="AL73" s="362"/>
      <c r="AM73" s="362"/>
      <c r="AN73" s="421"/>
      <c r="AO73" s="362"/>
      <c r="AP73" s="362"/>
      <c r="AQ73" s="362"/>
      <c r="AR73" s="362"/>
    </row>
    <row r="74" spans="1:44" ht="12.75" customHeight="1" x14ac:dyDescent="0.15">
      <c r="A74" s="431"/>
      <c r="B74" s="393"/>
      <c r="C74" s="428"/>
      <c r="D74" s="428">
        <v>741420.61377316283</v>
      </c>
      <c r="E74" s="224">
        <v>152226.53658742108</v>
      </c>
      <c r="F74" s="224">
        <v>4.3738082437397434</v>
      </c>
      <c r="G74" s="224">
        <v>3.7039214315416533</v>
      </c>
      <c r="H74" s="224">
        <v>3.0144678390906701</v>
      </c>
      <c r="I74" s="224">
        <v>2.1856694715731737</v>
      </c>
      <c r="J74" s="224"/>
      <c r="M74" s="224">
        <f t="shared" si="6"/>
        <v>589194.07718574174</v>
      </c>
      <c r="N74" s="224">
        <f t="shared" si="7"/>
        <v>0.6698868121980901</v>
      </c>
      <c r="O74" s="224">
        <f t="shared" si="8"/>
        <v>0.82879836751749636</v>
      </c>
      <c r="Q74" s="224"/>
      <c r="R74" s="224"/>
      <c r="S74" s="429"/>
      <c r="V74" s="432"/>
      <c r="Z74" s="362"/>
      <c r="AA74" s="421"/>
      <c r="AB74" s="362"/>
      <c r="AC74" s="362"/>
      <c r="AD74" s="362"/>
      <c r="AE74" s="362"/>
      <c r="AF74" s="362"/>
      <c r="AG74" s="362"/>
      <c r="AH74" s="362"/>
      <c r="AI74" s="393"/>
      <c r="AJ74" s="393"/>
      <c r="AK74" s="362"/>
      <c r="AL74" s="362"/>
      <c r="AM74" s="362"/>
      <c r="AN74" s="421"/>
      <c r="AO74" s="362"/>
      <c r="AP74" s="362"/>
      <c r="AQ74" s="362"/>
      <c r="AR74" s="362"/>
    </row>
    <row r="75" spans="1:44" ht="12.75" customHeight="1" x14ac:dyDescent="0.15">
      <c r="A75" s="431"/>
      <c r="B75" s="393"/>
      <c r="C75" s="428"/>
      <c r="D75" s="428">
        <v>591540.96776119457</v>
      </c>
      <c r="E75" s="224">
        <v>172404.51039546228</v>
      </c>
      <c r="F75" s="224">
        <v>4.0890617024033578</v>
      </c>
      <c r="G75" s="224">
        <v>4.0490785487543528</v>
      </c>
      <c r="H75" s="224">
        <v>2.5021825333405214</v>
      </c>
      <c r="I75" s="224">
        <v>2.3576702060652104</v>
      </c>
      <c r="J75" s="224"/>
      <c r="M75" s="224">
        <f t="shared" si="6"/>
        <v>419136.45736573229</v>
      </c>
      <c r="N75" s="224">
        <f t="shared" si="7"/>
        <v>3.9983153649004954E-2</v>
      </c>
      <c r="O75" s="224">
        <f t="shared" si="8"/>
        <v>0.14451232727531105</v>
      </c>
      <c r="Q75" s="224"/>
      <c r="R75" s="224"/>
      <c r="S75" s="429"/>
      <c r="V75" s="432"/>
      <c r="Z75" s="362"/>
      <c r="AA75" s="421"/>
      <c r="AB75" s="362"/>
      <c r="AC75" s="362"/>
      <c r="AD75" s="362"/>
      <c r="AE75" s="362"/>
      <c r="AF75" s="362"/>
      <c r="AG75" s="362"/>
      <c r="AH75" s="362"/>
      <c r="AI75" s="393"/>
      <c r="AJ75" s="393"/>
      <c r="AK75" s="362"/>
      <c r="AL75" s="362"/>
      <c r="AM75" s="362"/>
      <c r="AN75" s="421"/>
      <c r="AO75" s="362"/>
      <c r="AP75" s="362"/>
      <c r="AQ75" s="362"/>
      <c r="AR75" s="362"/>
    </row>
    <row r="76" spans="1:44" ht="12.75" customHeight="1" x14ac:dyDescent="0.15">
      <c r="A76" s="431"/>
      <c r="B76" s="393"/>
      <c r="C76" s="428"/>
      <c r="D76" s="428">
        <v>484169.21202253411</v>
      </c>
      <c r="E76" s="224">
        <v>112920.03776376476</v>
      </c>
      <c r="F76" s="224">
        <v>4.051161913966979</v>
      </c>
      <c r="G76" s="224">
        <v>3.8250895153636586</v>
      </c>
      <c r="H76" s="224">
        <v>2.4914993057136456</v>
      </c>
      <c r="I76" s="224">
        <v>2.192522227240735</v>
      </c>
      <c r="J76" s="224"/>
      <c r="M76" s="224">
        <f t="shared" si="6"/>
        <v>371249.17425876937</v>
      </c>
      <c r="N76" s="224">
        <f t="shared" si="7"/>
        <v>0.2260723986033204</v>
      </c>
      <c r="O76" s="224">
        <f t="shared" si="8"/>
        <v>0.29897707847291066</v>
      </c>
      <c r="Q76" s="224"/>
      <c r="R76" s="224"/>
      <c r="S76" s="429"/>
      <c r="Z76" s="362"/>
      <c r="AA76" s="421"/>
      <c r="AB76" s="362"/>
      <c r="AC76" s="362"/>
      <c r="AD76" s="362"/>
      <c r="AE76" s="362"/>
      <c r="AF76" s="362"/>
      <c r="AG76" s="362"/>
      <c r="AH76" s="362"/>
      <c r="AI76" s="393"/>
      <c r="AJ76" s="393"/>
      <c r="AK76" s="362"/>
      <c r="AL76" s="362"/>
      <c r="AM76" s="362"/>
      <c r="AN76" s="421"/>
      <c r="AO76" s="362"/>
      <c r="AP76" s="362"/>
      <c r="AQ76" s="362"/>
      <c r="AR76" s="362"/>
    </row>
    <row r="77" spans="1:44" ht="12.75" customHeight="1" x14ac:dyDescent="0.15">
      <c r="A77" s="431"/>
      <c r="B77" s="393"/>
      <c r="C77" s="428"/>
      <c r="D77" s="428">
        <v>646959.43052028224</v>
      </c>
      <c r="E77" s="224">
        <v>140390.90677732704</v>
      </c>
      <c r="F77" s="224">
        <v>4.6282383392419781</v>
      </c>
      <c r="G77" s="224">
        <v>4.0848499952638102</v>
      </c>
      <c r="H77" s="224">
        <v>2.6781688839861078</v>
      </c>
      <c r="I77" s="224">
        <v>2.1087051461047195</v>
      </c>
      <c r="J77" s="224"/>
      <c r="M77" s="224">
        <f t="shared" si="6"/>
        <v>506568.52374295518</v>
      </c>
      <c r="N77" s="224">
        <f t="shared" si="7"/>
        <v>0.54338834397816793</v>
      </c>
      <c r="O77" s="224">
        <f t="shared" si="8"/>
        <v>0.56946373788138827</v>
      </c>
      <c r="Q77" s="224"/>
      <c r="R77" s="224"/>
      <c r="S77" s="429"/>
      <c r="Z77" s="362"/>
      <c r="AA77" s="421"/>
      <c r="AB77" s="362"/>
      <c r="AC77" s="362"/>
      <c r="AD77" s="362"/>
      <c r="AE77" s="362"/>
      <c r="AF77" s="362"/>
      <c r="AG77" s="362"/>
      <c r="AH77" s="362"/>
      <c r="AI77" s="393"/>
      <c r="AJ77" s="393"/>
      <c r="AK77" s="362"/>
      <c r="AL77" s="362"/>
      <c r="AM77" s="362"/>
      <c r="AN77" s="421"/>
      <c r="AO77" s="362"/>
      <c r="AP77" s="362"/>
      <c r="AQ77" s="362"/>
      <c r="AR77" s="362"/>
    </row>
    <row r="78" spans="1:44" ht="12.75" customHeight="1" x14ac:dyDescent="0.15">
      <c r="A78" s="431"/>
      <c r="B78" s="393"/>
      <c r="C78" s="428"/>
      <c r="D78" s="428">
        <v>519499.94529975986</v>
      </c>
      <c r="E78" s="224">
        <v>115168.53158504599</v>
      </c>
      <c r="F78" s="224">
        <v>4.3717871097534733</v>
      </c>
      <c r="G78" s="224">
        <v>4.2375782951742647</v>
      </c>
      <c r="H78" s="224">
        <v>2.5185799185068189</v>
      </c>
      <c r="I78" s="224">
        <v>2.2065375183129676</v>
      </c>
      <c r="J78" s="224"/>
      <c r="M78" s="224">
        <f t="shared" si="6"/>
        <v>404331.41371471388</v>
      </c>
      <c r="N78" s="224">
        <f t="shared" si="7"/>
        <v>0.13420881457920864</v>
      </c>
      <c r="O78" s="224">
        <f t="shared" si="8"/>
        <v>0.31204240019385132</v>
      </c>
      <c r="Q78" s="224"/>
      <c r="R78" s="224"/>
      <c r="S78" s="429"/>
      <c r="Z78" s="362"/>
      <c r="AA78" s="421"/>
      <c r="AB78" s="362"/>
      <c r="AC78" s="362"/>
      <c r="AD78" s="362"/>
      <c r="AE78" s="362"/>
      <c r="AF78" s="362"/>
      <c r="AG78" s="362"/>
      <c r="AH78" s="362"/>
      <c r="AI78" s="393"/>
      <c r="AJ78" s="393"/>
      <c r="AK78" s="362"/>
      <c r="AL78" s="362"/>
      <c r="AM78" s="362"/>
      <c r="AN78" s="421"/>
      <c r="AO78" s="362"/>
      <c r="AP78" s="362"/>
      <c r="AQ78" s="362"/>
      <c r="AR78" s="362"/>
    </row>
    <row r="79" spans="1:44" ht="12.75" customHeight="1" x14ac:dyDescent="0.15">
      <c r="A79" s="431"/>
      <c r="B79" s="393"/>
      <c r="C79" s="428"/>
      <c r="D79" s="428">
        <v>554589.67113003146</v>
      </c>
      <c r="E79" s="224">
        <v>161862.56278266912</v>
      </c>
      <c r="F79" s="224">
        <v>4.8273331706312792</v>
      </c>
      <c r="G79" s="224">
        <v>3.5891925609733719</v>
      </c>
      <c r="H79" s="224">
        <v>3.0224403543139537</v>
      </c>
      <c r="I79" s="224">
        <v>2.4201510751682314</v>
      </c>
      <c r="J79" s="224"/>
      <c r="M79" s="224">
        <f t="shared" si="6"/>
        <v>392727.10834736237</v>
      </c>
      <c r="N79" s="224">
        <f t="shared" si="7"/>
        <v>1.2381406096579073</v>
      </c>
      <c r="O79" s="224">
        <f t="shared" si="8"/>
        <v>0.60228927914572239</v>
      </c>
      <c r="Q79" s="224"/>
      <c r="R79" s="224"/>
      <c r="S79" s="429"/>
      <c r="Z79" s="362"/>
      <c r="AA79" s="421"/>
      <c r="AB79" s="362"/>
      <c r="AC79" s="362"/>
      <c r="AD79" s="362"/>
      <c r="AE79" s="362"/>
      <c r="AF79" s="362"/>
      <c r="AG79" s="362"/>
      <c r="AH79" s="362"/>
      <c r="AI79" s="393"/>
      <c r="AJ79" s="393"/>
      <c r="AK79" s="362"/>
      <c r="AL79" s="362"/>
      <c r="AM79" s="362"/>
      <c r="AN79" s="421"/>
      <c r="AO79" s="362"/>
      <c r="AP79" s="362"/>
      <c r="AQ79" s="362"/>
      <c r="AR79" s="362"/>
    </row>
    <row r="80" spans="1:44" ht="12.75" customHeight="1" x14ac:dyDescent="0.15">
      <c r="A80" s="431"/>
      <c r="B80" s="393"/>
      <c r="C80" s="428"/>
      <c r="D80" s="428">
        <v>785569.00253215001</v>
      </c>
      <c r="E80" s="224">
        <v>137584.42470384849</v>
      </c>
      <c r="F80" s="224">
        <v>4.3603125015202107</v>
      </c>
      <c r="G80" s="224">
        <v>4.1242290981381009</v>
      </c>
      <c r="H80" s="224">
        <v>2.8678031175296956</v>
      </c>
      <c r="I80" s="224">
        <v>2.1746509407015959</v>
      </c>
      <c r="J80" s="224"/>
      <c r="M80" s="224">
        <f t="shared" si="6"/>
        <v>647984.57782830158</v>
      </c>
      <c r="N80" s="224">
        <f t="shared" si="7"/>
        <v>0.23608340338210976</v>
      </c>
      <c r="O80" s="224">
        <f t="shared" si="8"/>
        <v>0.69315217682809971</v>
      </c>
      <c r="Q80" s="224"/>
      <c r="R80" s="224"/>
      <c r="S80" s="429"/>
      <c r="Z80" s="362"/>
      <c r="AA80" s="421"/>
      <c r="AB80" s="362"/>
      <c r="AC80" s="362"/>
      <c r="AD80" s="362"/>
      <c r="AE80" s="362"/>
      <c r="AF80" s="362"/>
      <c r="AG80" s="362"/>
      <c r="AH80" s="362"/>
      <c r="AI80" s="393"/>
      <c r="AJ80" s="393"/>
      <c r="AK80" s="362"/>
      <c r="AL80" s="362"/>
      <c r="AM80" s="362"/>
      <c r="AN80" s="421"/>
      <c r="AO80" s="362"/>
      <c r="AP80" s="362"/>
      <c r="AQ80" s="362"/>
      <c r="AR80" s="362"/>
    </row>
    <row r="81" spans="1:44" ht="12.75" customHeight="1" x14ac:dyDescent="0.15">
      <c r="A81" s="431"/>
      <c r="B81" s="393"/>
      <c r="C81" s="428"/>
      <c r="D81" s="428">
        <v>550520.36950978008</v>
      </c>
      <c r="E81" s="224">
        <v>145457.90839916174</v>
      </c>
      <c r="F81" s="224">
        <v>4.439757898863145</v>
      </c>
      <c r="G81" s="224">
        <v>4.1960437294802704</v>
      </c>
      <c r="H81" s="224">
        <v>2.6059602151738548</v>
      </c>
      <c r="I81" s="224">
        <v>2.2582721018793115</v>
      </c>
      <c r="J81" s="224"/>
      <c r="M81" s="224">
        <f t="shared" si="6"/>
        <v>405062.46111061831</v>
      </c>
      <c r="N81" s="224">
        <f t="shared" si="7"/>
        <v>0.2437141693828746</v>
      </c>
      <c r="O81" s="224">
        <f t="shared" si="8"/>
        <v>0.3476881132945433</v>
      </c>
      <c r="Q81" s="224"/>
      <c r="R81" s="224"/>
      <c r="S81" s="429"/>
      <c r="Z81" s="362"/>
      <c r="AA81" s="421"/>
      <c r="AB81" s="362"/>
      <c r="AC81" s="362"/>
      <c r="AD81" s="362"/>
      <c r="AE81" s="362"/>
      <c r="AF81" s="362"/>
      <c r="AG81" s="362"/>
      <c r="AH81" s="362"/>
      <c r="AI81" s="393"/>
      <c r="AJ81" s="393"/>
      <c r="AK81" s="362"/>
      <c r="AL81" s="362"/>
      <c r="AM81" s="362"/>
      <c r="AN81" s="421"/>
      <c r="AO81" s="362"/>
      <c r="AP81" s="362"/>
      <c r="AQ81" s="362"/>
      <c r="AR81" s="362"/>
    </row>
    <row r="82" spans="1:44" ht="12.75" customHeight="1" x14ac:dyDescent="0.15">
      <c r="A82" s="431"/>
      <c r="B82" s="393"/>
      <c r="C82" s="428"/>
      <c r="D82" s="428">
        <v>620934.33557321969</v>
      </c>
      <c r="E82" s="224">
        <v>164243.82402390672</v>
      </c>
      <c r="F82" s="224">
        <v>4.4985556281158869</v>
      </c>
      <c r="G82" s="224">
        <v>3.506926143202918</v>
      </c>
      <c r="H82" s="224">
        <v>2.6534052488788289</v>
      </c>
      <c r="I82" s="224">
        <v>1.9904102767674881</v>
      </c>
      <c r="J82" s="224"/>
      <c r="M82" s="224">
        <f t="shared" ref="M82:M145" si="9">+D82-E82</f>
        <v>456690.51154931297</v>
      </c>
      <c r="N82" s="224">
        <f t="shared" ref="N82:N145" si="10">+F82-G82</f>
        <v>0.99162948491296898</v>
      </c>
      <c r="O82" s="224">
        <f t="shared" ref="O82:O145" si="11">+H82-I82</f>
        <v>0.66299497211134084</v>
      </c>
      <c r="Q82" s="224"/>
      <c r="R82" s="224"/>
      <c r="S82" s="429"/>
      <c r="Z82" s="362"/>
      <c r="AA82" s="421"/>
      <c r="AB82" s="362"/>
      <c r="AC82" s="362"/>
      <c r="AD82" s="362"/>
      <c r="AE82" s="362"/>
      <c r="AF82" s="362"/>
      <c r="AG82" s="362"/>
      <c r="AH82" s="362"/>
      <c r="AI82" s="393"/>
      <c r="AJ82" s="393"/>
      <c r="AK82" s="362"/>
      <c r="AL82" s="362"/>
      <c r="AM82" s="362"/>
      <c r="AN82" s="421"/>
      <c r="AO82" s="362"/>
      <c r="AP82" s="362"/>
      <c r="AQ82" s="362"/>
      <c r="AR82" s="362"/>
    </row>
    <row r="83" spans="1:44" ht="12.75" customHeight="1" x14ac:dyDescent="0.15">
      <c r="A83" s="431"/>
      <c r="B83" s="393"/>
      <c r="C83" s="428"/>
      <c r="D83" s="428">
        <v>519110.6348201161</v>
      </c>
      <c r="E83" s="224">
        <v>116376.50237777059</v>
      </c>
      <c r="F83" s="224">
        <v>3.8636149671154274</v>
      </c>
      <c r="G83" s="224">
        <v>3.3500358121326181</v>
      </c>
      <c r="H83" s="224">
        <v>2.7073227994153051</v>
      </c>
      <c r="I83" s="224">
        <v>2.3019475510916054</v>
      </c>
      <c r="J83" s="224"/>
      <c r="M83" s="224">
        <f t="shared" si="9"/>
        <v>402734.13244234549</v>
      </c>
      <c r="N83" s="224">
        <f t="shared" si="10"/>
        <v>0.51357915498280926</v>
      </c>
      <c r="O83" s="224">
        <f t="shared" si="11"/>
        <v>0.40537524832369964</v>
      </c>
      <c r="Q83" s="224"/>
      <c r="R83" s="224"/>
      <c r="S83" s="429"/>
      <c r="Z83" s="362"/>
      <c r="AA83" s="421"/>
      <c r="AB83" s="362"/>
      <c r="AC83" s="362"/>
      <c r="AD83" s="362"/>
      <c r="AE83" s="362"/>
      <c r="AF83" s="362"/>
      <c r="AG83" s="362"/>
      <c r="AH83" s="362"/>
      <c r="AI83" s="393"/>
      <c r="AJ83" s="393"/>
      <c r="AK83" s="362"/>
      <c r="AL83" s="362"/>
      <c r="AM83" s="362"/>
      <c r="AN83" s="421"/>
      <c r="AO83" s="362"/>
      <c r="AP83" s="362"/>
      <c r="AQ83" s="362"/>
      <c r="AR83" s="362"/>
    </row>
    <row r="84" spans="1:44" ht="12.75" customHeight="1" x14ac:dyDescent="0.15">
      <c r="A84" s="431"/>
      <c r="B84" s="393"/>
      <c r="C84" s="428"/>
      <c r="D84" s="428">
        <v>562319.11451565847</v>
      </c>
      <c r="E84" s="224">
        <v>173004.70858360219</v>
      </c>
      <c r="F84" s="224">
        <v>4.1258872350335336</v>
      </c>
      <c r="G84" s="224">
        <v>4.1820598615466444</v>
      </c>
      <c r="H84" s="224">
        <v>2.6956983665761847</v>
      </c>
      <c r="I84" s="224">
        <v>2.6381339250400386</v>
      </c>
      <c r="J84" s="224"/>
      <c r="M84" s="224">
        <f t="shared" si="9"/>
        <v>389314.40593205625</v>
      </c>
      <c r="N84" s="224">
        <f t="shared" si="10"/>
        <v>-5.6172626513110835E-2</v>
      </c>
      <c r="O84" s="224">
        <f t="shared" si="11"/>
        <v>5.7564441536146038E-2</v>
      </c>
      <c r="Q84" s="224"/>
      <c r="R84" s="224"/>
      <c r="S84" s="429"/>
      <c r="Z84" s="362"/>
      <c r="AA84" s="421"/>
      <c r="AB84" s="362"/>
      <c r="AC84" s="362"/>
      <c r="AD84" s="362"/>
      <c r="AE84" s="362"/>
      <c r="AF84" s="362"/>
      <c r="AG84" s="362"/>
      <c r="AH84" s="362"/>
      <c r="AI84" s="393"/>
      <c r="AJ84" s="393"/>
      <c r="AK84" s="362"/>
      <c r="AL84" s="362"/>
      <c r="AM84" s="362"/>
      <c r="AN84" s="421"/>
      <c r="AO84" s="362"/>
      <c r="AP84" s="362"/>
      <c r="AQ84" s="362"/>
      <c r="AR84" s="362"/>
    </row>
    <row r="85" spans="1:44" ht="12.75" customHeight="1" x14ac:dyDescent="0.15">
      <c r="A85" s="431"/>
      <c r="B85" s="393"/>
      <c r="C85" s="428"/>
      <c r="D85" s="428">
        <v>621033.96974059648</v>
      </c>
      <c r="E85" s="224">
        <v>141678.67281398916</v>
      </c>
      <c r="F85" s="224">
        <v>5.1429064593869631</v>
      </c>
      <c r="G85" s="224">
        <v>4.1767430599205984</v>
      </c>
      <c r="H85" s="224">
        <v>2.8650768228761527</v>
      </c>
      <c r="I85" s="224">
        <v>2.1758755713624254</v>
      </c>
      <c r="J85" s="224"/>
      <c r="M85" s="224">
        <f t="shared" si="9"/>
        <v>479355.29692660732</v>
      </c>
      <c r="N85" s="224">
        <f t="shared" si="10"/>
        <v>0.96616339946636476</v>
      </c>
      <c r="O85" s="224">
        <f t="shared" si="11"/>
        <v>0.68920125151372735</v>
      </c>
      <c r="Q85" s="224"/>
      <c r="R85" s="224"/>
      <c r="S85" s="429"/>
      <c r="Z85" s="362"/>
      <c r="AA85" s="421"/>
      <c r="AB85" s="362"/>
      <c r="AC85" s="362"/>
      <c r="AD85" s="362"/>
      <c r="AE85" s="362"/>
      <c r="AF85" s="362"/>
      <c r="AG85" s="362"/>
      <c r="AH85" s="362"/>
      <c r="AI85" s="393"/>
      <c r="AJ85" s="393"/>
      <c r="AK85" s="362"/>
      <c r="AL85" s="362"/>
      <c r="AM85" s="362"/>
      <c r="AN85" s="421"/>
      <c r="AO85" s="362"/>
      <c r="AP85" s="362"/>
      <c r="AQ85" s="362"/>
      <c r="AR85" s="362"/>
    </row>
    <row r="86" spans="1:44" ht="12.75" customHeight="1" x14ac:dyDescent="0.15">
      <c r="A86" s="431"/>
      <c r="B86" s="393"/>
      <c r="C86" s="428"/>
      <c r="D86" s="428">
        <v>501652.0192492546</v>
      </c>
      <c r="E86" s="224">
        <v>105894.63317461008</v>
      </c>
      <c r="F86" s="224">
        <v>4.2210289177198312</v>
      </c>
      <c r="G86" s="224">
        <v>3.790814570800491</v>
      </c>
      <c r="H86" s="224">
        <v>2.4212494125689141</v>
      </c>
      <c r="I86" s="224">
        <v>2.0898864650345046</v>
      </c>
      <c r="J86" s="224"/>
      <c r="M86" s="224">
        <f t="shared" si="9"/>
        <v>395757.38607464451</v>
      </c>
      <c r="N86" s="224">
        <f t="shared" si="10"/>
        <v>0.43021434691934024</v>
      </c>
      <c r="O86" s="224">
        <f t="shared" si="11"/>
        <v>0.33136294753440954</v>
      </c>
      <c r="Q86" s="224"/>
      <c r="R86" s="224"/>
      <c r="S86" s="429"/>
      <c r="Z86" s="362"/>
      <c r="AA86" s="421"/>
      <c r="AB86" s="362"/>
      <c r="AC86" s="362"/>
      <c r="AD86" s="362"/>
      <c r="AE86" s="362"/>
      <c r="AF86" s="362"/>
      <c r="AG86" s="362"/>
      <c r="AH86" s="362"/>
      <c r="AI86" s="393"/>
      <c r="AJ86" s="393"/>
      <c r="AK86" s="362"/>
      <c r="AL86" s="362"/>
      <c r="AM86" s="362"/>
      <c r="AN86" s="421"/>
      <c r="AO86" s="362"/>
      <c r="AP86" s="362"/>
      <c r="AQ86" s="362"/>
      <c r="AR86" s="362"/>
    </row>
    <row r="87" spans="1:44" ht="12.75" customHeight="1" x14ac:dyDescent="0.15">
      <c r="A87" s="431"/>
      <c r="B87" s="393"/>
      <c r="C87" s="428"/>
      <c r="D87" s="428">
        <v>637034.85359181068</v>
      </c>
      <c r="E87" s="224">
        <v>157915.04160458554</v>
      </c>
      <c r="F87" s="224">
        <v>4.5054023489900228</v>
      </c>
      <c r="G87" s="224">
        <v>4.4630266100804947</v>
      </c>
      <c r="H87" s="224">
        <v>2.6708331996270096</v>
      </c>
      <c r="I87" s="224">
        <v>2.4626576446431465</v>
      </c>
      <c r="J87" s="224"/>
      <c r="M87" s="224">
        <f t="shared" si="9"/>
        <v>479119.81198722514</v>
      </c>
      <c r="N87" s="224">
        <f t="shared" si="10"/>
        <v>4.237573890952806E-2</v>
      </c>
      <c r="O87" s="224">
        <f t="shared" si="11"/>
        <v>0.20817555498386309</v>
      </c>
      <c r="Q87" s="224"/>
      <c r="R87" s="224"/>
      <c r="S87" s="429"/>
      <c r="Z87" s="362"/>
      <c r="AA87" s="421"/>
      <c r="AB87" s="362"/>
      <c r="AC87" s="362"/>
      <c r="AD87" s="362"/>
      <c r="AE87" s="362"/>
      <c r="AF87" s="362"/>
      <c r="AG87" s="362"/>
      <c r="AH87" s="362"/>
      <c r="AI87" s="393"/>
      <c r="AJ87" s="393"/>
      <c r="AK87" s="362"/>
      <c r="AL87" s="362"/>
      <c r="AM87" s="362"/>
      <c r="AN87" s="421"/>
      <c r="AO87" s="362"/>
      <c r="AP87" s="362"/>
      <c r="AQ87" s="362"/>
      <c r="AR87" s="362"/>
    </row>
    <row r="88" spans="1:44" ht="12.75" customHeight="1" x14ac:dyDescent="0.15">
      <c r="A88" s="431"/>
      <c r="B88" s="393"/>
      <c r="C88" s="428"/>
      <c r="D88" s="428">
        <v>594888.99396703462</v>
      </c>
      <c r="E88" s="224">
        <v>187044.81494325842</v>
      </c>
      <c r="F88" s="224">
        <v>4.080264339216038</v>
      </c>
      <c r="G88" s="224">
        <v>4.2549043234729425</v>
      </c>
      <c r="H88" s="224">
        <v>2.4065878288672273</v>
      </c>
      <c r="I88" s="224">
        <v>2.1215773156514035</v>
      </c>
      <c r="J88" s="224"/>
      <c r="M88" s="224">
        <f t="shared" si="9"/>
        <v>407844.1790237762</v>
      </c>
      <c r="N88" s="224">
        <f t="shared" si="10"/>
        <v>-0.17463998425690441</v>
      </c>
      <c r="O88" s="224">
        <f t="shared" si="11"/>
        <v>0.28501051321582382</v>
      </c>
      <c r="Q88" s="224"/>
      <c r="R88" s="224"/>
      <c r="S88" s="429"/>
      <c r="Z88" s="362"/>
      <c r="AA88" s="421"/>
      <c r="AB88" s="362"/>
      <c r="AC88" s="362"/>
      <c r="AD88" s="362"/>
      <c r="AE88" s="362"/>
      <c r="AF88" s="362"/>
      <c r="AG88" s="362"/>
      <c r="AH88" s="362"/>
      <c r="AI88" s="393"/>
      <c r="AJ88" s="393"/>
      <c r="AK88" s="362"/>
      <c r="AL88" s="362"/>
      <c r="AM88" s="362"/>
      <c r="AN88" s="421"/>
      <c r="AO88" s="362"/>
      <c r="AP88" s="362"/>
      <c r="AQ88" s="362"/>
      <c r="AR88" s="362"/>
    </row>
    <row r="89" spans="1:44" ht="12.75" customHeight="1" x14ac:dyDescent="0.15">
      <c r="A89" s="431"/>
      <c r="B89" s="393"/>
      <c r="C89" s="428"/>
      <c r="D89" s="428">
        <v>491516.7825838612</v>
      </c>
      <c r="E89" s="224">
        <v>178277.1041587544</v>
      </c>
      <c r="F89" s="224">
        <v>4.387170770566315</v>
      </c>
      <c r="G89" s="224">
        <v>4.2793679133810221</v>
      </c>
      <c r="H89" s="224">
        <v>2.6471267575673934</v>
      </c>
      <c r="I89" s="224">
        <v>2.5910640036414594</v>
      </c>
      <c r="J89" s="224"/>
      <c r="M89" s="224">
        <f t="shared" si="9"/>
        <v>313239.6784251068</v>
      </c>
      <c r="N89" s="224">
        <f t="shared" si="10"/>
        <v>0.10780285718529292</v>
      </c>
      <c r="O89" s="224">
        <f t="shared" si="11"/>
        <v>5.6062753925933961E-2</v>
      </c>
      <c r="Q89" s="224"/>
      <c r="R89" s="224"/>
      <c r="S89" s="429"/>
      <c r="Z89" s="362"/>
      <c r="AA89" s="421"/>
      <c r="AB89" s="362"/>
      <c r="AC89" s="362"/>
      <c r="AD89" s="362"/>
      <c r="AE89" s="362"/>
      <c r="AF89" s="362"/>
      <c r="AG89" s="362"/>
      <c r="AH89" s="362"/>
      <c r="AI89" s="393"/>
      <c r="AJ89" s="393"/>
      <c r="AK89" s="362"/>
      <c r="AL89" s="362"/>
      <c r="AM89" s="362"/>
      <c r="AN89" s="421"/>
      <c r="AO89" s="362"/>
      <c r="AP89" s="362"/>
      <c r="AQ89" s="362"/>
      <c r="AR89" s="362"/>
    </row>
    <row r="90" spans="1:44" ht="12.75" customHeight="1" x14ac:dyDescent="0.15">
      <c r="A90" s="431"/>
      <c r="B90" s="393"/>
      <c r="C90" s="428"/>
      <c r="D90" s="428">
        <v>608206.43069472618</v>
      </c>
      <c r="E90" s="224">
        <v>182582.97708720918</v>
      </c>
      <c r="F90" s="224">
        <v>4.8127804561310912</v>
      </c>
      <c r="G90" s="224">
        <v>3.6548528115830843</v>
      </c>
      <c r="H90" s="224">
        <v>2.6629152686922901</v>
      </c>
      <c r="I90" s="224">
        <v>2.0600199244074804</v>
      </c>
      <c r="J90" s="224"/>
      <c r="M90" s="224">
        <f t="shared" si="9"/>
        <v>425623.453607517</v>
      </c>
      <c r="N90" s="224">
        <f t="shared" si="10"/>
        <v>1.1579276445480069</v>
      </c>
      <c r="O90" s="224">
        <f t="shared" si="11"/>
        <v>0.60289534428480973</v>
      </c>
      <c r="Q90" s="224"/>
      <c r="R90" s="224"/>
      <c r="S90" s="429"/>
      <c r="Z90" s="362"/>
      <c r="AA90" s="421"/>
      <c r="AB90" s="362"/>
      <c r="AC90" s="362"/>
      <c r="AD90" s="362"/>
      <c r="AE90" s="362"/>
      <c r="AF90" s="362"/>
      <c r="AG90" s="362"/>
      <c r="AH90" s="362"/>
      <c r="AI90" s="393"/>
      <c r="AJ90" s="393"/>
      <c r="AK90" s="362"/>
      <c r="AL90" s="362"/>
      <c r="AM90" s="362"/>
      <c r="AN90" s="421"/>
      <c r="AO90" s="362"/>
      <c r="AP90" s="362"/>
      <c r="AQ90" s="362"/>
      <c r="AR90" s="362"/>
    </row>
    <row r="91" spans="1:44" ht="12.75" customHeight="1" x14ac:dyDescent="0.15">
      <c r="A91" s="431"/>
      <c r="B91" s="393"/>
      <c r="C91" s="428"/>
      <c r="D91" s="428">
        <v>560716.12819489266</v>
      </c>
      <c r="E91" s="224">
        <v>125384.93231536823</v>
      </c>
      <c r="F91" s="224">
        <v>4.1636885977138025</v>
      </c>
      <c r="G91" s="224">
        <v>3.600237826536036</v>
      </c>
      <c r="H91" s="224">
        <v>2.2945653653607412</v>
      </c>
      <c r="I91" s="224">
        <v>1.6825057213989987</v>
      </c>
      <c r="J91" s="224"/>
      <c r="M91" s="224">
        <f t="shared" si="9"/>
        <v>435331.19587952446</v>
      </c>
      <c r="N91" s="224">
        <f t="shared" si="10"/>
        <v>0.56345077117776654</v>
      </c>
      <c r="O91" s="224">
        <f t="shared" si="11"/>
        <v>0.61205964396174251</v>
      </c>
      <c r="Q91" s="224"/>
      <c r="R91" s="224"/>
      <c r="S91" s="429"/>
      <c r="Z91" s="362"/>
      <c r="AA91" s="421"/>
      <c r="AB91" s="362"/>
      <c r="AC91" s="362"/>
      <c r="AD91" s="362"/>
      <c r="AE91" s="362"/>
      <c r="AF91" s="362"/>
      <c r="AG91" s="362"/>
      <c r="AH91" s="362"/>
      <c r="AI91" s="393"/>
      <c r="AJ91" s="393"/>
      <c r="AK91" s="362"/>
      <c r="AL91" s="362"/>
      <c r="AM91" s="362"/>
      <c r="AN91" s="421"/>
      <c r="AO91" s="362"/>
      <c r="AP91" s="362"/>
      <c r="AQ91" s="362"/>
      <c r="AR91" s="362"/>
    </row>
    <row r="92" spans="1:44" ht="12.75" customHeight="1" x14ac:dyDescent="0.15">
      <c r="A92" s="431"/>
      <c r="B92" s="393"/>
      <c r="C92" s="428"/>
      <c r="D92" s="428">
        <v>599813.20631315338</v>
      </c>
      <c r="E92" s="224">
        <v>114507.78723547672</v>
      </c>
      <c r="F92" s="224">
        <v>4.7581508728710755</v>
      </c>
      <c r="G92" s="224">
        <v>4.0205934764589628</v>
      </c>
      <c r="H92" s="224">
        <v>2.5345413244311659</v>
      </c>
      <c r="I92" s="224">
        <v>1.9597632966185161</v>
      </c>
      <c r="J92" s="224"/>
      <c r="M92" s="224">
        <f t="shared" si="9"/>
        <v>485305.41907767666</v>
      </c>
      <c r="N92" s="224">
        <f t="shared" si="10"/>
        <v>0.73755739641211271</v>
      </c>
      <c r="O92" s="224">
        <f t="shared" si="11"/>
        <v>0.57477802781264975</v>
      </c>
      <c r="Q92" s="224"/>
      <c r="R92" s="224"/>
      <c r="S92" s="429"/>
      <c r="Z92" s="362"/>
      <c r="AA92" s="421"/>
      <c r="AB92" s="362"/>
      <c r="AC92" s="362"/>
      <c r="AD92" s="362"/>
      <c r="AE92" s="362"/>
      <c r="AF92" s="362"/>
      <c r="AG92" s="362"/>
      <c r="AH92" s="362"/>
      <c r="AI92" s="393"/>
      <c r="AJ92" s="393"/>
      <c r="AK92" s="362"/>
      <c r="AL92" s="362"/>
      <c r="AM92" s="362"/>
      <c r="AN92" s="421"/>
      <c r="AO92" s="362"/>
      <c r="AP92" s="362"/>
      <c r="AQ92" s="362"/>
      <c r="AR92" s="362"/>
    </row>
    <row r="93" spans="1:44" ht="12.75" customHeight="1" x14ac:dyDescent="0.15">
      <c r="A93" s="431"/>
      <c r="B93" s="393"/>
      <c r="C93" s="428"/>
      <c r="D93" s="428">
        <v>590209.9689819843</v>
      </c>
      <c r="E93" s="224">
        <v>134968.2466373067</v>
      </c>
      <c r="F93" s="224">
        <v>4.2538036099776537</v>
      </c>
      <c r="G93" s="224">
        <v>3.5995630624642421</v>
      </c>
      <c r="H93" s="224">
        <v>2.6204115117169948</v>
      </c>
      <c r="I93" s="224">
        <v>2.2718702494416974</v>
      </c>
      <c r="J93" s="224"/>
      <c r="M93" s="224">
        <f t="shared" si="9"/>
        <v>455241.7223446776</v>
      </c>
      <c r="N93" s="224">
        <f t="shared" si="10"/>
        <v>0.65424054751341165</v>
      </c>
      <c r="O93" s="224">
        <f t="shared" si="11"/>
        <v>0.34854126227529747</v>
      </c>
      <c r="Q93" s="224"/>
      <c r="R93" s="224"/>
      <c r="S93" s="429"/>
      <c r="Z93" s="362"/>
      <c r="AA93" s="421"/>
      <c r="AB93" s="362"/>
      <c r="AC93" s="362"/>
      <c r="AD93" s="362"/>
      <c r="AE93" s="362"/>
      <c r="AF93" s="362"/>
      <c r="AG93" s="362"/>
      <c r="AH93" s="362"/>
      <c r="AI93" s="393"/>
      <c r="AJ93" s="393"/>
      <c r="AK93" s="362"/>
      <c r="AL93" s="362"/>
      <c r="AM93" s="362"/>
      <c r="AN93" s="421"/>
      <c r="AO93" s="362"/>
      <c r="AP93" s="362"/>
      <c r="AQ93" s="362"/>
      <c r="AR93" s="362"/>
    </row>
    <row r="94" spans="1:44" ht="12.75" customHeight="1" x14ac:dyDescent="0.15">
      <c r="A94" s="431"/>
      <c r="B94" s="393"/>
      <c r="C94" s="428"/>
      <c r="D94" s="428">
        <v>521160.05396459746</v>
      </c>
      <c r="E94" s="224">
        <v>174026.29805302111</v>
      </c>
      <c r="F94" s="224">
        <v>4.204858519824529</v>
      </c>
      <c r="G94" s="224">
        <v>3.8830501104395463</v>
      </c>
      <c r="H94" s="224">
        <v>2.5715024762116903</v>
      </c>
      <c r="I94" s="224">
        <v>2.2799858411925573</v>
      </c>
      <c r="J94" s="224"/>
      <c r="M94" s="224">
        <f t="shared" si="9"/>
        <v>347133.75591157633</v>
      </c>
      <c r="N94" s="224">
        <f t="shared" si="10"/>
        <v>0.32180840938498267</v>
      </c>
      <c r="O94" s="224">
        <f t="shared" si="11"/>
        <v>0.29151663501913294</v>
      </c>
      <c r="Q94" s="224"/>
      <c r="R94" s="224"/>
      <c r="S94" s="429"/>
      <c r="Z94" s="362"/>
      <c r="AA94" s="421"/>
      <c r="AB94" s="362"/>
      <c r="AC94" s="362"/>
      <c r="AD94" s="362"/>
      <c r="AE94" s="362"/>
      <c r="AF94" s="362"/>
      <c r="AG94" s="362"/>
      <c r="AH94" s="362"/>
      <c r="AI94" s="393"/>
      <c r="AJ94" s="393"/>
      <c r="AK94" s="362"/>
      <c r="AL94" s="362"/>
      <c r="AM94" s="362"/>
      <c r="AN94" s="421"/>
      <c r="AO94" s="362"/>
      <c r="AP94" s="362"/>
      <c r="AQ94" s="362"/>
      <c r="AR94" s="362"/>
    </row>
    <row r="95" spans="1:44" ht="12.75" customHeight="1" x14ac:dyDescent="0.15">
      <c r="A95" s="431"/>
      <c r="B95" s="393"/>
      <c r="C95" s="428"/>
      <c r="D95" s="428">
        <v>724770.99411647068</v>
      </c>
      <c r="E95" s="224">
        <v>149986.2851119517</v>
      </c>
      <c r="F95" s="224">
        <v>4.2378886622809606</v>
      </c>
      <c r="G95" s="224">
        <v>4.1427125724167206</v>
      </c>
      <c r="H95" s="224">
        <v>3.1311823691724414</v>
      </c>
      <c r="I95" s="224">
        <v>2.6081448344159939</v>
      </c>
      <c r="J95" s="224"/>
      <c r="M95" s="224">
        <f t="shared" si="9"/>
        <v>574784.70900451904</v>
      </c>
      <c r="N95" s="224">
        <f t="shared" si="10"/>
        <v>9.5176089864239977E-2</v>
      </c>
      <c r="O95" s="224">
        <f t="shared" si="11"/>
        <v>0.52303753475644754</v>
      </c>
      <c r="Q95" s="224"/>
      <c r="R95" s="224"/>
      <c r="S95" s="429"/>
      <c r="Z95" s="362"/>
      <c r="AA95" s="421"/>
      <c r="AB95" s="362"/>
      <c r="AC95" s="362"/>
      <c r="AD95" s="362"/>
      <c r="AE95" s="362"/>
      <c r="AF95" s="362"/>
      <c r="AG95" s="362"/>
      <c r="AH95" s="362"/>
      <c r="AI95" s="393"/>
      <c r="AJ95" s="393"/>
      <c r="AK95" s="362"/>
      <c r="AL95" s="362"/>
      <c r="AM95" s="362"/>
      <c r="AN95" s="421"/>
      <c r="AO95" s="362"/>
      <c r="AP95" s="362"/>
      <c r="AQ95" s="362"/>
      <c r="AR95" s="362"/>
    </row>
    <row r="96" spans="1:44" ht="12.75" customHeight="1" x14ac:dyDescent="0.15">
      <c r="A96" s="431"/>
      <c r="B96" s="393"/>
      <c r="C96" s="428"/>
      <c r="D96" s="428">
        <v>549054.8796529338</v>
      </c>
      <c r="E96" s="224">
        <v>155962.58241380355</v>
      </c>
      <c r="F96" s="224">
        <v>4.2502206938188758</v>
      </c>
      <c r="G96" s="224">
        <v>3.7576463303971512</v>
      </c>
      <c r="H96" s="224">
        <v>2.7671585940743677</v>
      </c>
      <c r="I96" s="224">
        <v>2.248546172453322</v>
      </c>
      <c r="J96" s="224"/>
      <c r="M96" s="224">
        <f t="shared" si="9"/>
        <v>393092.29723913025</v>
      </c>
      <c r="N96" s="224">
        <f t="shared" si="10"/>
        <v>0.49257436342172456</v>
      </c>
      <c r="O96" s="224">
        <f t="shared" si="11"/>
        <v>0.5186124216210457</v>
      </c>
      <c r="Q96" s="224"/>
      <c r="R96" s="224"/>
      <c r="S96" s="429"/>
      <c r="Z96" s="362"/>
      <c r="AA96" s="421"/>
      <c r="AB96" s="362"/>
      <c r="AC96" s="362"/>
      <c r="AD96" s="362"/>
      <c r="AE96" s="362"/>
      <c r="AF96" s="362"/>
      <c r="AG96" s="362"/>
      <c r="AH96" s="362"/>
      <c r="AI96" s="393"/>
      <c r="AJ96" s="393"/>
      <c r="AK96" s="362"/>
      <c r="AL96" s="362"/>
      <c r="AM96" s="362"/>
      <c r="AN96" s="421"/>
      <c r="AO96" s="362"/>
      <c r="AP96" s="362"/>
      <c r="AQ96" s="362"/>
      <c r="AR96" s="362"/>
    </row>
    <row r="97" spans="1:44" ht="12.75" customHeight="1" x14ac:dyDescent="0.15">
      <c r="A97" s="431"/>
      <c r="B97" s="393"/>
      <c r="C97" s="428"/>
      <c r="D97" s="428">
        <v>667641.89209463284</v>
      </c>
      <c r="E97" s="224">
        <v>192681.64568726544</v>
      </c>
      <c r="F97" s="224">
        <v>4.5068055017803683</v>
      </c>
      <c r="G97" s="224">
        <v>3.9276483784167899</v>
      </c>
      <c r="H97" s="224">
        <v>2.8040607261521049</v>
      </c>
      <c r="I97" s="224">
        <v>2.2936666847785663</v>
      </c>
      <c r="J97" s="224"/>
      <c r="M97" s="224">
        <f t="shared" si="9"/>
        <v>474960.24640736741</v>
      </c>
      <c r="N97" s="224">
        <f t="shared" si="10"/>
        <v>0.57915712336357839</v>
      </c>
      <c r="O97" s="224">
        <f t="shared" si="11"/>
        <v>0.51039404137353861</v>
      </c>
      <c r="Q97" s="224"/>
      <c r="R97" s="224"/>
      <c r="S97" s="429"/>
      <c r="Z97" s="362"/>
      <c r="AA97" s="421"/>
      <c r="AB97" s="362"/>
      <c r="AC97" s="362"/>
      <c r="AD97" s="362"/>
      <c r="AE97" s="362"/>
      <c r="AF97" s="362"/>
      <c r="AG97" s="362"/>
      <c r="AH97" s="362"/>
      <c r="AI97" s="393"/>
      <c r="AJ97" s="393"/>
      <c r="AK97" s="362"/>
      <c r="AL97" s="362"/>
      <c r="AM97" s="362"/>
      <c r="AN97" s="421"/>
      <c r="AO97" s="362"/>
      <c r="AP97" s="362"/>
      <c r="AQ97" s="362"/>
      <c r="AR97" s="362"/>
    </row>
    <row r="98" spans="1:44" ht="12.75" customHeight="1" x14ac:dyDescent="0.15">
      <c r="A98" s="431"/>
      <c r="B98" s="393"/>
      <c r="C98" s="428"/>
      <c r="D98" s="428">
        <v>557067.98169926845</v>
      </c>
      <c r="E98" s="224">
        <v>143150.19478546007</v>
      </c>
      <c r="F98" s="224">
        <v>4.3695361221968403</v>
      </c>
      <c r="G98" s="224">
        <v>3.533614794657884</v>
      </c>
      <c r="H98" s="224">
        <v>2.771975062938806</v>
      </c>
      <c r="I98" s="224">
        <v>2.1271864167404373</v>
      </c>
      <c r="J98" s="224"/>
      <c r="M98" s="224">
        <f t="shared" si="9"/>
        <v>413917.78691380838</v>
      </c>
      <c r="N98" s="224">
        <f t="shared" si="10"/>
        <v>0.83592132753895632</v>
      </c>
      <c r="O98" s="224">
        <f t="shared" si="11"/>
        <v>0.64478864619836873</v>
      </c>
      <c r="Q98" s="224"/>
      <c r="R98" s="224"/>
      <c r="S98" s="429"/>
      <c r="Z98" s="362"/>
      <c r="AA98" s="421"/>
      <c r="AB98" s="362"/>
      <c r="AC98" s="362"/>
      <c r="AD98" s="362"/>
      <c r="AE98" s="362"/>
      <c r="AF98" s="362"/>
      <c r="AG98" s="362"/>
      <c r="AH98" s="362"/>
      <c r="AI98" s="393"/>
      <c r="AJ98" s="393"/>
      <c r="AK98" s="362"/>
      <c r="AL98" s="362"/>
      <c r="AM98" s="362"/>
      <c r="AN98" s="421"/>
      <c r="AO98" s="362"/>
      <c r="AP98" s="362"/>
      <c r="AQ98" s="362"/>
      <c r="AR98" s="362"/>
    </row>
    <row r="99" spans="1:44" ht="12.75" customHeight="1" x14ac:dyDescent="0.15">
      <c r="A99" s="431"/>
      <c r="B99" s="393"/>
      <c r="C99" s="428"/>
      <c r="D99" s="428">
        <v>504043.37306934706</v>
      </c>
      <c r="E99" s="224">
        <v>147000.76233848956</v>
      </c>
      <c r="F99" s="224">
        <v>3.7862208239820223</v>
      </c>
      <c r="G99" s="224">
        <v>3.6909063354504053</v>
      </c>
      <c r="H99" s="224">
        <v>2.3252836153499983</v>
      </c>
      <c r="I99" s="224">
        <v>2.2202295744708382</v>
      </c>
      <c r="J99" s="224"/>
      <c r="M99" s="224">
        <f t="shared" si="9"/>
        <v>357042.61073085747</v>
      </c>
      <c r="N99" s="224">
        <f t="shared" si="10"/>
        <v>9.5314488531617059E-2</v>
      </c>
      <c r="O99" s="224">
        <f t="shared" si="11"/>
        <v>0.10505404087916004</v>
      </c>
      <c r="Q99" s="224"/>
      <c r="R99" s="224"/>
      <c r="S99" s="429"/>
      <c r="Z99" s="362"/>
      <c r="AA99" s="421"/>
      <c r="AB99" s="362"/>
      <c r="AC99" s="362"/>
      <c r="AD99" s="362"/>
      <c r="AE99" s="362"/>
      <c r="AF99" s="362"/>
      <c r="AG99" s="362"/>
      <c r="AH99" s="362"/>
      <c r="AI99" s="393"/>
      <c r="AJ99" s="393"/>
      <c r="AK99" s="362"/>
      <c r="AL99" s="362"/>
      <c r="AM99" s="362"/>
      <c r="AN99" s="421"/>
      <c r="AO99" s="362"/>
      <c r="AP99" s="362"/>
      <c r="AQ99" s="362"/>
      <c r="AR99" s="362"/>
    </row>
    <row r="100" spans="1:44" ht="12.75" customHeight="1" x14ac:dyDescent="0.15">
      <c r="A100" s="431"/>
      <c r="B100" s="393"/>
      <c r="C100" s="428"/>
      <c r="D100" s="428">
        <v>624315.20812632621</v>
      </c>
      <c r="E100" s="224">
        <v>166108.08894730583</v>
      </c>
      <c r="F100" s="224">
        <v>4.4018527599378832</v>
      </c>
      <c r="G100" s="224">
        <v>3.8103494738948416</v>
      </c>
      <c r="H100" s="224">
        <v>2.914259470531479</v>
      </c>
      <c r="I100" s="224">
        <v>2.3634683038238702</v>
      </c>
      <c r="J100" s="224"/>
      <c r="M100" s="224">
        <f t="shared" si="9"/>
        <v>458207.1191790204</v>
      </c>
      <c r="N100" s="224">
        <f t="shared" si="10"/>
        <v>0.59150328604304159</v>
      </c>
      <c r="O100" s="224">
        <f t="shared" si="11"/>
        <v>0.55079116670760886</v>
      </c>
      <c r="Q100" s="224"/>
      <c r="R100" s="224"/>
      <c r="S100" s="429"/>
      <c r="Z100" s="362"/>
      <c r="AA100" s="421"/>
      <c r="AB100" s="362"/>
      <c r="AC100" s="362"/>
      <c r="AD100" s="362"/>
      <c r="AE100" s="362"/>
      <c r="AF100" s="362"/>
      <c r="AG100" s="362"/>
      <c r="AH100" s="362"/>
      <c r="AI100" s="393"/>
      <c r="AJ100" s="393"/>
      <c r="AK100" s="362"/>
      <c r="AL100" s="362"/>
      <c r="AM100" s="362"/>
      <c r="AN100" s="421"/>
      <c r="AO100" s="362"/>
      <c r="AP100" s="362"/>
      <c r="AQ100" s="362"/>
      <c r="AR100" s="362"/>
    </row>
    <row r="101" spans="1:44" ht="12.75" customHeight="1" x14ac:dyDescent="0.15">
      <c r="A101" s="431"/>
      <c r="B101" s="393"/>
      <c r="C101" s="428"/>
      <c r="D101" s="428">
        <v>596249.23745058535</v>
      </c>
      <c r="E101" s="224">
        <v>170773.22227162309</v>
      </c>
      <c r="F101" s="224">
        <v>4.6519724338513457</v>
      </c>
      <c r="G101" s="224">
        <v>4.1347812328522515</v>
      </c>
      <c r="H101" s="224">
        <v>2.6922415436041076</v>
      </c>
      <c r="I101" s="224">
        <v>2.3913725814160607</v>
      </c>
      <c r="J101" s="224"/>
      <c r="M101" s="224">
        <f t="shared" si="9"/>
        <v>425476.01517896226</v>
      </c>
      <c r="N101" s="224">
        <f t="shared" si="10"/>
        <v>0.51719120099909421</v>
      </c>
      <c r="O101" s="224">
        <f t="shared" si="11"/>
        <v>0.30086896218804693</v>
      </c>
      <c r="Q101" s="224"/>
      <c r="R101" s="224"/>
      <c r="S101" s="429"/>
      <c r="Z101" s="362"/>
      <c r="AA101" s="421"/>
      <c r="AB101" s="362"/>
      <c r="AC101" s="362"/>
      <c r="AD101" s="362"/>
      <c r="AE101" s="362"/>
      <c r="AF101" s="362"/>
      <c r="AG101" s="362"/>
      <c r="AH101" s="362"/>
      <c r="AI101" s="393"/>
      <c r="AJ101" s="393"/>
      <c r="AK101" s="362"/>
      <c r="AL101" s="362"/>
      <c r="AM101" s="362"/>
      <c r="AN101" s="421"/>
      <c r="AO101" s="362"/>
      <c r="AP101" s="362"/>
      <c r="AQ101" s="362"/>
      <c r="AR101" s="362"/>
    </row>
    <row r="102" spans="1:44" ht="12.75" customHeight="1" x14ac:dyDescent="0.15">
      <c r="A102" s="431"/>
      <c r="B102" s="393"/>
      <c r="C102" s="428"/>
      <c r="D102" s="428">
        <v>530887.78880448767</v>
      </c>
      <c r="E102" s="224">
        <v>157363.79735348499</v>
      </c>
      <c r="F102" s="224">
        <v>4.2824021150571054</v>
      </c>
      <c r="G102" s="224">
        <v>3.6344015683646984</v>
      </c>
      <c r="H102" s="224">
        <v>2.8786886343748828</v>
      </c>
      <c r="I102" s="224">
        <v>2.4020987992262781</v>
      </c>
      <c r="J102" s="224"/>
      <c r="M102" s="224">
        <f t="shared" si="9"/>
        <v>373523.99145100266</v>
      </c>
      <c r="N102" s="224">
        <f t="shared" si="10"/>
        <v>0.64800054669240703</v>
      </c>
      <c r="O102" s="224">
        <f t="shared" si="11"/>
        <v>0.47658983514860465</v>
      </c>
      <c r="Q102" s="224"/>
      <c r="R102" s="224"/>
      <c r="S102" s="429"/>
      <c r="Z102" s="362"/>
      <c r="AA102" s="421"/>
      <c r="AB102" s="362"/>
      <c r="AC102" s="362"/>
      <c r="AD102" s="362"/>
      <c r="AE102" s="362"/>
      <c r="AF102" s="362"/>
      <c r="AG102" s="362"/>
      <c r="AH102" s="362"/>
      <c r="AI102" s="393"/>
      <c r="AJ102" s="393"/>
      <c r="AK102" s="362"/>
      <c r="AL102" s="362"/>
      <c r="AM102" s="362"/>
      <c r="AN102" s="421"/>
      <c r="AO102" s="362"/>
      <c r="AP102" s="362"/>
      <c r="AQ102" s="362"/>
      <c r="AR102" s="362"/>
    </row>
    <row r="103" spans="1:44" ht="12.75" customHeight="1" x14ac:dyDescent="0.15">
      <c r="A103" s="431"/>
      <c r="B103" s="393"/>
      <c r="C103" s="428"/>
      <c r="D103" s="428">
        <v>541163.49252055539</v>
      </c>
      <c r="E103" s="224">
        <v>161272.64325100972</v>
      </c>
      <c r="F103" s="224">
        <v>4.3848981933135303</v>
      </c>
      <c r="G103" s="224">
        <v>3.6351520636806427</v>
      </c>
      <c r="H103" s="224">
        <v>2.6173419692843227</v>
      </c>
      <c r="I103" s="224">
        <v>2.1878787322516104</v>
      </c>
      <c r="J103" s="224"/>
      <c r="M103" s="224">
        <f t="shared" si="9"/>
        <v>379890.84926954564</v>
      </c>
      <c r="N103" s="224">
        <f t="shared" si="10"/>
        <v>0.74974612963288756</v>
      </c>
      <c r="O103" s="224">
        <f t="shared" si="11"/>
        <v>0.42946323703271228</v>
      </c>
      <c r="Q103" s="224"/>
      <c r="R103" s="224"/>
      <c r="S103" s="429"/>
      <c r="Z103" s="362"/>
      <c r="AA103" s="421"/>
      <c r="AB103" s="362"/>
      <c r="AC103" s="362"/>
      <c r="AD103" s="362"/>
      <c r="AE103" s="362"/>
      <c r="AF103" s="362"/>
      <c r="AG103" s="362"/>
      <c r="AH103" s="362"/>
      <c r="AI103" s="393"/>
      <c r="AJ103" s="393"/>
      <c r="AK103" s="362"/>
      <c r="AL103" s="362"/>
      <c r="AM103" s="362"/>
      <c r="AN103" s="421"/>
      <c r="AO103" s="362"/>
      <c r="AP103" s="362"/>
      <c r="AQ103" s="362"/>
      <c r="AR103" s="362"/>
    </row>
    <row r="104" spans="1:44" ht="12.75" customHeight="1" x14ac:dyDescent="0.15">
      <c r="A104" s="431"/>
      <c r="B104" s="393"/>
      <c r="C104" s="428"/>
      <c r="D104" s="428">
        <v>553069.7692432364</v>
      </c>
      <c r="E104" s="224">
        <v>105606.16288566688</v>
      </c>
      <c r="F104" s="224">
        <v>4.7115958035669578</v>
      </c>
      <c r="G104" s="224">
        <v>3.6462308392126048</v>
      </c>
      <c r="H104" s="224">
        <v>2.8782239963769958</v>
      </c>
      <c r="I104" s="224">
        <v>2.1976674751682332</v>
      </c>
      <c r="J104" s="224"/>
      <c r="M104" s="224">
        <f t="shared" si="9"/>
        <v>447463.60635756952</v>
      </c>
      <c r="N104" s="224">
        <f t="shared" si="10"/>
        <v>1.065364964354353</v>
      </c>
      <c r="O104" s="224">
        <f t="shared" si="11"/>
        <v>0.68055652120876253</v>
      </c>
      <c r="Q104" s="224"/>
      <c r="R104" s="224"/>
      <c r="S104" s="429"/>
      <c r="Z104" s="362"/>
      <c r="AA104" s="421"/>
      <c r="AB104" s="362"/>
      <c r="AC104" s="362"/>
      <c r="AD104" s="362"/>
      <c r="AE104" s="362"/>
      <c r="AF104" s="362"/>
      <c r="AG104" s="362"/>
      <c r="AH104" s="362"/>
      <c r="AI104" s="393"/>
      <c r="AJ104" s="393"/>
      <c r="AK104" s="362"/>
      <c r="AL104" s="362"/>
      <c r="AM104" s="362"/>
      <c r="AN104" s="421"/>
      <c r="AO104" s="362"/>
      <c r="AP104" s="362"/>
      <c r="AQ104" s="362"/>
      <c r="AR104" s="362"/>
    </row>
    <row r="105" spans="1:44" ht="12.75" customHeight="1" x14ac:dyDescent="0.15">
      <c r="A105" s="431"/>
      <c r="B105" s="393"/>
      <c r="C105" s="428"/>
      <c r="D105" s="428">
        <v>448786.36245043605</v>
      </c>
      <c r="E105" s="224">
        <v>116481.7814291611</v>
      </c>
      <c r="F105" s="224">
        <v>3.8101400521771538</v>
      </c>
      <c r="G105" s="224">
        <v>3.9431638853418791</v>
      </c>
      <c r="H105" s="224">
        <v>2.1535968602052762</v>
      </c>
      <c r="I105" s="224">
        <v>2.0226452339566729</v>
      </c>
      <c r="J105" s="224"/>
      <c r="M105" s="224">
        <f t="shared" si="9"/>
        <v>332304.58102127496</v>
      </c>
      <c r="N105" s="224">
        <f t="shared" si="10"/>
        <v>-0.13302383316472532</v>
      </c>
      <c r="O105" s="224">
        <f t="shared" si="11"/>
        <v>0.13095162624860324</v>
      </c>
      <c r="Q105" s="224"/>
      <c r="R105" s="224"/>
      <c r="S105" s="429"/>
      <c r="Z105" s="362"/>
      <c r="AA105" s="421"/>
      <c r="AB105" s="362"/>
      <c r="AC105" s="362"/>
      <c r="AD105" s="362"/>
      <c r="AE105" s="362"/>
      <c r="AF105" s="362"/>
      <c r="AG105" s="362"/>
      <c r="AH105" s="362"/>
      <c r="AI105" s="393"/>
      <c r="AJ105" s="393"/>
      <c r="AK105" s="362"/>
      <c r="AL105" s="362"/>
      <c r="AM105" s="362"/>
      <c r="AN105" s="421"/>
      <c r="AO105" s="362"/>
      <c r="AP105" s="362"/>
      <c r="AQ105" s="362"/>
      <c r="AR105" s="362"/>
    </row>
    <row r="106" spans="1:44" ht="12.75" customHeight="1" x14ac:dyDescent="0.15">
      <c r="A106" s="431"/>
      <c r="B106" s="393"/>
      <c r="C106" s="428"/>
      <c r="D106" s="428">
        <v>573377.5345310159</v>
      </c>
      <c r="E106" s="224">
        <v>123424.92872620132</v>
      </c>
      <c r="F106" s="224">
        <v>4.0708073024831455</v>
      </c>
      <c r="G106" s="224">
        <v>4.201636930542862</v>
      </c>
      <c r="H106" s="224">
        <v>2.6868820705094492</v>
      </c>
      <c r="I106" s="224">
        <v>2.5642746293231555</v>
      </c>
      <c r="J106" s="224"/>
      <c r="M106" s="224">
        <f t="shared" si="9"/>
        <v>449952.60580481461</v>
      </c>
      <c r="N106" s="224">
        <f t="shared" si="10"/>
        <v>-0.13082962805971654</v>
      </c>
      <c r="O106" s="224">
        <f t="shared" si="11"/>
        <v>0.12260744118629363</v>
      </c>
      <c r="Q106" s="224"/>
      <c r="R106" s="224"/>
      <c r="S106" s="429"/>
      <c r="Z106" s="362"/>
      <c r="AA106" s="421"/>
      <c r="AB106" s="362"/>
      <c r="AC106" s="362"/>
      <c r="AD106" s="362"/>
      <c r="AE106" s="362"/>
      <c r="AF106" s="362"/>
      <c r="AG106" s="362"/>
      <c r="AH106" s="362"/>
      <c r="AI106" s="393"/>
      <c r="AJ106" s="393"/>
      <c r="AK106" s="362"/>
      <c r="AL106" s="362"/>
      <c r="AM106" s="362"/>
      <c r="AN106" s="421"/>
      <c r="AO106" s="362"/>
      <c r="AP106" s="362"/>
      <c r="AQ106" s="362"/>
      <c r="AR106" s="362"/>
    </row>
    <row r="107" spans="1:44" ht="12.75" customHeight="1" x14ac:dyDescent="0.15">
      <c r="A107" s="431"/>
      <c r="B107" s="393"/>
      <c r="C107" s="428"/>
      <c r="D107" s="428">
        <v>578556.00722486177</v>
      </c>
      <c r="E107" s="224">
        <v>118194.47324950303</v>
      </c>
      <c r="F107" s="224">
        <v>5.0637237091338108</v>
      </c>
      <c r="G107" s="224">
        <v>4.0973626099081359</v>
      </c>
      <c r="H107" s="224">
        <v>3.0009272469990065</v>
      </c>
      <c r="I107" s="224">
        <v>2.3811461963075065</v>
      </c>
      <c r="J107" s="224"/>
      <c r="M107" s="224">
        <f t="shared" si="9"/>
        <v>460361.5339753587</v>
      </c>
      <c r="N107" s="224">
        <f t="shared" si="10"/>
        <v>0.96636109922567481</v>
      </c>
      <c r="O107" s="224">
        <f t="shared" si="11"/>
        <v>0.61978105069150002</v>
      </c>
      <c r="Q107" s="224"/>
      <c r="R107" s="224"/>
      <c r="S107" s="429"/>
      <c r="Z107" s="362"/>
      <c r="AA107" s="421"/>
      <c r="AB107" s="362"/>
      <c r="AC107" s="362"/>
      <c r="AD107" s="362"/>
      <c r="AE107" s="362"/>
      <c r="AF107" s="362"/>
      <c r="AG107" s="362"/>
      <c r="AH107" s="362"/>
      <c r="AI107" s="393"/>
      <c r="AJ107" s="393"/>
      <c r="AK107" s="362"/>
      <c r="AL107" s="362"/>
      <c r="AM107" s="362"/>
      <c r="AN107" s="421"/>
      <c r="AO107" s="362"/>
      <c r="AP107" s="362"/>
      <c r="AQ107" s="362"/>
      <c r="AR107" s="362"/>
    </row>
    <row r="108" spans="1:44" ht="12.75" customHeight="1" x14ac:dyDescent="0.15">
      <c r="A108" s="431"/>
      <c r="B108" s="393"/>
      <c r="C108" s="428"/>
      <c r="D108" s="428">
        <v>573392.10198123683</v>
      </c>
      <c r="E108" s="224">
        <v>163533.49902655181</v>
      </c>
      <c r="F108" s="224">
        <v>4.1072153563106744</v>
      </c>
      <c r="G108" s="224">
        <v>4.1503867141536599</v>
      </c>
      <c r="H108" s="224">
        <v>2.412037220469204</v>
      </c>
      <c r="I108" s="224">
        <v>2.2553809472173314</v>
      </c>
      <c r="J108" s="224"/>
      <c r="M108" s="224">
        <f t="shared" si="9"/>
        <v>409858.60295468499</v>
      </c>
      <c r="N108" s="224">
        <f t="shared" si="10"/>
        <v>-4.3171357842985536E-2</v>
      </c>
      <c r="O108" s="224">
        <f t="shared" si="11"/>
        <v>0.15665627325187259</v>
      </c>
      <c r="Q108" s="224"/>
      <c r="R108" s="224"/>
      <c r="S108" s="429"/>
      <c r="Z108" s="362"/>
      <c r="AA108" s="421"/>
      <c r="AB108" s="362"/>
      <c r="AC108" s="362"/>
      <c r="AD108" s="362"/>
      <c r="AE108" s="362"/>
      <c r="AF108" s="362"/>
      <c r="AG108" s="362"/>
      <c r="AH108" s="362"/>
      <c r="AI108" s="393"/>
      <c r="AJ108" s="393"/>
      <c r="AK108" s="362"/>
      <c r="AL108" s="362"/>
      <c r="AM108" s="362"/>
      <c r="AN108" s="421"/>
      <c r="AO108" s="362"/>
      <c r="AP108" s="362"/>
      <c r="AQ108" s="362"/>
      <c r="AR108" s="362"/>
    </row>
    <row r="109" spans="1:44" ht="12.75" customHeight="1" x14ac:dyDescent="0.15">
      <c r="A109" s="431"/>
      <c r="B109" s="393"/>
      <c r="C109" s="428"/>
      <c r="D109" s="428">
        <v>546597.0988157487</v>
      </c>
      <c r="E109" s="224">
        <v>146513.37558510626</v>
      </c>
      <c r="F109" s="224">
        <v>4.879159823063187</v>
      </c>
      <c r="G109" s="224">
        <v>4.1462670572758871</v>
      </c>
      <c r="H109" s="224">
        <v>2.8232754045944373</v>
      </c>
      <c r="I109" s="224">
        <v>2.2466213846879364</v>
      </c>
      <c r="J109" s="224"/>
      <c r="M109" s="224">
        <f t="shared" si="9"/>
        <v>400083.72323064244</v>
      </c>
      <c r="N109" s="224">
        <f t="shared" si="10"/>
        <v>0.73289276578729989</v>
      </c>
      <c r="O109" s="224">
        <f t="shared" si="11"/>
        <v>0.57665401990650089</v>
      </c>
      <c r="Q109" s="224"/>
      <c r="R109" s="224"/>
      <c r="S109" s="429"/>
      <c r="Z109" s="362"/>
      <c r="AA109" s="421"/>
      <c r="AB109" s="362"/>
      <c r="AC109" s="362"/>
      <c r="AD109" s="362"/>
      <c r="AE109" s="362"/>
      <c r="AF109" s="362"/>
      <c r="AG109" s="362"/>
      <c r="AH109" s="362"/>
      <c r="AI109" s="393"/>
      <c r="AJ109" s="393"/>
      <c r="AK109" s="362"/>
      <c r="AL109" s="362"/>
      <c r="AM109" s="362"/>
      <c r="AN109" s="421"/>
      <c r="AO109" s="362"/>
      <c r="AP109" s="362"/>
      <c r="AQ109" s="362"/>
      <c r="AR109" s="362"/>
    </row>
    <row r="110" spans="1:44" ht="12.75" customHeight="1" x14ac:dyDescent="0.15">
      <c r="A110" s="431"/>
      <c r="B110" s="393"/>
      <c r="C110" s="428"/>
      <c r="D110" s="428">
        <v>616526.4162815233</v>
      </c>
      <c r="E110" s="224">
        <v>158721.69895461155</v>
      </c>
      <c r="F110" s="224">
        <v>4.5768067656664382</v>
      </c>
      <c r="G110" s="224">
        <v>4.5008008960513903</v>
      </c>
      <c r="H110" s="224">
        <v>2.8603442710944122</v>
      </c>
      <c r="I110" s="224">
        <v>2.5723284838522358</v>
      </c>
      <c r="J110" s="224"/>
      <c r="M110" s="224">
        <f t="shared" si="9"/>
        <v>457804.71732691175</v>
      </c>
      <c r="N110" s="224">
        <f t="shared" si="10"/>
        <v>7.600586961504785E-2</v>
      </c>
      <c r="O110" s="224">
        <f t="shared" si="11"/>
        <v>0.28801578724217647</v>
      </c>
      <c r="Q110" s="224"/>
      <c r="R110" s="224"/>
      <c r="S110" s="429"/>
      <c r="Z110" s="362"/>
      <c r="AA110" s="421"/>
      <c r="AB110" s="362"/>
      <c r="AC110" s="362"/>
      <c r="AD110" s="362"/>
      <c r="AE110" s="362"/>
      <c r="AF110" s="362"/>
      <c r="AG110" s="362"/>
      <c r="AH110" s="362"/>
      <c r="AI110" s="393"/>
      <c r="AJ110" s="393"/>
      <c r="AK110" s="362"/>
      <c r="AL110" s="362"/>
      <c r="AM110" s="362"/>
      <c r="AN110" s="421"/>
      <c r="AO110" s="362"/>
      <c r="AP110" s="362"/>
      <c r="AQ110" s="362"/>
      <c r="AR110" s="362"/>
    </row>
    <row r="111" spans="1:44" ht="12.75" customHeight="1" x14ac:dyDescent="0.15">
      <c r="A111" s="431"/>
      <c r="B111" s="393"/>
      <c r="C111" s="428"/>
      <c r="D111" s="428">
        <v>601592.65240103495</v>
      </c>
      <c r="E111" s="224">
        <v>191177.7506619941</v>
      </c>
      <c r="F111" s="224">
        <v>4.2849113876692027</v>
      </c>
      <c r="G111" s="224">
        <v>3.761864564591971</v>
      </c>
      <c r="H111" s="224">
        <v>2.3072681462350055</v>
      </c>
      <c r="I111" s="224">
        <v>1.9316180060234325</v>
      </c>
      <c r="J111" s="224"/>
      <c r="M111" s="224">
        <f t="shared" si="9"/>
        <v>410414.90173904086</v>
      </c>
      <c r="N111" s="224">
        <f t="shared" si="10"/>
        <v>0.5230468230772316</v>
      </c>
      <c r="O111" s="224">
        <f t="shared" si="11"/>
        <v>0.37565014021157306</v>
      </c>
      <c r="Q111" s="224"/>
      <c r="R111" s="224"/>
      <c r="S111" s="429"/>
      <c r="Z111" s="362"/>
      <c r="AA111" s="421"/>
      <c r="AB111" s="362"/>
      <c r="AC111" s="362"/>
      <c r="AD111" s="362"/>
      <c r="AE111" s="362"/>
      <c r="AF111" s="362"/>
      <c r="AG111" s="362"/>
      <c r="AH111" s="362"/>
      <c r="AI111" s="393"/>
      <c r="AJ111" s="393"/>
      <c r="AK111" s="362"/>
      <c r="AL111" s="362"/>
      <c r="AM111" s="362"/>
      <c r="AN111" s="421"/>
      <c r="AO111" s="362"/>
      <c r="AP111" s="362"/>
      <c r="AQ111" s="362"/>
      <c r="AR111" s="362"/>
    </row>
    <row r="112" spans="1:44" ht="12.75" customHeight="1" x14ac:dyDescent="0.15">
      <c r="A112" s="431"/>
      <c r="B112" s="393"/>
      <c r="C112" s="428"/>
      <c r="D112" s="428">
        <v>653932.77424566541</v>
      </c>
      <c r="E112" s="224">
        <v>245681.95420363825</v>
      </c>
      <c r="F112" s="224">
        <v>4.1959876308203086</v>
      </c>
      <c r="G112" s="224">
        <v>4.0892943265155681</v>
      </c>
      <c r="H112" s="224">
        <v>2.4908187812555425</v>
      </c>
      <c r="I112" s="224">
        <v>2.3247962590319382</v>
      </c>
      <c r="J112" s="224"/>
      <c r="M112" s="224">
        <f t="shared" si="9"/>
        <v>408250.82004202716</v>
      </c>
      <c r="N112" s="224">
        <f t="shared" si="10"/>
        <v>0.10669330430474044</v>
      </c>
      <c r="O112" s="224">
        <f t="shared" si="11"/>
        <v>0.16602252222360425</v>
      </c>
      <c r="Q112" s="224"/>
      <c r="R112" s="224"/>
      <c r="S112" s="429"/>
      <c r="Z112" s="362"/>
      <c r="AA112" s="421"/>
      <c r="AB112" s="362"/>
      <c r="AC112" s="362"/>
      <c r="AD112" s="362"/>
      <c r="AE112" s="362"/>
      <c r="AF112" s="362"/>
      <c r="AG112" s="362"/>
      <c r="AH112" s="362"/>
      <c r="AI112" s="393"/>
      <c r="AJ112" s="393"/>
      <c r="AK112" s="362"/>
      <c r="AL112" s="362"/>
      <c r="AM112" s="362"/>
      <c r="AN112" s="421"/>
      <c r="AO112" s="362"/>
      <c r="AP112" s="362"/>
      <c r="AQ112" s="362"/>
      <c r="AR112" s="362"/>
    </row>
    <row r="113" spans="1:44" ht="12.75" customHeight="1" x14ac:dyDescent="0.15">
      <c r="A113" s="431"/>
      <c r="B113" s="393"/>
      <c r="C113" s="428"/>
      <c r="D113" s="428">
        <v>615542.93567213544</v>
      </c>
      <c r="E113" s="224">
        <v>167466.4953175722</v>
      </c>
      <c r="F113" s="224">
        <v>4.4749976766285329</v>
      </c>
      <c r="G113" s="224">
        <v>3.6026400423744174</v>
      </c>
      <c r="H113" s="224">
        <v>2.7626655378411549</v>
      </c>
      <c r="I113" s="224">
        <v>2.123363959465645</v>
      </c>
      <c r="J113" s="224"/>
      <c r="M113" s="224">
        <f t="shared" si="9"/>
        <v>448076.44035456324</v>
      </c>
      <c r="N113" s="224">
        <f t="shared" si="10"/>
        <v>0.8723576342541155</v>
      </c>
      <c r="O113" s="224">
        <f t="shared" si="11"/>
        <v>0.63930157837550983</v>
      </c>
      <c r="Q113" s="224"/>
      <c r="R113" s="224"/>
      <c r="S113" s="429"/>
      <c r="Z113" s="362"/>
      <c r="AA113" s="421"/>
      <c r="AB113" s="362"/>
      <c r="AC113" s="362"/>
      <c r="AD113" s="362"/>
      <c r="AE113" s="362"/>
      <c r="AF113" s="362"/>
      <c r="AG113" s="362"/>
      <c r="AH113" s="362"/>
      <c r="AI113" s="393"/>
      <c r="AJ113" s="393"/>
      <c r="AK113" s="362"/>
      <c r="AL113" s="362"/>
      <c r="AM113" s="362"/>
      <c r="AN113" s="421"/>
      <c r="AO113" s="362"/>
      <c r="AP113" s="362"/>
      <c r="AQ113" s="362"/>
      <c r="AR113" s="362"/>
    </row>
    <row r="114" spans="1:44" ht="12.75" customHeight="1" x14ac:dyDescent="0.15">
      <c r="A114" s="431"/>
      <c r="B114" s="393"/>
      <c r="C114" s="428"/>
      <c r="D114" s="428">
        <v>608777.22829235834</v>
      </c>
      <c r="E114" s="224">
        <v>179454.23758978338</v>
      </c>
      <c r="F114" s="224">
        <v>4.2606372919732296</v>
      </c>
      <c r="G114" s="224">
        <v>3.4777554074674906</v>
      </c>
      <c r="H114" s="224">
        <v>2.8990083503443422</v>
      </c>
      <c r="I114" s="224">
        <v>2.2161047780849317</v>
      </c>
      <c r="J114" s="224"/>
      <c r="M114" s="224">
        <f t="shared" si="9"/>
        <v>429322.99070257496</v>
      </c>
      <c r="N114" s="224">
        <f t="shared" si="10"/>
        <v>0.78288188450573903</v>
      </c>
      <c r="O114" s="224">
        <f t="shared" si="11"/>
        <v>0.68290357225941056</v>
      </c>
      <c r="Q114" s="224"/>
      <c r="R114" s="224"/>
      <c r="S114" s="429"/>
      <c r="Z114" s="362"/>
      <c r="AA114" s="421"/>
      <c r="AB114" s="362"/>
      <c r="AC114" s="362"/>
      <c r="AD114" s="362"/>
      <c r="AE114" s="362"/>
      <c r="AF114" s="362"/>
      <c r="AG114" s="362"/>
      <c r="AH114" s="362"/>
      <c r="AI114" s="393"/>
      <c r="AJ114" s="393"/>
      <c r="AK114" s="362"/>
      <c r="AL114" s="362"/>
      <c r="AM114" s="362"/>
      <c r="AN114" s="421"/>
      <c r="AO114" s="362"/>
      <c r="AP114" s="362"/>
      <c r="AQ114" s="362"/>
      <c r="AR114" s="362"/>
    </row>
    <row r="115" spans="1:44" ht="12.75" customHeight="1" x14ac:dyDescent="0.15">
      <c r="A115" s="431"/>
      <c r="B115" s="393"/>
      <c r="C115" s="428"/>
      <c r="D115" s="428">
        <v>623443.9845813479</v>
      </c>
      <c r="E115" s="224">
        <v>147118.95951437065</v>
      </c>
      <c r="F115" s="224">
        <v>4.2611126238860715</v>
      </c>
      <c r="G115" s="224">
        <v>4.031831389096137</v>
      </c>
      <c r="H115" s="224">
        <v>2.6175150736115156</v>
      </c>
      <c r="I115" s="224">
        <v>2.3938724994019362</v>
      </c>
      <c r="J115" s="224"/>
      <c r="M115" s="224">
        <f t="shared" si="9"/>
        <v>476325.02506697725</v>
      </c>
      <c r="N115" s="224">
        <f t="shared" si="10"/>
        <v>0.22928123478993445</v>
      </c>
      <c r="O115" s="224">
        <f t="shared" si="11"/>
        <v>0.22364257420957934</v>
      </c>
      <c r="Q115" s="224"/>
      <c r="R115" s="224"/>
      <c r="S115" s="429"/>
      <c r="Z115" s="362"/>
      <c r="AA115" s="421"/>
      <c r="AB115" s="362"/>
      <c r="AC115" s="362"/>
      <c r="AD115" s="362"/>
      <c r="AE115" s="362"/>
      <c r="AF115" s="362"/>
      <c r="AG115" s="362"/>
      <c r="AH115" s="362"/>
      <c r="AI115" s="393"/>
      <c r="AJ115" s="393"/>
      <c r="AK115" s="362"/>
      <c r="AL115" s="362"/>
      <c r="AM115" s="362"/>
      <c r="AN115" s="421"/>
      <c r="AO115" s="362"/>
      <c r="AP115" s="362"/>
      <c r="AQ115" s="362"/>
      <c r="AR115" s="362"/>
    </row>
    <row r="116" spans="1:44" ht="12.75" customHeight="1" x14ac:dyDescent="0.15">
      <c r="A116" s="431"/>
      <c r="B116" s="393"/>
      <c r="C116" s="428"/>
      <c r="D116" s="428">
        <v>622036.64177170233</v>
      </c>
      <c r="E116" s="224">
        <v>231792.76876666976</v>
      </c>
      <c r="F116" s="224">
        <v>3.7396303212802033</v>
      </c>
      <c r="G116" s="224">
        <v>4.3218820276674395</v>
      </c>
      <c r="H116" s="224">
        <v>2.5588062455508158</v>
      </c>
      <c r="I116" s="224">
        <v>2.4462760184056092</v>
      </c>
      <c r="J116" s="224"/>
      <c r="M116" s="224">
        <f t="shared" si="9"/>
        <v>390243.87300503254</v>
      </c>
      <c r="N116" s="224">
        <f t="shared" si="10"/>
        <v>-0.58225170638723611</v>
      </c>
      <c r="O116" s="224">
        <f t="shared" si="11"/>
        <v>0.11253022714520666</v>
      </c>
      <c r="Q116" s="224"/>
      <c r="R116" s="224"/>
      <c r="S116" s="429"/>
      <c r="Z116" s="362"/>
      <c r="AA116" s="421"/>
      <c r="AB116" s="362"/>
      <c r="AC116" s="362"/>
      <c r="AD116" s="362"/>
      <c r="AE116" s="362"/>
      <c r="AF116" s="362"/>
      <c r="AG116" s="362"/>
      <c r="AH116" s="362"/>
      <c r="AI116" s="393"/>
      <c r="AJ116" s="393"/>
      <c r="AK116" s="362"/>
      <c r="AL116" s="362"/>
      <c r="AM116" s="362"/>
      <c r="AN116" s="421"/>
      <c r="AO116" s="362"/>
      <c r="AP116" s="362"/>
      <c r="AQ116" s="362"/>
      <c r="AR116" s="362"/>
    </row>
    <row r="117" spans="1:44" ht="12.75" customHeight="1" x14ac:dyDescent="0.15">
      <c r="A117" s="431"/>
      <c r="B117" s="393"/>
      <c r="C117" s="428"/>
      <c r="D117" s="428">
        <v>576139.343322951</v>
      </c>
      <c r="E117" s="224">
        <v>167364.08464704681</v>
      </c>
      <c r="F117" s="224">
        <v>3.7892212834389611</v>
      </c>
      <c r="G117" s="224">
        <v>3.8198164931925511</v>
      </c>
      <c r="H117" s="224">
        <v>2.2126440970756076</v>
      </c>
      <c r="I117" s="224">
        <v>2.135133417545374</v>
      </c>
      <c r="J117" s="224"/>
      <c r="M117" s="224">
        <f t="shared" si="9"/>
        <v>408775.25867590419</v>
      </c>
      <c r="N117" s="224">
        <f t="shared" si="10"/>
        <v>-3.059520975358998E-2</v>
      </c>
      <c r="O117" s="224">
        <f t="shared" si="11"/>
        <v>7.7510679530233606E-2</v>
      </c>
      <c r="Q117" s="224"/>
      <c r="R117" s="224"/>
      <c r="S117" s="429"/>
      <c r="Z117" s="362"/>
      <c r="AA117" s="421"/>
      <c r="AB117" s="362"/>
      <c r="AC117" s="362"/>
      <c r="AD117" s="362"/>
      <c r="AE117" s="362"/>
      <c r="AF117" s="362"/>
      <c r="AG117" s="362"/>
      <c r="AH117" s="362"/>
      <c r="AI117" s="393"/>
      <c r="AJ117" s="393"/>
      <c r="AK117" s="362"/>
      <c r="AL117" s="362"/>
      <c r="AM117" s="362"/>
      <c r="AN117" s="421"/>
      <c r="AO117" s="362"/>
      <c r="AP117" s="362"/>
      <c r="AQ117" s="362"/>
      <c r="AR117" s="362"/>
    </row>
    <row r="118" spans="1:44" ht="12.75" customHeight="1" x14ac:dyDescent="0.15">
      <c r="A118" s="431"/>
      <c r="B118" s="393"/>
      <c r="C118" s="428"/>
      <c r="D118" s="428">
        <v>742399.97996596317</v>
      </c>
      <c r="E118" s="224">
        <v>223198.23974479872</v>
      </c>
      <c r="F118" s="224">
        <v>3.7912046282044085</v>
      </c>
      <c r="G118" s="224">
        <v>3.6967498915033881</v>
      </c>
      <c r="H118" s="224">
        <v>2.9792963141181881</v>
      </c>
      <c r="I118" s="224">
        <v>2.6510675874190226</v>
      </c>
      <c r="J118" s="224"/>
      <c r="M118" s="224">
        <f t="shared" si="9"/>
        <v>519201.74022116442</v>
      </c>
      <c r="N118" s="224">
        <f t="shared" si="10"/>
        <v>9.4454736701020447E-2</v>
      </c>
      <c r="O118" s="224">
        <f t="shared" si="11"/>
        <v>0.32822872669916547</v>
      </c>
      <c r="Q118" s="224"/>
      <c r="R118" s="224"/>
      <c r="S118" s="429"/>
      <c r="Z118" s="362"/>
      <c r="AA118" s="421"/>
      <c r="AB118" s="362"/>
      <c r="AC118" s="362"/>
      <c r="AD118" s="362"/>
      <c r="AE118" s="362"/>
      <c r="AF118" s="362"/>
      <c r="AG118" s="362"/>
      <c r="AH118" s="362"/>
      <c r="AI118" s="393"/>
      <c r="AJ118" s="393"/>
      <c r="AK118" s="362"/>
      <c r="AL118" s="362"/>
      <c r="AM118" s="362"/>
      <c r="AN118" s="362"/>
      <c r="AO118" s="362"/>
      <c r="AP118" s="362"/>
      <c r="AQ118" s="362"/>
      <c r="AR118" s="362"/>
    </row>
    <row r="119" spans="1:44" ht="12.75" customHeight="1" x14ac:dyDescent="0.15">
      <c r="A119" s="431"/>
      <c r="B119" s="393"/>
      <c r="C119" s="428"/>
      <c r="D119" s="428">
        <v>623782.9315421856</v>
      </c>
      <c r="E119" s="224">
        <v>209718.95307412918</v>
      </c>
      <c r="F119" s="224">
        <v>4.6777488060624144</v>
      </c>
      <c r="G119" s="224">
        <v>4.3906416855551935</v>
      </c>
      <c r="H119" s="224">
        <v>2.6204997693181431</v>
      </c>
      <c r="I119" s="224">
        <v>2.4512238094121885</v>
      </c>
      <c r="J119" s="224"/>
      <c r="M119" s="224">
        <f t="shared" si="9"/>
        <v>414063.97846805642</v>
      </c>
      <c r="N119" s="224">
        <f t="shared" si="10"/>
        <v>0.28710712050722087</v>
      </c>
      <c r="O119" s="224">
        <f t="shared" si="11"/>
        <v>0.16927595990595456</v>
      </c>
      <c r="Q119" s="224"/>
      <c r="R119" s="224"/>
      <c r="S119" s="429"/>
      <c r="Z119" s="362"/>
      <c r="AA119" s="421"/>
      <c r="AB119" s="362"/>
      <c r="AC119" s="362"/>
      <c r="AD119" s="362"/>
      <c r="AE119" s="362"/>
      <c r="AF119" s="362"/>
      <c r="AG119" s="362"/>
      <c r="AH119" s="362"/>
      <c r="AI119" s="393"/>
      <c r="AJ119" s="393"/>
      <c r="AK119" s="362"/>
      <c r="AL119" s="362"/>
      <c r="AM119" s="362"/>
      <c r="AN119" s="362"/>
      <c r="AO119" s="362"/>
      <c r="AP119" s="362"/>
      <c r="AQ119" s="362"/>
      <c r="AR119" s="362"/>
    </row>
    <row r="120" spans="1:44" ht="12.75" customHeight="1" x14ac:dyDescent="0.15">
      <c r="A120" s="431"/>
      <c r="B120" s="393"/>
      <c r="C120" s="428"/>
      <c r="D120" s="428">
        <v>550222.31000576832</v>
      </c>
      <c r="E120" s="224">
        <v>146107.30217436317</v>
      </c>
      <c r="F120" s="224">
        <v>4.346740290545954</v>
      </c>
      <c r="G120" s="224">
        <v>4.3557024119783039</v>
      </c>
      <c r="H120" s="224">
        <v>2.8176449674135839</v>
      </c>
      <c r="I120" s="224">
        <v>2.6373410710085774</v>
      </c>
      <c r="J120" s="224"/>
      <c r="M120" s="224">
        <f t="shared" si="9"/>
        <v>404115.00783140515</v>
      </c>
      <c r="N120" s="224">
        <f t="shared" si="10"/>
        <v>-8.9621214323498677E-3</v>
      </c>
      <c r="O120" s="224">
        <f t="shared" si="11"/>
        <v>0.18030389640500655</v>
      </c>
      <c r="Q120" s="224"/>
      <c r="R120" s="224"/>
      <c r="S120" s="429"/>
      <c r="Z120" s="362"/>
      <c r="AA120" s="421"/>
      <c r="AB120" s="362"/>
      <c r="AC120" s="362"/>
      <c r="AD120" s="362"/>
      <c r="AE120" s="362"/>
      <c r="AF120" s="362"/>
      <c r="AG120" s="362"/>
      <c r="AH120" s="362"/>
      <c r="AI120" s="393"/>
      <c r="AJ120" s="393"/>
      <c r="AK120" s="362"/>
      <c r="AL120" s="362"/>
      <c r="AM120" s="362"/>
      <c r="AN120" s="362"/>
      <c r="AO120" s="362"/>
      <c r="AP120" s="362"/>
      <c r="AQ120" s="362"/>
      <c r="AR120" s="362"/>
    </row>
    <row r="121" spans="1:44" ht="12.75" customHeight="1" x14ac:dyDescent="0.15">
      <c r="A121" s="431"/>
      <c r="B121" s="393"/>
      <c r="C121" s="428"/>
      <c r="D121" s="428">
        <v>688870.67365973874</v>
      </c>
      <c r="E121" s="224">
        <v>161032.32784096838</v>
      </c>
      <c r="F121" s="224">
        <v>4.4071085977724058</v>
      </c>
      <c r="G121" s="224">
        <v>4.2574675031324807</v>
      </c>
      <c r="H121" s="224">
        <v>2.617488221206778</v>
      </c>
      <c r="I121" s="224">
        <v>2.3440745516236134</v>
      </c>
      <c r="J121" s="224"/>
      <c r="M121" s="224">
        <f t="shared" si="9"/>
        <v>527838.34581877035</v>
      </c>
      <c r="N121" s="224">
        <f t="shared" si="10"/>
        <v>0.14964109463992514</v>
      </c>
      <c r="O121" s="224">
        <f t="shared" si="11"/>
        <v>0.2734136695831646</v>
      </c>
      <c r="Q121" s="224"/>
      <c r="R121" s="224"/>
      <c r="S121" s="429"/>
      <c r="Z121" s="362"/>
      <c r="AA121" s="421"/>
      <c r="AB121" s="362"/>
      <c r="AC121" s="362"/>
      <c r="AD121" s="362"/>
      <c r="AE121" s="362"/>
      <c r="AF121" s="362"/>
      <c r="AG121" s="362"/>
      <c r="AH121" s="362"/>
      <c r="AI121" s="393"/>
      <c r="AJ121" s="393"/>
      <c r="AK121" s="362"/>
      <c r="AL121" s="362"/>
      <c r="AM121" s="362"/>
      <c r="AN121" s="362"/>
      <c r="AO121" s="362"/>
      <c r="AP121" s="362"/>
      <c r="AQ121" s="362"/>
      <c r="AR121" s="362"/>
    </row>
    <row r="122" spans="1:44" ht="12.75" customHeight="1" x14ac:dyDescent="0.15">
      <c r="A122" s="431"/>
      <c r="B122" s="393"/>
      <c r="C122" s="428"/>
      <c r="D122" s="428">
        <v>615321.85515383736</v>
      </c>
      <c r="E122" s="224">
        <v>127725.84336612614</v>
      </c>
      <c r="F122" s="224">
        <v>3.8779771798639695</v>
      </c>
      <c r="G122" s="224">
        <v>4.0674986759915495</v>
      </c>
      <c r="H122" s="224">
        <v>2.6886218969132534</v>
      </c>
      <c r="I122" s="224">
        <v>2.273598857578341</v>
      </c>
      <c r="J122" s="224"/>
      <c r="M122" s="224">
        <f t="shared" si="9"/>
        <v>487596.01178771124</v>
      </c>
      <c r="N122" s="224">
        <f t="shared" si="10"/>
        <v>-0.18952149612757996</v>
      </c>
      <c r="O122" s="224">
        <f t="shared" si="11"/>
        <v>0.41502303933491236</v>
      </c>
      <c r="Q122" s="224"/>
      <c r="R122" s="224"/>
      <c r="S122" s="429"/>
      <c r="Z122" s="362"/>
      <c r="AA122" s="421"/>
      <c r="AB122" s="362"/>
      <c r="AC122" s="362"/>
      <c r="AD122" s="362"/>
      <c r="AE122" s="362"/>
      <c r="AF122" s="362"/>
      <c r="AG122" s="362"/>
      <c r="AH122" s="362"/>
      <c r="AI122" s="393"/>
      <c r="AJ122" s="393"/>
      <c r="AK122" s="362"/>
      <c r="AL122" s="362"/>
      <c r="AM122" s="362"/>
      <c r="AN122" s="362"/>
      <c r="AO122" s="362"/>
      <c r="AP122" s="362"/>
      <c r="AQ122" s="362"/>
      <c r="AR122" s="362"/>
    </row>
    <row r="123" spans="1:44" ht="12.75" customHeight="1" x14ac:dyDescent="0.15">
      <c r="A123" s="431"/>
      <c r="B123" s="393"/>
      <c r="C123" s="428"/>
      <c r="D123" s="428">
        <v>590149.75067301374</v>
      </c>
      <c r="E123" s="224">
        <v>153488.42358259257</v>
      </c>
      <c r="F123" s="224">
        <v>4.4465715630015747</v>
      </c>
      <c r="G123" s="224">
        <v>3.9997629884328232</v>
      </c>
      <c r="H123" s="224">
        <v>2.4985415046303925</v>
      </c>
      <c r="I123" s="224">
        <v>2.1154467580325012</v>
      </c>
      <c r="J123" s="224"/>
      <c r="M123" s="224">
        <f t="shared" si="9"/>
        <v>436661.32709042117</v>
      </c>
      <c r="N123" s="224">
        <f t="shared" si="10"/>
        <v>0.44680857456875156</v>
      </c>
      <c r="O123" s="224">
        <f t="shared" si="11"/>
        <v>0.38309474659789133</v>
      </c>
      <c r="Q123" s="224"/>
      <c r="R123" s="224"/>
      <c r="S123" s="429"/>
      <c r="Z123" s="362"/>
      <c r="AA123" s="421"/>
      <c r="AB123" s="362"/>
      <c r="AC123" s="362"/>
      <c r="AD123" s="362"/>
      <c r="AE123" s="362"/>
      <c r="AF123" s="362"/>
      <c r="AG123" s="362"/>
      <c r="AH123" s="362"/>
      <c r="AI123" s="393"/>
      <c r="AJ123" s="393"/>
      <c r="AK123" s="362"/>
      <c r="AL123" s="362"/>
      <c r="AM123" s="362"/>
      <c r="AN123" s="362"/>
      <c r="AO123" s="362"/>
      <c r="AP123" s="362"/>
      <c r="AQ123" s="362"/>
      <c r="AR123" s="362"/>
    </row>
    <row r="124" spans="1:44" ht="12.75" customHeight="1" x14ac:dyDescent="0.15">
      <c r="A124" s="431"/>
      <c r="B124" s="393"/>
      <c r="C124" s="428"/>
      <c r="D124" s="428">
        <v>532981.84290298214</v>
      </c>
      <c r="E124" s="224">
        <v>119936.28019350137</v>
      </c>
      <c r="F124" s="224">
        <v>3.8377190686437141</v>
      </c>
      <c r="G124" s="224">
        <v>3.5014306695957029</v>
      </c>
      <c r="H124" s="224">
        <v>2.1288026006648519</v>
      </c>
      <c r="I124" s="224">
        <v>1.8385965385444576</v>
      </c>
      <c r="J124" s="224"/>
      <c r="M124" s="224">
        <f t="shared" si="9"/>
        <v>413045.56270948076</v>
      </c>
      <c r="N124" s="224">
        <f t="shared" si="10"/>
        <v>0.33628839904801122</v>
      </c>
      <c r="O124" s="224">
        <f t="shared" si="11"/>
        <v>0.29020606212039435</v>
      </c>
      <c r="Q124" s="224"/>
      <c r="R124" s="224"/>
      <c r="S124" s="429"/>
      <c r="Z124" s="362"/>
      <c r="AA124" s="421"/>
      <c r="AB124" s="362"/>
      <c r="AC124" s="362"/>
      <c r="AD124" s="362"/>
      <c r="AE124" s="362"/>
      <c r="AF124" s="362"/>
      <c r="AG124" s="362"/>
      <c r="AH124" s="362"/>
      <c r="AI124" s="393"/>
      <c r="AJ124" s="393"/>
      <c r="AK124" s="362"/>
      <c r="AL124" s="362"/>
      <c r="AM124" s="362"/>
      <c r="AN124" s="362"/>
      <c r="AO124" s="362"/>
      <c r="AP124" s="362"/>
      <c r="AQ124" s="362"/>
      <c r="AR124" s="362"/>
    </row>
    <row r="125" spans="1:44" ht="12.75" customHeight="1" x14ac:dyDescent="0.15">
      <c r="A125" s="431"/>
      <c r="B125" s="393"/>
      <c r="C125" s="428"/>
      <c r="D125" s="428">
        <v>534812.74818593764</v>
      </c>
      <c r="E125" s="224">
        <v>169549.22692972605</v>
      </c>
      <c r="F125" s="224">
        <v>3.9956979726706243</v>
      </c>
      <c r="G125" s="224">
        <v>4.4633621661162168</v>
      </c>
      <c r="H125" s="224">
        <v>2.6400305730898643</v>
      </c>
      <c r="I125" s="224">
        <v>2.8257761838889022</v>
      </c>
      <c r="J125" s="224"/>
      <c r="M125" s="224">
        <f t="shared" si="9"/>
        <v>365263.52125621156</v>
      </c>
      <c r="N125" s="224">
        <f t="shared" si="10"/>
        <v>-0.46766419344559251</v>
      </c>
      <c r="O125" s="224">
        <f t="shared" si="11"/>
        <v>-0.18574561079903784</v>
      </c>
      <c r="Q125" s="224"/>
      <c r="R125" s="224"/>
      <c r="S125" s="429"/>
      <c r="Z125" s="362"/>
      <c r="AA125" s="421"/>
      <c r="AB125" s="362"/>
      <c r="AC125" s="362"/>
      <c r="AD125" s="362"/>
      <c r="AE125" s="362"/>
      <c r="AF125" s="362"/>
      <c r="AG125" s="362"/>
      <c r="AH125" s="362"/>
      <c r="AI125" s="393"/>
      <c r="AJ125" s="393"/>
      <c r="AK125" s="362"/>
      <c r="AL125" s="362"/>
      <c r="AM125" s="362"/>
      <c r="AN125" s="362"/>
      <c r="AO125" s="362"/>
      <c r="AP125" s="362"/>
      <c r="AQ125" s="362"/>
      <c r="AR125" s="362"/>
    </row>
    <row r="126" spans="1:44" ht="12.75" customHeight="1" x14ac:dyDescent="0.15">
      <c r="A126" s="431"/>
      <c r="B126" s="393"/>
      <c r="C126" s="428"/>
      <c r="D126" s="428">
        <v>548255.54896674783</v>
      </c>
      <c r="E126" s="224">
        <v>140411.96676642986</v>
      </c>
      <c r="F126" s="224">
        <v>4.2014672398955328</v>
      </c>
      <c r="G126" s="224">
        <v>3.6032230480816665</v>
      </c>
      <c r="H126" s="224">
        <v>2.5990000371061837</v>
      </c>
      <c r="I126" s="224">
        <v>2.3464801557272392</v>
      </c>
      <c r="J126" s="224"/>
      <c r="M126" s="224">
        <f t="shared" si="9"/>
        <v>407843.58220031799</v>
      </c>
      <c r="N126" s="224">
        <f t="shared" si="10"/>
        <v>0.59824419181386634</v>
      </c>
      <c r="O126" s="224">
        <f t="shared" si="11"/>
        <v>0.25251988137894443</v>
      </c>
      <c r="Q126" s="224"/>
      <c r="R126" s="224"/>
      <c r="S126" s="429"/>
      <c r="Z126" s="362"/>
      <c r="AA126" s="421"/>
      <c r="AB126" s="362"/>
      <c r="AC126" s="362"/>
      <c r="AD126" s="362"/>
      <c r="AE126" s="362"/>
      <c r="AF126" s="362"/>
      <c r="AG126" s="362"/>
      <c r="AH126" s="362"/>
      <c r="AI126" s="393"/>
      <c r="AJ126" s="393"/>
      <c r="AK126" s="362"/>
      <c r="AL126" s="362"/>
      <c r="AM126" s="362"/>
      <c r="AN126" s="362"/>
      <c r="AO126" s="362"/>
      <c r="AP126" s="362"/>
      <c r="AQ126" s="362"/>
      <c r="AR126" s="362"/>
    </row>
    <row r="127" spans="1:44" ht="12.75" customHeight="1" x14ac:dyDescent="0.15">
      <c r="A127" s="431"/>
      <c r="B127" s="393"/>
      <c r="C127" s="428"/>
      <c r="D127" s="428">
        <v>624712.90998415765</v>
      </c>
      <c r="E127" s="224">
        <v>156128.36558906536</v>
      </c>
      <c r="F127" s="224">
        <v>3.9672154284921199</v>
      </c>
      <c r="G127" s="224">
        <v>4.0087917755159062</v>
      </c>
      <c r="H127" s="224">
        <v>3.0099964485414326</v>
      </c>
      <c r="I127" s="224">
        <v>2.4893465707911475</v>
      </c>
      <c r="J127" s="224"/>
      <c r="M127" s="224">
        <f t="shared" si="9"/>
        <v>468584.54439509229</v>
      </c>
      <c r="N127" s="224">
        <f t="shared" si="10"/>
        <v>-4.1576347023786209E-2</v>
      </c>
      <c r="O127" s="224">
        <f t="shared" si="11"/>
        <v>0.52064987775028504</v>
      </c>
      <c r="Q127" s="224"/>
      <c r="R127" s="224"/>
      <c r="S127" s="429"/>
      <c r="Z127" s="362"/>
      <c r="AA127" s="421"/>
      <c r="AB127" s="362"/>
      <c r="AC127" s="362"/>
      <c r="AD127" s="362"/>
      <c r="AE127" s="362"/>
      <c r="AF127" s="362"/>
      <c r="AG127" s="362"/>
      <c r="AH127" s="362"/>
      <c r="AI127" s="393"/>
      <c r="AJ127" s="393"/>
      <c r="AK127" s="362"/>
      <c r="AL127" s="362"/>
      <c r="AM127" s="362"/>
      <c r="AN127" s="362"/>
      <c r="AO127" s="362"/>
      <c r="AP127" s="362"/>
      <c r="AQ127" s="362"/>
      <c r="AR127" s="362"/>
    </row>
    <row r="128" spans="1:44" ht="12.75" customHeight="1" x14ac:dyDescent="0.15">
      <c r="A128" s="431"/>
      <c r="B128" s="393"/>
      <c r="C128" s="428"/>
      <c r="D128" s="428">
        <v>566252.88875364279</v>
      </c>
      <c r="E128" s="224">
        <v>178353.85410470748</v>
      </c>
      <c r="F128" s="224">
        <v>3.5221981894417662</v>
      </c>
      <c r="G128" s="224">
        <v>4.1307406898549166</v>
      </c>
      <c r="H128" s="224">
        <v>2.0053915634152069</v>
      </c>
      <c r="I128" s="224">
        <v>2.0736449275371478</v>
      </c>
      <c r="J128" s="224"/>
      <c r="M128" s="224">
        <f t="shared" si="9"/>
        <v>387899.03464893531</v>
      </c>
      <c r="N128" s="224">
        <f t="shared" si="10"/>
        <v>-0.60854250041315039</v>
      </c>
      <c r="O128" s="224">
        <f t="shared" si="11"/>
        <v>-6.825336412194094E-2</v>
      </c>
      <c r="Q128" s="224"/>
      <c r="R128" s="224"/>
      <c r="S128" s="429"/>
      <c r="Z128" s="362"/>
      <c r="AA128" s="421"/>
      <c r="AB128" s="362"/>
      <c r="AC128" s="362"/>
      <c r="AD128" s="362"/>
      <c r="AE128" s="362"/>
      <c r="AF128" s="362"/>
      <c r="AG128" s="362"/>
      <c r="AH128" s="362"/>
      <c r="AI128" s="393"/>
      <c r="AJ128" s="393"/>
      <c r="AK128" s="362"/>
      <c r="AL128" s="362"/>
      <c r="AM128" s="362"/>
      <c r="AN128" s="362"/>
      <c r="AO128" s="362"/>
      <c r="AP128" s="362"/>
      <c r="AQ128" s="362"/>
      <c r="AR128" s="362"/>
    </row>
    <row r="129" spans="1:44" ht="12.75" customHeight="1" x14ac:dyDescent="0.15">
      <c r="A129" s="431"/>
      <c r="B129" s="393"/>
      <c r="C129" s="428"/>
      <c r="D129" s="428">
        <v>546485.81242182478</v>
      </c>
      <c r="E129" s="224">
        <v>176274.0534265266</v>
      </c>
      <c r="F129" s="224">
        <v>4.4593504083455002</v>
      </c>
      <c r="G129" s="224">
        <v>4.2575855368614572</v>
      </c>
      <c r="H129" s="224">
        <v>2.6368553205120704</v>
      </c>
      <c r="I129" s="224">
        <v>2.4535568621715518</v>
      </c>
      <c r="J129" s="224"/>
      <c r="M129" s="224">
        <f t="shared" si="9"/>
        <v>370211.75899529818</v>
      </c>
      <c r="N129" s="224">
        <f t="shared" si="10"/>
        <v>0.20176487148404298</v>
      </c>
      <c r="O129" s="224">
        <f t="shared" si="11"/>
        <v>0.18329845834051861</v>
      </c>
      <c r="Q129" s="224"/>
      <c r="R129" s="224"/>
      <c r="S129" s="429"/>
      <c r="Z129" s="362"/>
      <c r="AA129" s="421"/>
      <c r="AB129" s="362"/>
      <c r="AC129" s="362"/>
      <c r="AD129" s="362"/>
      <c r="AE129" s="362"/>
      <c r="AF129" s="362"/>
      <c r="AG129" s="362"/>
      <c r="AH129" s="362"/>
      <c r="AI129" s="393"/>
      <c r="AJ129" s="393"/>
      <c r="AK129" s="362"/>
      <c r="AL129" s="362"/>
      <c r="AM129" s="362"/>
      <c r="AN129" s="362"/>
      <c r="AO129" s="362"/>
      <c r="AP129" s="362"/>
      <c r="AQ129" s="362"/>
      <c r="AR129" s="362"/>
    </row>
    <row r="130" spans="1:44" ht="12.75" customHeight="1" x14ac:dyDescent="0.15">
      <c r="A130" s="431"/>
      <c r="B130" s="393"/>
      <c r="C130" s="428"/>
      <c r="D130" s="428">
        <v>634247.95130525355</v>
      </c>
      <c r="E130" s="224">
        <v>244515.91363349534</v>
      </c>
      <c r="F130" s="224">
        <v>4.4464218596426299</v>
      </c>
      <c r="G130" s="224">
        <v>4.0653901143472897</v>
      </c>
      <c r="H130" s="224">
        <v>2.8758507546518448</v>
      </c>
      <c r="I130" s="224">
        <v>2.486974340492039</v>
      </c>
      <c r="J130" s="224"/>
      <c r="M130" s="224">
        <f t="shared" si="9"/>
        <v>389732.03767175821</v>
      </c>
      <c r="N130" s="224">
        <f t="shared" si="10"/>
        <v>0.38103174529534023</v>
      </c>
      <c r="O130" s="224">
        <f t="shared" si="11"/>
        <v>0.38887641415980578</v>
      </c>
      <c r="Q130" s="224"/>
      <c r="R130" s="224"/>
      <c r="S130" s="429"/>
      <c r="Z130" s="362"/>
      <c r="AA130" s="421"/>
      <c r="AB130" s="362"/>
      <c r="AC130" s="362"/>
      <c r="AD130" s="362"/>
      <c r="AE130" s="362"/>
      <c r="AF130" s="362"/>
      <c r="AG130" s="362"/>
      <c r="AH130" s="362"/>
      <c r="AI130" s="393"/>
      <c r="AJ130" s="393"/>
      <c r="AK130" s="362"/>
      <c r="AL130" s="362"/>
      <c r="AM130" s="362"/>
      <c r="AN130" s="362"/>
      <c r="AO130" s="362"/>
      <c r="AP130" s="362"/>
      <c r="AQ130" s="362"/>
      <c r="AR130" s="362"/>
    </row>
    <row r="131" spans="1:44" ht="12.75" customHeight="1" x14ac:dyDescent="0.15">
      <c r="A131" s="431"/>
      <c r="B131" s="393"/>
      <c r="C131" s="428"/>
      <c r="D131" s="428">
        <v>530837.23767774622</v>
      </c>
      <c r="E131" s="224">
        <v>133382.63494260589</v>
      </c>
      <c r="F131" s="224">
        <v>4.2169547230630995</v>
      </c>
      <c r="G131" s="224">
        <v>4.2764758758319852</v>
      </c>
      <c r="H131" s="224">
        <v>2.3963214250720628</v>
      </c>
      <c r="I131" s="224">
        <v>2.2261215022487559</v>
      </c>
      <c r="J131" s="224"/>
      <c r="M131" s="224">
        <f t="shared" si="9"/>
        <v>397454.60273514036</v>
      </c>
      <c r="N131" s="224">
        <f t="shared" si="10"/>
        <v>-5.9521152768885699E-2</v>
      </c>
      <c r="O131" s="224">
        <f t="shared" si="11"/>
        <v>0.17019992282330687</v>
      </c>
      <c r="Q131" s="224"/>
      <c r="R131" s="224"/>
      <c r="S131" s="429"/>
      <c r="Z131" s="362"/>
      <c r="AA131" s="421"/>
      <c r="AB131" s="362"/>
      <c r="AC131" s="362"/>
      <c r="AD131" s="362"/>
      <c r="AE131" s="362"/>
      <c r="AF131" s="362"/>
      <c r="AG131" s="362"/>
      <c r="AH131" s="362"/>
      <c r="AI131" s="393"/>
      <c r="AJ131" s="393"/>
      <c r="AK131" s="362"/>
      <c r="AL131" s="362"/>
      <c r="AM131" s="362"/>
      <c r="AN131" s="362"/>
      <c r="AO131" s="362"/>
      <c r="AP131" s="362"/>
      <c r="AQ131" s="362"/>
      <c r="AR131" s="362"/>
    </row>
    <row r="132" spans="1:44" ht="12.75" customHeight="1" x14ac:dyDescent="0.15">
      <c r="A132" s="431"/>
      <c r="B132" s="393"/>
      <c r="C132" s="428"/>
      <c r="D132" s="428">
        <v>644866.97964451159</v>
      </c>
      <c r="E132" s="224">
        <v>174881.92136336386</v>
      </c>
      <c r="F132" s="224">
        <v>4.455778069958293</v>
      </c>
      <c r="G132" s="224">
        <v>4.1072000938969246</v>
      </c>
      <c r="H132" s="224">
        <v>2.1576836302196223</v>
      </c>
      <c r="I132" s="224">
        <v>1.7883930579402252</v>
      </c>
      <c r="J132" s="224"/>
      <c r="M132" s="224">
        <f t="shared" si="9"/>
        <v>469985.05828114774</v>
      </c>
      <c r="N132" s="224">
        <f t="shared" si="10"/>
        <v>0.34857797606136831</v>
      </c>
      <c r="O132" s="224">
        <f t="shared" si="11"/>
        <v>0.3692905722793971</v>
      </c>
      <c r="Q132" s="224"/>
      <c r="R132" s="224"/>
      <c r="S132" s="429"/>
      <c r="Z132" s="362"/>
      <c r="AA132" s="421"/>
      <c r="AB132" s="362"/>
      <c r="AC132" s="362"/>
      <c r="AD132" s="362"/>
      <c r="AE132" s="362"/>
      <c r="AF132" s="362"/>
      <c r="AG132" s="362"/>
      <c r="AH132" s="362"/>
      <c r="AI132" s="393"/>
      <c r="AJ132" s="393"/>
      <c r="AK132" s="362"/>
      <c r="AL132" s="362"/>
      <c r="AM132" s="362"/>
      <c r="AN132" s="362"/>
      <c r="AO132" s="362"/>
      <c r="AP132" s="362"/>
      <c r="AQ132" s="362"/>
      <c r="AR132" s="362"/>
    </row>
    <row r="133" spans="1:44" ht="12.75" customHeight="1" x14ac:dyDescent="0.15">
      <c r="A133" s="431"/>
      <c r="B133" s="393"/>
      <c r="C133" s="428"/>
      <c r="D133" s="428">
        <v>577659.69948281255</v>
      </c>
      <c r="E133" s="224">
        <v>144137.43601920217</v>
      </c>
      <c r="F133" s="224">
        <v>4.4951224637965996</v>
      </c>
      <c r="G133" s="224">
        <v>3.8365171096251194</v>
      </c>
      <c r="H133" s="224">
        <v>2.7842375233544177</v>
      </c>
      <c r="I133" s="224">
        <v>2.2206435959573856</v>
      </c>
      <c r="J133" s="224"/>
      <c r="M133" s="224">
        <f t="shared" si="9"/>
        <v>433522.26346361038</v>
      </c>
      <c r="N133" s="224">
        <f t="shared" si="10"/>
        <v>0.65860535417148025</v>
      </c>
      <c r="O133" s="224">
        <f t="shared" si="11"/>
        <v>0.56359392739703207</v>
      </c>
      <c r="Q133" s="224"/>
      <c r="R133" s="224"/>
      <c r="S133" s="429"/>
      <c r="Z133" s="362"/>
      <c r="AA133" s="421"/>
      <c r="AB133" s="362"/>
      <c r="AC133" s="362"/>
      <c r="AD133" s="362"/>
      <c r="AE133" s="362"/>
      <c r="AF133" s="362"/>
      <c r="AG133" s="362"/>
      <c r="AH133" s="362"/>
      <c r="AI133" s="393"/>
      <c r="AJ133" s="393"/>
      <c r="AK133" s="362"/>
      <c r="AL133" s="362"/>
      <c r="AM133" s="362"/>
      <c r="AN133" s="362"/>
      <c r="AO133" s="362"/>
      <c r="AP133" s="362"/>
      <c r="AQ133" s="362"/>
      <c r="AR133" s="362"/>
    </row>
    <row r="134" spans="1:44" ht="12.75" customHeight="1" x14ac:dyDescent="0.15">
      <c r="A134" s="431"/>
      <c r="B134" s="393"/>
      <c r="C134" s="428"/>
      <c r="D134" s="428">
        <v>579533.36448203481</v>
      </c>
      <c r="E134" s="224">
        <v>117981.96968490364</v>
      </c>
      <c r="F134" s="224">
        <v>4.4187743544519495</v>
      </c>
      <c r="G134" s="224">
        <v>3.6981811504766258</v>
      </c>
      <c r="H134" s="224">
        <v>3.0799552874097285</v>
      </c>
      <c r="I134" s="224">
        <v>2.5218233693298666</v>
      </c>
      <c r="J134" s="224"/>
      <c r="M134" s="224">
        <f t="shared" si="9"/>
        <v>461551.39479713119</v>
      </c>
      <c r="N134" s="224">
        <f t="shared" si="10"/>
        <v>0.72059320397532378</v>
      </c>
      <c r="O134" s="224">
        <f t="shared" si="11"/>
        <v>0.55813191807986184</v>
      </c>
      <c r="Q134" s="224"/>
      <c r="R134" s="224"/>
      <c r="S134" s="429"/>
      <c r="Z134" s="362"/>
      <c r="AA134" s="421"/>
      <c r="AB134" s="362"/>
      <c r="AC134" s="362"/>
      <c r="AD134" s="362"/>
      <c r="AE134" s="362"/>
      <c r="AF134" s="362"/>
      <c r="AG134" s="362"/>
      <c r="AH134" s="362"/>
      <c r="AI134" s="393"/>
      <c r="AJ134" s="393"/>
      <c r="AK134" s="362"/>
      <c r="AL134" s="362"/>
      <c r="AM134" s="362"/>
      <c r="AN134" s="362"/>
      <c r="AO134" s="362"/>
      <c r="AP134" s="362"/>
      <c r="AQ134" s="362"/>
      <c r="AR134" s="362"/>
    </row>
    <row r="135" spans="1:44" ht="12.75" customHeight="1" x14ac:dyDescent="0.15">
      <c r="A135" s="431"/>
      <c r="B135" s="393"/>
      <c r="C135" s="428"/>
      <c r="D135" s="428">
        <v>634900.98691924033</v>
      </c>
      <c r="E135" s="224">
        <v>227309.09745877431</v>
      </c>
      <c r="F135" s="224">
        <v>4.5845627553635993</v>
      </c>
      <c r="G135" s="224">
        <v>3.8333295259933475</v>
      </c>
      <c r="H135" s="224">
        <v>2.5248276980291555</v>
      </c>
      <c r="I135" s="224">
        <v>2.1305419679982789</v>
      </c>
      <c r="J135" s="224"/>
      <c r="M135" s="224">
        <f t="shared" si="9"/>
        <v>407591.88946046599</v>
      </c>
      <c r="N135" s="224">
        <f t="shared" si="10"/>
        <v>0.75123322937025172</v>
      </c>
      <c r="O135" s="224">
        <f t="shared" si="11"/>
        <v>0.39428573003087664</v>
      </c>
      <c r="Q135" s="224"/>
      <c r="R135" s="224"/>
      <c r="S135" s="429"/>
      <c r="Z135" s="362"/>
      <c r="AA135" s="421"/>
      <c r="AB135" s="362"/>
      <c r="AC135" s="362"/>
      <c r="AD135" s="362"/>
      <c r="AE135" s="362"/>
      <c r="AF135" s="362"/>
      <c r="AG135" s="362"/>
      <c r="AH135" s="362"/>
      <c r="AI135" s="393"/>
      <c r="AJ135" s="393"/>
      <c r="AK135" s="362"/>
      <c r="AL135" s="362"/>
      <c r="AM135" s="362"/>
      <c r="AN135" s="362"/>
      <c r="AO135" s="362"/>
      <c r="AP135" s="362"/>
      <c r="AQ135" s="362"/>
      <c r="AR135" s="362"/>
    </row>
    <row r="136" spans="1:44" ht="12.75" customHeight="1" x14ac:dyDescent="0.15">
      <c r="A136" s="431"/>
      <c r="B136" s="393"/>
      <c r="C136" s="428"/>
      <c r="D136" s="428">
        <v>581375.81271410361</v>
      </c>
      <c r="E136" s="224">
        <v>110626.3364547714</v>
      </c>
      <c r="F136" s="224">
        <v>4.2375210908748704</v>
      </c>
      <c r="G136" s="224">
        <v>3.5860346413226645</v>
      </c>
      <c r="H136" s="224">
        <v>2.6036687728139305</v>
      </c>
      <c r="I136" s="224">
        <v>2.0017057768477513</v>
      </c>
      <c r="J136" s="224"/>
      <c r="M136" s="224">
        <f t="shared" si="9"/>
        <v>470749.47625933221</v>
      </c>
      <c r="N136" s="224">
        <f t="shared" si="10"/>
        <v>0.65148644955220592</v>
      </c>
      <c r="O136" s="224">
        <f t="shared" si="11"/>
        <v>0.60196299596617919</v>
      </c>
      <c r="Q136" s="224"/>
      <c r="R136" s="224"/>
      <c r="S136" s="429"/>
      <c r="Z136" s="362"/>
      <c r="AA136" s="421"/>
      <c r="AB136" s="362"/>
      <c r="AC136" s="362"/>
      <c r="AD136" s="362"/>
      <c r="AE136" s="362"/>
      <c r="AF136" s="362"/>
      <c r="AG136" s="362"/>
      <c r="AH136" s="362"/>
      <c r="AI136" s="393"/>
      <c r="AJ136" s="393"/>
      <c r="AK136" s="362"/>
      <c r="AL136" s="362"/>
      <c r="AM136" s="362"/>
      <c r="AN136" s="362"/>
      <c r="AO136" s="362"/>
      <c r="AP136" s="362"/>
      <c r="AQ136" s="362"/>
      <c r="AR136" s="362"/>
    </row>
    <row r="137" spans="1:44" ht="12.75" customHeight="1" x14ac:dyDescent="0.15">
      <c r="A137" s="431"/>
      <c r="B137" s="393"/>
      <c r="C137" s="428"/>
      <c r="D137" s="428">
        <v>699427.55608498375</v>
      </c>
      <c r="E137" s="224">
        <v>156430.03964303559</v>
      </c>
      <c r="F137" s="224">
        <v>4.6560937674321066</v>
      </c>
      <c r="G137" s="224">
        <v>4.0744799221591466</v>
      </c>
      <c r="H137" s="224">
        <v>2.3675027558024744</v>
      </c>
      <c r="I137" s="224">
        <v>1.8990343368590694</v>
      </c>
      <c r="J137" s="224"/>
      <c r="M137" s="224">
        <f t="shared" si="9"/>
        <v>542997.51644194813</v>
      </c>
      <c r="N137" s="224">
        <f t="shared" si="10"/>
        <v>0.58161384527296001</v>
      </c>
      <c r="O137" s="224">
        <f t="shared" si="11"/>
        <v>0.46846841894340496</v>
      </c>
      <c r="Q137" s="224"/>
      <c r="R137" s="224"/>
      <c r="S137" s="429"/>
      <c r="Z137" s="362"/>
      <c r="AA137" s="421"/>
      <c r="AB137" s="362"/>
      <c r="AC137" s="362"/>
      <c r="AD137" s="362"/>
      <c r="AE137" s="362"/>
      <c r="AF137" s="362"/>
      <c r="AG137" s="362"/>
      <c r="AH137" s="362"/>
      <c r="AI137" s="393"/>
      <c r="AJ137" s="393"/>
      <c r="AK137" s="362"/>
      <c r="AL137" s="362"/>
      <c r="AM137" s="362"/>
      <c r="AN137" s="362"/>
      <c r="AO137" s="362"/>
      <c r="AP137" s="362"/>
      <c r="AQ137" s="362"/>
      <c r="AR137" s="362"/>
    </row>
    <row r="138" spans="1:44" ht="12.75" customHeight="1" x14ac:dyDescent="0.15">
      <c r="A138" s="431"/>
      <c r="B138" s="393"/>
      <c r="C138" s="428"/>
      <c r="D138" s="428">
        <v>592679.44156755158</v>
      </c>
      <c r="E138" s="224">
        <v>137824.60522991611</v>
      </c>
      <c r="F138" s="224">
        <v>4.3034934162083767</v>
      </c>
      <c r="G138" s="224">
        <v>4.0542375951648388</v>
      </c>
      <c r="H138" s="224">
        <v>2.5098156594977117</v>
      </c>
      <c r="I138" s="224">
        <v>2.217471581277652</v>
      </c>
      <c r="J138" s="224"/>
      <c r="M138" s="224">
        <f t="shared" si="9"/>
        <v>454854.83633763547</v>
      </c>
      <c r="N138" s="224">
        <f t="shared" si="10"/>
        <v>0.24925582104353783</v>
      </c>
      <c r="O138" s="224">
        <f t="shared" si="11"/>
        <v>0.2923440782200597</v>
      </c>
      <c r="Q138" s="224"/>
      <c r="R138" s="224"/>
      <c r="S138" s="429"/>
      <c r="Z138" s="362"/>
      <c r="AA138" s="421"/>
      <c r="AB138" s="362"/>
      <c r="AC138" s="362"/>
      <c r="AD138" s="362"/>
      <c r="AE138" s="362"/>
      <c r="AF138" s="362"/>
      <c r="AG138" s="362"/>
      <c r="AH138" s="362"/>
      <c r="AI138" s="393"/>
      <c r="AJ138" s="393"/>
      <c r="AK138" s="362"/>
      <c r="AL138" s="362"/>
      <c r="AM138" s="362"/>
      <c r="AN138" s="362"/>
      <c r="AO138" s="362"/>
      <c r="AP138" s="362"/>
      <c r="AQ138" s="362"/>
      <c r="AR138" s="362"/>
    </row>
    <row r="139" spans="1:44" ht="12.75" customHeight="1" x14ac:dyDescent="0.15">
      <c r="A139" s="431"/>
      <c r="B139" s="393"/>
      <c r="C139" s="428"/>
      <c r="D139" s="428">
        <v>600922.79239376495</v>
      </c>
      <c r="E139" s="224">
        <v>178048.62902221474</v>
      </c>
      <c r="F139" s="224">
        <v>4.8589122329108729</v>
      </c>
      <c r="G139" s="224">
        <v>3.8155229841060176</v>
      </c>
      <c r="H139" s="224">
        <v>2.8582841891093058</v>
      </c>
      <c r="I139" s="224">
        <v>2.1628653443387029</v>
      </c>
      <c r="J139" s="224"/>
      <c r="M139" s="224">
        <f t="shared" si="9"/>
        <v>422874.16337155021</v>
      </c>
      <c r="N139" s="224">
        <f t="shared" si="10"/>
        <v>1.0433892488048553</v>
      </c>
      <c r="O139" s="224">
        <f t="shared" si="11"/>
        <v>0.6954188447706029</v>
      </c>
      <c r="Q139" s="224"/>
      <c r="R139" s="224"/>
      <c r="S139" s="429"/>
      <c r="Z139" s="362"/>
      <c r="AA139" s="421"/>
      <c r="AB139" s="362"/>
      <c r="AC139" s="362"/>
      <c r="AD139" s="362"/>
      <c r="AE139" s="362"/>
      <c r="AF139" s="362"/>
      <c r="AG139" s="362"/>
      <c r="AH139" s="362"/>
      <c r="AI139" s="393"/>
      <c r="AJ139" s="393"/>
      <c r="AK139" s="362"/>
      <c r="AL139" s="362"/>
      <c r="AM139" s="362"/>
      <c r="AN139" s="362"/>
      <c r="AO139" s="362"/>
      <c r="AP139" s="362"/>
      <c r="AQ139" s="362"/>
      <c r="AR139" s="362"/>
    </row>
    <row r="140" spans="1:44" ht="12.75" customHeight="1" x14ac:dyDescent="0.15">
      <c r="A140" s="431"/>
      <c r="B140" s="393"/>
      <c r="C140" s="428"/>
      <c r="D140" s="428">
        <v>623333.39093737479</v>
      </c>
      <c r="E140" s="224">
        <v>135264.80073094304</v>
      </c>
      <c r="F140" s="224">
        <v>5.1686626533562547</v>
      </c>
      <c r="G140" s="224">
        <v>4.0761137670126839</v>
      </c>
      <c r="H140" s="224">
        <v>3.2474921141716262</v>
      </c>
      <c r="I140" s="224">
        <v>2.6247432524408869</v>
      </c>
      <c r="J140" s="224"/>
      <c r="M140" s="224">
        <f t="shared" si="9"/>
        <v>488068.59020643175</v>
      </c>
      <c r="N140" s="224">
        <f t="shared" si="10"/>
        <v>1.0925488863435708</v>
      </c>
      <c r="O140" s="224">
        <f t="shared" si="11"/>
        <v>0.62274886173073929</v>
      </c>
      <c r="Q140" s="224"/>
      <c r="R140" s="224"/>
      <c r="S140" s="429"/>
      <c r="Z140" s="362"/>
      <c r="AA140" s="421"/>
      <c r="AB140" s="362"/>
      <c r="AC140" s="362"/>
      <c r="AD140" s="362"/>
      <c r="AE140" s="362"/>
      <c r="AF140" s="362"/>
      <c r="AG140" s="362"/>
      <c r="AH140" s="362"/>
      <c r="AI140" s="393"/>
      <c r="AJ140" s="393"/>
      <c r="AK140" s="362"/>
      <c r="AL140" s="362"/>
      <c r="AM140" s="362"/>
      <c r="AN140" s="362"/>
      <c r="AO140" s="362"/>
      <c r="AP140" s="362"/>
      <c r="AQ140" s="362"/>
      <c r="AR140" s="362"/>
    </row>
    <row r="141" spans="1:44" ht="12.75" customHeight="1" x14ac:dyDescent="0.15">
      <c r="A141" s="431"/>
      <c r="B141" s="393"/>
      <c r="C141" s="428"/>
      <c r="D141" s="428">
        <v>579455.83556921128</v>
      </c>
      <c r="E141" s="224">
        <v>184461.66188075571</v>
      </c>
      <c r="F141" s="224">
        <v>4.4891126786858875</v>
      </c>
      <c r="G141" s="224">
        <v>3.8313649883128629</v>
      </c>
      <c r="H141" s="224">
        <v>2.5410880497650128</v>
      </c>
      <c r="I141" s="224">
        <v>2.0418586767151248</v>
      </c>
      <c r="J141" s="224"/>
      <c r="M141" s="224">
        <f t="shared" si="9"/>
        <v>394994.1736884556</v>
      </c>
      <c r="N141" s="224">
        <f t="shared" si="10"/>
        <v>0.65774769037302461</v>
      </c>
      <c r="O141" s="224">
        <f t="shared" si="11"/>
        <v>0.49922937304988801</v>
      </c>
      <c r="Q141" s="224"/>
      <c r="R141" s="224"/>
      <c r="S141" s="429"/>
      <c r="Z141" s="362"/>
      <c r="AA141" s="421"/>
      <c r="AB141" s="362"/>
      <c r="AC141" s="362"/>
      <c r="AD141" s="362"/>
      <c r="AE141" s="362"/>
      <c r="AF141" s="362"/>
      <c r="AG141" s="362"/>
      <c r="AH141" s="362"/>
      <c r="AI141" s="393"/>
      <c r="AJ141" s="393"/>
      <c r="AK141" s="362"/>
      <c r="AL141" s="362"/>
      <c r="AM141" s="362"/>
      <c r="AN141" s="362"/>
      <c r="AO141" s="362"/>
      <c r="AP141" s="362"/>
      <c r="AQ141" s="362"/>
      <c r="AR141" s="362"/>
    </row>
    <row r="142" spans="1:44" ht="12.75" customHeight="1" x14ac:dyDescent="0.15">
      <c r="A142" s="431"/>
      <c r="B142" s="393"/>
      <c r="C142" s="428"/>
      <c r="D142" s="428">
        <v>544581.66097000311</v>
      </c>
      <c r="E142" s="224">
        <v>129580.31173791975</v>
      </c>
      <c r="F142" s="224">
        <v>4.5209099895441565</v>
      </c>
      <c r="G142" s="224">
        <v>3.9561579780387497</v>
      </c>
      <c r="H142" s="224">
        <v>2.7432283923684988</v>
      </c>
      <c r="I142" s="224">
        <v>2.3468091041840213</v>
      </c>
      <c r="J142" s="224"/>
      <c r="M142" s="224">
        <f t="shared" si="9"/>
        <v>415001.34923208336</v>
      </c>
      <c r="N142" s="224">
        <f t="shared" si="10"/>
        <v>0.56475201150540677</v>
      </c>
      <c r="O142" s="224">
        <f t="shared" si="11"/>
        <v>0.39641928818447747</v>
      </c>
      <c r="Q142" s="224"/>
      <c r="R142" s="224"/>
      <c r="S142" s="429"/>
      <c r="Z142" s="362"/>
      <c r="AA142" s="421"/>
      <c r="AB142" s="362"/>
      <c r="AC142" s="362"/>
      <c r="AD142" s="362"/>
      <c r="AE142" s="362"/>
      <c r="AF142" s="362"/>
      <c r="AG142" s="362"/>
      <c r="AH142" s="362"/>
      <c r="AI142" s="393"/>
      <c r="AJ142" s="393"/>
      <c r="AK142" s="362"/>
      <c r="AL142" s="362"/>
      <c r="AM142" s="362"/>
      <c r="AN142" s="362"/>
      <c r="AO142" s="362"/>
      <c r="AP142" s="362"/>
      <c r="AQ142" s="362"/>
      <c r="AR142" s="362"/>
    </row>
    <row r="143" spans="1:44" ht="12.75" customHeight="1" x14ac:dyDescent="0.15">
      <c r="A143" s="431"/>
      <c r="B143" s="393"/>
      <c r="C143" s="428"/>
      <c r="D143" s="428">
        <v>597130.88175899314</v>
      </c>
      <c r="E143" s="224">
        <v>225155.0740436214</v>
      </c>
      <c r="F143" s="224">
        <v>4.0426833257906445</v>
      </c>
      <c r="G143" s="224">
        <v>4.1376931328028119</v>
      </c>
      <c r="H143" s="224">
        <v>2.5051614532353952</v>
      </c>
      <c r="I143" s="224">
        <v>2.2153328151639879</v>
      </c>
      <c r="J143" s="224"/>
      <c r="M143" s="224">
        <f t="shared" si="9"/>
        <v>371975.80771537172</v>
      </c>
      <c r="N143" s="224">
        <f t="shared" si="10"/>
        <v>-9.5009807012167435E-2</v>
      </c>
      <c r="O143" s="224">
        <f t="shared" si="11"/>
        <v>0.28982863807140724</v>
      </c>
      <c r="Q143" s="224"/>
      <c r="R143" s="224"/>
      <c r="S143" s="429"/>
      <c r="Z143" s="362"/>
      <c r="AA143" s="421"/>
      <c r="AB143" s="362"/>
      <c r="AC143" s="362"/>
      <c r="AD143" s="362"/>
      <c r="AE143" s="362"/>
      <c r="AF143" s="362"/>
      <c r="AG143" s="362"/>
      <c r="AH143" s="362"/>
      <c r="AI143" s="393"/>
      <c r="AJ143" s="393"/>
      <c r="AK143" s="362"/>
      <c r="AL143" s="362"/>
      <c r="AM143" s="362"/>
      <c r="AN143" s="362"/>
      <c r="AO143" s="362"/>
      <c r="AP143" s="362"/>
      <c r="AQ143" s="362"/>
      <c r="AR143" s="362"/>
    </row>
    <row r="144" spans="1:44" ht="12.75" customHeight="1" x14ac:dyDescent="0.15">
      <c r="A144" s="431"/>
      <c r="B144" s="393"/>
      <c r="C144" s="428"/>
      <c r="D144" s="428">
        <v>559329.74330587499</v>
      </c>
      <c r="E144" s="224">
        <v>203140.95416022392</v>
      </c>
      <c r="F144" s="224">
        <v>4.13455846925884</v>
      </c>
      <c r="G144" s="224">
        <v>3.8652723254600709</v>
      </c>
      <c r="H144" s="224">
        <v>2.3821164425234245</v>
      </c>
      <c r="I144" s="224">
        <v>2.1718495483635749</v>
      </c>
      <c r="J144" s="224"/>
      <c r="M144" s="224">
        <f t="shared" si="9"/>
        <v>356188.78914565104</v>
      </c>
      <c r="N144" s="224">
        <f t="shared" si="10"/>
        <v>0.26928614379876903</v>
      </c>
      <c r="O144" s="224">
        <f t="shared" si="11"/>
        <v>0.21026689415984956</v>
      </c>
      <c r="Q144" s="224"/>
      <c r="R144" s="224"/>
      <c r="S144" s="429"/>
      <c r="Z144" s="362"/>
      <c r="AA144" s="421"/>
      <c r="AB144" s="362"/>
      <c r="AC144" s="362"/>
      <c r="AD144" s="362"/>
      <c r="AE144" s="362"/>
      <c r="AF144" s="362"/>
      <c r="AG144" s="362"/>
      <c r="AH144" s="362"/>
      <c r="AI144" s="393"/>
      <c r="AJ144" s="393"/>
      <c r="AK144" s="362"/>
      <c r="AL144" s="362"/>
      <c r="AM144" s="362"/>
      <c r="AN144" s="362"/>
      <c r="AO144" s="362"/>
      <c r="AP144" s="362"/>
      <c r="AQ144" s="362"/>
      <c r="AR144" s="362"/>
    </row>
    <row r="145" spans="1:44" ht="12.75" customHeight="1" x14ac:dyDescent="0.15">
      <c r="A145" s="431"/>
      <c r="B145" s="393"/>
      <c r="C145" s="428"/>
      <c r="D145" s="428">
        <v>565618.96454920981</v>
      </c>
      <c r="E145" s="224">
        <v>165721.69615935883</v>
      </c>
      <c r="F145" s="224">
        <v>4.6464881774381359</v>
      </c>
      <c r="G145" s="224">
        <v>3.9720463684523919</v>
      </c>
      <c r="H145" s="224">
        <v>2.7448068582139009</v>
      </c>
      <c r="I145" s="224">
        <v>2.177650855965787</v>
      </c>
      <c r="J145" s="224"/>
      <c r="M145" s="224">
        <f t="shared" si="9"/>
        <v>399897.26838985097</v>
      </c>
      <c r="N145" s="224">
        <f t="shared" si="10"/>
        <v>0.67444180898574402</v>
      </c>
      <c r="O145" s="224">
        <f t="shared" si="11"/>
        <v>0.56715600224811391</v>
      </c>
      <c r="Q145" s="224"/>
      <c r="R145" s="224"/>
      <c r="S145" s="429"/>
      <c r="Z145" s="362"/>
      <c r="AA145" s="421"/>
      <c r="AB145" s="362"/>
      <c r="AC145" s="362"/>
      <c r="AD145" s="362"/>
      <c r="AE145" s="362"/>
      <c r="AF145" s="362"/>
      <c r="AG145" s="362"/>
      <c r="AH145" s="362"/>
      <c r="AI145" s="393"/>
      <c r="AJ145" s="393"/>
      <c r="AK145" s="362"/>
      <c r="AL145" s="362"/>
      <c r="AM145" s="362"/>
      <c r="AN145" s="362"/>
      <c r="AO145" s="362"/>
      <c r="AP145" s="362"/>
      <c r="AQ145" s="362"/>
      <c r="AR145" s="362"/>
    </row>
    <row r="146" spans="1:44" ht="12.75" customHeight="1" x14ac:dyDescent="0.15">
      <c r="A146" s="431"/>
      <c r="B146" s="393"/>
      <c r="C146" s="428"/>
      <c r="D146" s="428">
        <v>526166.34011504182</v>
      </c>
      <c r="E146" s="224">
        <v>127995.61717870815</v>
      </c>
      <c r="F146" s="224">
        <v>4.2743259208026334</v>
      </c>
      <c r="G146" s="224">
        <v>4.0624460279260557</v>
      </c>
      <c r="H146" s="224">
        <v>2.5638342015643518</v>
      </c>
      <c r="I146" s="224">
        <v>2.389134899047868</v>
      </c>
      <c r="J146" s="224"/>
      <c r="M146" s="224">
        <f t="shared" ref="M146:M209" si="12">+D146-E146</f>
        <v>398170.72293633368</v>
      </c>
      <c r="N146" s="224">
        <f t="shared" ref="N146:N209" si="13">+F146-G146</f>
        <v>0.21187989287657771</v>
      </c>
      <c r="O146" s="224">
        <f t="shared" ref="O146:O209" si="14">+H146-I146</f>
        <v>0.1746993025164838</v>
      </c>
      <c r="Q146" s="224"/>
      <c r="R146" s="224"/>
      <c r="S146" s="429"/>
      <c r="Z146" s="362"/>
      <c r="AA146" s="421"/>
      <c r="AB146" s="362"/>
      <c r="AC146" s="362"/>
      <c r="AD146" s="362"/>
      <c r="AE146" s="362"/>
      <c r="AF146" s="362"/>
      <c r="AG146" s="362"/>
      <c r="AH146" s="362"/>
      <c r="AI146" s="393"/>
      <c r="AJ146" s="393"/>
      <c r="AK146" s="362"/>
      <c r="AL146" s="362"/>
      <c r="AM146" s="362"/>
      <c r="AN146" s="362"/>
      <c r="AO146" s="362"/>
      <c r="AP146" s="362"/>
      <c r="AQ146" s="362"/>
      <c r="AR146" s="362"/>
    </row>
    <row r="147" spans="1:44" ht="12.75" customHeight="1" x14ac:dyDescent="0.15">
      <c r="A147" s="431"/>
      <c r="B147" s="393"/>
      <c r="C147" s="428"/>
      <c r="D147" s="428">
        <v>700121.69656462257</v>
      </c>
      <c r="E147" s="224">
        <v>203389.36526941753</v>
      </c>
      <c r="F147" s="224">
        <v>4.1380618736208206</v>
      </c>
      <c r="G147" s="224">
        <v>3.7979257873808532</v>
      </c>
      <c r="H147" s="224">
        <v>2.2110536950714588</v>
      </c>
      <c r="I147" s="224">
        <v>1.9027379105523954</v>
      </c>
      <c r="J147" s="224"/>
      <c r="M147" s="224">
        <f t="shared" si="12"/>
        <v>496732.33129520505</v>
      </c>
      <c r="N147" s="224">
        <f t="shared" si="13"/>
        <v>0.34013608623996738</v>
      </c>
      <c r="O147" s="224">
        <f t="shared" si="14"/>
        <v>0.30831578451906339</v>
      </c>
      <c r="Q147" s="224"/>
      <c r="R147" s="224"/>
      <c r="S147" s="429"/>
      <c r="Z147" s="362"/>
      <c r="AA147" s="421"/>
      <c r="AB147" s="362"/>
      <c r="AC147" s="362"/>
      <c r="AD147" s="362"/>
      <c r="AE147" s="362"/>
      <c r="AF147" s="362"/>
      <c r="AG147" s="362"/>
      <c r="AH147" s="362"/>
      <c r="AI147" s="393"/>
      <c r="AJ147" s="393"/>
      <c r="AK147" s="362"/>
      <c r="AL147" s="362"/>
      <c r="AM147" s="362"/>
      <c r="AN147" s="362"/>
      <c r="AO147" s="362"/>
      <c r="AP147" s="362"/>
      <c r="AQ147" s="362"/>
      <c r="AR147" s="362"/>
    </row>
    <row r="148" spans="1:44" ht="12.75" customHeight="1" x14ac:dyDescent="0.15">
      <c r="A148" s="431"/>
      <c r="B148" s="393"/>
      <c r="C148" s="428"/>
      <c r="D148" s="428">
        <v>636858.47429573687</v>
      </c>
      <c r="E148" s="224">
        <v>182273.02986800915</v>
      </c>
      <c r="F148" s="224">
        <v>4.7465699978089235</v>
      </c>
      <c r="G148" s="224">
        <v>3.5706710175620291</v>
      </c>
      <c r="H148" s="224">
        <v>2.7728434041887677</v>
      </c>
      <c r="I148" s="224">
        <v>2.0970780570906338</v>
      </c>
      <c r="J148" s="224"/>
      <c r="M148" s="224">
        <f t="shared" si="12"/>
        <v>454585.44442772772</v>
      </c>
      <c r="N148" s="224">
        <f t="shared" si="13"/>
        <v>1.1758989802468944</v>
      </c>
      <c r="O148" s="224">
        <f t="shared" si="14"/>
        <v>0.67576534709813396</v>
      </c>
      <c r="Q148" s="224"/>
      <c r="R148" s="224"/>
      <c r="S148" s="429"/>
      <c r="Z148" s="362"/>
      <c r="AA148" s="421"/>
      <c r="AB148" s="362"/>
      <c r="AC148" s="362"/>
      <c r="AD148" s="362"/>
      <c r="AE148" s="362"/>
      <c r="AF148" s="362"/>
      <c r="AG148" s="362"/>
      <c r="AH148" s="362"/>
      <c r="AI148" s="393"/>
      <c r="AJ148" s="393"/>
      <c r="AK148" s="362"/>
      <c r="AL148" s="362"/>
      <c r="AM148" s="362"/>
      <c r="AN148" s="362"/>
      <c r="AO148" s="362"/>
      <c r="AP148" s="362"/>
      <c r="AQ148" s="362"/>
      <c r="AR148" s="362"/>
    </row>
    <row r="149" spans="1:44" ht="12.75" customHeight="1" x14ac:dyDescent="0.15">
      <c r="A149" s="431"/>
      <c r="B149" s="393"/>
      <c r="C149" s="428"/>
      <c r="D149" s="428">
        <v>605992.35481332196</v>
      </c>
      <c r="E149" s="224">
        <v>123465.85535106422</v>
      </c>
      <c r="F149" s="224">
        <v>4.4651798341502387</v>
      </c>
      <c r="G149" s="224">
        <v>4.238856936454745</v>
      </c>
      <c r="H149" s="224">
        <v>2.4847174520368451</v>
      </c>
      <c r="I149" s="224">
        <v>2.135751394106618</v>
      </c>
      <c r="J149" s="224"/>
      <c r="M149" s="224">
        <f t="shared" si="12"/>
        <v>482526.49946225772</v>
      </c>
      <c r="N149" s="224">
        <f t="shared" si="13"/>
        <v>0.22632289769549363</v>
      </c>
      <c r="O149" s="224">
        <f t="shared" si="14"/>
        <v>0.34896605793022717</v>
      </c>
      <c r="Q149" s="224"/>
      <c r="R149" s="224"/>
      <c r="S149" s="429"/>
      <c r="Z149" s="362"/>
      <c r="AA149" s="421"/>
      <c r="AB149" s="362"/>
      <c r="AC149" s="362"/>
      <c r="AD149" s="362"/>
      <c r="AE149" s="362"/>
      <c r="AF149" s="362"/>
      <c r="AG149" s="362"/>
      <c r="AH149" s="362"/>
      <c r="AI149" s="393"/>
      <c r="AJ149" s="393"/>
      <c r="AK149" s="362"/>
      <c r="AL149" s="362"/>
      <c r="AM149" s="362"/>
      <c r="AN149" s="362"/>
      <c r="AO149" s="362"/>
      <c r="AP149" s="362"/>
      <c r="AQ149" s="362"/>
      <c r="AR149" s="362"/>
    </row>
    <row r="150" spans="1:44" ht="12.75" customHeight="1" x14ac:dyDescent="0.15">
      <c r="A150" s="431"/>
      <c r="B150" s="393"/>
      <c r="C150" s="428"/>
      <c r="D150" s="428">
        <v>625747.36077459785</v>
      </c>
      <c r="E150" s="224">
        <v>220661.54164543061</v>
      </c>
      <c r="F150" s="224">
        <v>4.6366414005665071</v>
      </c>
      <c r="G150" s="224">
        <v>4.0131471280761062</v>
      </c>
      <c r="H150" s="224">
        <v>2.599924143240151</v>
      </c>
      <c r="I150" s="224">
        <v>2.2192483775376473</v>
      </c>
      <c r="J150" s="224"/>
      <c r="M150" s="224">
        <f t="shared" si="12"/>
        <v>405085.81912916724</v>
      </c>
      <c r="N150" s="224">
        <f t="shared" si="13"/>
        <v>0.6234942724904009</v>
      </c>
      <c r="O150" s="224">
        <f t="shared" si="14"/>
        <v>0.38067576570250372</v>
      </c>
      <c r="Q150" s="224"/>
      <c r="R150" s="224"/>
      <c r="S150" s="429"/>
      <c r="Z150" s="362"/>
      <c r="AA150" s="421"/>
      <c r="AB150" s="362"/>
      <c r="AC150" s="362"/>
      <c r="AD150" s="362"/>
      <c r="AE150" s="362"/>
      <c r="AF150" s="362"/>
      <c r="AG150" s="362"/>
      <c r="AH150" s="362"/>
      <c r="AI150" s="393"/>
      <c r="AJ150" s="393"/>
      <c r="AK150" s="362"/>
      <c r="AL150" s="362"/>
      <c r="AM150" s="362"/>
      <c r="AN150" s="362"/>
      <c r="AO150" s="362"/>
      <c r="AP150" s="362"/>
      <c r="AQ150" s="362"/>
      <c r="AR150" s="362"/>
    </row>
    <row r="151" spans="1:44" ht="12.75" customHeight="1" x14ac:dyDescent="0.15">
      <c r="A151" s="431"/>
      <c r="B151" s="393"/>
      <c r="C151" s="428"/>
      <c r="D151" s="428">
        <v>617946.32628123462</v>
      </c>
      <c r="E151" s="224">
        <v>151550.57240152173</v>
      </c>
      <c r="F151" s="224">
        <v>4.2131350111709445</v>
      </c>
      <c r="G151" s="224">
        <v>3.5117938451774759</v>
      </c>
      <c r="H151" s="224">
        <v>2.7450997195278086</v>
      </c>
      <c r="I151" s="224">
        <v>1.9894402544304652</v>
      </c>
      <c r="J151" s="224"/>
      <c r="M151" s="224">
        <f t="shared" si="12"/>
        <v>466395.75387971289</v>
      </c>
      <c r="N151" s="224">
        <f t="shared" si="13"/>
        <v>0.70134116599346852</v>
      </c>
      <c r="O151" s="224">
        <f t="shared" si="14"/>
        <v>0.75565946509734339</v>
      </c>
      <c r="Q151" s="224"/>
      <c r="R151" s="224"/>
      <c r="S151" s="429"/>
      <c r="Z151" s="362"/>
      <c r="AA151" s="421"/>
      <c r="AB151" s="362"/>
      <c r="AC151" s="362"/>
      <c r="AD151" s="362"/>
      <c r="AE151" s="362"/>
      <c r="AF151" s="362"/>
      <c r="AG151" s="362"/>
      <c r="AH151" s="362"/>
      <c r="AI151" s="393"/>
      <c r="AJ151" s="393"/>
      <c r="AK151" s="362"/>
      <c r="AL151" s="362"/>
      <c r="AM151" s="362"/>
      <c r="AN151" s="362"/>
      <c r="AO151" s="362"/>
      <c r="AP151" s="362"/>
      <c r="AQ151" s="362"/>
      <c r="AR151" s="362"/>
    </row>
    <row r="152" spans="1:44" ht="12.75" customHeight="1" x14ac:dyDescent="0.15">
      <c r="A152" s="431"/>
      <c r="B152" s="393"/>
      <c r="C152" s="428"/>
      <c r="D152" s="428">
        <v>547168.00435548415</v>
      </c>
      <c r="E152" s="224">
        <v>136258.2283386405</v>
      </c>
      <c r="F152" s="224">
        <v>4.2942290328183743</v>
      </c>
      <c r="G152" s="224">
        <v>4.0328860213159903</v>
      </c>
      <c r="H152" s="224">
        <v>2.6377847538902652</v>
      </c>
      <c r="I152" s="224">
        <v>2.1281603522755996</v>
      </c>
      <c r="J152" s="224"/>
      <c r="M152" s="224">
        <f t="shared" si="12"/>
        <v>410909.77601684362</v>
      </c>
      <c r="N152" s="224">
        <f t="shared" si="13"/>
        <v>0.26134301150238404</v>
      </c>
      <c r="O152" s="224">
        <f t="shared" si="14"/>
        <v>0.5096244016146656</v>
      </c>
      <c r="Q152" s="224"/>
      <c r="R152" s="224"/>
      <c r="S152" s="429"/>
      <c r="Z152" s="362"/>
      <c r="AA152" s="421"/>
      <c r="AB152" s="362"/>
      <c r="AC152" s="362"/>
      <c r="AD152" s="362"/>
      <c r="AE152" s="362"/>
      <c r="AF152" s="362"/>
      <c r="AG152" s="362"/>
      <c r="AH152" s="362"/>
      <c r="AI152" s="393"/>
      <c r="AJ152" s="393"/>
      <c r="AK152" s="362"/>
      <c r="AL152" s="362"/>
      <c r="AM152" s="362"/>
      <c r="AN152" s="362"/>
      <c r="AO152" s="362"/>
      <c r="AP152" s="362"/>
      <c r="AQ152" s="362"/>
      <c r="AR152" s="362"/>
    </row>
    <row r="153" spans="1:44" ht="12.75" customHeight="1" x14ac:dyDescent="0.15">
      <c r="A153" s="431"/>
      <c r="B153" s="393"/>
      <c r="C153" s="428"/>
      <c r="D153" s="428">
        <v>519784.79068631202</v>
      </c>
      <c r="E153" s="224">
        <v>142854.63088182104</v>
      </c>
      <c r="F153" s="224">
        <v>4.5906240381372792</v>
      </c>
      <c r="G153" s="224">
        <v>4.0325086907951109</v>
      </c>
      <c r="H153" s="224">
        <v>2.6617117185623029</v>
      </c>
      <c r="I153" s="224">
        <v>2.2743162412166833</v>
      </c>
      <c r="J153" s="224"/>
      <c r="M153" s="224">
        <f t="shared" si="12"/>
        <v>376930.15980449098</v>
      </c>
      <c r="N153" s="224">
        <f t="shared" si="13"/>
        <v>0.55811534734216828</v>
      </c>
      <c r="O153" s="224">
        <f t="shared" si="14"/>
        <v>0.38739547734561963</v>
      </c>
      <c r="Q153" s="224"/>
      <c r="R153" s="224"/>
      <c r="S153" s="429"/>
      <c r="Z153" s="362"/>
      <c r="AA153" s="421"/>
      <c r="AB153" s="362"/>
      <c r="AC153" s="362"/>
      <c r="AD153" s="362"/>
      <c r="AE153" s="362"/>
      <c r="AF153" s="362"/>
      <c r="AG153" s="362"/>
      <c r="AH153" s="362"/>
      <c r="AI153" s="393"/>
      <c r="AJ153" s="393"/>
      <c r="AK153" s="362"/>
      <c r="AL153" s="362"/>
      <c r="AM153" s="362"/>
      <c r="AN153" s="362"/>
      <c r="AO153" s="362"/>
      <c r="AP153" s="362"/>
      <c r="AQ153" s="362"/>
      <c r="AR153" s="362"/>
    </row>
    <row r="154" spans="1:44" ht="12.75" customHeight="1" x14ac:dyDescent="0.15">
      <c r="A154" s="431"/>
      <c r="B154" s="393"/>
      <c r="C154" s="428"/>
      <c r="D154" s="428">
        <v>694567.29420811008</v>
      </c>
      <c r="E154" s="224">
        <v>224684.90573213855</v>
      </c>
      <c r="F154" s="224">
        <v>4.0833242863019663</v>
      </c>
      <c r="G154" s="224">
        <v>3.620672137441395</v>
      </c>
      <c r="H154" s="224">
        <v>2.531194501182064</v>
      </c>
      <c r="I154" s="224">
        <v>2.0655736734177395</v>
      </c>
      <c r="J154" s="224"/>
      <c r="M154" s="224">
        <f t="shared" si="12"/>
        <v>469882.38847597153</v>
      </c>
      <c r="N154" s="224">
        <f t="shared" si="13"/>
        <v>0.46265214886057127</v>
      </c>
      <c r="O154" s="224">
        <f t="shared" si="14"/>
        <v>0.46562082776432456</v>
      </c>
      <c r="Q154" s="224"/>
      <c r="R154" s="224"/>
      <c r="S154" s="429"/>
      <c r="Z154" s="362"/>
      <c r="AA154" s="421"/>
      <c r="AB154" s="362"/>
      <c r="AC154" s="362"/>
      <c r="AD154" s="362"/>
      <c r="AE154" s="362"/>
      <c r="AF154" s="362"/>
      <c r="AG154" s="362"/>
      <c r="AH154" s="362"/>
      <c r="AI154" s="393"/>
      <c r="AJ154" s="393"/>
      <c r="AK154" s="362"/>
      <c r="AL154" s="362"/>
      <c r="AM154" s="362"/>
      <c r="AN154" s="362"/>
      <c r="AO154" s="362"/>
      <c r="AP154" s="362"/>
      <c r="AQ154" s="362"/>
      <c r="AR154" s="362"/>
    </row>
    <row r="155" spans="1:44" ht="12.75" customHeight="1" x14ac:dyDescent="0.15">
      <c r="A155" s="431"/>
      <c r="B155" s="393"/>
      <c r="C155" s="428"/>
      <c r="D155" s="428">
        <v>624266.75096617383</v>
      </c>
      <c r="E155" s="224">
        <v>158752.02175667748</v>
      </c>
      <c r="F155" s="224">
        <v>4.1353224084643427</v>
      </c>
      <c r="G155" s="224">
        <v>3.931821852178333</v>
      </c>
      <c r="H155" s="224">
        <v>2.3250491458139173</v>
      </c>
      <c r="I155" s="224">
        <v>1.9980190111568872</v>
      </c>
      <c r="J155" s="224"/>
      <c r="M155" s="224">
        <f t="shared" si="12"/>
        <v>465514.72920949635</v>
      </c>
      <c r="N155" s="224">
        <f t="shared" si="13"/>
        <v>0.20350055628600972</v>
      </c>
      <c r="O155" s="224">
        <f t="shared" si="14"/>
        <v>0.32703013465703012</v>
      </c>
      <c r="Q155" s="224"/>
      <c r="R155" s="224"/>
      <c r="S155" s="429"/>
      <c r="Z155" s="362"/>
      <c r="AA155" s="421"/>
      <c r="AB155" s="362"/>
      <c r="AC155" s="362"/>
      <c r="AD155" s="362"/>
      <c r="AE155" s="362"/>
      <c r="AF155" s="362"/>
      <c r="AG155" s="362"/>
      <c r="AH155" s="362"/>
      <c r="AI155" s="393"/>
      <c r="AJ155" s="393"/>
      <c r="AK155" s="362"/>
      <c r="AL155" s="362"/>
      <c r="AM155" s="362"/>
      <c r="AN155" s="362"/>
      <c r="AO155" s="362"/>
      <c r="AP155" s="362"/>
      <c r="AQ155" s="362"/>
      <c r="AR155" s="362"/>
    </row>
    <row r="156" spans="1:44" ht="12.75" customHeight="1" x14ac:dyDescent="0.15">
      <c r="A156" s="431"/>
      <c r="B156" s="393"/>
      <c r="C156" s="428"/>
      <c r="D156" s="428">
        <v>518171.86961912172</v>
      </c>
      <c r="E156" s="224">
        <v>130827.77287443943</v>
      </c>
      <c r="F156" s="224">
        <v>3.6391713262087606</v>
      </c>
      <c r="G156" s="224">
        <v>4.0131857393451105</v>
      </c>
      <c r="H156" s="224">
        <v>2.3399671140571239</v>
      </c>
      <c r="I156" s="224">
        <v>2.3674498253517267</v>
      </c>
      <c r="J156" s="224"/>
      <c r="M156" s="224">
        <f t="shared" si="12"/>
        <v>387344.09674468229</v>
      </c>
      <c r="N156" s="224">
        <f t="shared" si="13"/>
        <v>-0.37401441313634987</v>
      </c>
      <c r="O156" s="224">
        <f t="shared" si="14"/>
        <v>-2.748271129460278E-2</v>
      </c>
      <c r="Q156" s="224"/>
      <c r="R156" s="224"/>
      <c r="S156" s="429"/>
      <c r="Z156" s="362"/>
      <c r="AA156" s="421"/>
      <c r="AB156" s="362"/>
      <c r="AC156" s="362"/>
      <c r="AD156" s="362"/>
      <c r="AE156" s="362"/>
      <c r="AF156" s="362"/>
      <c r="AG156" s="362"/>
      <c r="AH156" s="362"/>
      <c r="AI156" s="393"/>
      <c r="AJ156" s="393"/>
      <c r="AK156" s="362"/>
      <c r="AL156" s="362"/>
      <c r="AM156" s="362"/>
      <c r="AN156" s="362"/>
      <c r="AO156" s="362"/>
      <c r="AP156" s="362"/>
      <c r="AQ156" s="362"/>
      <c r="AR156" s="362"/>
    </row>
    <row r="157" spans="1:44" ht="12.75" customHeight="1" x14ac:dyDescent="0.15">
      <c r="A157" s="431"/>
      <c r="B157" s="393"/>
      <c r="C157" s="428"/>
      <c r="D157" s="428">
        <v>738838.90264543635</v>
      </c>
      <c r="E157" s="224">
        <v>258408.34639293427</v>
      </c>
      <c r="F157" s="224">
        <v>3.986596569383865</v>
      </c>
      <c r="G157" s="224">
        <v>4.1142581090996062</v>
      </c>
      <c r="H157" s="224">
        <v>2.2482561372326</v>
      </c>
      <c r="I157" s="224">
        <v>1.9981071506990971</v>
      </c>
      <c r="J157" s="224"/>
      <c r="M157" s="224">
        <f t="shared" si="12"/>
        <v>480430.55625250208</v>
      </c>
      <c r="N157" s="224">
        <f t="shared" si="13"/>
        <v>-0.12766153971574123</v>
      </c>
      <c r="O157" s="224">
        <f t="shared" si="14"/>
        <v>0.25014898653350293</v>
      </c>
      <c r="Q157" s="224"/>
      <c r="R157" s="224"/>
      <c r="S157" s="429"/>
      <c r="Z157" s="362"/>
      <c r="AA157" s="421"/>
      <c r="AB157" s="362"/>
      <c r="AC157" s="362"/>
      <c r="AD157" s="362"/>
      <c r="AE157" s="362"/>
      <c r="AF157" s="362"/>
      <c r="AG157" s="362"/>
      <c r="AH157" s="362"/>
      <c r="AI157" s="393"/>
      <c r="AJ157" s="393"/>
      <c r="AK157" s="362"/>
      <c r="AL157" s="362"/>
      <c r="AM157" s="362"/>
      <c r="AN157" s="362"/>
      <c r="AO157" s="362"/>
      <c r="AP157" s="362"/>
      <c r="AQ157" s="362"/>
      <c r="AR157" s="362"/>
    </row>
    <row r="158" spans="1:44" ht="12.75" customHeight="1" x14ac:dyDescent="0.15">
      <c r="A158" s="431"/>
      <c r="B158" s="393"/>
      <c r="C158" s="428"/>
      <c r="D158" s="428">
        <v>662169.22441297933</v>
      </c>
      <c r="E158" s="224">
        <v>183780.42615663502</v>
      </c>
      <c r="F158" s="224">
        <v>4.6848741180775475</v>
      </c>
      <c r="G158" s="224">
        <v>3.5899288899776978</v>
      </c>
      <c r="H158" s="224">
        <v>3.0195488427285668</v>
      </c>
      <c r="I158" s="224">
        <v>2.2067501462955028</v>
      </c>
      <c r="J158" s="224"/>
      <c r="M158" s="224">
        <f t="shared" si="12"/>
        <v>478388.79825634428</v>
      </c>
      <c r="N158" s="224">
        <f t="shared" si="13"/>
        <v>1.0949452280998497</v>
      </c>
      <c r="O158" s="224">
        <f t="shared" si="14"/>
        <v>0.81279869643306402</v>
      </c>
      <c r="Q158" s="224"/>
      <c r="R158" s="224"/>
      <c r="S158" s="429"/>
      <c r="Z158" s="362"/>
      <c r="AA158" s="421"/>
      <c r="AB158" s="362"/>
      <c r="AC158" s="362"/>
      <c r="AD158" s="362"/>
      <c r="AE158" s="362"/>
      <c r="AF158" s="362"/>
      <c r="AG158" s="362"/>
      <c r="AH158" s="362"/>
      <c r="AI158" s="393"/>
      <c r="AJ158" s="393"/>
      <c r="AK158" s="362"/>
      <c r="AL158" s="362"/>
      <c r="AM158" s="362"/>
      <c r="AN158" s="362"/>
      <c r="AO158" s="362"/>
      <c r="AP158" s="362"/>
      <c r="AQ158" s="362"/>
      <c r="AR158" s="362"/>
    </row>
    <row r="159" spans="1:44" ht="12.75" customHeight="1" x14ac:dyDescent="0.15">
      <c r="A159" s="431"/>
      <c r="B159" s="393"/>
      <c r="C159" s="428"/>
      <c r="D159" s="428">
        <v>552586.60794603417</v>
      </c>
      <c r="E159" s="224">
        <v>181526.04639598529</v>
      </c>
      <c r="F159" s="224">
        <v>4.5538717571418408</v>
      </c>
      <c r="G159" s="224">
        <v>4.6788381344670249</v>
      </c>
      <c r="H159" s="224">
        <v>2.4335533179471587</v>
      </c>
      <c r="I159" s="224">
        <v>2.3960588566076222</v>
      </c>
      <c r="J159" s="224"/>
      <c r="M159" s="224">
        <f t="shared" si="12"/>
        <v>371060.56155004888</v>
      </c>
      <c r="N159" s="224">
        <f t="shared" si="13"/>
        <v>-0.12496637732518412</v>
      </c>
      <c r="O159" s="224">
        <f t="shared" si="14"/>
        <v>3.7494461339536489E-2</v>
      </c>
      <c r="Q159" s="224"/>
      <c r="R159" s="224"/>
      <c r="S159" s="429"/>
      <c r="Z159" s="362"/>
      <c r="AA159" s="421"/>
      <c r="AB159" s="362"/>
      <c r="AC159" s="362"/>
      <c r="AD159" s="362"/>
      <c r="AE159" s="362"/>
      <c r="AF159" s="362"/>
      <c r="AG159" s="362"/>
      <c r="AH159" s="362"/>
      <c r="AI159" s="393"/>
      <c r="AJ159" s="393"/>
      <c r="AK159" s="362"/>
      <c r="AL159" s="362"/>
      <c r="AM159" s="362"/>
      <c r="AN159" s="362"/>
      <c r="AO159" s="362"/>
      <c r="AP159" s="362"/>
      <c r="AQ159" s="362"/>
      <c r="AR159" s="362"/>
    </row>
    <row r="160" spans="1:44" ht="12.75" customHeight="1" x14ac:dyDescent="0.15">
      <c r="A160" s="431"/>
      <c r="B160" s="393"/>
      <c r="C160" s="428"/>
      <c r="D160" s="428">
        <v>538794.87901389354</v>
      </c>
      <c r="E160" s="224">
        <v>193268.37385287241</v>
      </c>
      <c r="F160" s="224">
        <v>3.8877503689030339</v>
      </c>
      <c r="G160" s="224">
        <v>3.8824529289553968</v>
      </c>
      <c r="H160" s="224">
        <v>2.4454368322449378</v>
      </c>
      <c r="I160" s="224">
        <v>2.5629224440390859</v>
      </c>
      <c r="J160" s="224"/>
      <c r="M160" s="224">
        <f t="shared" si="12"/>
        <v>345526.50516102114</v>
      </c>
      <c r="N160" s="224">
        <f t="shared" si="13"/>
        <v>5.2974399476370948E-3</v>
      </c>
      <c r="O160" s="224">
        <f t="shared" si="14"/>
        <v>-0.11748561179414807</v>
      </c>
      <c r="Q160" s="224"/>
      <c r="R160" s="224"/>
      <c r="S160" s="429"/>
      <c r="Z160" s="362"/>
      <c r="AA160" s="421"/>
      <c r="AB160" s="362"/>
      <c r="AC160" s="362"/>
      <c r="AD160" s="362"/>
      <c r="AE160" s="362"/>
      <c r="AF160" s="362"/>
      <c r="AG160" s="362"/>
      <c r="AH160" s="362"/>
      <c r="AI160" s="393"/>
      <c r="AJ160" s="393"/>
      <c r="AK160" s="362"/>
      <c r="AL160" s="362"/>
      <c r="AM160" s="362"/>
      <c r="AN160" s="362"/>
      <c r="AO160" s="362"/>
      <c r="AP160" s="362"/>
      <c r="AQ160" s="362"/>
      <c r="AR160" s="362"/>
    </row>
    <row r="161" spans="1:44" ht="12.75" customHeight="1" x14ac:dyDescent="0.15">
      <c r="A161" s="431"/>
      <c r="B161" s="393"/>
      <c r="C161" s="428"/>
      <c r="D161" s="428">
        <v>558500.41464125318</v>
      </c>
      <c r="E161" s="224">
        <v>112987.17151011495</v>
      </c>
      <c r="F161" s="224">
        <v>4.5921348808299465</v>
      </c>
      <c r="G161" s="224">
        <v>3.7028677974874635</v>
      </c>
      <c r="H161" s="224">
        <v>2.5841642739944906</v>
      </c>
      <c r="I161" s="224">
        <v>1.9685304669153547</v>
      </c>
      <c r="J161" s="224"/>
      <c r="M161" s="224">
        <f t="shared" si="12"/>
        <v>445513.24313113827</v>
      </c>
      <c r="N161" s="224">
        <f t="shared" si="13"/>
        <v>0.88926708334248294</v>
      </c>
      <c r="O161" s="224">
        <f t="shared" si="14"/>
        <v>0.61563380707913584</v>
      </c>
      <c r="Q161" s="224"/>
      <c r="R161" s="224"/>
      <c r="S161" s="429"/>
      <c r="Z161" s="362"/>
      <c r="AA161" s="421"/>
      <c r="AB161" s="362"/>
      <c r="AC161" s="362"/>
      <c r="AD161" s="362"/>
      <c r="AE161" s="362"/>
      <c r="AF161" s="362"/>
      <c r="AG161" s="362"/>
      <c r="AH161" s="362"/>
      <c r="AI161" s="393"/>
      <c r="AJ161" s="393"/>
      <c r="AK161" s="362"/>
      <c r="AL161" s="362"/>
      <c r="AM161" s="362"/>
      <c r="AN161" s="362"/>
      <c r="AO161" s="362"/>
      <c r="AP161" s="362"/>
      <c r="AQ161" s="362"/>
      <c r="AR161" s="362"/>
    </row>
    <row r="162" spans="1:44" ht="12.75" customHeight="1" x14ac:dyDescent="0.15">
      <c r="A162" s="431"/>
      <c r="B162" s="393"/>
      <c r="C162" s="428"/>
      <c r="D162" s="428">
        <v>806295.41526785481</v>
      </c>
      <c r="E162" s="224">
        <v>274873.3772958137</v>
      </c>
      <c r="F162" s="224">
        <v>4.1392445006704817</v>
      </c>
      <c r="G162" s="224">
        <v>3.9363014463361363</v>
      </c>
      <c r="H162" s="224">
        <v>2.94668188055432</v>
      </c>
      <c r="I162" s="224">
        <v>2.417408971327951</v>
      </c>
      <c r="J162" s="224"/>
      <c r="M162" s="224">
        <f t="shared" si="12"/>
        <v>531422.03797204117</v>
      </c>
      <c r="N162" s="224">
        <f t="shared" si="13"/>
        <v>0.20294305433434534</v>
      </c>
      <c r="O162" s="224">
        <f t="shared" si="14"/>
        <v>0.52927290922636905</v>
      </c>
      <c r="Q162" s="224"/>
      <c r="R162" s="224"/>
      <c r="S162" s="429"/>
      <c r="Z162" s="362"/>
      <c r="AA162" s="421"/>
      <c r="AB162" s="362"/>
      <c r="AC162" s="362"/>
      <c r="AD162" s="362"/>
      <c r="AE162" s="362"/>
      <c r="AF162" s="362"/>
      <c r="AG162" s="362"/>
      <c r="AH162" s="362"/>
      <c r="AI162" s="393"/>
      <c r="AJ162" s="393"/>
      <c r="AK162" s="362"/>
      <c r="AL162" s="362"/>
      <c r="AM162" s="362"/>
      <c r="AN162" s="362"/>
      <c r="AO162" s="362"/>
      <c r="AP162" s="362"/>
      <c r="AQ162" s="362"/>
      <c r="AR162" s="362"/>
    </row>
    <row r="163" spans="1:44" ht="12.75" customHeight="1" x14ac:dyDescent="0.15">
      <c r="A163" s="431"/>
      <c r="B163" s="393"/>
      <c r="C163" s="428"/>
      <c r="D163" s="428">
        <v>577464.31350671605</v>
      </c>
      <c r="E163" s="224">
        <v>113084.15107114828</v>
      </c>
      <c r="F163" s="224">
        <v>4.4201823691414424</v>
      </c>
      <c r="G163" s="224">
        <v>3.9374821454995605</v>
      </c>
      <c r="H163" s="224">
        <v>2.5566095548205108</v>
      </c>
      <c r="I163" s="224">
        <v>2.0614959311243175</v>
      </c>
      <c r="J163" s="224"/>
      <c r="M163" s="224">
        <f t="shared" si="12"/>
        <v>464380.16243556776</v>
      </c>
      <c r="N163" s="224">
        <f t="shared" si="13"/>
        <v>0.48270022364188181</v>
      </c>
      <c r="O163" s="224">
        <f t="shared" si="14"/>
        <v>0.49511362369619327</v>
      </c>
      <c r="Q163" s="224"/>
      <c r="R163" s="224"/>
      <c r="S163" s="429"/>
      <c r="Z163" s="362"/>
      <c r="AA163" s="421"/>
      <c r="AB163" s="362"/>
      <c r="AC163" s="362"/>
      <c r="AD163" s="362"/>
      <c r="AE163" s="362"/>
      <c r="AF163" s="362"/>
      <c r="AG163" s="362"/>
      <c r="AH163" s="362"/>
      <c r="AI163" s="393"/>
      <c r="AJ163" s="393"/>
      <c r="AK163" s="362"/>
      <c r="AL163" s="362"/>
      <c r="AM163" s="362"/>
      <c r="AN163" s="362"/>
      <c r="AO163" s="362"/>
      <c r="AP163" s="362"/>
      <c r="AQ163" s="362"/>
      <c r="AR163" s="362"/>
    </row>
    <row r="164" spans="1:44" ht="12.75" customHeight="1" x14ac:dyDescent="0.15">
      <c r="A164" s="431"/>
      <c r="B164" s="393"/>
      <c r="C164" s="428"/>
      <c r="D164" s="428">
        <v>660329.19152252492</v>
      </c>
      <c r="E164" s="224">
        <v>190136.28750204528</v>
      </c>
      <c r="F164" s="224">
        <v>4.9163274717920507</v>
      </c>
      <c r="G164" s="224">
        <v>3.6124691715384247</v>
      </c>
      <c r="H164" s="224">
        <v>2.7692780591666866</v>
      </c>
      <c r="I164" s="224">
        <v>1.964903649450336</v>
      </c>
      <c r="J164" s="224"/>
      <c r="M164" s="224">
        <f t="shared" si="12"/>
        <v>470192.90402047965</v>
      </c>
      <c r="N164" s="224">
        <f t="shared" si="13"/>
        <v>1.3038583002536259</v>
      </c>
      <c r="O164" s="224">
        <f t="shared" si="14"/>
        <v>0.80437440971635055</v>
      </c>
      <c r="Q164" s="224"/>
      <c r="R164" s="224"/>
      <c r="S164" s="429"/>
      <c r="Z164" s="362"/>
      <c r="AA164" s="421"/>
      <c r="AB164" s="362"/>
      <c r="AC164" s="362"/>
      <c r="AD164" s="362"/>
      <c r="AE164" s="362"/>
      <c r="AF164" s="362"/>
      <c r="AG164" s="362"/>
      <c r="AH164" s="362"/>
      <c r="AI164" s="393"/>
      <c r="AJ164" s="393"/>
      <c r="AK164" s="362"/>
      <c r="AL164" s="362"/>
      <c r="AM164" s="362"/>
      <c r="AN164" s="362"/>
      <c r="AO164" s="362"/>
      <c r="AP164" s="362"/>
      <c r="AQ164" s="362"/>
      <c r="AR164" s="362"/>
    </row>
    <row r="165" spans="1:44" ht="12.75" customHeight="1" x14ac:dyDescent="0.15">
      <c r="A165" s="431"/>
      <c r="B165" s="393"/>
      <c r="C165" s="428"/>
      <c r="D165" s="428">
        <v>562388.79551583622</v>
      </c>
      <c r="E165" s="224">
        <v>146413.19015630023</v>
      </c>
      <c r="F165" s="224">
        <v>4.1953981068218988</v>
      </c>
      <c r="G165" s="224">
        <v>3.6139587556434893</v>
      </c>
      <c r="H165" s="224">
        <v>2.1257624599375635</v>
      </c>
      <c r="I165" s="224">
        <v>1.7974104168853609</v>
      </c>
      <c r="J165" s="224"/>
      <c r="M165" s="224">
        <f t="shared" si="12"/>
        <v>415975.60535953601</v>
      </c>
      <c r="N165" s="224">
        <f t="shared" si="13"/>
        <v>0.5814393511784095</v>
      </c>
      <c r="O165" s="224">
        <f t="shared" si="14"/>
        <v>0.32835204305220267</v>
      </c>
      <c r="Q165" s="224"/>
      <c r="R165" s="224"/>
      <c r="S165" s="429"/>
      <c r="Z165" s="362"/>
      <c r="AA165" s="421"/>
      <c r="AB165" s="362"/>
      <c r="AC165" s="362"/>
      <c r="AD165" s="362"/>
      <c r="AE165" s="362"/>
      <c r="AF165" s="362"/>
      <c r="AG165" s="362"/>
      <c r="AH165" s="362"/>
      <c r="AI165" s="393"/>
      <c r="AJ165" s="393"/>
      <c r="AK165" s="362"/>
      <c r="AL165" s="362"/>
      <c r="AM165" s="362"/>
      <c r="AN165" s="362"/>
      <c r="AO165" s="362"/>
      <c r="AP165" s="362"/>
      <c r="AQ165" s="362"/>
      <c r="AR165" s="362"/>
    </row>
    <row r="166" spans="1:44" ht="12.75" customHeight="1" x14ac:dyDescent="0.15">
      <c r="A166" s="431"/>
      <c r="B166" s="393"/>
      <c r="C166" s="428"/>
      <c r="D166" s="428">
        <v>592836.08187547734</v>
      </c>
      <c r="E166" s="224">
        <v>178290.80080479139</v>
      </c>
      <c r="F166" s="224">
        <v>4.0462642548427326</v>
      </c>
      <c r="G166" s="224">
        <v>4.1210138218053158</v>
      </c>
      <c r="H166" s="224">
        <v>2.469587122276609</v>
      </c>
      <c r="I166" s="224">
        <v>2.393679332364659</v>
      </c>
      <c r="J166" s="224"/>
      <c r="M166" s="224">
        <f t="shared" si="12"/>
        <v>414545.28107068595</v>
      </c>
      <c r="N166" s="224">
        <f t="shared" si="13"/>
        <v>-7.474956696258328E-2</v>
      </c>
      <c r="O166" s="224">
        <f t="shared" si="14"/>
        <v>7.5907789911950019E-2</v>
      </c>
      <c r="Q166" s="224"/>
      <c r="R166" s="224"/>
      <c r="S166" s="429"/>
      <c r="Z166" s="362"/>
      <c r="AA166" s="421"/>
      <c r="AB166" s="362"/>
      <c r="AC166" s="362"/>
      <c r="AD166" s="362"/>
      <c r="AE166" s="362"/>
      <c r="AF166" s="362"/>
      <c r="AG166" s="362"/>
      <c r="AH166" s="362"/>
      <c r="AI166" s="393"/>
      <c r="AJ166" s="393"/>
      <c r="AK166" s="362"/>
      <c r="AL166" s="362"/>
      <c r="AM166" s="362"/>
      <c r="AN166" s="362"/>
      <c r="AO166" s="362"/>
      <c r="AP166" s="362"/>
      <c r="AQ166" s="362"/>
      <c r="AR166" s="362"/>
    </row>
    <row r="167" spans="1:44" ht="12.75" customHeight="1" x14ac:dyDescent="0.15">
      <c r="A167" s="431"/>
      <c r="B167" s="393"/>
      <c r="C167" s="428"/>
      <c r="D167" s="428">
        <v>691380.86861032259</v>
      </c>
      <c r="E167" s="224">
        <v>191132.46931564267</v>
      </c>
      <c r="F167" s="224">
        <v>4.6192749612837991</v>
      </c>
      <c r="G167" s="224">
        <v>3.9926907278161146</v>
      </c>
      <c r="H167" s="224">
        <v>2.9589746170923306</v>
      </c>
      <c r="I167" s="224">
        <v>2.2713439354240719</v>
      </c>
      <c r="J167" s="224"/>
      <c r="M167" s="224">
        <f t="shared" si="12"/>
        <v>500248.39929467993</v>
      </c>
      <c r="N167" s="224">
        <f t="shared" si="13"/>
        <v>0.62658423346768455</v>
      </c>
      <c r="O167" s="224">
        <f t="shared" si="14"/>
        <v>0.68763068166825869</v>
      </c>
      <c r="Q167" s="224"/>
      <c r="R167" s="224"/>
      <c r="S167" s="429"/>
      <c r="Z167" s="362"/>
      <c r="AA167" s="421"/>
      <c r="AB167" s="362"/>
      <c r="AC167" s="362"/>
      <c r="AD167" s="362"/>
      <c r="AE167" s="362"/>
      <c r="AF167" s="362"/>
      <c r="AG167" s="362"/>
      <c r="AH167" s="362"/>
      <c r="AI167" s="393"/>
      <c r="AJ167" s="393"/>
      <c r="AK167" s="362"/>
      <c r="AL167" s="362"/>
      <c r="AM167" s="362"/>
      <c r="AN167" s="362"/>
      <c r="AO167" s="362"/>
      <c r="AP167" s="362"/>
      <c r="AQ167" s="362"/>
      <c r="AR167" s="362"/>
    </row>
    <row r="168" spans="1:44" ht="12.75" customHeight="1" x14ac:dyDescent="0.15">
      <c r="A168" s="431"/>
      <c r="B168" s="393"/>
      <c r="C168" s="428"/>
      <c r="D168" s="428">
        <v>549366.41836525593</v>
      </c>
      <c r="E168" s="224">
        <v>150424.07770710756</v>
      </c>
      <c r="F168" s="224">
        <v>4.8801354677151512</v>
      </c>
      <c r="G168" s="224">
        <v>4.3897790025820838</v>
      </c>
      <c r="H168" s="224">
        <v>2.8126905643187614</v>
      </c>
      <c r="I168" s="224">
        <v>2.3786807424480672</v>
      </c>
      <c r="J168" s="224"/>
      <c r="M168" s="224">
        <f t="shared" si="12"/>
        <v>398942.3406581484</v>
      </c>
      <c r="N168" s="224">
        <f t="shared" si="13"/>
        <v>0.49035646513306741</v>
      </c>
      <c r="O168" s="224">
        <f t="shared" si="14"/>
        <v>0.43400982187069426</v>
      </c>
      <c r="Q168" s="224"/>
      <c r="R168" s="224"/>
      <c r="S168" s="429"/>
      <c r="Z168" s="362"/>
      <c r="AA168" s="421"/>
      <c r="AB168" s="362"/>
      <c r="AC168" s="362"/>
      <c r="AD168" s="362"/>
      <c r="AE168" s="362"/>
      <c r="AF168" s="362"/>
      <c r="AG168" s="362"/>
      <c r="AH168" s="362"/>
      <c r="AI168" s="393"/>
      <c r="AJ168" s="393"/>
      <c r="AK168" s="362"/>
      <c r="AL168" s="362"/>
      <c r="AM168" s="362"/>
      <c r="AN168" s="362"/>
      <c r="AO168" s="362"/>
      <c r="AP168" s="362"/>
      <c r="AQ168" s="362"/>
      <c r="AR168" s="362"/>
    </row>
    <row r="169" spans="1:44" ht="12.75" customHeight="1" x14ac:dyDescent="0.15">
      <c r="A169" s="431"/>
      <c r="B169" s="393"/>
      <c r="C169" s="428"/>
      <c r="D169" s="428">
        <v>601900.77307342261</v>
      </c>
      <c r="E169" s="224">
        <v>147591.13109636889</v>
      </c>
      <c r="F169" s="224">
        <v>4.542000652743198</v>
      </c>
      <c r="G169" s="224">
        <v>4.1553821357965459</v>
      </c>
      <c r="H169" s="224">
        <v>2.9085352578016574</v>
      </c>
      <c r="I169" s="224">
        <v>2.760776099324358</v>
      </c>
      <c r="J169" s="224"/>
      <c r="M169" s="224">
        <f t="shared" si="12"/>
        <v>454309.64197705372</v>
      </c>
      <c r="N169" s="224">
        <f t="shared" si="13"/>
        <v>0.38661851694665206</v>
      </c>
      <c r="O169" s="224">
        <f t="shared" si="14"/>
        <v>0.14775915847729948</v>
      </c>
      <c r="Q169" s="224"/>
      <c r="R169" s="224"/>
      <c r="S169" s="429"/>
      <c r="Z169" s="362"/>
      <c r="AA169" s="421"/>
      <c r="AB169" s="362"/>
      <c r="AC169" s="362"/>
      <c r="AD169" s="362"/>
      <c r="AE169" s="362"/>
      <c r="AF169" s="362"/>
      <c r="AG169" s="362"/>
      <c r="AH169" s="362"/>
      <c r="AI169" s="393"/>
      <c r="AJ169" s="393"/>
      <c r="AK169" s="362"/>
      <c r="AL169" s="362"/>
      <c r="AM169" s="362"/>
      <c r="AN169" s="362"/>
      <c r="AO169" s="362"/>
      <c r="AP169" s="362"/>
      <c r="AQ169" s="362"/>
      <c r="AR169" s="362"/>
    </row>
    <row r="170" spans="1:44" ht="12.75" customHeight="1" x14ac:dyDescent="0.15">
      <c r="A170" s="431"/>
      <c r="B170" s="393"/>
      <c r="C170" s="428"/>
      <c r="D170" s="428">
        <v>657606.51383420231</v>
      </c>
      <c r="E170" s="224">
        <v>163762.21224690278</v>
      </c>
      <c r="F170" s="224">
        <v>4.3027985040301333</v>
      </c>
      <c r="G170" s="224">
        <v>3.806206679649538</v>
      </c>
      <c r="H170" s="224">
        <v>2.6544259849478973</v>
      </c>
      <c r="I170" s="224">
        <v>2.2474997059298696</v>
      </c>
      <c r="J170" s="224"/>
      <c r="M170" s="224">
        <f t="shared" si="12"/>
        <v>493844.30158729956</v>
      </c>
      <c r="N170" s="224">
        <f t="shared" si="13"/>
        <v>0.49659182438059535</v>
      </c>
      <c r="O170" s="224">
        <f t="shared" si="14"/>
        <v>0.40692627901802769</v>
      </c>
      <c r="Q170" s="224"/>
      <c r="R170" s="224"/>
      <c r="S170" s="429"/>
      <c r="Z170" s="362"/>
      <c r="AA170" s="421"/>
      <c r="AB170" s="362"/>
      <c r="AC170" s="362"/>
      <c r="AD170" s="362"/>
      <c r="AE170" s="362"/>
      <c r="AF170" s="362"/>
      <c r="AG170" s="362"/>
      <c r="AH170" s="362"/>
      <c r="AI170" s="393"/>
      <c r="AJ170" s="393"/>
      <c r="AK170" s="362"/>
      <c r="AL170" s="362"/>
      <c r="AM170" s="362"/>
      <c r="AN170" s="362"/>
      <c r="AO170" s="362"/>
      <c r="AP170" s="362"/>
      <c r="AQ170" s="362"/>
      <c r="AR170" s="362"/>
    </row>
    <row r="171" spans="1:44" ht="12.75" customHeight="1" x14ac:dyDescent="0.15">
      <c r="A171" s="431"/>
      <c r="B171" s="393"/>
      <c r="C171" s="428"/>
      <c r="D171" s="428">
        <v>584034.56680149725</v>
      </c>
      <c r="E171" s="224">
        <v>193473.61867901473</v>
      </c>
      <c r="F171" s="224">
        <v>4.23851533445933</v>
      </c>
      <c r="G171" s="224">
        <v>4.0890586620988323</v>
      </c>
      <c r="H171" s="224">
        <v>2.6115487632034626</v>
      </c>
      <c r="I171" s="224">
        <v>2.259619781926999</v>
      </c>
      <c r="J171" s="224"/>
      <c r="M171" s="224">
        <f t="shared" si="12"/>
        <v>390560.94812248251</v>
      </c>
      <c r="N171" s="224">
        <f t="shared" si="13"/>
        <v>0.14945667236049776</v>
      </c>
      <c r="O171" s="224">
        <f t="shared" si="14"/>
        <v>0.35192898127646366</v>
      </c>
      <c r="Q171" s="224"/>
      <c r="R171" s="224"/>
      <c r="S171" s="429"/>
      <c r="Z171" s="362"/>
      <c r="AA171" s="421"/>
      <c r="AB171" s="362"/>
      <c r="AC171" s="362"/>
      <c r="AD171" s="362"/>
      <c r="AE171" s="362"/>
      <c r="AF171" s="362"/>
      <c r="AG171" s="362"/>
      <c r="AH171" s="362"/>
      <c r="AI171" s="393"/>
      <c r="AJ171" s="393"/>
      <c r="AK171" s="362"/>
      <c r="AL171" s="362"/>
      <c r="AM171" s="362"/>
      <c r="AN171" s="362"/>
      <c r="AO171" s="362"/>
      <c r="AP171" s="362"/>
      <c r="AQ171" s="362"/>
      <c r="AR171" s="362"/>
    </row>
    <row r="172" spans="1:44" ht="12.75" customHeight="1" x14ac:dyDescent="0.15">
      <c r="A172" s="431"/>
      <c r="B172" s="393"/>
      <c r="C172" s="428"/>
      <c r="D172" s="428">
        <v>622108.53156629938</v>
      </c>
      <c r="E172" s="224">
        <v>220993.41828255149</v>
      </c>
      <c r="F172" s="224">
        <v>4.2273603653706466</v>
      </c>
      <c r="G172" s="224">
        <v>3.6037956988121631</v>
      </c>
      <c r="H172" s="224">
        <v>2.2290893686924313</v>
      </c>
      <c r="I172" s="224">
        <v>1.8752982515282768</v>
      </c>
      <c r="J172" s="224"/>
      <c r="M172" s="224">
        <f t="shared" si="12"/>
        <v>401115.11328374792</v>
      </c>
      <c r="N172" s="224">
        <f t="shared" si="13"/>
        <v>0.62356466655848353</v>
      </c>
      <c r="O172" s="224">
        <f t="shared" si="14"/>
        <v>0.35379111716415457</v>
      </c>
      <c r="Q172" s="224"/>
      <c r="R172" s="224"/>
      <c r="S172" s="429"/>
      <c r="Z172" s="362"/>
      <c r="AA172" s="421"/>
      <c r="AB172" s="362"/>
      <c r="AC172" s="362"/>
      <c r="AD172" s="362"/>
      <c r="AE172" s="362"/>
      <c r="AF172" s="362"/>
      <c r="AG172" s="362"/>
      <c r="AH172" s="362"/>
      <c r="AI172" s="393"/>
      <c r="AJ172" s="393"/>
      <c r="AK172" s="362"/>
      <c r="AL172" s="362"/>
      <c r="AM172" s="362"/>
      <c r="AN172" s="362"/>
      <c r="AO172" s="362"/>
      <c r="AP172" s="362"/>
      <c r="AQ172" s="362"/>
      <c r="AR172" s="362"/>
    </row>
    <row r="173" spans="1:44" ht="12.75" customHeight="1" x14ac:dyDescent="0.15">
      <c r="A173" s="431"/>
      <c r="B173" s="393"/>
      <c r="C173" s="428"/>
      <c r="D173" s="428">
        <v>523486.83784631308</v>
      </c>
      <c r="E173" s="224">
        <v>141379.08503560504</v>
      </c>
      <c r="F173" s="224">
        <v>4.2179233134954295</v>
      </c>
      <c r="G173" s="224">
        <v>4.1102087925982334</v>
      </c>
      <c r="H173" s="224">
        <v>2.4415712132265273</v>
      </c>
      <c r="I173" s="224">
        <v>2.3989156621822567</v>
      </c>
      <c r="J173" s="224"/>
      <c r="M173" s="224">
        <f t="shared" si="12"/>
        <v>382107.75281070801</v>
      </c>
      <c r="N173" s="224">
        <f t="shared" si="13"/>
        <v>0.10771452089719613</v>
      </c>
      <c r="O173" s="224">
        <f t="shared" si="14"/>
        <v>4.2655551044270545E-2</v>
      </c>
      <c r="Q173" s="224"/>
      <c r="R173" s="224"/>
      <c r="S173" s="429"/>
      <c r="Z173" s="362"/>
      <c r="AA173" s="421"/>
      <c r="AB173" s="362"/>
      <c r="AC173" s="362"/>
      <c r="AD173" s="362"/>
      <c r="AE173" s="362"/>
      <c r="AF173" s="362"/>
      <c r="AG173" s="362"/>
      <c r="AH173" s="362"/>
      <c r="AI173" s="393"/>
      <c r="AJ173" s="393"/>
      <c r="AK173" s="362"/>
      <c r="AL173" s="362"/>
      <c r="AM173" s="362"/>
      <c r="AN173" s="362"/>
      <c r="AO173" s="362"/>
      <c r="AP173" s="362"/>
      <c r="AQ173" s="362"/>
      <c r="AR173" s="362"/>
    </row>
    <row r="174" spans="1:44" ht="12.75" customHeight="1" x14ac:dyDescent="0.15">
      <c r="A174" s="431"/>
      <c r="B174" s="393"/>
      <c r="C174" s="428"/>
      <c r="D174" s="428">
        <v>557764.80882350367</v>
      </c>
      <c r="E174" s="224">
        <v>174121.03159221332</v>
      </c>
      <c r="F174" s="224">
        <v>4.3304233638295342</v>
      </c>
      <c r="G174" s="224">
        <v>4.4488845421422401</v>
      </c>
      <c r="H174" s="224">
        <v>2.6498597613985972</v>
      </c>
      <c r="I174" s="224">
        <v>2.5601189383670362</v>
      </c>
      <c r="J174" s="224"/>
      <c r="M174" s="224">
        <f t="shared" si="12"/>
        <v>383643.77723129035</v>
      </c>
      <c r="N174" s="224">
        <f t="shared" si="13"/>
        <v>-0.11846117831270586</v>
      </c>
      <c r="O174" s="224">
        <f t="shared" si="14"/>
        <v>8.9740823031561057E-2</v>
      </c>
      <c r="Q174" s="224"/>
      <c r="R174" s="224"/>
      <c r="S174" s="429"/>
      <c r="Z174" s="362"/>
      <c r="AA174" s="421"/>
      <c r="AB174" s="362"/>
      <c r="AC174" s="362"/>
      <c r="AD174" s="362"/>
      <c r="AE174" s="362"/>
      <c r="AF174" s="362"/>
      <c r="AG174" s="362"/>
      <c r="AH174" s="362"/>
      <c r="AI174" s="393"/>
      <c r="AJ174" s="393"/>
      <c r="AK174" s="362"/>
      <c r="AL174" s="362"/>
      <c r="AM174" s="362"/>
      <c r="AN174" s="362"/>
      <c r="AO174" s="362"/>
      <c r="AP174" s="362"/>
      <c r="AQ174" s="362"/>
      <c r="AR174" s="362"/>
    </row>
    <row r="175" spans="1:44" ht="12.75" customHeight="1" x14ac:dyDescent="0.15">
      <c r="A175" s="431"/>
      <c r="B175" s="393"/>
      <c r="C175" s="428"/>
      <c r="D175" s="428">
        <v>560533.11399242654</v>
      </c>
      <c r="E175" s="224">
        <v>143944.56118495401</v>
      </c>
      <c r="F175" s="224">
        <v>4.5425654752124887</v>
      </c>
      <c r="G175" s="224">
        <v>3.5831916251750271</v>
      </c>
      <c r="H175" s="224">
        <v>2.7324208833082344</v>
      </c>
      <c r="I175" s="224">
        <v>2.2087202760313116</v>
      </c>
      <c r="J175" s="224"/>
      <c r="M175" s="224">
        <f t="shared" si="12"/>
        <v>416588.55280747253</v>
      </c>
      <c r="N175" s="224">
        <f t="shared" si="13"/>
        <v>0.95937385003746156</v>
      </c>
      <c r="O175" s="224">
        <f t="shared" si="14"/>
        <v>0.5237006072769228</v>
      </c>
      <c r="Q175" s="224"/>
      <c r="R175" s="224"/>
      <c r="S175" s="429"/>
      <c r="Z175" s="362"/>
      <c r="AA175" s="421"/>
      <c r="AB175" s="362"/>
      <c r="AC175" s="362"/>
      <c r="AD175" s="362"/>
      <c r="AE175" s="362"/>
      <c r="AF175" s="362"/>
      <c r="AG175" s="362"/>
      <c r="AH175" s="362"/>
      <c r="AI175" s="393"/>
      <c r="AJ175" s="393"/>
      <c r="AK175" s="362"/>
      <c r="AL175" s="362"/>
      <c r="AM175" s="362"/>
      <c r="AN175" s="362"/>
      <c r="AO175" s="362"/>
      <c r="AP175" s="362"/>
      <c r="AQ175" s="362"/>
      <c r="AR175" s="362"/>
    </row>
    <row r="176" spans="1:44" ht="12.75" customHeight="1" x14ac:dyDescent="0.15">
      <c r="A176" s="431"/>
      <c r="B176" s="393"/>
      <c r="C176" s="428"/>
      <c r="D176" s="428">
        <v>538128.11394527846</v>
      </c>
      <c r="E176" s="224">
        <v>116981.09868098734</v>
      </c>
      <c r="F176" s="224">
        <v>4.2413076046206859</v>
      </c>
      <c r="G176" s="224">
        <v>3.6123569415117553</v>
      </c>
      <c r="H176" s="224">
        <v>2.7332631369382936</v>
      </c>
      <c r="I176" s="224">
        <v>2.1146891612676968</v>
      </c>
      <c r="J176" s="224"/>
      <c r="M176" s="224">
        <f t="shared" si="12"/>
        <v>421147.01526429108</v>
      </c>
      <c r="N176" s="224">
        <f t="shared" si="13"/>
        <v>0.62895066310893055</v>
      </c>
      <c r="O176" s="224">
        <f t="shared" si="14"/>
        <v>0.6185739756705968</v>
      </c>
      <c r="Q176" s="224"/>
      <c r="R176" s="224"/>
      <c r="S176" s="429"/>
      <c r="Z176" s="362"/>
      <c r="AA176" s="421"/>
      <c r="AB176" s="362"/>
      <c r="AC176" s="362"/>
      <c r="AD176" s="362"/>
      <c r="AE176" s="362"/>
      <c r="AF176" s="362"/>
      <c r="AG176" s="362"/>
      <c r="AH176" s="362"/>
      <c r="AI176" s="393"/>
      <c r="AJ176" s="393"/>
      <c r="AK176" s="362"/>
      <c r="AL176" s="362"/>
      <c r="AM176" s="362"/>
      <c r="AN176" s="362"/>
      <c r="AO176" s="362"/>
      <c r="AP176" s="362"/>
      <c r="AQ176" s="362"/>
      <c r="AR176" s="362"/>
    </row>
    <row r="177" spans="1:44" ht="12.75" customHeight="1" x14ac:dyDescent="0.15">
      <c r="A177" s="431"/>
      <c r="B177" s="393"/>
      <c r="C177" s="428"/>
      <c r="D177" s="428">
        <v>616766.97427779331</v>
      </c>
      <c r="E177" s="224">
        <v>160415.35094748286</v>
      </c>
      <c r="F177" s="224">
        <v>4.3939585382430888</v>
      </c>
      <c r="G177" s="224">
        <v>3.7473164566274106</v>
      </c>
      <c r="H177" s="224">
        <v>2.4904293477579462</v>
      </c>
      <c r="I177" s="224">
        <v>1.930972272429345</v>
      </c>
      <c r="J177" s="224"/>
      <c r="M177" s="224">
        <f t="shared" si="12"/>
        <v>456351.62333031045</v>
      </c>
      <c r="N177" s="224">
        <f t="shared" si="13"/>
        <v>0.64664208161567815</v>
      </c>
      <c r="O177" s="224">
        <f t="shared" si="14"/>
        <v>0.55945707532860123</v>
      </c>
      <c r="Q177" s="224"/>
      <c r="R177" s="224"/>
      <c r="S177" s="429"/>
      <c r="Z177" s="362"/>
      <c r="AA177" s="421"/>
      <c r="AB177" s="362"/>
      <c r="AC177" s="362"/>
      <c r="AD177" s="362"/>
      <c r="AE177" s="362"/>
      <c r="AF177" s="362"/>
      <c r="AG177" s="362"/>
      <c r="AH177" s="362"/>
      <c r="AI177" s="393"/>
      <c r="AJ177" s="393"/>
      <c r="AK177" s="362"/>
      <c r="AL177" s="362"/>
      <c r="AM177" s="362"/>
      <c r="AN177" s="362"/>
      <c r="AO177" s="362"/>
      <c r="AP177" s="362"/>
      <c r="AQ177" s="362"/>
      <c r="AR177" s="362"/>
    </row>
    <row r="178" spans="1:44" ht="12.75" customHeight="1" x14ac:dyDescent="0.15">
      <c r="A178" s="431"/>
      <c r="B178" s="393"/>
      <c r="C178" s="428"/>
      <c r="D178" s="428">
        <v>689246.59379766963</v>
      </c>
      <c r="E178" s="224">
        <v>140831.40578551052</v>
      </c>
      <c r="F178" s="224">
        <v>4.8837036995905025</v>
      </c>
      <c r="G178" s="224">
        <v>4.2550750349760769</v>
      </c>
      <c r="H178" s="224">
        <v>3.0551806955298506</v>
      </c>
      <c r="I178" s="224">
        <v>2.4004049930849978</v>
      </c>
      <c r="J178" s="224"/>
      <c r="M178" s="224">
        <f t="shared" si="12"/>
        <v>548415.18801215908</v>
      </c>
      <c r="N178" s="224">
        <f t="shared" si="13"/>
        <v>0.62862866461442568</v>
      </c>
      <c r="O178" s="224">
        <f t="shared" si="14"/>
        <v>0.65477570244485284</v>
      </c>
      <c r="Q178" s="224"/>
      <c r="R178" s="224"/>
      <c r="S178" s="429"/>
      <c r="Z178" s="362"/>
      <c r="AA178" s="421"/>
      <c r="AB178" s="362"/>
      <c r="AC178" s="362"/>
      <c r="AD178" s="362"/>
      <c r="AE178" s="362"/>
      <c r="AF178" s="362"/>
      <c r="AG178" s="362"/>
      <c r="AH178" s="362"/>
      <c r="AI178" s="393"/>
      <c r="AJ178" s="393"/>
      <c r="AK178" s="362"/>
      <c r="AL178" s="362"/>
      <c r="AM178" s="362"/>
      <c r="AN178" s="362"/>
      <c r="AO178" s="362"/>
      <c r="AP178" s="362"/>
      <c r="AQ178" s="362"/>
      <c r="AR178" s="362"/>
    </row>
    <row r="179" spans="1:44" ht="12.75" customHeight="1" x14ac:dyDescent="0.15">
      <c r="A179" s="431"/>
      <c r="B179" s="393"/>
      <c r="C179" s="428"/>
      <c r="D179" s="428">
        <v>717921.41120120045</v>
      </c>
      <c r="E179" s="224">
        <v>210998.99238156193</v>
      </c>
      <c r="F179" s="224">
        <v>4.0350992101214169</v>
      </c>
      <c r="G179" s="224">
        <v>4.2793813160326239</v>
      </c>
      <c r="H179" s="224">
        <v>2.8573525593061921</v>
      </c>
      <c r="I179" s="224">
        <v>2.0747364576301739</v>
      </c>
      <c r="J179" s="224"/>
      <c r="M179" s="224">
        <f t="shared" si="12"/>
        <v>506922.41881963855</v>
      </c>
      <c r="N179" s="224">
        <f t="shared" si="13"/>
        <v>-0.24428210591120703</v>
      </c>
      <c r="O179" s="224">
        <f t="shared" si="14"/>
        <v>0.78261610167601825</v>
      </c>
      <c r="Q179" s="224"/>
      <c r="R179" s="224"/>
      <c r="S179" s="429"/>
      <c r="Z179" s="362"/>
      <c r="AA179" s="421"/>
      <c r="AB179" s="362"/>
      <c r="AC179" s="362"/>
      <c r="AD179" s="362"/>
      <c r="AE179" s="362"/>
      <c r="AF179" s="362"/>
      <c r="AG179" s="362"/>
      <c r="AH179" s="362"/>
      <c r="AI179" s="393"/>
      <c r="AJ179" s="393"/>
      <c r="AK179" s="362"/>
      <c r="AL179" s="362"/>
      <c r="AM179" s="362"/>
      <c r="AN179" s="362"/>
      <c r="AO179" s="362"/>
      <c r="AP179" s="362"/>
      <c r="AQ179" s="362"/>
      <c r="AR179" s="362"/>
    </row>
    <row r="180" spans="1:44" ht="12.75" customHeight="1" x14ac:dyDescent="0.15">
      <c r="A180" s="431"/>
      <c r="B180" s="393"/>
      <c r="C180" s="428"/>
      <c r="D180" s="428">
        <v>681781.14946083515</v>
      </c>
      <c r="E180" s="224">
        <v>182584.46736118975</v>
      </c>
      <c r="F180" s="224">
        <v>5.0182979300374058</v>
      </c>
      <c r="G180" s="224">
        <v>4.2167887045448573</v>
      </c>
      <c r="H180" s="224">
        <v>3.2826342416590375</v>
      </c>
      <c r="I180" s="224">
        <v>2.6601056533138854</v>
      </c>
      <c r="J180" s="224"/>
      <c r="M180" s="224">
        <f t="shared" si="12"/>
        <v>499196.68209964538</v>
      </c>
      <c r="N180" s="224">
        <f t="shared" si="13"/>
        <v>0.80150922549254844</v>
      </c>
      <c r="O180" s="224">
        <f t="shared" si="14"/>
        <v>0.62252858834515212</v>
      </c>
      <c r="Q180" s="224"/>
      <c r="R180" s="224"/>
      <c r="S180" s="429"/>
      <c r="Z180" s="362"/>
      <c r="AA180" s="421"/>
      <c r="AB180" s="362"/>
      <c r="AC180" s="362"/>
      <c r="AD180" s="362"/>
      <c r="AE180" s="362"/>
      <c r="AF180" s="362"/>
      <c r="AG180" s="362"/>
      <c r="AH180" s="362"/>
      <c r="AI180" s="393"/>
      <c r="AJ180" s="393"/>
      <c r="AK180" s="362"/>
      <c r="AL180" s="362"/>
      <c r="AM180" s="362"/>
      <c r="AN180" s="362"/>
      <c r="AO180" s="362"/>
      <c r="AP180" s="362"/>
      <c r="AQ180" s="362"/>
      <c r="AR180" s="362"/>
    </row>
    <row r="181" spans="1:44" ht="12.75" customHeight="1" x14ac:dyDescent="0.15">
      <c r="A181" s="431"/>
      <c r="B181" s="393"/>
      <c r="C181" s="428"/>
      <c r="D181" s="428">
        <v>530026.63245214196</v>
      </c>
      <c r="E181" s="224">
        <v>142963.52411007523</v>
      </c>
      <c r="F181" s="224">
        <v>3.6720725316413709</v>
      </c>
      <c r="G181" s="224">
        <v>4.4996787283317978</v>
      </c>
      <c r="H181" s="224">
        <v>2.431754696718607</v>
      </c>
      <c r="I181" s="224">
        <v>2.6815236364437269</v>
      </c>
      <c r="J181" s="224"/>
      <c r="M181" s="224">
        <f t="shared" si="12"/>
        <v>387063.10834206676</v>
      </c>
      <c r="N181" s="224">
        <f t="shared" si="13"/>
        <v>-0.8276061966904269</v>
      </c>
      <c r="O181" s="224">
        <f t="shared" si="14"/>
        <v>-0.24976893972511993</v>
      </c>
      <c r="Q181" s="224"/>
      <c r="R181" s="224"/>
      <c r="S181" s="429"/>
      <c r="Z181" s="362"/>
      <c r="AA181" s="421"/>
      <c r="AB181" s="362"/>
      <c r="AC181" s="362"/>
      <c r="AD181" s="362"/>
      <c r="AE181" s="362"/>
      <c r="AF181" s="362"/>
      <c r="AG181" s="362"/>
      <c r="AH181" s="362"/>
      <c r="AI181" s="393"/>
      <c r="AJ181" s="393"/>
      <c r="AK181" s="362"/>
      <c r="AL181" s="362"/>
      <c r="AM181" s="362"/>
      <c r="AN181" s="362"/>
      <c r="AO181" s="362"/>
      <c r="AP181" s="362"/>
      <c r="AQ181" s="362"/>
      <c r="AR181" s="362"/>
    </row>
    <row r="182" spans="1:44" ht="12.75" customHeight="1" x14ac:dyDescent="0.15">
      <c r="A182" s="431"/>
      <c r="B182" s="393"/>
      <c r="C182" s="428"/>
      <c r="D182" s="428">
        <v>596479.53489040793</v>
      </c>
      <c r="E182" s="224">
        <v>100419.90525785065</v>
      </c>
      <c r="F182" s="224">
        <v>4.7783674216248126</v>
      </c>
      <c r="G182" s="224">
        <v>4.0616418312340734</v>
      </c>
      <c r="H182" s="224">
        <v>2.7219095356260063</v>
      </c>
      <c r="I182" s="224">
        <v>1.9592291625588725</v>
      </c>
      <c r="J182" s="224"/>
      <c r="M182" s="224">
        <f t="shared" si="12"/>
        <v>496059.62963255728</v>
      </c>
      <c r="N182" s="224">
        <f t="shared" si="13"/>
        <v>0.71672559039073924</v>
      </c>
      <c r="O182" s="224">
        <f t="shared" si="14"/>
        <v>0.76268037306713388</v>
      </c>
      <c r="Q182" s="224"/>
      <c r="R182" s="224"/>
      <c r="S182" s="429"/>
      <c r="Z182" s="362"/>
      <c r="AA182" s="421"/>
      <c r="AB182" s="362"/>
      <c r="AC182" s="362"/>
      <c r="AD182" s="362"/>
      <c r="AE182" s="362"/>
      <c r="AF182" s="362"/>
      <c r="AG182" s="362"/>
      <c r="AH182" s="362"/>
      <c r="AI182" s="393"/>
      <c r="AJ182" s="393"/>
      <c r="AK182" s="362"/>
      <c r="AL182" s="362"/>
      <c r="AM182" s="362"/>
      <c r="AN182" s="362"/>
      <c r="AO182" s="362"/>
      <c r="AP182" s="362"/>
      <c r="AQ182" s="362"/>
      <c r="AR182" s="362"/>
    </row>
    <row r="183" spans="1:44" ht="12.75" customHeight="1" x14ac:dyDescent="0.15">
      <c r="A183" s="431"/>
      <c r="B183" s="393"/>
      <c r="C183" s="428"/>
      <c r="D183" s="428">
        <v>580893.84165522375</v>
      </c>
      <c r="E183" s="224">
        <v>183862.70195856609</v>
      </c>
      <c r="F183" s="224">
        <v>4.7493024005920361</v>
      </c>
      <c r="G183" s="224">
        <v>3.8734560889723566</v>
      </c>
      <c r="H183" s="224">
        <v>2.755108906056694</v>
      </c>
      <c r="I183" s="224">
        <v>2.169491730011881</v>
      </c>
      <c r="J183" s="224"/>
      <c r="M183" s="224">
        <f t="shared" si="12"/>
        <v>397031.13969665766</v>
      </c>
      <c r="N183" s="224">
        <f t="shared" si="13"/>
        <v>0.87584631161967952</v>
      </c>
      <c r="O183" s="224">
        <f t="shared" si="14"/>
        <v>0.585617176044813</v>
      </c>
      <c r="Q183" s="224"/>
      <c r="R183" s="224"/>
      <c r="S183" s="429"/>
      <c r="Z183" s="362"/>
      <c r="AA183" s="421"/>
      <c r="AB183" s="362"/>
      <c r="AC183" s="362"/>
      <c r="AD183" s="362"/>
      <c r="AE183" s="362"/>
      <c r="AF183" s="362"/>
      <c r="AG183" s="362"/>
      <c r="AH183" s="362"/>
      <c r="AI183" s="393"/>
      <c r="AJ183" s="393"/>
      <c r="AK183" s="362"/>
      <c r="AL183" s="362"/>
      <c r="AM183" s="362"/>
      <c r="AN183" s="362"/>
      <c r="AO183" s="362"/>
      <c r="AP183" s="362"/>
      <c r="AQ183" s="362"/>
      <c r="AR183" s="362"/>
    </row>
    <row r="184" spans="1:44" ht="12.75" customHeight="1" x14ac:dyDescent="0.15">
      <c r="A184" s="431"/>
      <c r="B184" s="393"/>
      <c r="C184" s="428"/>
      <c r="D184" s="428">
        <v>550197.55325405719</v>
      </c>
      <c r="E184" s="224">
        <v>163915.35811741187</v>
      </c>
      <c r="F184" s="224">
        <v>4.1314894763058554</v>
      </c>
      <c r="G184" s="224">
        <v>4.056982554525244</v>
      </c>
      <c r="H184" s="224">
        <v>2.372850298404896</v>
      </c>
      <c r="I184" s="224">
        <v>2.1605153027697064</v>
      </c>
      <c r="J184" s="224"/>
      <c r="M184" s="224">
        <f t="shared" si="12"/>
        <v>386282.19513664534</v>
      </c>
      <c r="N184" s="224">
        <f t="shared" si="13"/>
        <v>7.4506921780611357E-2</v>
      </c>
      <c r="O184" s="224">
        <f t="shared" si="14"/>
        <v>0.21233499563518965</v>
      </c>
      <c r="Q184" s="224"/>
      <c r="R184" s="224"/>
      <c r="S184" s="429"/>
      <c r="Z184" s="362"/>
      <c r="AA184" s="421"/>
      <c r="AB184" s="362"/>
      <c r="AC184" s="362"/>
      <c r="AD184" s="362"/>
      <c r="AE184" s="362"/>
      <c r="AF184" s="362"/>
      <c r="AG184" s="362"/>
      <c r="AH184" s="362"/>
      <c r="AI184" s="393"/>
      <c r="AJ184" s="393"/>
      <c r="AK184" s="362"/>
      <c r="AL184" s="362"/>
      <c r="AM184" s="362"/>
      <c r="AN184" s="362"/>
      <c r="AO184" s="362"/>
      <c r="AP184" s="362"/>
      <c r="AQ184" s="362"/>
      <c r="AR184" s="362"/>
    </row>
    <row r="185" spans="1:44" ht="12.75" customHeight="1" x14ac:dyDescent="0.15">
      <c r="A185" s="431"/>
      <c r="B185" s="393"/>
      <c r="C185" s="428"/>
      <c r="D185" s="428">
        <v>619602.69968502037</v>
      </c>
      <c r="E185" s="224">
        <v>142342.69918242627</v>
      </c>
      <c r="F185" s="224">
        <v>3.9929333927143698</v>
      </c>
      <c r="G185" s="224">
        <v>3.5519854647824705</v>
      </c>
      <c r="H185" s="224">
        <v>2.2872285702434114</v>
      </c>
      <c r="I185" s="224">
        <v>1.9019091435495168</v>
      </c>
      <c r="J185" s="224"/>
      <c r="M185" s="224">
        <f t="shared" si="12"/>
        <v>477260.00050259411</v>
      </c>
      <c r="N185" s="224">
        <f t="shared" si="13"/>
        <v>0.4409479279318993</v>
      </c>
      <c r="O185" s="224">
        <f t="shared" si="14"/>
        <v>0.38531942669389463</v>
      </c>
      <c r="Q185" s="224"/>
      <c r="R185" s="224"/>
      <c r="S185" s="429"/>
      <c r="Z185" s="362"/>
      <c r="AA185" s="421"/>
      <c r="AB185" s="362"/>
      <c r="AC185" s="362"/>
      <c r="AD185" s="362"/>
      <c r="AE185" s="362"/>
      <c r="AF185" s="362"/>
      <c r="AG185" s="362"/>
      <c r="AH185" s="362"/>
      <c r="AI185" s="393"/>
      <c r="AJ185" s="393"/>
      <c r="AK185" s="362"/>
      <c r="AL185" s="362"/>
      <c r="AM185" s="362"/>
      <c r="AN185" s="362"/>
      <c r="AO185" s="362"/>
      <c r="AP185" s="362"/>
      <c r="AQ185" s="362"/>
      <c r="AR185" s="362"/>
    </row>
    <row r="186" spans="1:44" ht="12.75" customHeight="1" x14ac:dyDescent="0.15">
      <c r="A186" s="431"/>
      <c r="B186" s="393"/>
      <c r="C186" s="428"/>
      <c r="D186" s="428">
        <v>638839.1071517173</v>
      </c>
      <c r="E186" s="224">
        <v>190952.69555009337</v>
      </c>
      <c r="F186" s="224">
        <v>4.5363994431123658</v>
      </c>
      <c r="G186" s="224">
        <v>3.5845875291112255</v>
      </c>
      <c r="H186" s="224">
        <v>2.8283218774414487</v>
      </c>
      <c r="I186" s="224">
        <v>2.1097040709778994</v>
      </c>
      <c r="J186" s="224"/>
      <c r="M186" s="224">
        <f t="shared" si="12"/>
        <v>447886.41160162393</v>
      </c>
      <c r="N186" s="224">
        <f t="shared" si="13"/>
        <v>0.95181191400114029</v>
      </c>
      <c r="O186" s="224">
        <f t="shared" si="14"/>
        <v>0.71861780646354934</v>
      </c>
      <c r="Q186" s="224"/>
      <c r="R186" s="224"/>
      <c r="S186" s="429"/>
      <c r="Z186" s="362"/>
      <c r="AA186" s="421"/>
      <c r="AB186" s="362"/>
      <c r="AC186" s="362"/>
      <c r="AD186" s="362"/>
      <c r="AE186" s="362"/>
      <c r="AF186" s="362"/>
      <c r="AG186" s="362"/>
      <c r="AH186" s="362"/>
      <c r="AI186" s="393"/>
      <c r="AJ186" s="393"/>
      <c r="AK186" s="362"/>
      <c r="AL186" s="362"/>
      <c r="AM186" s="362"/>
      <c r="AN186" s="362"/>
      <c r="AO186" s="362"/>
      <c r="AP186" s="362"/>
      <c r="AQ186" s="362"/>
      <c r="AR186" s="362"/>
    </row>
    <row r="187" spans="1:44" ht="12.75" customHeight="1" x14ac:dyDescent="0.15">
      <c r="A187" s="431"/>
      <c r="B187" s="393"/>
      <c r="C187" s="428"/>
      <c r="D187" s="428">
        <v>606004.63534309028</v>
      </c>
      <c r="E187" s="224">
        <v>158900.56838458398</v>
      </c>
      <c r="F187" s="224">
        <v>4.7678728019287702</v>
      </c>
      <c r="G187" s="224">
        <v>3.8090253624238861</v>
      </c>
      <c r="H187" s="224">
        <v>2.838365548118555</v>
      </c>
      <c r="I187" s="224">
        <v>2.0693559739935892</v>
      </c>
      <c r="J187" s="224"/>
      <c r="M187" s="224">
        <f t="shared" si="12"/>
        <v>447104.0669585063</v>
      </c>
      <c r="N187" s="224">
        <f t="shared" si="13"/>
        <v>0.95884743950488405</v>
      </c>
      <c r="O187" s="224">
        <f t="shared" si="14"/>
        <v>0.76900957412496584</v>
      </c>
      <c r="Q187" s="224"/>
      <c r="R187" s="224"/>
      <c r="S187" s="429"/>
      <c r="Z187" s="362"/>
      <c r="AA187" s="421"/>
      <c r="AB187" s="362"/>
      <c r="AC187" s="362"/>
      <c r="AD187" s="362"/>
      <c r="AE187" s="362"/>
      <c r="AF187" s="362"/>
      <c r="AG187" s="362"/>
      <c r="AH187" s="362"/>
      <c r="AI187" s="393"/>
      <c r="AJ187" s="393"/>
      <c r="AK187" s="362"/>
      <c r="AL187" s="362"/>
      <c r="AM187" s="362"/>
      <c r="AN187" s="362"/>
      <c r="AO187" s="362"/>
      <c r="AP187" s="362"/>
      <c r="AQ187" s="362"/>
      <c r="AR187" s="362"/>
    </row>
    <row r="188" spans="1:44" ht="12.75" customHeight="1" x14ac:dyDescent="0.15">
      <c r="A188" s="431"/>
      <c r="B188" s="393"/>
      <c r="C188" s="428"/>
      <c r="D188" s="428">
        <v>614501.10565626214</v>
      </c>
      <c r="E188" s="224">
        <v>128779.7478755893</v>
      </c>
      <c r="F188" s="224">
        <v>4.5808817414925871</v>
      </c>
      <c r="G188" s="224">
        <v>4.2175069779277079</v>
      </c>
      <c r="H188" s="224">
        <v>2.8638731060395322</v>
      </c>
      <c r="I188" s="224">
        <v>2.135654441578767</v>
      </c>
      <c r="J188" s="224"/>
      <c r="M188" s="224">
        <f t="shared" si="12"/>
        <v>485721.35778067284</v>
      </c>
      <c r="N188" s="224">
        <f t="shared" si="13"/>
        <v>0.36337476356487919</v>
      </c>
      <c r="O188" s="224">
        <f t="shared" si="14"/>
        <v>0.72821866446076511</v>
      </c>
      <c r="Q188" s="224"/>
      <c r="R188" s="224"/>
      <c r="S188" s="429"/>
      <c r="Z188" s="362"/>
      <c r="AA188" s="421"/>
      <c r="AB188" s="362"/>
      <c r="AC188" s="362"/>
      <c r="AD188" s="362"/>
      <c r="AE188" s="362"/>
      <c r="AF188" s="362"/>
      <c r="AG188" s="362"/>
      <c r="AH188" s="362"/>
      <c r="AI188" s="393"/>
      <c r="AJ188" s="393"/>
      <c r="AK188" s="362"/>
      <c r="AL188" s="362"/>
      <c r="AM188" s="362"/>
      <c r="AN188" s="362"/>
      <c r="AO188" s="362"/>
      <c r="AP188" s="362"/>
      <c r="AQ188" s="362"/>
      <c r="AR188" s="362"/>
    </row>
    <row r="189" spans="1:44" ht="12.75" customHeight="1" x14ac:dyDescent="0.15">
      <c r="A189" s="431"/>
      <c r="B189" s="393"/>
      <c r="C189" s="428"/>
      <c r="D189" s="428">
        <v>724632.9595086067</v>
      </c>
      <c r="E189" s="224">
        <v>286243.50808652036</v>
      </c>
      <c r="F189" s="224">
        <v>4.8375783063422508</v>
      </c>
      <c r="G189" s="224">
        <v>3.5679583485331658</v>
      </c>
      <c r="H189" s="224">
        <v>2.5912683751507966</v>
      </c>
      <c r="I189" s="224">
        <v>1.9287592840100412</v>
      </c>
      <c r="J189" s="224"/>
      <c r="M189" s="224">
        <f t="shared" si="12"/>
        <v>438389.45142208633</v>
      </c>
      <c r="N189" s="224">
        <f t="shared" si="13"/>
        <v>1.269619957809085</v>
      </c>
      <c r="O189" s="224">
        <f t="shared" si="14"/>
        <v>0.6625090911407554</v>
      </c>
      <c r="Q189" s="224"/>
      <c r="R189" s="224"/>
      <c r="S189" s="429"/>
      <c r="Z189" s="362"/>
      <c r="AA189" s="421"/>
      <c r="AB189" s="362"/>
      <c r="AC189" s="362"/>
      <c r="AD189" s="362"/>
      <c r="AE189" s="362"/>
      <c r="AF189" s="362"/>
      <c r="AG189" s="362"/>
      <c r="AH189" s="362"/>
      <c r="AI189" s="393"/>
      <c r="AJ189" s="393"/>
      <c r="AK189" s="362"/>
      <c r="AL189" s="362"/>
      <c r="AM189" s="362"/>
      <c r="AN189" s="362"/>
      <c r="AO189" s="362"/>
      <c r="AP189" s="362"/>
      <c r="AQ189" s="362"/>
      <c r="AR189" s="362"/>
    </row>
    <row r="190" spans="1:44" ht="12.75" customHeight="1" x14ac:dyDescent="0.15">
      <c r="A190" s="431"/>
      <c r="B190" s="393"/>
      <c r="C190" s="428"/>
      <c r="D190" s="428">
        <v>622966.31267151819</v>
      </c>
      <c r="E190" s="224">
        <v>156278.58701424376</v>
      </c>
      <c r="F190" s="224">
        <v>3.9384760926122282</v>
      </c>
      <c r="G190" s="224">
        <v>3.6400197858017806</v>
      </c>
      <c r="H190" s="224">
        <v>2.2847339743438773</v>
      </c>
      <c r="I190" s="224">
        <v>1.921117689403417</v>
      </c>
      <c r="J190" s="224"/>
      <c r="M190" s="224">
        <f t="shared" si="12"/>
        <v>466687.72565727442</v>
      </c>
      <c r="N190" s="224">
        <f t="shared" si="13"/>
        <v>0.29845630681044755</v>
      </c>
      <c r="O190" s="224">
        <f t="shared" si="14"/>
        <v>0.36361628494046028</v>
      </c>
      <c r="Q190" s="224"/>
      <c r="R190" s="224"/>
      <c r="S190" s="429"/>
      <c r="Z190" s="362"/>
      <c r="AA190" s="421"/>
      <c r="AB190" s="362"/>
      <c r="AC190" s="362"/>
      <c r="AD190" s="362"/>
      <c r="AE190" s="362"/>
      <c r="AF190" s="362"/>
      <c r="AG190" s="362"/>
      <c r="AH190" s="362"/>
      <c r="AI190" s="393"/>
      <c r="AJ190" s="393"/>
      <c r="AK190" s="362"/>
      <c r="AL190" s="362"/>
      <c r="AM190" s="362"/>
      <c r="AN190" s="362"/>
      <c r="AO190" s="362"/>
      <c r="AP190" s="362"/>
      <c r="AQ190" s="362"/>
      <c r="AR190" s="362"/>
    </row>
    <row r="191" spans="1:44" ht="12.75" customHeight="1" x14ac:dyDescent="0.15">
      <c r="A191" s="431"/>
      <c r="B191" s="393"/>
      <c r="C191" s="428"/>
      <c r="D191" s="428">
        <v>522058.83822731371</v>
      </c>
      <c r="E191" s="224">
        <v>149295.96839843891</v>
      </c>
      <c r="F191" s="224">
        <v>3.9711610896611531</v>
      </c>
      <c r="G191" s="224">
        <v>3.918008477923173</v>
      </c>
      <c r="H191" s="224">
        <v>2.7314287561414341</v>
      </c>
      <c r="I191" s="224">
        <v>2.5557416654794234</v>
      </c>
      <c r="J191" s="224"/>
      <c r="M191" s="224">
        <f t="shared" si="12"/>
        <v>372762.86982887483</v>
      </c>
      <c r="N191" s="224">
        <f t="shared" si="13"/>
        <v>5.3152611737980138E-2</v>
      </c>
      <c r="O191" s="224">
        <f t="shared" si="14"/>
        <v>0.17568709066201071</v>
      </c>
      <c r="Q191" s="224"/>
      <c r="R191" s="224"/>
      <c r="S191" s="429"/>
      <c r="Z191" s="362"/>
      <c r="AA191" s="421"/>
      <c r="AB191" s="362"/>
      <c r="AC191" s="362"/>
      <c r="AD191" s="362"/>
      <c r="AE191" s="362"/>
      <c r="AF191" s="362"/>
      <c r="AG191" s="362"/>
      <c r="AH191" s="362"/>
      <c r="AI191" s="393"/>
      <c r="AJ191" s="393"/>
      <c r="AK191" s="362"/>
      <c r="AL191" s="362"/>
      <c r="AM191" s="362"/>
      <c r="AN191" s="362"/>
      <c r="AO191" s="362"/>
      <c r="AP191" s="362"/>
      <c r="AQ191" s="362"/>
      <c r="AR191" s="362"/>
    </row>
    <row r="192" spans="1:44" ht="12.75" customHeight="1" x14ac:dyDescent="0.15">
      <c r="A192" s="431"/>
      <c r="B192" s="393"/>
      <c r="C192" s="428"/>
      <c r="D192" s="428">
        <v>612652.68720496376</v>
      </c>
      <c r="E192" s="224">
        <v>169275.40509910823</v>
      </c>
      <c r="F192" s="224">
        <v>3.9003914690055042</v>
      </c>
      <c r="G192" s="224">
        <v>3.7723718570004872</v>
      </c>
      <c r="H192" s="224">
        <v>2.6298606937353224</v>
      </c>
      <c r="I192" s="224">
        <v>2.2350268951361318</v>
      </c>
      <c r="J192" s="224"/>
      <c r="M192" s="224">
        <f t="shared" si="12"/>
        <v>443377.28210585553</v>
      </c>
      <c r="N192" s="224">
        <f t="shared" si="13"/>
        <v>0.12801961200501699</v>
      </c>
      <c r="O192" s="224">
        <f t="shared" si="14"/>
        <v>0.39483379859919054</v>
      </c>
      <c r="Q192" s="224"/>
      <c r="R192" s="224"/>
      <c r="S192" s="429"/>
      <c r="Z192" s="362"/>
      <c r="AA192" s="421"/>
      <c r="AB192" s="362"/>
      <c r="AC192" s="362"/>
      <c r="AD192" s="362"/>
      <c r="AE192" s="362"/>
      <c r="AF192" s="362"/>
      <c r="AG192" s="362"/>
      <c r="AH192" s="362"/>
      <c r="AI192" s="393"/>
      <c r="AJ192" s="393"/>
      <c r="AK192" s="362"/>
      <c r="AL192" s="362"/>
      <c r="AM192" s="362"/>
      <c r="AN192" s="362"/>
      <c r="AO192" s="362"/>
      <c r="AP192" s="362"/>
      <c r="AQ192" s="362"/>
      <c r="AR192" s="362"/>
    </row>
    <row r="193" spans="1:44" ht="12.75" customHeight="1" x14ac:dyDescent="0.15">
      <c r="A193" s="431"/>
      <c r="B193" s="393"/>
      <c r="C193" s="428"/>
      <c r="D193" s="428">
        <v>659295.74056542874</v>
      </c>
      <c r="E193" s="224">
        <v>185604.69452428262</v>
      </c>
      <c r="F193" s="224">
        <v>4.3411789106787575</v>
      </c>
      <c r="G193" s="224">
        <v>3.5927956878712712</v>
      </c>
      <c r="H193" s="224">
        <v>2.4989183332473592</v>
      </c>
      <c r="I193" s="224">
        <v>1.9407267119953284</v>
      </c>
      <c r="J193" s="224"/>
      <c r="M193" s="224">
        <f t="shared" si="12"/>
        <v>473691.04604114615</v>
      </c>
      <c r="N193" s="224">
        <f t="shared" si="13"/>
        <v>0.74838322280748626</v>
      </c>
      <c r="O193" s="224">
        <f t="shared" si="14"/>
        <v>0.55819162125203081</v>
      </c>
      <c r="Q193" s="224"/>
      <c r="R193" s="224"/>
      <c r="S193" s="429"/>
      <c r="Z193" s="362"/>
      <c r="AA193" s="421"/>
      <c r="AB193" s="362"/>
      <c r="AC193" s="362"/>
      <c r="AD193" s="362"/>
      <c r="AE193" s="362"/>
      <c r="AF193" s="362"/>
      <c r="AG193" s="362"/>
      <c r="AH193" s="362"/>
      <c r="AI193" s="393"/>
      <c r="AJ193" s="393"/>
      <c r="AK193" s="362"/>
      <c r="AL193" s="362"/>
      <c r="AM193" s="362"/>
      <c r="AN193" s="362"/>
      <c r="AO193" s="362"/>
      <c r="AP193" s="362"/>
      <c r="AQ193" s="362"/>
      <c r="AR193" s="362"/>
    </row>
    <row r="194" spans="1:44" ht="12.75" customHeight="1" x14ac:dyDescent="0.15">
      <c r="A194" s="431"/>
      <c r="B194" s="393"/>
      <c r="C194" s="428"/>
      <c r="D194" s="428">
        <v>527980.46539096988</v>
      </c>
      <c r="E194" s="224">
        <v>160091.18322985462</v>
      </c>
      <c r="F194" s="224">
        <v>3.7386435524737092</v>
      </c>
      <c r="G194" s="224">
        <v>3.8429913782399998</v>
      </c>
      <c r="H194" s="224">
        <v>2.1835644678458088</v>
      </c>
      <c r="I194" s="224">
        <v>2.1452043210810579</v>
      </c>
      <c r="J194" s="224"/>
      <c r="M194" s="224">
        <f t="shared" si="12"/>
        <v>367889.28216111526</v>
      </c>
      <c r="N194" s="224">
        <f t="shared" si="13"/>
        <v>-0.10434782576629065</v>
      </c>
      <c r="O194" s="224">
        <f t="shared" si="14"/>
        <v>3.8360146764750969E-2</v>
      </c>
      <c r="Q194" s="224"/>
      <c r="R194" s="224"/>
      <c r="S194" s="429"/>
      <c r="Z194" s="362"/>
      <c r="AA194" s="421"/>
      <c r="AB194" s="362"/>
      <c r="AC194" s="362"/>
      <c r="AD194" s="362"/>
      <c r="AE194" s="362"/>
      <c r="AF194" s="362"/>
      <c r="AG194" s="362"/>
      <c r="AH194" s="362"/>
      <c r="AI194" s="393"/>
      <c r="AJ194" s="393"/>
      <c r="AK194" s="362"/>
      <c r="AL194" s="362"/>
      <c r="AM194" s="362"/>
      <c r="AN194" s="362"/>
      <c r="AO194" s="362"/>
      <c r="AP194" s="362"/>
      <c r="AQ194" s="362"/>
      <c r="AR194" s="362"/>
    </row>
    <row r="195" spans="1:44" ht="12.75" customHeight="1" x14ac:dyDescent="0.15">
      <c r="A195" s="431"/>
      <c r="B195" s="393"/>
      <c r="C195" s="428"/>
      <c r="D195" s="428">
        <v>749689.47455217154</v>
      </c>
      <c r="E195" s="224">
        <v>198558.97572981822</v>
      </c>
      <c r="F195" s="224">
        <v>4.2968057335853773</v>
      </c>
      <c r="G195" s="224">
        <v>3.6733155264291075</v>
      </c>
      <c r="H195" s="224">
        <v>3.0176039171365812</v>
      </c>
      <c r="I195" s="224">
        <v>2.2115196577322633</v>
      </c>
      <c r="J195" s="224"/>
      <c r="M195" s="224">
        <f t="shared" si="12"/>
        <v>551130.49882235331</v>
      </c>
      <c r="N195" s="224">
        <f t="shared" si="13"/>
        <v>0.62349020715626979</v>
      </c>
      <c r="O195" s="224">
        <f t="shared" si="14"/>
        <v>0.80608425940431783</v>
      </c>
      <c r="Q195" s="224"/>
      <c r="R195" s="224"/>
      <c r="S195" s="429"/>
      <c r="Z195" s="362"/>
      <c r="AA195" s="421"/>
      <c r="AB195" s="362"/>
      <c r="AC195" s="362"/>
      <c r="AD195" s="362"/>
      <c r="AE195" s="362"/>
      <c r="AF195" s="362"/>
      <c r="AG195" s="362"/>
      <c r="AH195" s="362"/>
      <c r="AI195" s="393"/>
      <c r="AJ195" s="393"/>
      <c r="AK195" s="362"/>
      <c r="AL195" s="362"/>
      <c r="AM195" s="362"/>
      <c r="AN195" s="362"/>
      <c r="AO195" s="362"/>
      <c r="AP195" s="362"/>
      <c r="AQ195" s="362"/>
      <c r="AR195" s="362"/>
    </row>
    <row r="196" spans="1:44" ht="12.75" customHeight="1" x14ac:dyDescent="0.15">
      <c r="A196" s="431"/>
      <c r="B196" s="393"/>
      <c r="C196" s="428"/>
      <c r="D196" s="428">
        <v>783184.5736337034</v>
      </c>
      <c r="E196" s="224">
        <v>198804.71007127286</v>
      </c>
      <c r="F196" s="224">
        <v>4.7284084921016785</v>
      </c>
      <c r="G196" s="224">
        <v>4.5619287665591273</v>
      </c>
      <c r="H196" s="224">
        <v>2.9057180336122674</v>
      </c>
      <c r="I196" s="224">
        <v>2.4860636743033293</v>
      </c>
      <c r="J196" s="224"/>
      <c r="M196" s="224">
        <f t="shared" si="12"/>
        <v>584379.86356243049</v>
      </c>
      <c r="N196" s="224">
        <f t="shared" si="13"/>
        <v>0.16647972554255119</v>
      </c>
      <c r="O196" s="224">
        <f t="shared" si="14"/>
        <v>0.41965435930893813</v>
      </c>
      <c r="Q196" s="224"/>
      <c r="R196" s="224"/>
      <c r="S196" s="429"/>
      <c r="Z196" s="362"/>
      <c r="AA196" s="421"/>
      <c r="AB196" s="362"/>
      <c r="AC196" s="362"/>
      <c r="AD196" s="362"/>
      <c r="AE196" s="362"/>
      <c r="AF196" s="362"/>
      <c r="AG196" s="362"/>
      <c r="AH196" s="362"/>
      <c r="AI196" s="393"/>
      <c r="AJ196" s="393"/>
      <c r="AK196" s="362"/>
      <c r="AL196" s="362"/>
      <c r="AM196" s="362"/>
      <c r="AN196" s="362"/>
      <c r="AO196" s="362"/>
      <c r="AP196" s="362"/>
      <c r="AQ196" s="362"/>
      <c r="AR196" s="362"/>
    </row>
    <row r="197" spans="1:44" ht="12.75" customHeight="1" x14ac:dyDescent="0.15">
      <c r="A197" s="431"/>
      <c r="B197" s="393"/>
      <c r="C197" s="428"/>
      <c r="D197" s="428">
        <v>517120.30902083038</v>
      </c>
      <c r="E197" s="224">
        <v>148812.11852009452</v>
      </c>
      <c r="F197" s="224">
        <v>4.5784944381112096</v>
      </c>
      <c r="G197" s="224">
        <v>4.5671489167262163</v>
      </c>
      <c r="H197" s="224">
        <v>2.7991439280993631</v>
      </c>
      <c r="I197" s="224">
        <v>2.579171091686935</v>
      </c>
      <c r="J197" s="224"/>
      <c r="M197" s="224">
        <f t="shared" si="12"/>
        <v>368308.19050073589</v>
      </c>
      <c r="N197" s="224">
        <f t="shared" si="13"/>
        <v>1.134552138499334E-2</v>
      </c>
      <c r="O197" s="224">
        <f t="shared" si="14"/>
        <v>0.21997283641242804</v>
      </c>
      <c r="Q197" s="224"/>
      <c r="R197" s="224"/>
      <c r="S197" s="429"/>
      <c r="Z197" s="362"/>
      <c r="AA197" s="421"/>
      <c r="AB197" s="362"/>
      <c r="AC197" s="362"/>
      <c r="AD197" s="362"/>
      <c r="AE197" s="362"/>
      <c r="AF197" s="362"/>
      <c r="AG197" s="362"/>
      <c r="AH197" s="362"/>
      <c r="AI197" s="393"/>
      <c r="AJ197" s="393"/>
      <c r="AK197" s="362"/>
      <c r="AL197" s="362"/>
      <c r="AM197" s="362"/>
      <c r="AN197" s="362"/>
      <c r="AO197" s="362"/>
      <c r="AP197" s="362"/>
      <c r="AQ197" s="362"/>
      <c r="AR197" s="362"/>
    </row>
    <row r="198" spans="1:44" ht="12.75" customHeight="1" x14ac:dyDescent="0.15">
      <c r="A198" s="431"/>
      <c r="B198" s="393"/>
      <c r="C198" s="428"/>
      <c r="D198" s="428">
        <v>605452.95994947338</v>
      </c>
      <c r="E198" s="224">
        <v>184791.49314990218</v>
      </c>
      <c r="F198" s="224">
        <v>4.4488151970672565</v>
      </c>
      <c r="G198" s="224">
        <v>3.9091769061858845</v>
      </c>
      <c r="H198" s="224">
        <v>2.4468803154063403</v>
      </c>
      <c r="I198" s="224">
        <v>2.1549384217891596</v>
      </c>
      <c r="J198" s="224"/>
      <c r="M198" s="224">
        <f t="shared" si="12"/>
        <v>420661.46679957118</v>
      </c>
      <c r="N198" s="224">
        <f t="shared" si="13"/>
        <v>0.53963829088137194</v>
      </c>
      <c r="O198" s="224">
        <f t="shared" si="14"/>
        <v>0.2919418936171807</v>
      </c>
      <c r="Q198" s="224"/>
      <c r="R198" s="224"/>
      <c r="S198" s="429"/>
      <c r="Z198" s="362"/>
      <c r="AA198" s="421"/>
      <c r="AB198" s="362"/>
      <c r="AC198" s="362"/>
      <c r="AD198" s="362"/>
      <c r="AE198" s="362"/>
      <c r="AF198" s="362"/>
      <c r="AG198" s="362"/>
      <c r="AH198" s="362"/>
      <c r="AI198" s="393"/>
      <c r="AJ198" s="393"/>
      <c r="AK198" s="362"/>
      <c r="AL198" s="362"/>
      <c r="AM198" s="362"/>
      <c r="AN198" s="362"/>
      <c r="AO198" s="362"/>
      <c r="AP198" s="362"/>
      <c r="AQ198" s="362"/>
      <c r="AR198" s="362"/>
    </row>
    <row r="199" spans="1:44" ht="12.75" customHeight="1" x14ac:dyDescent="0.15">
      <c r="A199" s="431"/>
      <c r="B199" s="393"/>
      <c r="C199" s="428"/>
      <c r="D199" s="428">
        <v>548462.02830046683</v>
      </c>
      <c r="E199" s="224">
        <v>167538.96985821426</v>
      </c>
      <c r="F199" s="224">
        <v>3.8911622937349275</v>
      </c>
      <c r="G199" s="224">
        <v>4.4381047446554991</v>
      </c>
      <c r="H199" s="224">
        <v>2.2831107622535414</v>
      </c>
      <c r="I199" s="224">
        <v>2.2823903288510285</v>
      </c>
      <c r="J199" s="224"/>
      <c r="M199" s="224">
        <f t="shared" si="12"/>
        <v>380923.05844225257</v>
      </c>
      <c r="N199" s="224">
        <f t="shared" si="13"/>
        <v>-0.54694245092057159</v>
      </c>
      <c r="O199" s="224">
        <f t="shared" si="14"/>
        <v>7.2043340251282117E-4</v>
      </c>
      <c r="Q199" s="224"/>
      <c r="R199" s="224"/>
      <c r="S199" s="429"/>
      <c r="Z199" s="362"/>
      <c r="AA199" s="421"/>
      <c r="AB199" s="362"/>
      <c r="AC199" s="362"/>
      <c r="AD199" s="362"/>
      <c r="AE199" s="362"/>
      <c r="AF199" s="362"/>
      <c r="AG199" s="362"/>
      <c r="AH199" s="362"/>
      <c r="AI199" s="393"/>
      <c r="AJ199" s="393"/>
      <c r="AK199" s="362"/>
      <c r="AL199" s="362"/>
      <c r="AM199" s="362"/>
      <c r="AN199" s="362"/>
      <c r="AO199" s="362"/>
      <c r="AP199" s="362"/>
      <c r="AQ199" s="362"/>
      <c r="AR199" s="362"/>
    </row>
    <row r="200" spans="1:44" ht="12.75" customHeight="1" x14ac:dyDescent="0.15">
      <c r="A200" s="431"/>
      <c r="B200" s="393"/>
      <c r="C200" s="428"/>
      <c r="D200" s="428">
        <v>585089.77358007769</v>
      </c>
      <c r="E200" s="224">
        <v>140857.23886495983</v>
      </c>
      <c r="F200" s="224">
        <v>4.6914709830861803</v>
      </c>
      <c r="G200" s="224">
        <v>4.0599900593652674</v>
      </c>
      <c r="H200" s="224">
        <v>2.6575120617077399</v>
      </c>
      <c r="I200" s="224">
        <v>1.9784930324447845</v>
      </c>
      <c r="J200" s="224"/>
      <c r="M200" s="224">
        <f t="shared" si="12"/>
        <v>444232.53471511789</v>
      </c>
      <c r="N200" s="224">
        <f t="shared" si="13"/>
        <v>0.63148092372091291</v>
      </c>
      <c r="O200" s="224">
        <f t="shared" si="14"/>
        <v>0.67901902926295543</v>
      </c>
      <c r="Q200" s="224"/>
      <c r="R200" s="224"/>
      <c r="S200" s="429"/>
      <c r="Z200" s="362"/>
      <c r="AA200" s="421"/>
      <c r="AB200" s="362"/>
      <c r="AC200" s="362"/>
      <c r="AD200" s="362"/>
      <c r="AE200" s="362"/>
      <c r="AF200" s="362"/>
      <c r="AG200" s="362"/>
      <c r="AH200" s="362"/>
      <c r="AI200" s="393"/>
      <c r="AJ200" s="393"/>
      <c r="AK200" s="362"/>
      <c r="AL200" s="362"/>
      <c r="AM200" s="362"/>
      <c r="AN200" s="362"/>
      <c r="AO200" s="362"/>
      <c r="AP200" s="362"/>
      <c r="AQ200" s="362"/>
      <c r="AR200" s="362"/>
    </row>
    <row r="201" spans="1:44" ht="12.75" customHeight="1" x14ac:dyDescent="0.15">
      <c r="A201" s="431"/>
      <c r="B201" s="393"/>
      <c r="C201" s="428"/>
      <c r="D201" s="428">
        <v>597904.63408318849</v>
      </c>
      <c r="E201" s="224">
        <v>112921.49880786781</v>
      </c>
      <c r="F201" s="224">
        <v>4.2708775938029184</v>
      </c>
      <c r="G201" s="224">
        <v>3.7115644867976276</v>
      </c>
      <c r="H201" s="224">
        <v>1.8643386011053924</v>
      </c>
      <c r="I201" s="224">
        <v>1.5648875393057324</v>
      </c>
      <c r="J201" s="224"/>
      <c r="M201" s="224">
        <f t="shared" si="12"/>
        <v>484983.13527532067</v>
      </c>
      <c r="N201" s="224">
        <f t="shared" si="13"/>
        <v>0.5593131070052908</v>
      </c>
      <c r="O201" s="224">
        <f t="shared" si="14"/>
        <v>0.29945106179965997</v>
      </c>
      <c r="Q201" s="224"/>
      <c r="R201" s="224"/>
      <c r="S201" s="429"/>
      <c r="Z201" s="362"/>
      <c r="AA201" s="421"/>
      <c r="AB201" s="362"/>
      <c r="AC201" s="362"/>
      <c r="AD201" s="362"/>
      <c r="AE201" s="362"/>
      <c r="AF201" s="362"/>
      <c r="AG201" s="362"/>
      <c r="AH201" s="362"/>
      <c r="AI201" s="393"/>
      <c r="AJ201" s="393"/>
      <c r="AK201" s="362"/>
      <c r="AL201" s="362"/>
      <c r="AM201" s="362"/>
      <c r="AN201" s="362"/>
      <c r="AO201" s="362"/>
      <c r="AP201" s="362"/>
      <c r="AQ201" s="362"/>
      <c r="AR201" s="362"/>
    </row>
    <row r="202" spans="1:44" ht="12.75" customHeight="1" x14ac:dyDescent="0.15">
      <c r="A202" s="431"/>
      <c r="B202" s="393"/>
      <c r="C202" s="428"/>
      <c r="D202" s="428">
        <v>728051.43255825876</v>
      </c>
      <c r="E202" s="224">
        <v>176627.66695510427</v>
      </c>
      <c r="F202" s="224">
        <v>4.8950652004392543</v>
      </c>
      <c r="G202" s="224">
        <v>3.4871105775690023</v>
      </c>
      <c r="H202" s="224">
        <v>3.1221001454170012</v>
      </c>
      <c r="I202" s="224">
        <v>2.0468882210163573</v>
      </c>
      <c r="J202" s="224"/>
      <c r="M202" s="224">
        <f t="shared" si="12"/>
        <v>551423.76560315443</v>
      </c>
      <c r="N202" s="224">
        <f t="shared" si="13"/>
        <v>1.407954622870252</v>
      </c>
      <c r="O202" s="224">
        <f t="shared" si="14"/>
        <v>1.0752119244006439</v>
      </c>
      <c r="Q202" s="224"/>
      <c r="R202" s="224"/>
      <c r="S202" s="429"/>
      <c r="Z202" s="362"/>
      <c r="AA202" s="421"/>
      <c r="AB202" s="362"/>
      <c r="AC202" s="362"/>
      <c r="AD202" s="362"/>
      <c r="AE202" s="362"/>
      <c r="AF202" s="362"/>
      <c r="AG202" s="362"/>
      <c r="AH202" s="362"/>
      <c r="AI202" s="393"/>
      <c r="AJ202" s="393"/>
      <c r="AK202" s="362"/>
      <c r="AL202" s="362"/>
      <c r="AM202" s="362"/>
      <c r="AN202" s="362"/>
      <c r="AO202" s="362"/>
      <c r="AP202" s="362"/>
      <c r="AQ202" s="362"/>
      <c r="AR202" s="362"/>
    </row>
    <row r="203" spans="1:44" ht="12.75" customHeight="1" x14ac:dyDescent="0.15">
      <c r="A203" s="431"/>
      <c r="B203" s="393"/>
      <c r="C203" s="428"/>
      <c r="D203" s="428">
        <v>678490.7587890462</v>
      </c>
      <c r="E203" s="224">
        <v>200238.56703708367</v>
      </c>
      <c r="F203" s="224">
        <v>3.940124699120215</v>
      </c>
      <c r="G203" s="224">
        <v>4.1763213869022309</v>
      </c>
      <c r="H203" s="224">
        <v>2.6741555291724164</v>
      </c>
      <c r="I203" s="224">
        <v>2.2620662010980364</v>
      </c>
      <c r="J203" s="224"/>
      <c r="M203" s="224">
        <f t="shared" si="12"/>
        <v>478252.19175196253</v>
      </c>
      <c r="N203" s="224">
        <f t="shared" si="13"/>
        <v>-0.23619668778201586</v>
      </c>
      <c r="O203" s="224">
        <f t="shared" si="14"/>
        <v>0.41208932807438003</v>
      </c>
      <c r="Q203" s="224"/>
      <c r="R203" s="224"/>
      <c r="S203" s="429"/>
      <c r="Z203" s="362"/>
      <c r="AA203" s="421"/>
      <c r="AB203" s="362"/>
      <c r="AC203" s="362"/>
      <c r="AD203" s="362"/>
      <c r="AE203" s="362"/>
      <c r="AF203" s="362"/>
      <c r="AG203" s="362"/>
      <c r="AH203" s="362"/>
      <c r="AI203" s="393"/>
      <c r="AJ203" s="393"/>
      <c r="AK203" s="362"/>
      <c r="AL203" s="362"/>
      <c r="AM203" s="362"/>
      <c r="AN203" s="362"/>
      <c r="AO203" s="362"/>
      <c r="AP203" s="362"/>
      <c r="AQ203" s="362"/>
      <c r="AR203" s="362"/>
    </row>
    <row r="204" spans="1:44" ht="12.75" customHeight="1" x14ac:dyDescent="0.15">
      <c r="A204" s="431"/>
      <c r="B204" s="393"/>
      <c r="C204" s="428"/>
      <c r="D204" s="428">
        <v>626182.67529002414</v>
      </c>
      <c r="E204" s="224">
        <v>147310.11372049668</v>
      </c>
      <c r="F204" s="224">
        <v>4.8569542955589151</v>
      </c>
      <c r="G204" s="224">
        <v>3.9467889173265438</v>
      </c>
      <c r="H204" s="224">
        <v>2.5288477844978869</v>
      </c>
      <c r="I204" s="224">
        <v>1.9166192163041484</v>
      </c>
      <c r="J204" s="224"/>
      <c r="M204" s="224">
        <f t="shared" si="12"/>
        <v>478872.56156952749</v>
      </c>
      <c r="N204" s="224">
        <f t="shared" si="13"/>
        <v>0.91016537823237131</v>
      </c>
      <c r="O204" s="224">
        <f t="shared" si="14"/>
        <v>0.6122285681937385</v>
      </c>
      <c r="Q204" s="224"/>
      <c r="R204" s="224"/>
      <c r="S204" s="429"/>
      <c r="Z204" s="362"/>
      <c r="AA204" s="421"/>
      <c r="AB204" s="362"/>
      <c r="AC204" s="362"/>
      <c r="AD204" s="362"/>
      <c r="AE204" s="362"/>
      <c r="AF204" s="362"/>
      <c r="AG204" s="362"/>
      <c r="AH204" s="362"/>
      <c r="AI204" s="393"/>
      <c r="AJ204" s="393"/>
      <c r="AK204" s="362"/>
      <c r="AL204" s="362"/>
      <c r="AM204" s="362"/>
      <c r="AN204" s="362"/>
      <c r="AO204" s="362"/>
      <c r="AP204" s="362"/>
      <c r="AQ204" s="362"/>
      <c r="AR204" s="362"/>
    </row>
    <row r="205" spans="1:44" ht="12.75" customHeight="1" x14ac:dyDescent="0.15">
      <c r="A205" s="431"/>
      <c r="B205" s="393"/>
      <c r="C205" s="428"/>
      <c r="D205" s="428">
        <v>582152.9859004285</v>
      </c>
      <c r="E205" s="224">
        <v>151253.29913354237</v>
      </c>
      <c r="F205" s="224">
        <v>4.3489032907650262</v>
      </c>
      <c r="G205" s="224">
        <v>4.5075894012858075</v>
      </c>
      <c r="H205" s="224">
        <v>2.7104249960141642</v>
      </c>
      <c r="I205" s="224">
        <v>2.5460698976840246</v>
      </c>
      <c r="J205" s="224"/>
      <c r="M205" s="224">
        <f t="shared" si="12"/>
        <v>430899.68676688615</v>
      </c>
      <c r="N205" s="224">
        <f t="shared" si="13"/>
        <v>-0.1586861105207813</v>
      </c>
      <c r="O205" s="224">
        <f t="shared" si="14"/>
        <v>0.16435509833013962</v>
      </c>
      <c r="Q205" s="224"/>
      <c r="R205" s="224"/>
      <c r="S205" s="429"/>
      <c r="Z205" s="362"/>
      <c r="AA205" s="421"/>
      <c r="AB205" s="362"/>
      <c r="AC205" s="362"/>
      <c r="AD205" s="362"/>
      <c r="AE205" s="362"/>
      <c r="AF205" s="362"/>
      <c r="AG205" s="362"/>
      <c r="AH205" s="362"/>
      <c r="AI205" s="393"/>
      <c r="AJ205" s="393"/>
      <c r="AK205" s="362"/>
      <c r="AL205" s="362"/>
      <c r="AM205" s="362"/>
      <c r="AN205" s="362"/>
      <c r="AO205" s="362"/>
      <c r="AP205" s="362"/>
      <c r="AQ205" s="362"/>
      <c r="AR205" s="362"/>
    </row>
    <row r="206" spans="1:44" ht="12.75" customHeight="1" x14ac:dyDescent="0.15">
      <c r="A206" s="431"/>
      <c r="B206" s="393"/>
      <c r="C206" s="428"/>
      <c r="D206" s="428">
        <v>570985.80278709845</v>
      </c>
      <c r="E206" s="224">
        <v>160690.55030965025</v>
      </c>
      <c r="F206" s="224">
        <v>4.1159370911607649</v>
      </c>
      <c r="G206" s="224">
        <v>4.2738698930627841</v>
      </c>
      <c r="H206" s="224">
        <v>2.8173996082634942</v>
      </c>
      <c r="I206" s="224">
        <v>2.5988864023186702</v>
      </c>
      <c r="J206" s="224"/>
      <c r="M206" s="224">
        <f t="shared" si="12"/>
        <v>410295.2524774482</v>
      </c>
      <c r="N206" s="224">
        <f t="shared" si="13"/>
        <v>-0.15793280190201919</v>
      </c>
      <c r="O206" s="224">
        <f t="shared" si="14"/>
        <v>0.21851320594482404</v>
      </c>
      <c r="Q206" s="224"/>
      <c r="R206" s="224"/>
      <c r="S206" s="429"/>
      <c r="Z206" s="362"/>
      <c r="AA206" s="421"/>
      <c r="AB206" s="362"/>
      <c r="AC206" s="362"/>
      <c r="AD206" s="362"/>
      <c r="AE206" s="362"/>
      <c r="AF206" s="362"/>
      <c r="AG206" s="362"/>
      <c r="AH206" s="362"/>
      <c r="AI206" s="393"/>
      <c r="AJ206" s="393"/>
      <c r="AK206" s="362"/>
      <c r="AL206" s="362"/>
      <c r="AM206" s="362"/>
      <c r="AN206" s="362"/>
      <c r="AO206" s="362"/>
      <c r="AP206" s="362"/>
      <c r="AQ206" s="362"/>
      <c r="AR206" s="362"/>
    </row>
    <row r="207" spans="1:44" ht="12.75" customHeight="1" x14ac:dyDescent="0.15">
      <c r="A207" s="431"/>
      <c r="B207" s="393"/>
      <c r="C207" s="428"/>
      <c r="D207" s="428">
        <v>598034.58623663336</v>
      </c>
      <c r="E207" s="224">
        <v>192264.79542033857</v>
      </c>
      <c r="F207" s="224">
        <v>4.0329580014847348</v>
      </c>
      <c r="G207" s="224">
        <v>3.4744399087409956</v>
      </c>
      <c r="H207" s="224">
        <v>2.2048477009295091</v>
      </c>
      <c r="I207" s="224">
        <v>1.8439813379650727</v>
      </c>
      <c r="J207" s="224"/>
      <c r="M207" s="224">
        <f t="shared" si="12"/>
        <v>405769.79081629479</v>
      </c>
      <c r="N207" s="224">
        <f t="shared" si="13"/>
        <v>0.5585180927437392</v>
      </c>
      <c r="O207" s="224">
        <f t="shared" si="14"/>
        <v>0.36086636296443642</v>
      </c>
      <c r="Q207" s="224"/>
      <c r="R207" s="224"/>
      <c r="S207" s="429"/>
      <c r="Z207" s="362"/>
      <c r="AA207" s="421"/>
      <c r="AB207" s="362"/>
      <c r="AC207" s="362"/>
      <c r="AD207" s="362"/>
      <c r="AE207" s="362"/>
      <c r="AF207" s="362"/>
      <c r="AG207" s="362"/>
      <c r="AH207" s="362"/>
      <c r="AI207" s="393"/>
      <c r="AJ207" s="393"/>
      <c r="AK207" s="362"/>
      <c r="AL207" s="362"/>
      <c r="AM207" s="362"/>
      <c r="AN207" s="362"/>
      <c r="AO207" s="362"/>
      <c r="AP207" s="362"/>
      <c r="AQ207" s="362"/>
      <c r="AR207" s="362"/>
    </row>
    <row r="208" spans="1:44" ht="12.75" customHeight="1" x14ac:dyDescent="0.15">
      <c r="A208" s="431"/>
      <c r="B208" s="393"/>
      <c r="C208" s="428"/>
      <c r="D208" s="428">
        <v>625368.62351872609</v>
      </c>
      <c r="E208" s="224">
        <v>203458.24058429227</v>
      </c>
      <c r="F208" s="224">
        <v>4.6542938419647708</v>
      </c>
      <c r="G208" s="224">
        <v>4.2330226658721228</v>
      </c>
      <c r="H208" s="224">
        <v>3.1525981518349266</v>
      </c>
      <c r="I208" s="224">
        <v>2.5453247699122348</v>
      </c>
      <c r="J208" s="224"/>
      <c r="M208" s="224">
        <f t="shared" si="12"/>
        <v>421910.38293443382</v>
      </c>
      <c r="N208" s="224">
        <f t="shared" si="13"/>
        <v>0.42127117609264797</v>
      </c>
      <c r="O208" s="224">
        <f t="shared" si="14"/>
        <v>0.60727338192269187</v>
      </c>
      <c r="Q208" s="224"/>
      <c r="R208" s="224"/>
      <c r="S208" s="429"/>
      <c r="Z208" s="362"/>
      <c r="AA208" s="421"/>
      <c r="AB208" s="362"/>
      <c r="AC208" s="362"/>
      <c r="AD208" s="362"/>
      <c r="AE208" s="362"/>
      <c r="AF208" s="362"/>
      <c r="AG208" s="362"/>
      <c r="AH208" s="362"/>
      <c r="AI208" s="393"/>
      <c r="AJ208" s="393"/>
      <c r="AK208" s="362"/>
      <c r="AL208" s="362"/>
      <c r="AM208" s="362"/>
      <c r="AN208" s="362"/>
      <c r="AO208" s="362"/>
      <c r="AP208" s="362"/>
      <c r="AQ208" s="362"/>
      <c r="AR208" s="362"/>
    </row>
    <row r="209" spans="1:44" ht="12.75" customHeight="1" x14ac:dyDescent="0.15">
      <c r="A209" s="431"/>
      <c r="B209" s="393"/>
      <c r="C209" s="428"/>
      <c r="D209" s="428">
        <v>584288.53914740274</v>
      </c>
      <c r="E209" s="224">
        <v>124092.98538035798</v>
      </c>
      <c r="F209" s="224">
        <v>4.1846494621080481</v>
      </c>
      <c r="G209" s="224">
        <v>3.3604846991152213</v>
      </c>
      <c r="H209" s="224">
        <v>2.5229191994447318</v>
      </c>
      <c r="I209" s="224">
        <v>1.9770619292466529</v>
      </c>
      <c r="J209" s="224"/>
      <c r="M209" s="224">
        <f t="shared" si="12"/>
        <v>460195.5537670448</v>
      </c>
      <c r="N209" s="224">
        <f t="shared" si="13"/>
        <v>0.82416476299282682</v>
      </c>
      <c r="O209" s="224">
        <f t="shared" si="14"/>
        <v>0.54585727019807884</v>
      </c>
      <c r="Q209" s="224"/>
      <c r="R209" s="224"/>
      <c r="S209" s="429"/>
      <c r="Z209" s="362"/>
      <c r="AA209" s="421"/>
      <c r="AB209" s="362"/>
      <c r="AC209" s="362"/>
      <c r="AD209" s="362"/>
      <c r="AE209" s="362"/>
      <c r="AF209" s="362"/>
      <c r="AG209" s="362"/>
      <c r="AH209" s="362"/>
      <c r="AI209" s="393"/>
      <c r="AJ209" s="393"/>
      <c r="AK209" s="362"/>
      <c r="AL209" s="362"/>
      <c r="AM209" s="362"/>
      <c r="AN209" s="362"/>
      <c r="AO209" s="362"/>
      <c r="AP209" s="362"/>
      <c r="AQ209" s="362"/>
      <c r="AR209" s="362"/>
    </row>
    <row r="210" spans="1:44" ht="12.75" customHeight="1" x14ac:dyDescent="0.15">
      <c r="A210" s="431"/>
      <c r="B210" s="393"/>
      <c r="C210" s="428"/>
      <c r="D210" s="428">
        <v>669622.66906069429</v>
      </c>
      <c r="E210" s="224">
        <v>163191.56190598643</v>
      </c>
      <c r="F210" s="224">
        <v>4.2437176000370931</v>
      </c>
      <c r="G210" s="224">
        <v>3.7885750468777855</v>
      </c>
      <c r="H210" s="224">
        <v>2.9265694736365377</v>
      </c>
      <c r="I210" s="224">
        <v>2.3096646113836377</v>
      </c>
      <c r="J210" s="224"/>
      <c r="M210" s="224">
        <f t="shared" ref="M210:M273" si="15">+D210-E210</f>
        <v>506431.10715470789</v>
      </c>
      <c r="N210" s="224">
        <f t="shared" ref="N210:N273" si="16">+F210-G210</f>
        <v>0.45514255315930763</v>
      </c>
      <c r="O210" s="224">
        <f t="shared" ref="O210:O273" si="17">+H210-I210</f>
        <v>0.61690486225290009</v>
      </c>
      <c r="Q210" s="224"/>
      <c r="R210" s="224"/>
      <c r="S210" s="429"/>
      <c r="Z210" s="362"/>
      <c r="AA210" s="421"/>
      <c r="AB210" s="362"/>
      <c r="AC210" s="362"/>
      <c r="AD210" s="362"/>
      <c r="AE210" s="362"/>
      <c r="AF210" s="362"/>
      <c r="AG210" s="362"/>
      <c r="AH210" s="362"/>
      <c r="AI210" s="393"/>
      <c r="AJ210" s="393"/>
      <c r="AK210" s="362"/>
      <c r="AL210" s="362"/>
      <c r="AM210" s="362"/>
      <c r="AN210" s="362"/>
      <c r="AO210" s="362"/>
      <c r="AP210" s="362"/>
      <c r="AQ210" s="362"/>
      <c r="AR210" s="362"/>
    </row>
    <row r="211" spans="1:44" ht="12.75" customHeight="1" x14ac:dyDescent="0.15">
      <c r="A211" s="431"/>
      <c r="B211" s="393"/>
      <c r="C211" s="428"/>
      <c r="D211" s="428">
        <v>622935.73412311496</v>
      </c>
      <c r="E211" s="224">
        <v>247040.5356438664</v>
      </c>
      <c r="F211" s="224">
        <v>4.7218859533894459</v>
      </c>
      <c r="G211" s="224">
        <v>4.1976729447213437</v>
      </c>
      <c r="H211" s="224">
        <v>2.8496538167323027</v>
      </c>
      <c r="I211" s="224">
        <v>2.4929147171182273</v>
      </c>
      <c r="J211" s="224"/>
      <c r="M211" s="224">
        <f t="shared" si="15"/>
        <v>375895.19847924856</v>
      </c>
      <c r="N211" s="224">
        <f t="shared" si="16"/>
        <v>0.52421300866810228</v>
      </c>
      <c r="O211" s="224">
        <f t="shared" si="17"/>
        <v>0.35673909961407535</v>
      </c>
      <c r="Q211" s="224"/>
      <c r="R211" s="224"/>
      <c r="S211" s="429"/>
      <c r="Z211" s="362"/>
      <c r="AA211" s="421"/>
      <c r="AB211" s="362"/>
      <c r="AC211" s="362"/>
      <c r="AD211" s="362"/>
      <c r="AE211" s="362"/>
      <c r="AF211" s="362"/>
      <c r="AG211" s="362"/>
      <c r="AH211" s="362"/>
      <c r="AI211" s="393"/>
      <c r="AJ211" s="393"/>
      <c r="AK211" s="362"/>
      <c r="AL211" s="362"/>
      <c r="AM211" s="362"/>
      <c r="AN211" s="362"/>
      <c r="AO211" s="362"/>
      <c r="AP211" s="362"/>
      <c r="AQ211" s="362"/>
      <c r="AR211" s="362"/>
    </row>
    <row r="212" spans="1:44" ht="12.75" customHeight="1" x14ac:dyDescent="0.15">
      <c r="A212" s="431"/>
      <c r="B212" s="393"/>
      <c r="C212" s="428"/>
      <c r="D212" s="428">
        <v>544257.75295362831</v>
      </c>
      <c r="E212" s="224">
        <v>112576.96405744145</v>
      </c>
      <c r="F212" s="224">
        <v>5.069843530517991</v>
      </c>
      <c r="G212" s="224">
        <v>3.3923252276447937</v>
      </c>
      <c r="H212" s="224">
        <v>2.8656870471905376</v>
      </c>
      <c r="I212" s="224">
        <v>1.9547671329458507</v>
      </c>
      <c r="J212" s="224"/>
      <c r="M212" s="224">
        <f t="shared" si="15"/>
        <v>431680.78889618686</v>
      </c>
      <c r="N212" s="224">
        <f t="shared" si="16"/>
        <v>1.6775183028731973</v>
      </c>
      <c r="O212" s="224">
        <f t="shared" si="17"/>
        <v>0.91091991424468688</v>
      </c>
      <c r="Q212" s="224"/>
      <c r="R212" s="224"/>
      <c r="S212" s="429"/>
      <c r="Z212" s="362"/>
      <c r="AA212" s="421"/>
      <c r="AB212" s="362"/>
      <c r="AC212" s="362"/>
      <c r="AD212" s="362"/>
      <c r="AE212" s="362"/>
      <c r="AF212" s="362"/>
      <c r="AG212" s="362"/>
      <c r="AH212" s="362"/>
      <c r="AI212" s="393"/>
      <c r="AJ212" s="393"/>
      <c r="AK212" s="362"/>
      <c r="AL212" s="362"/>
      <c r="AM212" s="362"/>
      <c r="AN212" s="362"/>
      <c r="AO212" s="362"/>
      <c r="AP212" s="362"/>
      <c r="AQ212" s="362"/>
      <c r="AR212" s="362"/>
    </row>
    <row r="213" spans="1:44" ht="12.75" customHeight="1" x14ac:dyDescent="0.15">
      <c r="A213" s="431"/>
      <c r="B213" s="393"/>
      <c r="C213" s="428"/>
      <c r="D213" s="428">
        <v>591303.24857795495</v>
      </c>
      <c r="E213" s="224">
        <v>222826.99645333469</v>
      </c>
      <c r="F213" s="224">
        <v>4.1880078654620272</v>
      </c>
      <c r="G213" s="224">
        <v>4.4588767155971336</v>
      </c>
      <c r="H213" s="224">
        <v>2.3107512585082417</v>
      </c>
      <c r="I213" s="224">
        <v>2.2753208851960873</v>
      </c>
      <c r="J213" s="224"/>
      <c r="M213" s="224">
        <f t="shared" si="15"/>
        <v>368476.25212462025</v>
      </c>
      <c r="N213" s="224">
        <f t="shared" si="16"/>
        <v>-0.27086885013510642</v>
      </c>
      <c r="O213" s="224">
        <f t="shared" si="17"/>
        <v>3.5430373312154373E-2</v>
      </c>
      <c r="Q213" s="224"/>
      <c r="R213" s="224"/>
      <c r="S213" s="429"/>
      <c r="Z213" s="362"/>
      <c r="AA213" s="421"/>
      <c r="AB213" s="362"/>
      <c r="AC213" s="362"/>
      <c r="AD213" s="362"/>
      <c r="AE213" s="362"/>
      <c r="AF213" s="362"/>
      <c r="AG213" s="362"/>
      <c r="AH213" s="362"/>
      <c r="AI213" s="393"/>
      <c r="AJ213" s="393"/>
      <c r="AK213" s="362"/>
      <c r="AL213" s="362"/>
      <c r="AM213" s="362"/>
      <c r="AN213" s="362"/>
      <c r="AO213" s="362"/>
      <c r="AP213" s="362"/>
      <c r="AQ213" s="362"/>
      <c r="AR213" s="362"/>
    </row>
    <row r="214" spans="1:44" ht="12.75" customHeight="1" x14ac:dyDescent="0.15">
      <c r="A214" s="431"/>
      <c r="B214" s="393"/>
      <c r="C214" s="428"/>
      <c r="D214" s="428">
        <v>688137.53320092522</v>
      </c>
      <c r="E214" s="224">
        <v>133842.07149852408</v>
      </c>
      <c r="F214" s="224">
        <v>4.6862979095086397</v>
      </c>
      <c r="G214" s="224">
        <v>4.3821988971134722</v>
      </c>
      <c r="H214" s="224">
        <v>2.6901557482091847</v>
      </c>
      <c r="I214" s="224">
        <v>2.3024336077377807</v>
      </c>
      <c r="J214" s="224"/>
      <c r="M214" s="224">
        <f t="shared" si="15"/>
        <v>554295.46170240117</v>
      </c>
      <c r="N214" s="224">
        <f t="shared" si="16"/>
        <v>0.30409901239516746</v>
      </c>
      <c r="O214" s="224">
        <f t="shared" si="17"/>
        <v>0.38772214047140396</v>
      </c>
      <c r="Q214" s="224"/>
      <c r="R214" s="224"/>
      <c r="S214" s="429"/>
      <c r="Z214" s="362"/>
      <c r="AA214" s="421"/>
      <c r="AB214" s="362"/>
      <c r="AC214" s="362"/>
      <c r="AD214" s="362"/>
      <c r="AE214" s="362"/>
      <c r="AF214" s="362"/>
      <c r="AG214" s="362"/>
      <c r="AH214" s="362"/>
      <c r="AI214" s="393"/>
      <c r="AJ214" s="393"/>
      <c r="AK214" s="362"/>
      <c r="AL214" s="362"/>
      <c r="AM214" s="362"/>
      <c r="AN214" s="362"/>
      <c r="AO214" s="362"/>
      <c r="AP214" s="362"/>
      <c r="AQ214" s="362"/>
      <c r="AR214" s="362"/>
    </row>
    <row r="215" spans="1:44" ht="12.75" customHeight="1" x14ac:dyDescent="0.15">
      <c r="A215" s="431"/>
      <c r="B215" s="393"/>
      <c r="C215" s="428"/>
      <c r="D215" s="428">
        <v>583571.62497036613</v>
      </c>
      <c r="E215" s="224">
        <v>170648.55311890709</v>
      </c>
      <c r="F215" s="224">
        <v>4.6881608502883809</v>
      </c>
      <c r="G215" s="224">
        <v>5.0314746996801523</v>
      </c>
      <c r="H215" s="224">
        <v>3.1514436345506334</v>
      </c>
      <c r="I215" s="224">
        <v>2.9334535284604941</v>
      </c>
      <c r="J215" s="224"/>
      <c r="M215" s="224">
        <f t="shared" si="15"/>
        <v>412923.07185145904</v>
      </c>
      <c r="N215" s="224">
        <f t="shared" si="16"/>
        <v>-0.34331384939177134</v>
      </c>
      <c r="O215" s="224">
        <f t="shared" si="17"/>
        <v>0.21799010609013925</v>
      </c>
      <c r="Q215" s="224"/>
      <c r="R215" s="224"/>
      <c r="S215" s="429"/>
      <c r="Z215" s="362"/>
      <c r="AA215" s="421"/>
      <c r="AB215" s="362"/>
      <c r="AC215" s="362"/>
      <c r="AD215" s="362"/>
      <c r="AE215" s="362"/>
      <c r="AF215" s="362"/>
      <c r="AG215" s="362"/>
      <c r="AH215" s="362"/>
      <c r="AI215" s="393"/>
      <c r="AJ215" s="393"/>
      <c r="AK215" s="362"/>
      <c r="AL215" s="362"/>
      <c r="AM215" s="362"/>
      <c r="AN215" s="362"/>
      <c r="AO215" s="362"/>
      <c r="AP215" s="362"/>
      <c r="AQ215" s="362"/>
      <c r="AR215" s="362"/>
    </row>
    <row r="216" spans="1:44" ht="12.75" customHeight="1" x14ac:dyDescent="0.15">
      <c r="A216" s="431"/>
      <c r="B216" s="393"/>
      <c r="C216" s="428"/>
      <c r="D216" s="428">
        <v>528293.74412691395</v>
      </c>
      <c r="E216" s="224">
        <v>104205.47442837445</v>
      </c>
      <c r="F216" s="224">
        <v>4.448247920862209</v>
      </c>
      <c r="G216" s="224">
        <v>3.4747291447455848</v>
      </c>
      <c r="H216" s="224">
        <v>2.4267434190493318</v>
      </c>
      <c r="I216" s="224">
        <v>1.7483816152585903</v>
      </c>
      <c r="J216" s="224"/>
      <c r="M216" s="224">
        <f t="shared" si="15"/>
        <v>424088.26969853952</v>
      </c>
      <c r="N216" s="224">
        <f t="shared" si="16"/>
        <v>0.97351877611662418</v>
      </c>
      <c r="O216" s="224">
        <f t="shared" si="17"/>
        <v>0.67836180379074151</v>
      </c>
      <c r="Q216" s="224"/>
      <c r="R216" s="224"/>
      <c r="S216" s="429"/>
      <c r="Z216" s="362"/>
      <c r="AA216" s="421"/>
      <c r="AB216" s="362"/>
      <c r="AC216" s="362"/>
      <c r="AD216" s="362"/>
      <c r="AE216" s="362"/>
      <c r="AF216" s="362"/>
      <c r="AG216" s="362"/>
      <c r="AH216" s="362"/>
      <c r="AI216" s="393"/>
      <c r="AJ216" s="393"/>
      <c r="AK216" s="362"/>
      <c r="AL216" s="362"/>
      <c r="AM216" s="362"/>
      <c r="AN216" s="362"/>
      <c r="AO216" s="362"/>
      <c r="AP216" s="362"/>
      <c r="AQ216" s="362"/>
      <c r="AR216" s="362"/>
    </row>
    <row r="217" spans="1:44" ht="12.75" customHeight="1" x14ac:dyDescent="0.15">
      <c r="A217" s="431"/>
      <c r="B217" s="393"/>
      <c r="C217" s="428"/>
      <c r="D217" s="428">
        <v>606905.26268829615</v>
      </c>
      <c r="E217" s="224">
        <v>126998.62323993973</v>
      </c>
      <c r="F217" s="224">
        <v>4.8492555264456714</v>
      </c>
      <c r="G217" s="224">
        <v>3.5465547731010654</v>
      </c>
      <c r="H217" s="224">
        <v>2.6380745019959932</v>
      </c>
      <c r="I217" s="224">
        <v>1.8912177926376912</v>
      </c>
      <c r="J217" s="224"/>
      <c r="M217" s="224">
        <f t="shared" si="15"/>
        <v>479906.63944835641</v>
      </c>
      <c r="N217" s="224">
        <f t="shared" si="16"/>
        <v>1.302700753344606</v>
      </c>
      <c r="O217" s="224">
        <f t="shared" si="17"/>
        <v>0.74685670935830206</v>
      </c>
      <c r="Q217" s="224"/>
      <c r="R217" s="224"/>
      <c r="S217" s="429"/>
      <c r="Z217" s="362"/>
      <c r="AA217" s="421"/>
      <c r="AB217" s="362"/>
      <c r="AC217" s="362"/>
      <c r="AD217" s="362"/>
      <c r="AE217" s="362"/>
      <c r="AF217" s="362"/>
      <c r="AG217" s="362"/>
      <c r="AH217" s="362"/>
      <c r="AI217" s="393"/>
      <c r="AJ217" s="393"/>
      <c r="AK217" s="362"/>
      <c r="AL217" s="362"/>
      <c r="AM217" s="362"/>
      <c r="AN217" s="362"/>
      <c r="AO217" s="362"/>
      <c r="AP217" s="362"/>
      <c r="AQ217" s="362"/>
      <c r="AR217" s="362"/>
    </row>
    <row r="218" spans="1:44" ht="12.75" customHeight="1" x14ac:dyDescent="0.15">
      <c r="A218" s="431"/>
      <c r="B218" s="393"/>
      <c r="C218" s="428"/>
      <c r="D218" s="428">
        <v>463313.25656578294</v>
      </c>
      <c r="E218" s="224">
        <v>103106.31735118115</v>
      </c>
      <c r="F218" s="224">
        <v>4.1221231630588555</v>
      </c>
      <c r="G218" s="224">
        <v>4.0787563603974037</v>
      </c>
      <c r="H218" s="224">
        <v>2.5357194872068329</v>
      </c>
      <c r="I218" s="224">
        <v>2.5195430299919508</v>
      </c>
      <c r="J218" s="224"/>
      <c r="M218" s="224">
        <f t="shared" si="15"/>
        <v>360206.93921460176</v>
      </c>
      <c r="N218" s="224">
        <f t="shared" si="16"/>
        <v>4.3366802661451764E-2</v>
      </c>
      <c r="O218" s="224">
        <f t="shared" si="17"/>
        <v>1.6176457214882145E-2</v>
      </c>
      <c r="Q218" s="224"/>
      <c r="R218" s="224"/>
      <c r="S218" s="429"/>
      <c r="Z218" s="362"/>
      <c r="AA218" s="421"/>
      <c r="AB218" s="362"/>
      <c r="AC218" s="362"/>
      <c r="AD218" s="362"/>
      <c r="AE218" s="362"/>
      <c r="AF218" s="362"/>
      <c r="AG218" s="362"/>
      <c r="AH218" s="362"/>
      <c r="AI218" s="393"/>
      <c r="AJ218" s="393"/>
      <c r="AK218" s="362"/>
      <c r="AL218" s="362"/>
      <c r="AM218" s="362"/>
      <c r="AN218" s="362"/>
      <c r="AO218" s="362"/>
      <c r="AP218" s="362"/>
      <c r="AQ218" s="362"/>
      <c r="AR218" s="362"/>
    </row>
    <row r="219" spans="1:44" ht="12.75" customHeight="1" x14ac:dyDescent="0.15">
      <c r="A219" s="431"/>
      <c r="B219" s="393"/>
      <c r="C219" s="428"/>
      <c r="D219" s="428">
        <v>501574.609403309</v>
      </c>
      <c r="E219" s="224">
        <v>94436.802264931815</v>
      </c>
      <c r="F219" s="224">
        <v>4.0431425967231869</v>
      </c>
      <c r="G219" s="224">
        <v>3.5806385650151853</v>
      </c>
      <c r="H219" s="224">
        <v>2.6339168922099505</v>
      </c>
      <c r="I219" s="224">
        <v>2.0836423864508284</v>
      </c>
      <c r="J219" s="224"/>
      <c r="M219" s="224">
        <f t="shared" si="15"/>
        <v>407137.80713837722</v>
      </c>
      <c r="N219" s="224">
        <f t="shared" si="16"/>
        <v>0.46250403170800158</v>
      </c>
      <c r="O219" s="224">
        <f t="shared" si="17"/>
        <v>0.55027450575912207</v>
      </c>
      <c r="Q219" s="224"/>
      <c r="R219" s="224"/>
      <c r="S219" s="429"/>
      <c r="Z219" s="362"/>
      <c r="AA219" s="421"/>
      <c r="AB219" s="362"/>
      <c r="AC219" s="362"/>
      <c r="AD219" s="362"/>
      <c r="AE219" s="362"/>
      <c r="AF219" s="362"/>
      <c r="AG219" s="362"/>
      <c r="AH219" s="362"/>
      <c r="AI219" s="393"/>
      <c r="AJ219" s="393"/>
      <c r="AK219" s="362"/>
      <c r="AL219" s="362"/>
      <c r="AM219" s="362"/>
      <c r="AN219" s="362"/>
      <c r="AO219" s="362"/>
      <c r="AP219" s="362"/>
      <c r="AQ219" s="362"/>
      <c r="AR219" s="362"/>
    </row>
    <row r="220" spans="1:44" ht="12.75" customHeight="1" x14ac:dyDescent="0.15">
      <c r="A220" s="431"/>
      <c r="B220" s="393"/>
      <c r="C220" s="428"/>
      <c r="D220" s="428">
        <v>522933.78728387324</v>
      </c>
      <c r="E220" s="224">
        <v>134857.04885646034</v>
      </c>
      <c r="F220" s="224">
        <v>4.3676949029079495</v>
      </c>
      <c r="G220" s="224">
        <v>3.5472905067623466</v>
      </c>
      <c r="H220" s="224">
        <v>2.6759779564874622</v>
      </c>
      <c r="I220" s="224">
        <v>2.1845541362219518</v>
      </c>
      <c r="J220" s="224"/>
      <c r="M220" s="224">
        <f t="shared" si="15"/>
        <v>388076.73842741293</v>
      </c>
      <c r="N220" s="224">
        <f t="shared" si="16"/>
        <v>0.8204043961456029</v>
      </c>
      <c r="O220" s="224">
        <f t="shared" si="17"/>
        <v>0.49142382026551035</v>
      </c>
      <c r="Q220" s="224"/>
      <c r="R220" s="224"/>
      <c r="S220" s="429"/>
      <c r="Z220" s="362"/>
      <c r="AA220" s="421"/>
      <c r="AB220" s="362"/>
      <c r="AC220" s="362"/>
      <c r="AD220" s="362"/>
      <c r="AE220" s="362"/>
      <c r="AF220" s="362"/>
      <c r="AG220" s="362"/>
      <c r="AH220" s="362"/>
      <c r="AI220" s="393"/>
      <c r="AJ220" s="393"/>
      <c r="AK220" s="362"/>
      <c r="AL220" s="362"/>
      <c r="AM220" s="362"/>
      <c r="AN220" s="362"/>
      <c r="AO220" s="362"/>
      <c r="AP220" s="362"/>
      <c r="AQ220" s="362"/>
      <c r="AR220" s="362"/>
    </row>
    <row r="221" spans="1:44" ht="12.75" customHeight="1" x14ac:dyDescent="0.15">
      <c r="A221" s="431"/>
      <c r="B221" s="393"/>
      <c r="C221" s="428"/>
      <c r="D221" s="428">
        <v>581714.97248118324</v>
      </c>
      <c r="E221" s="224">
        <v>156937.80482602713</v>
      </c>
      <c r="F221" s="224">
        <v>4.2084635891990327</v>
      </c>
      <c r="G221" s="224">
        <v>3.9964127454196632</v>
      </c>
      <c r="H221" s="224">
        <v>2.1725714787298864</v>
      </c>
      <c r="I221" s="224">
        <v>2.0074494357977111</v>
      </c>
      <c r="J221" s="224"/>
      <c r="M221" s="224">
        <f t="shared" si="15"/>
        <v>424777.16765515611</v>
      </c>
      <c r="N221" s="224">
        <f t="shared" si="16"/>
        <v>0.21205084377936956</v>
      </c>
      <c r="O221" s="224">
        <f t="shared" si="17"/>
        <v>0.16512204293217536</v>
      </c>
      <c r="Q221" s="224"/>
      <c r="R221" s="224"/>
      <c r="S221" s="429"/>
      <c r="Z221" s="362"/>
      <c r="AA221" s="421"/>
      <c r="AB221" s="362"/>
      <c r="AC221" s="362"/>
      <c r="AD221" s="362"/>
      <c r="AE221" s="362"/>
      <c r="AF221" s="362"/>
      <c r="AG221" s="362"/>
      <c r="AH221" s="362"/>
      <c r="AI221" s="393"/>
      <c r="AJ221" s="393"/>
      <c r="AK221" s="362"/>
      <c r="AL221" s="362"/>
      <c r="AM221" s="362"/>
      <c r="AN221" s="362"/>
      <c r="AO221" s="362"/>
      <c r="AP221" s="362"/>
      <c r="AQ221" s="362"/>
      <c r="AR221" s="362"/>
    </row>
    <row r="222" spans="1:44" ht="12.75" customHeight="1" x14ac:dyDescent="0.15">
      <c r="A222" s="431"/>
      <c r="B222" s="393"/>
      <c r="C222" s="428"/>
      <c r="D222" s="428">
        <v>552247.46489649499</v>
      </c>
      <c r="E222" s="224">
        <v>111858.55060163621</v>
      </c>
      <c r="F222" s="224">
        <v>4.7024667962226259</v>
      </c>
      <c r="G222" s="224">
        <v>3.9961279899075799</v>
      </c>
      <c r="H222" s="224">
        <v>2.8797645288139373</v>
      </c>
      <c r="I222" s="224">
        <v>2.1819964377576189</v>
      </c>
      <c r="J222" s="224"/>
      <c r="M222" s="224">
        <f t="shared" si="15"/>
        <v>440388.91429485881</v>
      </c>
      <c r="N222" s="224">
        <f t="shared" si="16"/>
        <v>0.70633880631504598</v>
      </c>
      <c r="O222" s="224">
        <f t="shared" si="17"/>
        <v>0.69776809105631843</v>
      </c>
      <c r="Q222" s="224"/>
      <c r="R222" s="224"/>
      <c r="S222" s="429"/>
      <c r="Z222" s="362"/>
      <c r="AA222" s="421"/>
      <c r="AB222" s="362"/>
      <c r="AC222" s="362"/>
      <c r="AD222" s="362"/>
      <c r="AE222" s="362"/>
      <c r="AF222" s="362"/>
      <c r="AG222" s="362"/>
      <c r="AH222" s="362"/>
      <c r="AI222" s="393"/>
      <c r="AJ222" s="393"/>
      <c r="AK222" s="362"/>
      <c r="AL222" s="362"/>
      <c r="AM222" s="362"/>
      <c r="AN222" s="362"/>
      <c r="AO222" s="362"/>
      <c r="AP222" s="362"/>
      <c r="AQ222" s="362"/>
      <c r="AR222" s="362"/>
    </row>
    <row r="223" spans="1:44" ht="12.75" customHeight="1" x14ac:dyDescent="0.15">
      <c r="A223" s="431"/>
      <c r="B223" s="393"/>
      <c r="C223" s="428"/>
      <c r="D223" s="428">
        <v>670221.11911537568</v>
      </c>
      <c r="E223" s="224">
        <v>268450.54555018677</v>
      </c>
      <c r="F223" s="224">
        <v>4.2534174547574981</v>
      </c>
      <c r="G223" s="224">
        <v>4.4257437758070113</v>
      </c>
      <c r="H223" s="224">
        <v>2.3441761711100231</v>
      </c>
      <c r="I223" s="224">
        <v>2.2104452979934939</v>
      </c>
      <c r="J223" s="224"/>
      <c r="M223" s="224">
        <f t="shared" si="15"/>
        <v>401770.57356518891</v>
      </c>
      <c r="N223" s="224">
        <f t="shared" si="16"/>
        <v>-0.17232632104951318</v>
      </c>
      <c r="O223" s="224">
        <f t="shared" si="17"/>
        <v>0.1337308731165292</v>
      </c>
      <c r="Q223" s="224"/>
      <c r="R223" s="224"/>
      <c r="S223" s="429"/>
      <c r="Z223" s="362"/>
      <c r="AA223" s="421"/>
      <c r="AB223" s="362"/>
      <c r="AC223" s="362"/>
      <c r="AD223" s="362"/>
      <c r="AE223" s="362"/>
      <c r="AF223" s="362"/>
      <c r="AG223" s="362"/>
      <c r="AH223" s="362"/>
      <c r="AI223" s="393"/>
      <c r="AJ223" s="393"/>
      <c r="AK223" s="362"/>
      <c r="AL223" s="362"/>
      <c r="AM223" s="362"/>
      <c r="AN223" s="362"/>
      <c r="AO223" s="362"/>
      <c r="AP223" s="362"/>
      <c r="AQ223" s="362"/>
      <c r="AR223" s="362"/>
    </row>
    <row r="224" spans="1:44" ht="12.75" customHeight="1" x14ac:dyDescent="0.15">
      <c r="A224" s="431"/>
      <c r="B224" s="393"/>
      <c r="C224" s="428"/>
      <c r="D224" s="428">
        <v>684305.74062968302</v>
      </c>
      <c r="E224" s="224">
        <v>142848.92061798699</v>
      </c>
      <c r="F224" s="224">
        <v>5.4662258803116446</v>
      </c>
      <c r="G224" s="224">
        <v>3.4651894485650456</v>
      </c>
      <c r="H224" s="224">
        <v>3.088433871971545</v>
      </c>
      <c r="I224" s="224">
        <v>1.8145911242602677</v>
      </c>
      <c r="J224" s="224"/>
      <c r="M224" s="224">
        <f t="shared" si="15"/>
        <v>541456.82001169608</v>
      </c>
      <c r="N224" s="224">
        <f t="shared" si="16"/>
        <v>2.001036431746599</v>
      </c>
      <c r="O224" s="224">
        <f t="shared" si="17"/>
        <v>1.2738427477112773</v>
      </c>
      <c r="Q224" s="224"/>
      <c r="R224" s="224"/>
      <c r="S224" s="429"/>
      <c r="Z224" s="362"/>
      <c r="AA224" s="421"/>
      <c r="AB224" s="362"/>
      <c r="AC224" s="362"/>
      <c r="AD224" s="362"/>
      <c r="AE224" s="362"/>
      <c r="AF224" s="362"/>
      <c r="AG224" s="362"/>
      <c r="AH224" s="362"/>
      <c r="AI224" s="393"/>
      <c r="AJ224" s="393"/>
      <c r="AK224" s="362"/>
      <c r="AL224" s="362"/>
      <c r="AM224" s="362"/>
      <c r="AN224" s="362"/>
      <c r="AO224" s="362"/>
      <c r="AP224" s="362"/>
      <c r="AQ224" s="362"/>
      <c r="AR224" s="362"/>
    </row>
    <row r="225" spans="1:44" ht="12.75" customHeight="1" x14ac:dyDescent="0.15">
      <c r="A225" s="431"/>
      <c r="B225" s="393"/>
      <c r="C225" s="428"/>
      <c r="D225" s="428">
        <v>686366.60214167961</v>
      </c>
      <c r="E225" s="224">
        <v>179563.72783323267</v>
      </c>
      <c r="F225" s="224">
        <v>4.0609525573672558</v>
      </c>
      <c r="G225" s="224">
        <v>3.4151384969439236</v>
      </c>
      <c r="H225" s="224">
        <v>2.0304900090651112</v>
      </c>
      <c r="I225" s="224">
        <v>1.6547351298879274</v>
      </c>
      <c r="J225" s="224"/>
      <c r="M225" s="224">
        <f t="shared" si="15"/>
        <v>506802.87430844695</v>
      </c>
      <c r="N225" s="224">
        <f t="shared" si="16"/>
        <v>0.64581406042333223</v>
      </c>
      <c r="O225" s="224">
        <f t="shared" si="17"/>
        <v>0.37575487917718386</v>
      </c>
      <c r="Q225" s="224"/>
      <c r="R225" s="224"/>
      <c r="S225" s="429"/>
      <c r="Z225" s="362"/>
      <c r="AA225" s="421"/>
      <c r="AB225" s="362"/>
      <c r="AC225" s="362"/>
      <c r="AD225" s="362"/>
      <c r="AE225" s="362"/>
      <c r="AF225" s="362"/>
      <c r="AG225" s="362"/>
      <c r="AH225" s="362"/>
      <c r="AI225" s="393"/>
      <c r="AJ225" s="393"/>
      <c r="AK225" s="362"/>
      <c r="AL225" s="362"/>
      <c r="AM225" s="362"/>
      <c r="AN225" s="362"/>
      <c r="AO225" s="362"/>
      <c r="AP225" s="362"/>
      <c r="AQ225" s="362"/>
      <c r="AR225" s="362"/>
    </row>
    <row r="226" spans="1:44" ht="12.75" customHeight="1" x14ac:dyDescent="0.15">
      <c r="A226" s="431"/>
      <c r="B226" s="393"/>
      <c r="C226" s="428"/>
      <c r="D226" s="428">
        <v>607401.85925351665</v>
      </c>
      <c r="E226" s="224">
        <v>155085.8153299964</v>
      </c>
      <c r="F226" s="224">
        <v>4.7041616456955948</v>
      </c>
      <c r="G226" s="224">
        <v>3.8235064484338759</v>
      </c>
      <c r="H226" s="224">
        <v>2.6525723056990138</v>
      </c>
      <c r="I226" s="224">
        <v>2.1575600708516838</v>
      </c>
      <c r="J226" s="224"/>
      <c r="M226" s="224">
        <f t="shared" si="15"/>
        <v>452316.04392352025</v>
      </c>
      <c r="N226" s="224">
        <f t="shared" si="16"/>
        <v>0.88065519726171893</v>
      </c>
      <c r="O226" s="224">
        <f t="shared" si="17"/>
        <v>0.49501223484733003</v>
      </c>
      <c r="Q226" s="224"/>
      <c r="R226" s="224"/>
      <c r="S226" s="429"/>
      <c r="Z226" s="362"/>
      <c r="AA226" s="421"/>
      <c r="AB226" s="362"/>
      <c r="AC226" s="362"/>
      <c r="AD226" s="362"/>
      <c r="AE226" s="362"/>
      <c r="AF226" s="362"/>
      <c r="AG226" s="362"/>
      <c r="AH226" s="362"/>
      <c r="AI226" s="393"/>
      <c r="AJ226" s="393"/>
      <c r="AK226" s="362"/>
      <c r="AL226" s="362"/>
      <c r="AM226" s="362"/>
      <c r="AN226" s="362"/>
      <c r="AO226" s="362"/>
      <c r="AP226" s="362"/>
      <c r="AQ226" s="362"/>
      <c r="AR226" s="362"/>
    </row>
    <row r="227" spans="1:44" ht="12.75" customHeight="1" x14ac:dyDescent="0.15">
      <c r="A227" s="431"/>
      <c r="B227" s="393"/>
      <c r="C227" s="428"/>
      <c r="D227" s="428">
        <v>612882.51288758521</v>
      </c>
      <c r="E227" s="224">
        <v>152982.82956004984</v>
      </c>
      <c r="F227" s="224">
        <v>4.7841079966748241</v>
      </c>
      <c r="G227" s="224">
        <v>3.7727010614082235</v>
      </c>
      <c r="H227" s="224">
        <v>2.3996224890908953</v>
      </c>
      <c r="I227" s="224">
        <v>1.9011084382966694</v>
      </c>
      <c r="J227" s="224"/>
      <c r="M227" s="224">
        <f t="shared" si="15"/>
        <v>459899.6833275354</v>
      </c>
      <c r="N227" s="224">
        <f t="shared" si="16"/>
        <v>1.0114069352666006</v>
      </c>
      <c r="O227" s="224">
        <f t="shared" si="17"/>
        <v>0.49851405079422584</v>
      </c>
      <c r="Q227" s="224"/>
      <c r="R227" s="224"/>
      <c r="S227" s="429"/>
      <c r="Z227" s="362"/>
      <c r="AA227" s="421"/>
      <c r="AB227" s="362"/>
      <c r="AC227" s="362"/>
      <c r="AD227" s="362"/>
      <c r="AE227" s="362"/>
      <c r="AF227" s="362"/>
      <c r="AG227" s="362"/>
      <c r="AH227" s="362"/>
      <c r="AI227" s="393"/>
      <c r="AJ227" s="393"/>
      <c r="AK227" s="362"/>
      <c r="AL227" s="362"/>
      <c r="AM227" s="362"/>
      <c r="AN227" s="362"/>
      <c r="AO227" s="362"/>
      <c r="AP227" s="362"/>
      <c r="AQ227" s="362"/>
      <c r="AR227" s="362"/>
    </row>
    <row r="228" spans="1:44" ht="12.75" customHeight="1" x14ac:dyDescent="0.15">
      <c r="A228" s="431"/>
      <c r="B228" s="393"/>
      <c r="C228" s="428"/>
      <c r="D228" s="428">
        <v>585013.58360011957</v>
      </c>
      <c r="E228" s="224">
        <v>198705.00850743003</v>
      </c>
      <c r="F228" s="224">
        <v>4.6604893051212875</v>
      </c>
      <c r="G228" s="224">
        <v>3.9550203001320265</v>
      </c>
      <c r="H228" s="224">
        <v>2.5660636140537512</v>
      </c>
      <c r="I228" s="224">
        <v>2.1629443379820805</v>
      </c>
      <c r="J228" s="224"/>
      <c r="M228" s="224">
        <f t="shared" si="15"/>
        <v>386308.57509268954</v>
      </c>
      <c r="N228" s="224">
        <f t="shared" si="16"/>
        <v>0.70546900498926091</v>
      </c>
      <c r="O228" s="224">
        <f t="shared" si="17"/>
        <v>0.40311927607167064</v>
      </c>
      <c r="Q228" s="224"/>
      <c r="R228" s="224"/>
      <c r="S228" s="429"/>
      <c r="Z228" s="362"/>
      <c r="AA228" s="421"/>
      <c r="AB228" s="362"/>
      <c r="AC228" s="362"/>
      <c r="AD228" s="362"/>
      <c r="AE228" s="362"/>
      <c r="AF228" s="362"/>
      <c r="AG228" s="362"/>
      <c r="AH228" s="362"/>
      <c r="AI228" s="393"/>
      <c r="AJ228" s="393"/>
      <c r="AK228" s="362"/>
      <c r="AL228" s="362"/>
      <c r="AM228" s="362"/>
      <c r="AN228" s="362"/>
      <c r="AO228" s="362"/>
      <c r="AP228" s="362"/>
      <c r="AQ228" s="362"/>
      <c r="AR228" s="362"/>
    </row>
    <row r="229" spans="1:44" ht="12.75" customHeight="1" x14ac:dyDescent="0.15">
      <c r="A229" s="431"/>
      <c r="B229" s="393"/>
      <c r="C229" s="428"/>
      <c r="D229" s="428">
        <v>767925.97397094872</v>
      </c>
      <c r="E229" s="224">
        <v>368876.73956984753</v>
      </c>
      <c r="F229" s="224">
        <v>4.3410324520628105</v>
      </c>
      <c r="G229" s="224">
        <v>3.5176576011248057</v>
      </c>
      <c r="H229" s="224">
        <v>2.2716457132543311</v>
      </c>
      <c r="I229" s="224">
        <v>1.8162015305601511</v>
      </c>
      <c r="J229" s="224"/>
      <c r="M229" s="224">
        <f t="shared" si="15"/>
        <v>399049.23440110119</v>
      </c>
      <c r="N229" s="224">
        <f t="shared" si="16"/>
        <v>0.82337485093800478</v>
      </c>
      <c r="O229" s="224">
        <f t="shared" si="17"/>
        <v>0.45544418269417997</v>
      </c>
      <c r="Q229" s="224"/>
      <c r="R229" s="224"/>
      <c r="S229" s="429"/>
      <c r="Z229" s="362"/>
      <c r="AA229" s="421"/>
      <c r="AB229" s="362"/>
      <c r="AC229" s="362"/>
      <c r="AD229" s="362"/>
      <c r="AE229" s="362"/>
      <c r="AF229" s="362"/>
      <c r="AG229" s="362"/>
      <c r="AH229" s="362"/>
      <c r="AI229" s="393"/>
      <c r="AJ229" s="393"/>
      <c r="AK229" s="362"/>
      <c r="AL229" s="362"/>
      <c r="AM229" s="362"/>
      <c r="AN229" s="362"/>
      <c r="AO229" s="362"/>
      <c r="AP229" s="362"/>
      <c r="AQ229" s="362"/>
      <c r="AR229" s="362"/>
    </row>
    <row r="230" spans="1:44" ht="12.75" customHeight="1" x14ac:dyDescent="0.15">
      <c r="A230" s="431"/>
      <c r="B230" s="393"/>
      <c r="C230" s="428"/>
      <c r="D230" s="428">
        <v>534858.10261813307</v>
      </c>
      <c r="E230" s="224">
        <v>150574.51608265057</v>
      </c>
      <c r="F230" s="224">
        <v>4.7667714761762845</v>
      </c>
      <c r="G230" s="224">
        <v>3.9809282565980109</v>
      </c>
      <c r="H230" s="224">
        <v>2.4865065665383255</v>
      </c>
      <c r="I230" s="224">
        <v>2.1006934385169744</v>
      </c>
      <c r="J230" s="224"/>
      <c r="M230" s="224">
        <f t="shared" si="15"/>
        <v>384283.58653548249</v>
      </c>
      <c r="N230" s="224">
        <f t="shared" si="16"/>
        <v>0.78584321957827363</v>
      </c>
      <c r="O230" s="224">
        <f t="shared" si="17"/>
        <v>0.38581312802135104</v>
      </c>
      <c r="Q230" s="224"/>
      <c r="R230" s="224"/>
      <c r="S230" s="429"/>
      <c r="Z230" s="362"/>
      <c r="AA230" s="421"/>
      <c r="AB230" s="362"/>
      <c r="AC230" s="362"/>
      <c r="AD230" s="362"/>
      <c r="AE230" s="362"/>
      <c r="AF230" s="362"/>
      <c r="AG230" s="362"/>
      <c r="AH230" s="362"/>
      <c r="AI230" s="393"/>
      <c r="AJ230" s="393"/>
      <c r="AK230" s="362"/>
      <c r="AL230" s="362"/>
      <c r="AM230" s="362"/>
      <c r="AN230" s="362"/>
      <c r="AO230" s="362"/>
      <c r="AP230" s="362"/>
      <c r="AQ230" s="362"/>
      <c r="AR230" s="362"/>
    </row>
    <row r="231" spans="1:44" ht="12.75" customHeight="1" x14ac:dyDescent="0.15">
      <c r="A231" s="431"/>
      <c r="B231" s="393"/>
      <c r="C231" s="428"/>
      <c r="D231" s="428">
        <v>621522.95910911658</v>
      </c>
      <c r="E231" s="224">
        <v>156629.74641632111</v>
      </c>
      <c r="F231" s="224">
        <v>4.7201462310200473</v>
      </c>
      <c r="G231" s="224">
        <v>3.6891894032750576</v>
      </c>
      <c r="H231" s="224">
        <v>2.7983960040108302</v>
      </c>
      <c r="I231" s="224">
        <v>2.1286822017261144</v>
      </c>
      <c r="J231" s="224"/>
      <c r="M231" s="224">
        <f t="shared" si="15"/>
        <v>464893.21269279544</v>
      </c>
      <c r="N231" s="224">
        <f t="shared" si="16"/>
        <v>1.0309568277449896</v>
      </c>
      <c r="O231" s="224">
        <f t="shared" si="17"/>
        <v>0.66971380228471578</v>
      </c>
      <c r="Q231" s="224"/>
      <c r="R231" s="224"/>
      <c r="S231" s="429"/>
      <c r="Z231" s="362"/>
      <c r="AA231" s="421"/>
      <c r="AB231" s="362"/>
      <c r="AC231" s="362"/>
      <c r="AD231" s="362"/>
      <c r="AE231" s="362"/>
      <c r="AF231" s="362"/>
      <c r="AG231" s="362"/>
      <c r="AH231" s="362"/>
      <c r="AI231" s="393"/>
      <c r="AJ231" s="393"/>
      <c r="AK231" s="362"/>
      <c r="AL231" s="362"/>
      <c r="AM231" s="362"/>
      <c r="AN231" s="362"/>
      <c r="AO231" s="362"/>
      <c r="AP231" s="362"/>
      <c r="AQ231" s="362"/>
      <c r="AR231" s="362"/>
    </row>
    <row r="232" spans="1:44" ht="12.75" customHeight="1" x14ac:dyDescent="0.15">
      <c r="A232" s="431"/>
      <c r="B232" s="393"/>
      <c r="C232" s="428"/>
      <c r="D232" s="428">
        <v>749722.54927016236</v>
      </c>
      <c r="E232" s="224">
        <v>138123.66158430799</v>
      </c>
      <c r="F232" s="224">
        <v>4.8648309720275735</v>
      </c>
      <c r="G232" s="224">
        <v>3.5973433975498383</v>
      </c>
      <c r="H232" s="224">
        <v>3.0447076494575089</v>
      </c>
      <c r="I232" s="224">
        <v>1.9323329126449131</v>
      </c>
      <c r="J232" s="224"/>
      <c r="M232" s="224">
        <f t="shared" si="15"/>
        <v>611598.88768585434</v>
      </c>
      <c r="N232" s="224">
        <f t="shared" si="16"/>
        <v>1.2674875744777352</v>
      </c>
      <c r="O232" s="224">
        <f t="shared" si="17"/>
        <v>1.1123747368125958</v>
      </c>
      <c r="Q232" s="224"/>
      <c r="R232" s="224"/>
      <c r="S232" s="429"/>
      <c r="Z232" s="362"/>
      <c r="AA232" s="421"/>
      <c r="AB232" s="362"/>
      <c r="AC232" s="362"/>
      <c r="AD232" s="362"/>
      <c r="AE232" s="362"/>
      <c r="AF232" s="362"/>
      <c r="AG232" s="362"/>
      <c r="AH232" s="362"/>
      <c r="AI232" s="393"/>
      <c r="AJ232" s="393"/>
      <c r="AK232" s="362"/>
      <c r="AL232" s="362"/>
      <c r="AM232" s="362"/>
      <c r="AN232" s="362"/>
      <c r="AO232" s="362"/>
      <c r="AP232" s="362"/>
      <c r="AQ232" s="362"/>
      <c r="AR232" s="362"/>
    </row>
    <row r="233" spans="1:44" ht="12.75" customHeight="1" x14ac:dyDescent="0.15">
      <c r="A233" s="431"/>
      <c r="B233" s="393"/>
      <c r="C233" s="428"/>
      <c r="D233" s="428">
        <v>567531.11236707598</v>
      </c>
      <c r="E233" s="224">
        <v>83745.063651982942</v>
      </c>
      <c r="F233" s="224">
        <v>3.8855059934951925</v>
      </c>
      <c r="G233" s="224">
        <v>3.5434125923851973</v>
      </c>
      <c r="H233" s="224">
        <v>2.7585312070976586</v>
      </c>
      <c r="I233" s="224">
        <v>2.1254205402033106</v>
      </c>
      <c r="J233" s="224"/>
      <c r="M233" s="224">
        <f t="shared" si="15"/>
        <v>483786.04871509306</v>
      </c>
      <c r="N233" s="224">
        <f t="shared" si="16"/>
        <v>0.3420934011099952</v>
      </c>
      <c r="O233" s="224">
        <f t="shared" si="17"/>
        <v>0.63311066689434803</v>
      </c>
      <c r="Q233" s="224"/>
      <c r="R233" s="224"/>
      <c r="S233" s="429"/>
      <c r="Z233" s="362"/>
      <c r="AA233" s="421"/>
      <c r="AB233" s="362"/>
      <c r="AC233" s="362"/>
      <c r="AD233" s="362"/>
      <c r="AE233" s="362"/>
      <c r="AF233" s="362"/>
      <c r="AG233" s="362"/>
      <c r="AH233" s="362"/>
      <c r="AI233" s="393"/>
      <c r="AJ233" s="393"/>
      <c r="AK233" s="362"/>
      <c r="AL233" s="362"/>
      <c r="AM233" s="362"/>
      <c r="AN233" s="362"/>
      <c r="AO233" s="362"/>
      <c r="AP233" s="362"/>
      <c r="AQ233" s="362"/>
      <c r="AR233" s="362"/>
    </row>
    <row r="234" spans="1:44" ht="12.75" customHeight="1" x14ac:dyDescent="0.15">
      <c r="A234" s="431"/>
      <c r="B234" s="393"/>
      <c r="C234" s="428"/>
      <c r="D234" s="428">
        <v>535863.5958701038</v>
      </c>
      <c r="E234" s="224">
        <v>127712.67843532818</v>
      </c>
      <c r="F234" s="224">
        <v>3.9582218583518798</v>
      </c>
      <c r="G234" s="224">
        <v>3.9265697971139972</v>
      </c>
      <c r="H234" s="224">
        <v>2.2924364584695187</v>
      </c>
      <c r="I234" s="224">
        <v>2.1847261694023539</v>
      </c>
      <c r="J234" s="224"/>
      <c r="M234" s="224">
        <f t="shared" si="15"/>
        <v>408150.91743477562</v>
      </c>
      <c r="N234" s="224">
        <f t="shared" si="16"/>
        <v>3.1652061237882556E-2</v>
      </c>
      <c r="O234" s="224">
        <f t="shared" si="17"/>
        <v>0.10771028906716484</v>
      </c>
      <c r="Q234" s="224"/>
      <c r="R234" s="224"/>
      <c r="S234" s="429"/>
      <c r="Z234" s="362"/>
      <c r="AA234" s="421"/>
      <c r="AB234" s="362"/>
      <c r="AC234" s="362"/>
      <c r="AD234" s="362"/>
      <c r="AE234" s="362"/>
      <c r="AF234" s="362"/>
      <c r="AG234" s="362"/>
      <c r="AH234" s="362"/>
      <c r="AI234" s="393"/>
      <c r="AJ234" s="393"/>
      <c r="AK234" s="362"/>
      <c r="AL234" s="362"/>
      <c r="AM234" s="362"/>
      <c r="AN234" s="362"/>
      <c r="AO234" s="362"/>
      <c r="AP234" s="362"/>
      <c r="AQ234" s="362"/>
      <c r="AR234" s="362"/>
    </row>
    <row r="235" spans="1:44" ht="12.75" customHeight="1" x14ac:dyDescent="0.15">
      <c r="A235" s="431"/>
      <c r="B235" s="393"/>
      <c r="C235" s="428"/>
      <c r="D235" s="428">
        <v>481266.55308157997</v>
      </c>
      <c r="E235" s="224">
        <v>135696.6793520819</v>
      </c>
      <c r="F235" s="224">
        <v>4.1873740176704244</v>
      </c>
      <c r="G235" s="224">
        <v>3.6374999887289703</v>
      </c>
      <c r="H235" s="224">
        <v>2.3605983381055995</v>
      </c>
      <c r="I235" s="224">
        <v>2.0142691787801219</v>
      </c>
      <c r="J235" s="224"/>
      <c r="M235" s="224">
        <f t="shared" si="15"/>
        <v>345569.87372949807</v>
      </c>
      <c r="N235" s="224">
        <f t="shared" si="16"/>
        <v>0.5498740289414541</v>
      </c>
      <c r="O235" s="224">
        <f t="shared" si="17"/>
        <v>0.34632915932547759</v>
      </c>
      <c r="Q235" s="224"/>
      <c r="R235" s="224"/>
      <c r="S235" s="429"/>
      <c r="Z235" s="362"/>
      <c r="AA235" s="421"/>
      <c r="AB235" s="362"/>
      <c r="AC235" s="362"/>
      <c r="AD235" s="362"/>
      <c r="AE235" s="362"/>
      <c r="AF235" s="362"/>
      <c r="AG235" s="362"/>
      <c r="AH235" s="362"/>
      <c r="AI235" s="393"/>
      <c r="AJ235" s="393"/>
      <c r="AK235" s="362"/>
      <c r="AL235" s="362"/>
      <c r="AM235" s="362"/>
      <c r="AN235" s="362"/>
      <c r="AO235" s="362"/>
      <c r="AP235" s="362"/>
      <c r="AQ235" s="362"/>
      <c r="AR235" s="362"/>
    </row>
    <row r="236" spans="1:44" ht="12.75" customHeight="1" x14ac:dyDescent="0.15">
      <c r="A236" s="431"/>
      <c r="B236" s="393"/>
      <c r="C236" s="428"/>
      <c r="D236" s="428">
        <v>573878.63494790043</v>
      </c>
      <c r="E236" s="224">
        <v>152704.85129814901</v>
      </c>
      <c r="F236" s="224">
        <v>4.4049749766504736</v>
      </c>
      <c r="G236" s="224">
        <v>4.0259583555569485</v>
      </c>
      <c r="H236" s="224">
        <v>2.3912438754593643</v>
      </c>
      <c r="I236" s="224">
        <v>2.1315168459492413</v>
      </c>
      <c r="J236" s="224"/>
      <c r="M236" s="224">
        <f t="shared" si="15"/>
        <v>421173.78364975145</v>
      </c>
      <c r="N236" s="224">
        <f t="shared" si="16"/>
        <v>0.37901662109352507</v>
      </c>
      <c r="O236" s="224">
        <f t="shared" si="17"/>
        <v>0.25972702951012305</v>
      </c>
      <c r="Q236" s="224"/>
      <c r="R236" s="224"/>
      <c r="S236" s="429"/>
      <c r="Z236" s="362"/>
      <c r="AA236" s="421"/>
      <c r="AB236" s="362"/>
      <c r="AC236" s="362"/>
      <c r="AD236" s="362"/>
      <c r="AE236" s="362"/>
      <c r="AF236" s="362"/>
      <c r="AG236" s="362"/>
      <c r="AH236" s="362"/>
      <c r="AI236" s="393"/>
      <c r="AJ236" s="393"/>
      <c r="AK236" s="362"/>
      <c r="AL236" s="362"/>
      <c r="AM236" s="362"/>
      <c r="AN236" s="362"/>
      <c r="AO236" s="362"/>
      <c r="AP236" s="362"/>
      <c r="AQ236" s="362"/>
      <c r="AR236" s="362"/>
    </row>
    <row r="237" spans="1:44" ht="12.75" customHeight="1" x14ac:dyDescent="0.15">
      <c r="A237" s="431"/>
      <c r="B237" s="393"/>
      <c r="C237" s="428"/>
      <c r="D237" s="428">
        <v>834160.82765160128</v>
      </c>
      <c r="E237" s="224">
        <v>274657.98827756289</v>
      </c>
      <c r="F237" s="224">
        <v>4.099034745670199</v>
      </c>
      <c r="G237" s="224">
        <v>3.4915983590211117</v>
      </c>
      <c r="H237" s="224">
        <v>2.9186833022353964</v>
      </c>
      <c r="I237" s="224">
        <v>2.2877131573244198</v>
      </c>
      <c r="J237" s="224"/>
      <c r="M237" s="224">
        <f t="shared" si="15"/>
        <v>559502.83937403839</v>
      </c>
      <c r="N237" s="224">
        <f t="shared" si="16"/>
        <v>0.60743638664908728</v>
      </c>
      <c r="O237" s="224">
        <f t="shared" si="17"/>
        <v>0.63097014491097658</v>
      </c>
      <c r="Q237" s="224"/>
      <c r="R237" s="224"/>
      <c r="S237" s="429"/>
      <c r="Z237" s="362"/>
      <c r="AA237" s="421"/>
      <c r="AB237" s="362"/>
      <c r="AC237" s="362"/>
      <c r="AD237" s="362"/>
      <c r="AE237" s="362"/>
      <c r="AF237" s="362"/>
      <c r="AG237" s="362"/>
      <c r="AH237" s="362"/>
      <c r="AI237" s="393"/>
      <c r="AJ237" s="393"/>
      <c r="AK237" s="362"/>
      <c r="AL237" s="362"/>
      <c r="AM237" s="362"/>
      <c r="AN237" s="362"/>
      <c r="AO237" s="362"/>
      <c r="AP237" s="362"/>
      <c r="AQ237" s="362"/>
      <c r="AR237" s="362"/>
    </row>
    <row r="238" spans="1:44" ht="12.75" customHeight="1" x14ac:dyDescent="0.15">
      <c r="A238" s="431"/>
      <c r="B238" s="393"/>
      <c r="C238" s="428"/>
      <c r="D238" s="428">
        <v>556972.053000869</v>
      </c>
      <c r="E238" s="224">
        <v>119339.52805643778</v>
      </c>
      <c r="F238" s="224">
        <v>4.707870618694372</v>
      </c>
      <c r="G238" s="224">
        <v>3.5374758972641973</v>
      </c>
      <c r="H238" s="224">
        <v>2.6331655105245653</v>
      </c>
      <c r="I238" s="224">
        <v>1.9516432867973263</v>
      </c>
      <c r="J238" s="224"/>
      <c r="M238" s="224">
        <f t="shared" si="15"/>
        <v>437632.52494443121</v>
      </c>
      <c r="N238" s="224">
        <f t="shared" si="16"/>
        <v>1.1703947214301746</v>
      </c>
      <c r="O238" s="224">
        <f t="shared" si="17"/>
        <v>0.68152222372723892</v>
      </c>
      <c r="Q238" s="224"/>
      <c r="R238" s="224"/>
      <c r="S238" s="429"/>
      <c r="Z238" s="362"/>
      <c r="AA238" s="421"/>
      <c r="AB238" s="362"/>
      <c r="AC238" s="362"/>
      <c r="AD238" s="362"/>
      <c r="AE238" s="362"/>
      <c r="AF238" s="362"/>
      <c r="AG238" s="362"/>
      <c r="AH238" s="362"/>
      <c r="AI238" s="393"/>
      <c r="AJ238" s="393"/>
      <c r="AK238" s="362"/>
      <c r="AL238" s="362"/>
      <c r="AM238" s="362"/>
      <c r="AN238" s="362"/>
      <c r="AO238" s="362"/>
      <c r="AP238" s="362"/>
      <c r="AQ238" s="362"/>
      <c r="AR238" s="362"/>
    </row>
    <row r="239" spans="1:44" ht="12.75" customHeight="1" x14ac:dyDescent="0.15">
      <c r="A239" s="431"/>
      <c r="B239" s="393"/>
      <c r="C239" s="428"/>
      <c r="D239" s="428">
        <v>651580.60802411381</v>
      </c>
      <c r="E239" s="224">
        <v>162522.91802562395</v>
      </c>
      <c r="F239" s="224">
        <v>4.505456494203103</v>
      </c>
      <c r="G239" s="224">
        <v>3.7957564070872327</v>
      </c>
      <c r="H239" s="224">
        <v>2.9665253195854362</v>
      </c>
      <c r="I239" s="224">
        <v>2.3069074656063124</v>
      </c>
      <c r="J239" s="224"/>
      <c r="M239" s="224">
        <f t="shared" si="15"/>
        <v>489057.68999848986</v>
      </c>
      <c r="N239" s="224">
        <f t="shared" si="16"/>
        <v>0.70970008711587029</v>
      </c>
      <c r="O239" s="224">
        <f t="shared" si="17"/>
        <v>0.65961785397912376</v>
      </c>
      <c r="Q239" s="224"/>
      <c r="R239" s="224"/>
      <c r="S239" s="429"/>
      <c r="Z239" s="362"/>
      <c r="AA239" s="421"/>
      <c r="AB239" s="362"/>
      <c r="AC239" s="362"/>
      <c r="AD239" s="362"/>
      <c r="AE239" s="362"/>
      <c r="AF239" s="362"/>
      <c r="AG239" s="362"/>
      <c r="AH239" s="362"/>
      <c r="AI239" s="393"/>
      <c r="AJ239" s="393"/>
      <c r="AK239" s="362"/>
      <c r="AL239" s="362"/>
      <c r="AM239" s="362"/>
      <c r="AN239" s="362"/>
      <c r="AO239" s="362"/>
      <c r="AP239" s="362"/>
      <c r="AQ239" s="362"/>
      <c r="AR239" s="362"/>
    </row>
    <row r="240" spans="1:44" ht="12.75" customHeight="1" x14ac:dyDescent="0.15">
      <c r="A240" s="431"/>
      <c r="B240" s="393"/>
      <c r="C240" s="428"/>
      <c r="D240" s="428">
        <v>695543.71115910809</v>
      </c>
      <c r="E240" s="224">
        <v>226586.04938496434</v>
      </c>
      <c r="F240" s="224">
        <v>4.5207629754675054</v>
      </c>
      <c r="G240" s="224">
        <v>4.2045631790513429</v>
      </c>
      <c r="H240" s="224">
        <v>2.8568627172641348</v>
      </c>
      <c r="I240" s="224">
        <v>2.3075719294336259</v>
      </c>
      <c r="J240" s="224"/>
      <c r="M240" s="224">
        <f t="shared" si="15"/>
        <v>468957.66177414375</v>
      </c>
      <c r="N240" s="224">
        <f t="shared" si="16"/>
        <v>0.31619979641616247</v>
      </c>
      <c r="O240" s="224">
        <f t="shared" si="17"/>
        <v>0.54929078783050889</v>
      </c>
      <c r="Q240" s="224"/>
      <c r="R240" s="224"/>
      <c r="S240" s="429"/>
      <c r="Z240" s="362"/>
      <c r="AA240" s="421"/>
      <c r="AB240" s="362"/>
      <c r="AC240" s="362"/>
      <c r="AD240" s="362"/>
      <c r="AE240" s="362"/>
      <c r="AF240" s="362"/>
      <c r="AG240" s="362"/>
      <c r="AH240" s="362"/>
      <c r="AI240" s="393"/>
      <c r="AJ240" s="393"/>
      <c r="AK240" s="362"/>
      <c r="AL240" s="362"/>
      <c r="AM240" s="362"/>
      <c r="AN240" s="362"/>
      <c r="AO240" s="362"/>
      <c r="AP240" s="362"/>
      <c r="AQ240" s="362"/>
      <c r="AR240" s="362"/>
    </row>
    <row r="241" spans="1:44" ht="12.75" customHeight="1" x14ac:dyDescent="0.15">
      <c r="A241" s="431"/>
      <c r="B241" s="393"/>
      <c r="C241" s="428"/>
      <c r="D241" s="428">
        <v>666012.25785231683</v>
      </c>
      <c r="E241" s="224">
        <v>236839.01824385347</v>
      </c>
      <c r="F241" s="224">
        <v>4.7433762561258943</v>
      </c>
      <c r="G241" s="224">
        <v>3.9028218929462879</v>
      </c>
      <c r="H241" s="224">
        <v>2.9454103566425558</v>
      </c>
      <c r="I241" s="224">
        <v>2.1905813969003516</v>
      </c>
      <c r="J241" s="224"/>
      <c r="M241" s="224">
        <f t="shared" si="15"/>
        <v>429173.23960846337</v>
      </c>
      <c r="N241" s="224">
        <f t="shared" si="16"/>
        <v>0.84055436317960641</v>
      </c>
      <c r="O241" s="224">
        <f t="shared" si="17"/>
        <v>0.75482895974220421</v>
      </c>
      <c r="Q241" s="224"/>
      <c r="R241" s="224"/>
      <c r="S241" s="429"/>
      <c r="Z241" s="362"/>
      <c r="AA241" s="421"/>
      <c r="AB241" s="362"/>
      <c r="AC241" s="362"/>
      <c r="AD241" s="362"/>
      <c r="AE241" s="362"/>
      <c r="AF241" s="362"/>
      <c r="AG241" s="362"/>
      <c r="AH241" s="362"/>
      <c r="AI241" s="393"/>
      <c r="AJ241" s="393"/>
      <c r="AK241" s="362"/>
      <c r="AL241" s="362"/>
      <c r="AM241" s="362"/>
      <c r="AN241" s="362"/>
      <c r="AO241" s="362"/>
      <c r="AP241" s="362"/>
      <c r="AQ241" s="362"/>
      <c r="AR241" s="362"/>
    </row>
    <row r="242" spans="1:44" ht="12.75" customHeight="1" x14ac:dyDescent="0.15">
      <c r="A242" s="431"/>
      <c r="B242" s="393"/>
      <c r="C242" s="428"/>
      <c r="D242" s="428">
        <v>691049.63601140899</v>
      </c>
      <c r="E242" s="224">
        <v>134004.26926710183</v>
      </c>
      <c r="F242" s="224">
        <v>3.8221521050589811</v>
      </c>
      <c r="G242" s="224">
        <v>3.7611607800092774</v>
      </c>
      <c r="H242" s="224">
        <v>2.5646163078590667</v>
      </c>
      <c r="I242" s="224">
        <v>1.9081578686232639</v>
      </c>
      <c r="J242" s="224"/>
      <c r="M242" s="224">
        <f t="shared" si="15"/>
        <v>557045.3667443071</v>
      </c>
      <c r="N242" s="224">
        <f t="shared" si="16"/>
        <v>6.0991325049703615E-2</v>
      </c>
      <c r="O242" s="224">
        <f t="shared" si="17"/>
        <v>0.65645843923580283</v>
      </c>
      <c r="Q242" s="224"/>
      <c r="R242" s="224"/>
      <c r="S242" s="429"/>
      <c r="Z242" s="362"/>
      <c r="AA242" s="421"/>
      <c r="AB242" s="362"/>
      <c r="AC242" s="362"/>
      <c r="AD242" s="362"/>
      <c r="AE242" s="362"/>
      <c r="AF242" s="362"/>
      <c r="AG242" s="362"/>
      <c r="AH242" s="362"/>
      <c r="AI242" s="393"/>
      <c r="AJ242" s="393"/>
      <c r="AK242" s="362"/>
      <c r="AL242" s="362"/>
      <c r="AM242" s="362"/>
      <c r="AN242" s="362"/>
      <c r="AO242" s="362"/>
      <c r="AP242" s="362"/>
      <c r="AQ242" s="362"/>
      <c r="AR242" s="362"/>
    </row>
    <row r="243" spans="1:44" ht="12.75" customHeight="1" x14ac:dyDescent="0.15">
      <c r="A243" s="431"/>
      <c r="B243" s="393"/>
      <c r="C243" s="428"/>
      <c r="D243" s="428">
        <v>739870.23291240295</v>
      </c>
      <c r="E243" s="224">
        <v>192879.60043187998</v>
      </c>
      <c r="F243" s="224">
        <v>4.5406901444719265</v>
      </c>
      <c r="G243" s="224">
        <v>3.2429039635528261</v>
      </c>
      <c r="H243" s="224">
        <v>2.5098431357828437</v>
      </c>
      <c r="I243" s="224">
        <v>1.5602479313789996</v>
      </c>
      <c r="J243" s="224"/>
      <c r="M243" s="224">
        <f t="shared" si="15"/>
        <v>546990.63248052297</v>
      </c>
      <c r="N243" s="224">
        <f t="shared" si="16"/>
        <v>1.2977861809191005</v>
      </c>
      <c r="O243" s="224">
        <f t="shared" si="17"/>
        <v>0.94959520440384404</v>
      </c>
      <c r="Q243" s="224"/>
      <c r="R243" s="224"/>
      <c r="S243" s="429"/>
      <c r="Z243" s="362"/>
      <c r="AA243" s="421"/>
      <c r="AB243" s="362"/>
      <c r="AC243" s="362"/>
      <c r="AD243" s="362"/>
      <c r="AE243" s="362"/>
      <c r="AF243" s="362"/>
      <c r="AG243" s="362"/>
      <c r="AH243" s="362"/>
      <c r="AI243" s="393"/>
      <c r="AJ243" s="393"/>
      <c r="AK243" s="362"/>
      <c r="AL243" s="362"/>
      <c r="AM243" s="362"/>
      <c r="AN243" s="362"/>
      <c r="AO243" s="362"/>
      <c r="AP243" s="362"/>
      <c r="AQ243" s="362"/>
      <c r="AR243" s="362"/>
    </row>
    <row r="244" spans="1:44" ht="12.75" customHeight="1" x14ac:dyDescent="0.15">
      <c r="A244" s="431"/>
      <c r="B244" s="393"/>
      <c r="C244" s="428"/>
      <c r="D244" s="428">
        <v>553279.93315830815</v>
      </c>
      <c r="E244" s="224">
        <v>129839.43245725025</v>
      </c>
      <c r="F244" s="224">
        <v>4.0895034236679768</v>
      </c>
      <c r="G244" s="224">
        <v>4.2161906577312624</v>
      </c>
      <c r="H244" s="224">
        <v>2.447328963592974</v>
      </c>
      <c r="I244" s="224">
        <v>2.23892646604016</v>
      </c>
      <c r="J244" s="224"/>
      <c r="M244" s="224">
        <f t="shared" si="15"/>
        <v>423440.5007010579</v>
      </c>
      <c r="N244" s="224">
        <f t="shared" si="16"/>
        <v>-0.12668723406328564</v>
      </c>
      <c r="O244" s="224">
        <f t="shared" si="17"/>
        <v>0.20840249755281404</v>
      </c>
      <c r="Q244" s="224"/>
      <c r="R244" s="224"/>
      <c r="S244" s="429"/>
      <c r="Z244" s="362"/>
      <c r="AA244" s="421"/>
      <c r="AB244" s="362"/>
      <c r="AC244" s="362"/>
      <c r="AD244" s="362"/>
      <c r="AE244" s="362"/>
      <c r="AF244" s="362"/>
      <c r="AG244" s="362"/>
      <c r="AH244" s="362"/>
      <c r="AI244" s="393"/>
      <c r="AJ244" s="393"/>
      <c r="AK244" s="362"/>
      <c r="AL244" s="362"/>
      <c r="AM244" s="362"/>
      <c r="AN244" s="362"/>
      <c r="AO244" s="362"/>
      <c r="AP244" s="362"/>
      <c r="AQ244" s="362"/>
      <c r="AR244" s="362"/>
    </row>
    <row r="245" spans="1:44" ht="12.75" customHeight="1" x14ac:dyDescent="0.15">
      <c r="A245" s="431"/>
      <c r="B245" s="393"/>
      <c r="C245" s="428"/>
      <c r="D245" s="428">
        <v>485116.40643855109</v>
      </c>
      <c r="E245" s="224">
        <v>121687.21059898932</v>
      </c>
      <c r="F245" s="224">
        <v>3.727403028668911</v>
      </c>
      <c r="G245" s="224">
        <v>3.9040835215878964</v>
      </c>
      <c r="H245" s="224">
        <v>2.2041834266217157</v>
      </c>
      <c r="I245" s="224">
        <v>2.1925134745814066</v>
      </c>
      <c r="J245" s="224"/>
      <c r="M245" s="224">
        <f t="shared" si="15"/>
        <v>363429.19583956175</v>
      </c>
      <c r="N245" s="224">
        <f t="shared" si="16"/>
        <v>-0.17668049291898535</v>
      </c>
      <c r="O245" s="224">
        <f t="shared" si="17"/>
        <v>1.1669952040309184E-2</v>
      </c>
      <c r="Q245" s="224"/>
      <c r="R245" s="224"/>
      <c r="S245" s="429"/>
      <c r="Z245" s="362"/>
      <c r="AA245" s="421"/>
      <c r="AB245" s="362"/>
      <c r="AC245" s="362"/>
      <c r="AD245" s="362"/>
      <c r="AE245" s="362"/>
      <c r="AF245" s="362"/>
      <c r="AG245" s="362"/>
      <c r="AH245" s="362"/>
      <c r="AI245" s="393"/>
      <c r="AJ245" s="393"/>
      <c r="AK245" s="362"/>
      <c r="AL245" s="362"/>
      <c r="AM245" s="362"/>
      <c r="AN245" s="362"/>
      <c r="AO245" s="362"/>
      <c r="AP245" s="362"/>
      <c r="AQ245" s="362"/>
      <c r="AR245" s="362"/>
    </row>
    <row r="246" spans="1:44" ht="12.75" customHeight="1" x14ac:dyDescent="0.15">
      <c r="A246" s="431"/>
      <c r="B246" s="393"/>
      <c r="C246" s="428"/>
      <c r="D246" s="428">
        <v>692485.97460809245</v>
      </c>
      <c r="E246" s="224">
        <v>157039.91516086331</v>
      </c>
      <c r="F246" s="224">
        <v>4.00369776213061</v>
      </c>
      <c r="G246" s="224">
        <v>3.9281091507377837</v>
      </c>
      <c r="H246" s="224">
        <v>2.7545583404188116</v>
      </c>
      <c r="I246" s="224">
        <v>2.2636076779775123</v>
      </c>
      <c r="J246" s="224"/>
      <c r="M246" s="224">
        <f t="shared" si="15"/>
        <v>535446.05944722914</v>
      </c>
      <c r="N246" s="224">
        <f t="shared" si="16"/>
        <v>7.5588611392826355E-2</v>
      </c>
      <c r="O246" s="224">
        <f t="shared" si="17"/>
        <v>0.49095066244129937</v>
      </c>
      <c r="Q246" s="224"/>
      <c r="R246" s="224"/>
      <c r="S246" s="429"/>
      <c r="Z246" s="362"/>
      <c r="AA246" s="421"/>
      <c r="AB246" s="362"/>
      <c r="AC246" s="362"/>
      <c r="AD246" s="362"/>
      <c r="AE246" s="362"/>
      <c r="AF246" s="362"/>
      <c r="AG246" s="362"/>
      <c r="AH246" s="362"/>
      <c r="AI246" s="393"/>
      <c r="AJ246" s="393"/>
      <c r="AK246" s="362"/>
      <c r="AL246" s="362"/>
      <c r="AM246" s="362"/>
      <c r="AN246" s="362"/>
      <c r="AO246" s="362"/>
      <c r="AP246" s="362"/>
      <c r="AQ246" s="362"/>
      <c r="AR246" s="362"/>
    </row>
    <row r="247" spans="1:44" ht="12.75" customHeight="1" x14ac:dyDescent="0.15">
      <c r="A247" s="431"/>
      <c r="B247" s="393"/>
      <c r="C247" s="428"/>
      <c r="D247" s="428">
        <v>554668.19339675445</v>
      </c>
      <c r="E247" s="224">
        <v>183987.18654463862</v>
      </c>
      <c r="F247" s="224">
        <v>4.151610973877184</v>
      </c>
      <c r="G247" s="224">
        <v>4.1707617748218642</v>
      </c>
      <c r="H247" s="224">
        <v>2.5115697223427595</v>
      </c>
      <c r="I247" s="224">
        <v>2.5649436851740046</v>
      </c>
      <c r="J247" s="224"/>
      <c r="M247" s="224">
        <f t="shared" si="15"/>
        <v>370681.00685211585</v>
      </c>
      <c r="N247" s="224">
        <f t="shared" si="16"/>
        <v>-1.9150800944680135E-2</v>
      </c>
      <c r="O247" s="224">
        <f t="shared" si="17"/>
        <v>-5.337396283124507E-2</v>
      </c>
      <c r="Q247" s="224"/>
      <c r="R247" s="224"/>
      <c r="S247" s="429"/>
      <c r="Z247" s="362"/>
      <c r="AA247" s="421"/>
      <c r="AB247" s="362"/>
      <c r="AC247" s="362"/>
      <c r="AD247" s="362"/>
      <c r="AE247" s="362"/>
      <c r="AF247" s="362"/>
      <c r="AG247" s="362"/>
      <c r="AH247" s="362"/>
      <c r="AI247" s="393"/>
      <c r="AJ247" s="393"/>
      <c r="AK247" s="362"/>
      <c r="AL247" s="362"/>
      <c r="AM247" s="362"/>
      <c r="AN247" s="362"/>
      <c r="AO247" s="362"/>
      <c r="AP247" s="362"/>
      <c r="AQ247" s="362"/>
      <c r="AR247" s="362"/>
    </row>
    <row r="248" spans="1:44" ht="12.75" customHeight="1" x14ac:dyDescent="0.15">
      <c r="A248" s="431"/>
      <c r="B248" s="393"/>
      <c r="C248" s="428"/>
      <c r="D248" s="428">
        <v>681528.17670716182</v>
      </c>
      <c r="E248" s="224">
        <v>120210.80474882836</v>
      </c>
      <c r="F248" s="224">
        <v>4.5420713405748323</v>
      </c>
      <c r="G248" s="224">
        <v>3.9067552725410177</v>
      </c>
      <c r="H248" s="224">
        <v>3.0316305613507764</v>
      </c>
      <c r="I248" s="224">
        <v>2.2956981091160698</v>
      </c>
      <c r="J248" s="224"/>
      <c r="M248" s="224">
        <f t="shared" si="15"/>
        <v>561317.37195833342</v>
      </c>
      <c r="N248" s="224">
        <f t="shared" si="16"/>
        <v>0.63531606803381457</v>
      </c>
      <c r="O248" s="224">
        <f t="shared" si="17"/>
        <v>0.7359324522347066</v>
      </c>
      <c r="Q248" s="224"/>
      <c r="R248" s="224"/>
      <c r="S248" s="429"/>
      <c r="Z248" s="362"/>
      <c r="AA248" s="421"/>
      <c r="AB248" s="362"/>
      <c r="AC248" s="362"/>
      <c r="AD248" s="362"/>
      <c r="AE248" s="362"/>
      <c r="AF248" s="362"/>
      <c r="AG248" s="362"/>
      <c r="AH248" s="362"/>
      <c r="AI248" s="393"/>
      <c r="AJ248" s="393"/>
      <c r="AK248" s="362"/>
      <c r="AL248" s="362"/>
      <c r="AM248" s="362"/>
      <c r="AN248" s="362"/>
      <c r="AO248" s="362"/>
      <c r="AP248" s="362"/>
      <c r="AQ248" s="362"/>
      <c r="AR248" s="362"/>
    </row>
    <row r="249" spans="1:44" ht="12.75" customHeight="1" x14ac:dyDescent="0.15">
      <c r="A249" s="431"/>
      <c r="B249" s="393"/>
      <c r="C249" s="428"/>
      <c r="D249" s="428">
        <v>647102.24789369269</v>
      </c>
      <c r="E249" s="224">
        <v>215022.69484017833</v>
      </c>
      <c r="F249" s="224">
        <v>4.4781163059205644</v>
      </c>
      <c r="G249" s="224">
        <v>4.2400118547142505</v>
      </c>
      <c r="H249" s="224">
        <v>2.5652410557173217</v>
      </c>
      <c r="I249" s="224">
        <v>2.201525735057174</v>
      </c>
      <c r="J249" s="224"/>
      <c r="M249" s="224">
        <f t="shared" si="15"/>
        <v>432079.55305351433</v>
      </c>
      <c r="N249" s="224">
        <f t="shared" si="16"/>
        <v>0.23810445120631396</v>
      </c>
      <c r="O249" s="224">
        <f t="shared" si="17"/>
        <v>0.36371532066014778</v>
      </c>
      <c r="Q249" s="224"/>
      <c r="R249" s="224"/>
      <c r="S249" s="429"/>
      <c r="Z249" s="362"/>
      <c r="AA249" s="421"/>
      <c r="AB249" s="362"/>
      <c r="AC249" s="362"/>
      <c r="AD249" s="362"/>
      <c r="AE249" s="362"/>
      <c r="AF249" s="362"/>
      <c r="AG249" s="362"/>
      <c r="AH249" s="362"/>
      <c r="AI249" s="393"/>
      <c r="AJ249" s="393"/>
      <c r="AK249" s="362"/>
      <c r="AL249" s="362"/>
      <c r="AM249" s="362"/>
      <c r="AN249" s="362"/>
      <c r="AO249" s="362"/>
      <c r="AP249" s="362"/>
      <c r="AQ249" s="362"/>
      <c r="AR249" s="362"/>
    </row>
    <row r="250" spans="1:44" ht="12.75" customHeight="1" x14ac:dyDescent="0.15">
      <c r="A250" s="431"/>
      <c r="B250" s="393"/>
      <c r="C250" s="428"/>
      <c r="D250" s="428">
        <v>611396.01906192559</v>
      </c>
      <c r="E250" s="224">
        <v>144639.70800748011</v>
      </c>
      <c r="F250" s="224">
        <v>3.8688589275455429</v>
      </c>
      <c r="G250" s="224">
        <v>3.3777360503001712</v>
      </c>
      <c r="H250" s="224">
        <v>2.7322796957488658</v>
      </c>
      <c r="I250" s="224">
        <v>2.3003721325159701</v>
      </c>
      <c r="J250" s="224"/>
      <c r="M250" s="224">
        <f t="shared" si="15"/>
        <v>466756.31105444545</v>
      </c>
      <c r="N250" s="224">
        <f t="shared" si="16"/>
        <v>0.49112287724537174</v>
      </c>
      <c r="O250" s="224">
        <f t="shared" si="17"/>
        <v>0.4319075632328957</v>
      </c>
      <c r="Q250" s="224"/>
      <c r="R250" s="224"/>
      <c r="S250" s="429"/>
      <c r="Z250" s="362"/>
      <c r="AA250" s="421"/>
      <c r="AB250" s="362"/>
      <c r="AC250" s="362"/>
      <c r="AD250" s="362"/>
      <c r="AE250" s="362"/>
      <c r="AF250" s="362"/>
      <c r="AG250" s="362"/>
      <c r="AH250" s="362"/>
      <c r="AI250" s="393"/>
      <c r="AJ250" s="393"/>
      <c r="AK250" s="362"/>
      <c r="AL250" s="362"/>
      <c r="AM250" s="362"/>
      <c r="AN250" s="362"/>
      <c r="AO250" s="362"/>
      <c r="AP250" s="362"/>
      <c r="AQ250" s="362"/>
      <c r="AR250" s="362"/>
    </row>
    <row r="251" spans="1:44" ht="12.75" customHeight="1" x14ac:dyDescent="0.15">
      <c r="A251" s="431"/>
      <c r="B251" s="393"/>
      <c r="C251" s="428"/>
      <c r="D251" s="428">
        <v>683294.24939336989</v>
      </c>
      <c r="E251" s="224">
        <v>158475.7073082538</v>
      </c>
      <c r="F251" s="224">
        <v>4.8546564600630093</v>
      </c>
      <c r="G251" s="224">
        <v>3.6631177229839786</v>
      </c>
      <c r="H251" s="224">
        <v>2.6169777316371596</v>
      </c>
      <c r="I251" s="224">
        <v>1.9964465201682589</v>
      </c>
      <c r="J251" s="224"/>
      <c r="M251" s="224">
        <f t="shared" si="15"/>
        <v>524818.54208511603</v>
      </c>
      <c r="N251" s="224">
        <f t="shared" si="16"/>
        <v>1.1915387370790307</v>
      </c>
      <c r="O251" s="224">
        <f t="shared" si="17"/>
        <v>0.62053121146890078</v>
      </c>
      <c r="Q251" s="224"/>
      <c r="R251" s="224"/>
      <c r="S251" s="429"/>
      <c r="Z251" s="362"/>
      <c r="AA251" s="421"/>
      <c r="AB251" s="362"/>
      <c r="AC251" s="362"/>
      <c r="AD251" s="362"/>
      <c r="AE251" s="362"/>
      <c r="AF251" s="362"/>
      <c r="AG251" s="362"/>
      <c r="AH251" s="362"/>
      <c r="AI251" s="393"/>
      <c r="AJ251" s="393"/>
      <c r="AK251" s="362"/>
      <c r="AL251" s="362"/>
      <c r="AM251" s="362"/>
      <c r="AN251" s="362"/>
      <c r="AO251" s="362"/>
      <c r="AP251" s="362"/>
      <c r="AQ251" s="362"/>
      <c r="AR251" s="362"/>
    </row>
    <row r="252" spans="1:44" ht="12.75" customHeight="1" x14ac:dyDescent="0.15">
      <c r="A252" s="431"/>
      <c r="B252" s="393"/>
      <c r="C252" s="428"/>
      <c r="D252" s="428">
        <v>552965.14426662191</v>
      </c>
      <c r="E252" s="224">
        <v>188144.44205704232</v>
      </c>
      <c r="F252" s="224">
        <v>4.6280792933153307</v>
      </c>
      <c r="G252" s="224">
        <v>3.8139571255584035</v>
      </c>
      <c r="H252" s="224">
        <v>2.4637167699575531</v>
      </c>
      <c r="I252" s="224">
        <v>2.0518093410343368</v>
      </c>
      <c r="J252" s="224"/>
      <c r="M252" s="224">
        <f t="shared" si="15"/>
        <v>364820.70220957958</v>
      </c>
      <c r="N252" s="224">
        <f t="shared" si="16"/>
        <v>0.81412216775692725</v>
      </c>
      <c r="O252" s="224">
        <f t="shared" si="17"/>
        <v>0.4119074289232163</v>
      </c>
      <c r="Q252" s="224"/>
      <c r="R252" s="224"/>
      <c r="S252" s="429"/>
      <c r="Z252" s="362"/>
      <c r="AA252" s="421"/>
      <c r="AB252" s="362"/>
      <c r="AC252" s="362"/>
      <c r="AD252" s="362"/>
      <c r="AE252" s="362"/>
      <c r="AF252" s="362"/>
      <c r="AG252" s="362"/>
      <c r="AH252" s="362"/>
      <c r="AI252" s="393"/>
      <c r="AJ252" s="393"/>
      <c r="AK252" s="362"/>
      <c r="AL252" s="362"/>
      <c r="AM252" s="362"/>
      <c r="AN252" s="362"/>
      <c r="AO252" s="362"/>
      <c r="AP252" s="362"/>
      <c r="AQ252" s="362"/>
      <c r="AR252" s="362"/>
    </row>
    <row r="253" spans="1:44" ht="12.75" customHeight="1" x14ac:dyDescent="0.15">
      <c r="A253" s="431"/>
      <c r="B253" s="393"/>
      <c r="C253" s="428"/>
      <c r="D253" s="428">
        <v>559706.98936938692</v>
      </c>
      <c r="E253" s="224">
        <v>152305.12089555102</v>
      </c>
      <c r="F253" s="224">
        <v>4.5505122644138032</v>
      </c>
      <c r="G253" s="224">
        <v>4.1209165092492421</v>
      </c>
      <c r="H253" s="224">
        <v>2.7322327186739979</v>
      </c>
      <c r="I253" s="224">
        <v>2.2295051500870398</v>
      </c>
      <c r="J253" s="224"/>
      <c r="M253" s="224">
        <f t="shared" si="15"/>
        <v>407401.86847383587</v>
      </c>
      <c r="N253" s="224">
        <f t="shared" si="16"/>
        <v>0.42959575516456106</v>
      </c>
      <c r="O253" s="224">
        <f t="shared" si="17"/>
        <v>0.50272756858695811</v>
      </c>
      <c r="Q253" s="224"/>
      <c r="R253" s="224"/>
      <c r="S253" s="429"/>
      <c r="Z253" s="362"/>
      <c r="AA253" s="421"/>
      <c r="AB253" s="362"/>
      <c r="AC253" s="362"/>
      <c r="AD253" s="362"/>
      <c r="AE253" s="362"/>
      <c r="AF253" s="362"/>
      <c r="AG253" s="362"/>
      <c r="AH253" s="362"/>
      <c r="AI253" s="393"/>
      <c r="AJ253" s="393"/>
      <c r="AK253" s="362"/>
      <c r="AL253" s="362"/>
      <c r="AM253" s="362"/>
      <c r="AN253" s="362"/>
      <c r="AO253" s="362"/>
      <c r="AP253" s="362"/>
      <c r="AQ253" s="362"/>
      <c r="AR253" s="362"/>
    </row>
    <row r="254" spans="1:44" ht="12.75" customHeight="1" x14ac:dyDescent="0.15">
      <c r="A254" s="431"/>
      <c r="B254" s="393"/>
      <c r="C254" s="428"/>
      <c r="D254" s="428">
        <v>664908.79517575097</v>
      </c>
      <c r="E254" s="224">
        <v>161434.17981924606</v>
      </c>
      <c r="F254" s="224">
        <v>4.5116602848035683</v>
      </c>
      <c r="G254" s="224">
        <v>3.6640730108348096</v>
      </c>
      <c r="H254" s="224">
        <v>3.1472704160243885</v>
      </c>
      <c r="I254" s="224">
        <v>2.2246683377381471</v>
      </c>
      <c r="J254" s="224"/>
      <c r="M254" s="224">
        <f t="shared" si="15"/>
        <v>503474.61535650492</v>
      </c>
      <c r="N254" s="224">
        <f t="shared" si="16"/>
        <v>0.84758727396875866</v>
      </c>
      <c r="O254" s="224">
        <f t="shared" si="17"/>
        <v>0.92260207828624141</v>
      </c>
      <c r="Q254" s="224"/>
      <c r="R254" s="224"/>
      <c r="S254" s="429"/>
      <c r="Z254" s="362"/>
      <c r="AA254" s="421"/>
      <c r="AB254" s="362"/>
      <c r="AC254" s="362"/>
      <c r="AD254" s="362"/>
      <c r="AE254" s="362"/>
      <c r="AF254" s="362"/>
      <c r="AG254" s="362"/>
      <c r="AH254" s="362"/>
      <c r="AI254" s="393"/>
      <c r="AJ254" s="393"/>
      <c r="AK254" s="362"/>
      <c r="AL254" s="362"/>
      <c r="AM254" s="362"/>
      <c r="AN254" s="362"/>
      <c r="AO254" s="362"/>
      <c r="AP254" s="362"/>
      <c r="AQ254" s="362"/>
      <c r="AR254" s="362"/>
    </row>
    <row r="255" spans="1:44" ht="12.75" customHeight="1" x14ac:dyDescent="0.15">
      <c r="A255" s="431"/>
      <c r="B255" s="393"/>
      <c r="C255" s="428"/>
      <c r="D255" s="428">
        <v>640875.3374056255</v>
      </c>
      <c r="E255" s="224">
        <v>159477.50327079976</v>
      </c>
      <c r="F255" s="224">
        <v>4.2615327149602296</v>
      </c>
      <c r="G255" s="224">
        <v>4.2896985753727428</v>
      </c>
      <c r="H255" s="224">
        <v>2.8772592880063104</v>
      </c>
      <c r="I255" s="224">
        <v>2.4541129335442622</v>
      </c>
      <c r="J255" s="224"/>
      <c r="M255" s="224">
        <f t="shared" si="15"/>
        <v>481397.83413482574</v>
      </c>
      <c r="N255" s="224">
        <f t="shared" si="16"/>
        <v>-2.8165860412513233E-2</v>
      </c>
      <c r="O255" s="224">
        <f t="shared" si="17"/>
        <v>0.42314635446204818</v>
      </c>
      <c r="Q255" s="224"/>
      <c r="R255" s="224"/>
      <c r="S255" s="429"/>
      <c r="Z255" s="362"/>
      <c r="AA255" s="421"/>
      <c r="AB255" s="362"/>
      <c r="AC255" s="362"/>
      <c r="AD255" s="362"/>
      <c r="AE255" s="362"/>
      <c r="AF255" s="362"/>
      <c r="AG255" s="362"/>
      <c r="AH255" s="362"/>
      <c r="AI255" s="393"/>
      <c r="AJ255" s="393"/>
      <c r="AK255" s="362"/>
      <c r="AL255" s="362"/>
      <c r="AM255" s="362"/>
      <c r="AN255" s="362"/>
      <c r="AO255" s="362"/>
      <c r="AP255" s="362"/>
      <c r="AQ255" s="362"/>
      <c r="AR255" s="362"/>
    </row>
    <row r="256" spans="1:44" ht="12.75" customHeight="1" x14ac:dyDescent="0.15">
      <c r="A256" s="431"/>
      <c r="B256" s="393"/>
      <c r="C256" s="428"/>
      <c r="D256" s="428">
        <v>600612.64836465672</v>
      </c>
      <c r="E256" s="224">
        <v>186704.76569169562</v>
      </c>
      <c r="F256" s="224">
        <v>4.2169634780839207</v>
      </c>
      <c r="G256" s="224">
        <v>3.5442740802237411</v>
      </c>
      <c r="H256" s="224">
        <v>2.5510212903303477</v>
      </c>
      <c r="I256" s="224">
        <v>2.0557341581895656</v>
      </c>
      <c r="J256" s="224"/>
      <c r="M256" s="224">
        <f t="shared" si="15"/>
        <v>413907.8826729611</v>
      </c>
      <c r="N256" s="224">
        <f t="shared" si="16"/>
        <v>0.67268939786017956</v>
      </c>
      <c r="O256" s="224">
        <f t="shared" si="17"/>
        <v>0.49528713214078213</v>
      </c>
      <c r="Q256" s="224"/>
      <c r="R256" s="224"/>
      <c r="S256" s="429"/>
      <c r="Z256" s="362"/>
      <c r="AA256" s="421"/>
      <c r="AB256" s="362"/>
      <c r="AC256" s="362"/>
      <c r="AD256" s="362"/>
      <c r="AE256" s="362"/>
      <c r="AF256" s="362"/>
      <c r="AG256" s="362"/>
      <c r="AH256" s="362"/>
      <c r="AI256" s="393"/>
      <c r="AJ256" s="393"/>
      <c r="AK256" s="362"/>
      <c r="AL256" s="362"/>
      <c r="AM256" s="362"/>
      <c r="AN256" s="362"/>
      <c r="AO256" s="362"/>
      <c r="AP256" s="362"/>
      <c r="AQ256" s="362"/>
      <c r="AR256" s="362"/>
    </row>
    <row r="257" spans="1:44" ht="12.75" customHeight="1" x14ac:dyDescent="0.15">
      <c r="A257" s="431"/>
      <c r="B257" s="393"/>
      <c r="C257" s="428"/>
      <c r="D257" s="428">
        <v>673347.24336244597</v>
      </c>
      <c r="E257" s="224">
        <v>170144.47467162402</v>
      </c>
      <c r="F257" s="224">
        <v>3.795239115057734</v>
      </c>
      <c r="G257" s="224">
        <v>4.0750855081608224</v>
      </c>
      <c r="H257" s="224">
        <v>2.7747969699747617</v>
      </c>
      <c r="I257" s="224">
        <v>2.4656637459348461</v>
      </c>
      <c r="J257" s="224"/>
      <c r="M257" s="224">
        <f t="shared" si="15"/>
        <v>503202.76869082195</v>
      </c>
      <c r="N257" s="224">
        <f t="shared" si="16"/>
        <v>-0.27984639310308834</v>
      </c>
      <c r="O257" s="224">
        <f t="shared" si="17"/>
        <v>0.30913322403991561</v>
      </c>
      <c r="Q257" s="224"/>
      <c r="R257" s="224"/>
      <c r="S257" s="429"/>
      <c r="Z257" s="362"/>
      <c r="AA257" s="421"/>
      <c r="AB257" s="362"/>
      <c r="AC257" s="362"/>
      <c r="AD257" s="362"/>
      <c r="AE257" s="362"/>
      <c r="AF257" s="362"/>
      <c r="AG257" s="362"/>
      <c r="AH257" s="362"/>
      <c r="AI257" s="393"/>
      <c r="AJ257" s="393"/>
      <c r="AK257" s="362"/>
      <c r="AL257" s="362"/>
      <c r="AM257" s="362"/>
      <c r="AN257" s="362"/>
      <c r="AO257" s="362"/>
      <c r="AP257" s="362"/>
      <c r="AQ257" s="362"/>
      <c r="AR257" s="362"/>
    </row>
    <row r="258" spans="1:44" ht="12.75" customHeight="1" x14ac:dyDescent="0.15">
      <c r="A258" s="431"/>
      <c r="B258" s="393"/>
      <c r="C258" s="428"/>
      <c r="D258" s="428">
        <v>624511.11259391613</v>
      </c>
      <c r="E258" s="224">
        <v>144758.1279843394</v>
      </c>
      <c r="F258" s="224">
        <v>4.641607267130869</v>
      </c>
      <c r="G258" s="224">
        <v>3.6750928094411144</v>
      </c>
      <c r="H258" s="224">
        <v>3.3505431634431289</v>
      </c>
      <c r="I258" s="224">
        <v>2.490943988762313</v>
      </c>
      <c r="J258" s="224"/>
      <c r="M258" s="224">
        <f t="shared" si="15"/>
        <v>479752.98460957676</v>
      </c>
      <c r="N258" s="224">
        <f t="shared" si="16"/>
        <v>0.96651445768975464</v>
      </c>
      <c r="O258" s="224">
        <f t="shared" si="17"/>
        <v>0.85959917468081581</v>
      </c>
      <c r="Q258" s="224"/>
      <c r="R258" s="224"/>
      <c r="S258" s="429"/>
      <c r="Z258" s="362"/>
      <c r="AA258" s="421"/>
      <c r="AB258" s="362"/>
      <c r="AC258" s="362"/>
      <c r="AD258" s="362"/>
      <c r="AE258" s="362"/>
      <c r="AF258" s="362"/>
      <c r="AG258" s="362"/>
      <c r="AH258" s="362"/>
      <c r="AI258" s="393"/>
      <c r="AJ258" s="393"/>
      <c r="AK258" s="362"/>
      <c r="AL258" s="362"/>
      <c r="AM258" s="362"/>
      <c r="AN258" s="362"/>
      <c r="AO258" s="362"/>
      <c r="AP258" s="362"/>
      <c r="AQ258" s="362"/>
      <c r="AR258" s="362"/>
    </row>
    <row r="259" spans="1:44" ht="12.75" customHeight="1" x14ac:dyDescent="0.15">
      <c r="A259" s="431"/>
      <c r="B259" s="393"/>
      <c r="C259" s="428"/>
      <c r="D259" s="428">
        <v>713852.64034842257</v>
      </c>
      <c r="E259" s="224">
        <v>182675.05357458134</v>
      </c>
      <c r="F259" s="224">
        <v>4.8386009542927777</v>
      </c>
      <c r="G259" s="224">
        <v>3.9445055958459716</v>
      </c>
      <c r="H259" s="224">
        <v>3.4898763223478801</v>
      </c>
      <c r="I259" s="224">
        <v>2.5204942081608928</v>
      </c>
      <c r="J259" s="224"/>
      <c r="M259" s="224">
        <f t="shared" si="15"/>
        <v>531177.58677384118</v>
      </c>
      <c r="N259" s="224">
        <f t="shared" si="16"/>
        <v>0.8940953584468061</v>
      </c>
      <c r="O259" s="224">
        <f t="shared" si="17"/>
        <v>0.96938211418698739</v>
      </c>
      <c r="Q259" s="224"/>
      <c r="R259" s="224"/>
      <c r="S259" s="429"/>
      <c r="Z259" s="362"/>
      <c r="AA259" s="421"/>
      <c r="AB259" s="362"/>
      <c r="AC259" s="362"/>
      <c r="AD259" s="362"/>
      <c r="AE259" s="362"/>
      <c r="AF259" s="362"/>
      <c r="AG259" s="362"/>
      <c r="AH259" s="362"/>
      <c r="AI259" s="393"/>
      <c r="AJ259" s="393"/>
      <c r="AK259" s="362"/>
      <c r="AL259" s="362"/>
      <c r="AM259" s="362"/>
      <c r="AN259" s="362"/>
      <c r="AO259" s="362"/>
      <c r="AP259" s="362"/>
      <c r="AQ259" s="362"/>
      <c r="AR259" s="362"/>
    </row>
    <row r="260" spans="1:44" ht="12.75" customHeight="1" x14ac:dyDescent="0.15">
      <c r="A260" s="431"/>
      <c r="B260" s="393"/>
      <c r="C260" s="428"/>
      <c r="D260" s="428">
        <v>604591.4043666058</v>
      </c>
      <c r="E260" s="224">
        <v>117253.73903750199</v>
      </c>
      <c r="F260" s="224">
        <v>4.1192048924959499</v>
      </c>
      <c r="G260" s="224">
        <v>3.7263669080488269</v>
      </c>
      <c r="H260" s="224">
        <v>2.3980677653628617</v>
      </c>
      <c r="I260" s="224">
        <v>1.9503222022003344</v>
      </c>
      <c r="J260" s="224"/>
      <c r="M260" s="224">
        <f t="shared" si="15"/>
        <v>487337.66532910382</v>
      </c>
      <c r="N260" s="224">
        <f t="shared" si="16"/>
        <v>0.39283798444712303</v>
      </c>
      <c r="O260" s="224">
        <f t="shared" si="17"/>
        <v>0.44774556316252734</v>
      </c>
      <c r="Q260" s="224"/>
      <c r="R260" s="224"/>
      <c r="S260" s="429"/>
      <c r="Z260" s="362"/>
      <c r="AA260" s="421"/>
      <c r="AB260" s="362"/>
      <c r="AC260" s="362"/>
      <c r="AD260" s="362"/>
      <c r="AE260" s="362"/>
      <c r="AF260" s="362"/>
      <c r="AG260" s="362"/>
      <c r="AH260" s="362"/>
      <c r="AI260" s="393"/>
      <c r="AJ260" s="393"/>
      <c r="AK260" s="362"/>
      <c r="AL260" s="362"/>
      <c r="AM260" s="362"/>
      <c r="AN260" s="362"/>
      <c r="AO260" s="362"/>
      <c r="AP260" s="362"/>
      <c r="AQ260" s="362"/>
      <c r="AR260" s="362"/>
    </row>
    <row r="261" spans="1:44" ht="12.75" customHeight="1" x14ac:dyDescent="0.15">
      <c r="A261" s="431"/>
      <c r="B261" s="393"/>
      <c r="C261" s="428"/>
      <c r="D261" s="428">
        <v>596686.17115314875</v>
      </c>
      <c r="E261" s="224">
        <v>171364.89573222818</v>
      </c>
      <c r="F261" s="224">
        <v>3.9131056717320281</v>
      </c>
      <c r="G261" s="224">
        <v>4.0270702398377498</v>
      </c>
      <c r="H261" s="224">
        <v>2.3641005120877887</v>
      </c>
      <c r="I261" s="224">
        <v>2.1444566125989697</v>
      </c>
      <c r="J261" s="224"/>
      <c r="M261" s="224">
        <f t="shared" si="15"/>
        <v>425321.27542092057</v>
      </c>
      <c r="N261" s="224">
        <f t="shared" si="16"/>
        <v>-0.11396456810572175</v>
      </c>
      <c r="O261" s="224">
        <f t="shared" si="17"/>
        <v>0.21964389948881902</v>
      </c>
      <c r="Q261" s="224"/>
      <c r="R261" s="224"/>
      <c r="S261" s="429"/>
      <c r="Z261" s="362"/>
      <c r="AA261" s="421"/>
      <c r="AB261" s="362"/>
      <c r="AC261" s="362"/>
      <c r="AD261" s="362"/>
      <c r="AE261" s="362"/>
      <c r="AF261" s="362"/>
      <c r="AG261" s="362"/>
      <c r="AH261" s="362"/>
      <c r="AI261" s="393"/>
      <c r="AJ261" s="393"/>
      <c r="AK261" s="362"/>
      <c r="AL261" s="362"/>
      <c r="AM261" s="362"/>
      <c r="AN261" s="362"/>
      <c r="AO261" s="362"/>
      <c r="AP261" s="362"/>
      <c r="AQ261" s="362"/>
      <c r="AR261" s="362"/>
    </row>
    <row r="262" spans="1:44" ht="12.75" customHeight="1" x14ac:dyDescent="0.15">
      <c r="A262" s="431"/>
      <c r="B262" s="393"/>
      <c r="C262" s="428"/>
      <c r="D262" s="428">
        <v>625834.45279789809</v>
      </c>
      <c r="E262" s="224">
        <v>130892.50411861241</v>
      </c>
      <c r="F262" s="224">
        <v>4.3175165212008304</v>
      </c>
      <c r="G262" s="224">
        <v>4.1403325260431307</v>
      </c>
      <c r="H262" s="224">
        <v>2.822599042422028</v>
      </c>
      <c r="I262" s="224">
        <v>2.4223677802611623</v>
      </c>
      <c r="J262" s="224"/>
      <c r="M262" s="224">
        <f t="shared" si="15"/>
        <v>494941.94867928571</v>
      </c>
      <c r="N262" s="224">
        <f t="shared" si="16"/>
        <v>0.17718399515769967</v>
      </c>
      <c r="O262" s="224">
        <f t="shared" si="17"/>
        <v>0.40023126216086569</v>
      </c>
      <c r="Q262" s="224"/>
      <c r="R262" s="224"/>
      <c r="S262" s="429"/>
      <c r="Z262" s="362"/>
      <c r="AA262" s="421"/>
      <c r="AB262" s="362"/>
      <c r="AC262" s="362"/>
      <c r="AD262" s="362"/>
      <c r="AE262" s="362"/>
      <c r="AF262" s="362"/>
      <c r="AG262" s="362"/>
      <c r="AH262" s="362"/>
      <c r="AI262" s="393"/>
      <c r="AJ262" s="393"/>
      <c r="AK262" s="362"/>
      <c r="AL262" s="362"/>
      <c r="AM262" s="362"/>
      <c r="AN262" s="362"/>
      <c r="AO262" s="362"/>
      <c r="AP262" s="362"/>
      <c r="AQ262" s="362"/>
      <c r="AR262" s="362"/>
    </row>
    <row r="263" spans="1:44" ht="12.75" customHeight="1" x14ac:dyDescent="0.15">
      <c r="A263" s="431"/>
      <c r="B263" s="393"/>
      <c r="C263" s="428"/>
      <c r="D263" s="428">
        <v>621945.30872192897</v>
      </c>
      <c r="E263" s="224">
        <v>127896.06489543171</v>
      </c>
      <c r="F263" s="224">
        <v>4.5340870821379839</v>
      </c>
      <c r="G263" s="224">
        <v>3.326749561346066</v>
      </c>
      <c r="H263" s="224">
        <v>2.8262130998085624</v>
      </c>
      <c r="I263" s="224">
        <v>2.1145596866726541</v>
      </c>
      <c r="J263" s="224"/>
      <c r="M263" s="224">
        <f t="shared" si="15"/>
        <v>494049.24382649723</v>
      </c>
      <c r="N263" s="224">
        <f t="shared" si="16"/>
        <v>1.2073375207919179</v>
      </c>
      <c r="O263" s="224">
        <f t="shared" si="17"/>
        <v>0.71165341313590824</v>
      </c>
      <c r="Q263" s="224"/>
      <c r="R263" s="224"/>
      <c r="S263" s="429"/>
      <c r="Z263" s="362"/>
      <c r="AA263" s="421"/>
      <c r="AB263" s="362"/>
      <c r="AC263" s="362"/>
      <c r="AD263" s="362"/>
      <c r="AE263" s="362"/>
      <c r="AF263" s="362"/>
      <c r="AG263" s="362"/>
      <c r="AH263" s="362"/>
      <c r="AI263" s="393"/>
      <c r="AJ263" s="393"/>
      <c r="AK263" s="362"/>
      <c r="AL263" s="362"/>
      <c r="AM263" s="362"/>
      <c r="AN263" s="362"/>
      <c r="AO263" s="362"/>
      <c r="AP263" s="362"/>
      <c r="AQ263" s="362"/>
      <c r="AR263" s="362"/>
    </row>
    <row r="264" spans="1:44" ht="12.75" customHeight="1" x14ac:dyDescent="0.15">
      <c r="A264" s="431"/>
      <c r="B264" s="393"/>
      <c r="C264" s="428"/>
      <c r="D264" s="428">
        <v>610957.52980789484</v>
      </c>
      <c r="E264" s="224">
        <v>128118.59117212372</v>
      </c>
      <c r="F264" s="224">
        <v>4.2319578645896909</v>
      </c>
      <c r="G264" s="224">
        <v>3.7373829728282195</v>
      </c>
      <c r="H264" s="224">
        <v>2.6285916939061469</v>
      </c>
      <c r="I264" s="224">
        <v>2.0800665108855796</v>
      </c>
      <c r="J264" s="224"/>
      <c r="M264" s="224">
        <f t="shared" si="15"/>
        <v>482838.9386357711</v>
      </c>
      <c r="N264" s="224">
        <f t="shared" si="16"/>
        <v>0.4945748917614714</v>
      </c>
      <c r="O264" s="224">
        <f t="shared" si="17"/>
        <v>0.5485251830205673</v>
      </c>
      <c r="Q264" s="224"/>
      <c r="R264" s="224"/>
      <c r="S264" s="429"/>
      <c r="Z264" s="362"/>
      <c r="AA264" s="421"/>
      <c r="AB264" s="362"/>
      <c r="AC264" s="362"/>
      <c r="AD264" s="362"/>
      <c r="AE264" s="362"/>
      <c r="AF264" s="362"/>
      <c r="AG264" s="362"/>
      <c r="AH264" s="362"/>
      <c r="AI264" s="393"/>
      <c r="AJ264" s="393"/>
      <c r="AK264" s="362"/>
      <c r="AL264" s="362"/>
      <c r="AM264" s="362"/>
      <c r="AN264" s="362"/>
      <c r="AO264" s="362"/>
      <c r="AP264" s="362"/>
      <c r="AQ264" s="362"/>
      <c r="AR264" s="362"/>
    </row>
    <row r="265" spans="1:44" ht="12.75" customHeight="1" x14ac:dyDescent="0.15">
      <c r="A265" s="431"/>
      <c r="B265" s="393"/>
      <c r="C265" s="428"/>
      <c r="D265" s="428">
        <v>571331.31027050014</v>
      </c>
      <c r="E265" s="224">
        <v>166974.57087935068</v>
      </c>
      <c r="F265" s="224">
        <v>3.8496113476145344</v>
      </c>
      <c r="G265" s="224">
        <v>4.2892304972783002</v>
      </c>
      <c r="H265" s="224">
        <v>2.1464630536830471</v>
      </c>
      <c r="I265" s="224">
        <v>2.3040712664822092</v>
      </c>
      <c r="J265" s="224"/>
      <c r="M265" s="224">
        <f t="shared" si="15"/>
        <v>404356.73939114949</v>
      </c>
      <c r="N265" s="224">
        <f t="shared" si="16"/>
        <v>-0.43961914966376581</v>
      </c>
      <c r="O265" s="224">
        <f t="shared" si="17"/>
        <v>-0.15760821279916204</v>
      </c>
      <c r="Q265" s="224"/>
      <c r="R265" s="224"/>
      <c r="S265" s="429"/>
      <c r="Z265" s="362"/>
      <c r="AA265" s="421"/>
      <c r="AB265" s="362"/>
      <c r="AC265" s="362"/>
      <c r="AD265" s="362"/>
      <c r="AE265" s="362"/>
      <c r="AF265" s="362"/>
      <c r="AG265" s="362"/>
      <c r="AH265" s="362"/>
      <c r="AI265" s="393"/>
      <c r="AJ265" s="393"/>
      <c r="AK265" s="362"/>
      <c r="AL265" s="362"/>
      <c r="AM265" s="362"/>
      <c r="AN265" s="362"/>
      <c r="AO265" s="362"/>
      <c r="AP265" s="362"/>
      <c r="AQ265" s="362"/>
      <c r="AR265" s="362"/>
    </row>
    <row r="266" spans="1:44" ht="12.75" customHeight="1" x14ac:dyDescent="0.15">
      <c r="A266" s="431"/>
      <c r="B266" s="393"/>
      <c r="C266" s="428"/>
      <c r="D266" s="428">
        <v>609850.78223474207</v>
      </c>
      <c r="E266" s="224">
        <v>176061.2127701214</v>
      </c>
      <c r="F266" s="224">
        <v>4.464407367309895</v>
      </c>
      <c r="G266" s="224">
        <v>4.2181482223577733</v>
      </c>
      <c r="H266" s="224">
        <v>2.8313035765040184</v>
      </c>
      <c r="I266" s="224">
        <v>2.6996938481516133</v>
      </c>
      <c r="J266" s="224"/>
      <c r="M266" s="224">
        <f t="shared" si="15"/>
        <v>433789.56946462067</v>
      </c>
      <c r="N266" s="224">
        <f t="shared" si="16"/>
        <v>0.24625914495212164</v>
      </c>
      <c r="O266" s="224">
        <f t="shared" si="17"/>
        <v>0.13160972835240514</v>
      </c>
      <c r="Q266" s="224"/>
      <c r="R266" s="224"/>
      <c r="S266" s="429"/>
      <c r="Z266" s="362"/>
      <c r="AA266" s="421"/>
      <c r="AB266" s="362"/>
      <c r="AC266" s="362"/>
      <c r="AD266" s="362"/>
      <c r="AE266" s="362"/>
      <c r="AF266" s="362"/>
      <c r="AG266" s="362"/>
      <c r="AH266" s="362"/>
      <c r="AI266" s="393"/>
      <c r="AJ266" s="393"/>
      <c r="AK266" s="362"/>
      <c r="AL266" s="362"/>
      <c r="AM266" s="362"/>
      <c r="AN266" s="362"/>
      <c r="AO266" s="362"/>
      <c r="AP266" s="362"/>
      <c r="AQ266" s="362"/>
      <c r="AR266" s="362"/>
    </row>
    <row r="267" spans="1:44" ht="12.75" customHeight="1" x14ac:dyDescent="0.15">
      <c r="A267" s="431"/>
      <c r="B267" s="393"/>
      <c r="C267" s="428"/>
      <c r="D267" s="428">
        <v>509090.18992777326</v>
      </c>
      <c r="E267" s="224">
        <v>129477.01408430557</v>
      </c>
      <c r="F267" s="224">
        <v>4.2768863083357314</v>
      </c>
      <c r="G267" s="224">
        <v>4.0655235479375644</v>
      </c>
      <c r="H267" s="224">
        <v>2.3568939097538166</v>
      </c>
      <c r="I267" s="224">
        <v>2.033701958127609</v>
      </c>
      <c r="J267" s="224"/>
      <c r="M267" s="224">
        <f t="shared" si="15"/>
        <v>379613.1758434677</v>
      </c>
      <c r="N267" s="224">
        <f t="shared" si="16"/>
        <v>0.21136276039816693</v>
      </c>
      <c r="O267" s="224">
        <f t="shared" si="17"/>
        <v>0.32319195162620762</v>
      </c>
      <c r="Q267" s="224"/>
      <c r="R267" s="224"/>
      <c r="S267" s="429"/>
      <c r="Z267" s="362"/>
      <c r="AA267" s="421"/>
      <c r="AB267" s="362"/>
      <c r="AC267" s="362"/>
      <c r="AD267" s="362"/>
      <c r="AE267" s="362"/>
      <c r="AF267" s="362"/>
      <c r="AG267" s="362"/>
      <c r="AH267" s="362"/>
      <c r="AI267" s="393"/>
      <c r="AJ267" s="393"/>
      <c r="AK267" s="362"/>
      <c r="AL267" s="362"/>
      <c r="AM267" s="362"/>
      <c r="AN267" s="362"/>
      <c r="AO267" s="362"/>
      <c r="AP267" s="362"/>
      <c r="AQ267" s="362"/>
      <c r="AR267" s="362"/>
    </row>
    <row r="268" spans="1:44" ht="12.75" customHeight="1" x14ac:dyDescent="0.15">
      <c r="A268" s="431"/>
      <c r="B268" s="393"/>
      <c r="C268" s="428"/>
      <c r="D268" s="428">
        <v>599901.59639018506</v>
      </c>
      <c r="E268" s="224">
        <v>174166.09010134701</v>
      </c>
      <c r="F268" s="224">
        <v>4.2106062248473872</v>
      </c>
      <c r="G268" s="224">
        <v>4.5782390249441747</v>
      </c>
      <c r="H268" s="224">
        <v>2.7985665865567615</v>
      </c>
      <c r="I268" s="224">
        <v>2.8274287241815439</v>
      </c>
      <c r="J268" s="224"/>
      <c r="M268" s="224">
        <f t="shared" si="15"/>
        <v>425735.50628883805</v>
      </c>
      <c r="N268" s="224">
        <f t="shared" si="16"/>
        <v>-0.36763280009678745</v>
      </c>
      <c r="O268" s="224">
        <f t="shared" si="17"/>
        <v>-2.8862137624782402E-2</v>
      </c>
      <c r="Q268" s="224"/>
      <c r="R268" s="224"/>
      <c r="S268" s="429"/>
      <c r="Z268" s="362"/>
      <c r="AA268" s="421"/>
      <c r="AB268" s="362"/>
      <c r="AC268" s="362"/>
      <c r="AD268" s="362"/>
      <c r="AE268" s="362"/>
      <c r="AF268" s="362"/>
      <c r="AG268" s="362"/>
      <c r="AH268" s="362"/>
      <c r="AI268" s="393"/>
      <c r="AJ268" s="393"/>
      <c r="AK268" s="362"/>
      <c r="AL268" s="362"/>
      <c r="AM268" s="362"/>
      <c r="AN268" s="362"/>
      <c r="AO268" s="362"/>
      <c r="AP268" s="362"/>
      <c r="AQ268" s="362"/>
      <c r="AR268" s="362"/>
    </row>
    <row r="269" spans="1:44" ht="12.75" customHeight="1" x14ac:dyDescent="0.15">
      <c r="A269" s="431"/>
      <c r="B269" s="393"/>
      <c r="C269" s="428"/>
      <c r="D269" s="428">
        <v>544917.09009251767</v>
      </c>
      <c r="E269" s="224">
        <v>117570.34478598527</v>
      </c>
      <c r="F269" s="224">
        <v>4.1377674027734281</v>
      </c>
      <c r="G269" s="224">
        <v>3.9266178780873653</v>
      </c>
      <c r="H269" s="224">
        <v>2.400994494691219</v>
      </c>
      <c r="I269" s="224">
        <v>2.2034716388298823</v>
      </c>
      <c r="J269" s="224"/>
      <c r="M269" s="224">
        <f t="shared" si="15"/>
        <v>427346.74530653236</v>
      </c>
      <c r="N269" s="224">
        <f t="shared" si="16"/>
        <v>0.21114952468606285</v>
      </c>
      <c r="O269" s="224">
        <f t="shared" si="17"/>
        <v>0.19752285586133667</v>
      </c>
      <c r="Q269" s="224"/>
      <c r="R269" s="224"/>
      <c r="S269" s="429"/>
      <c r="Z269" s="362"/>
      <c r="AA269" s="421"/>
      <c r="AB269" s="362"/>
      <c r="AC269" s="362"/>
      <c r="AD269" s="362"/>
      <c r="AE269" s="362"/>
      <c r="AF269" s="362"/>
      <c r="AG269" s="362"/>
      <c r="AH269" s="362"/>
      <c r="AI269" s="393"/>
      <c r="AJ269" s="393"/>
      <c r="AK269" s="362"/>
      <c r="AL269" s="362"/>
      <c r="AM269" s="362"/>
      <c r="AN269" s="362"/>
      <c r="AO269" s="362"/>
      <c r="AP269" s="362"/>
      <c r="AQ269" s="362"/>
      <c r="AR269" s="362"/>
    </row>
    <row r="270" spans="1:44" ht="12.75" customHeight="1" x14ac:dyDescent="0.15">
      <c r="A270" s="431"/>
      <c r="B270" s="393"/>
      <c r="C270" s="428"/>
      <c r="D270" s="428">
        <v>624788.81406139745</v>
      </c>
      <c r="E270" s="224">
        <v>191745.67680877179</v>
      </c>
      <c r="F270" s="224">
        <v>4.323729921954147</v>
      </c>
      <c r="G270" s="224">
        <v>3.94553541968375</v>
      </c>
      <c r="H270" s="224">
        <v>2.7292967634757406</v>
      </c>
      <c r="I270" s="224">
        <v>2.242386798271288</v>
      </c>
      <c r="J270" s="224"/>
      <c r="M270" s="224">
        <f t="shared" si="15"/>
        <v>433043.13725262566</v>
      </c>
      <c r="N270" s="224">
        <f t="shared" si="16"/>
        <v>0.37819450227039697</v>
      </c>
      <c r="O270" s="224">
        <f t="shared" si="17"/>
        <v>0.48690996520445262</v>
      </c>
      <c r="Q270" s="224"/>
      <c r="R270" s="224"/>
      <c r="S270" s="429"/>
      <c r="Z270" s="362"/>
      <c r="AA270" s="421"/>
      <c r="AB270" s="362"/>
      <c r="AC270" s="362"/>
      <c r="AD270" s="362"/>
      <c r="AE270" s="362"/>
      <c r="AF270" s="362"/>
      <c r="AG270" s="362"/>
      <c r="AH270" s="362"/>
      <c r="AI270" s="393"/>
      <c r="AJ270" s="393"/>
      <c r="AK270" s="362"/>
      <c r="AL270" s="362"/>
      <c r="AM270" s="362"/>
      <c r="AN270" s="362"/>
      <c r="AO270" s="362"/>
      <c r="AP270" s="362"/>
      <c r="AQ270" s="362"/>
      <c r="AR270" s="362"/>
    </row>
    <row r="271" spans="1:44" ht="12.75" customHeight="1" x14ac:dyDescent="0.15">
      <c r="A271" s="431"/>
      <c r="B271" s="393"/>
      <c r="C271" s="428"/>
      <c r="D271" s="428">
        <v>517235.76327735023</v>
      </c>
      <c r="E271" s="224">
        <v>122005.25409771111</v>
      </c>
      <c r="F271" s="224">
        <v>4.5238449919778096</v>
      </c>
      <c r="G271" s="224">
        <v>4.0746295909213908</v>
      </c>
      <c r="H271" s="224">
        <v>2.8158171328522426</v>
      </c>
      <c r="I271" s="224">
        <v>2.5035825485988306</v>
      </c>
      <c r="J271" s="224"/>
      <c r="M271" s="224">
        <f t="shared" si="15"/>
        <v>395230.50917963911</v>
      </c>
      <c r="N271" s="224">
        <f t="shared" si="16"/>
        <v>0.44921540105641888</v>
      </c>
      <c r="O271" s="224">
        <f t="shared" si="17"/>
        <v>0.312234584253412</v>
      </c>
      <c r="Q271" s="224"/>
      <c r="R271" s="224"/>
      <c r="S271" s="429"/>
      <c r="Z271" s="362"/>
      <c r="AA271" s="421"/>
      <c r="AB271" s="362"/>
      <c r="AC271" s="362"/>
      <c r="AD271" s="362"/>
      <c r="AE271" s="362"/>
      <c r="AF271" s="362"/>
      <c r="AG271" s="362"/>
      <c r="AH271" s="362"/>
      <c r="AI271" s="393"/>
      <c r="AJ271" s="393"/>
      <c r="AK271" s="362"/>
      <c r="AL271" s="362"/>
      <c r="AM271" s="362"/>
      <c r="AN271" s="362"/>
      <c r="AO271" s="362"/>
      <c r="AP271" s="362"/>
      <c r="AQ271" s="362"/>
      <c r="AR271" s="362"/>
    </row>
    <row r="272" spans="1:44" ht="12.75" customHeight="1" x14ac:dyDescent="0.15">
      <c r="A272" s="431"/>
      <c r="B272" s="393"/>
      <c r="C272" s="428"/>
      <c r="D272" s="428">
        <v>534704.16828539118</v>
      </c>
      <c r="E272" s="224">
        <v>126799.19900153218</v>
      </c>
      <c r="F272" s="224">
        <v>4.0500553340857337</v>
      </c>
      <c r="G272" s="224">
        <v>3.7080111090513936</v>
      </c>
      <c r="H272" s="224">
        <v>2.3453529604972485</v>
      </c>
      <c r="I272" s="224">
        <v>1.9351820790947802</v>
      </c>
      <c r="J272" s="224"/>
      <c r="M272" s="224">
        <f t="shared" si="15"/>
        <v>407904.96928385901</v>
      </c>
      <c r="N272" s="224">
        <f t="shared" si="16"/>
        <v>0.34204422503434007</v>
      </c>
      <c r="O272" s="224">
        <f t="shared" si="17"/>
        <v>0.41017088140246827</v>
      </c>
      <c r="Q272" s="224"/>
      <c r="R272" s="224"/>
      <c r="S272" s="429"/>
      <c r="Z272" s="362"/>
      <c r="AA272" s="421"/>
      <c r="AB272" s="362"/>
      <c r="AC272" s="362"/>
      <c r="AD272" s="362"/>
      <c r="AE272" s="362"/>
      <c r="AF272" s="362"/>
      <c r="AG272" s="362"/>
      <c r="AH272" s="362"/>
      <c r="AI272" s="393"/>
      <c r="AJ272" s="393"/>
      <c r="AK272" s="362"/>
      <c r="AL272" s="362"/>
      <c r="AM272" s="362"/>
      <c r="AN272" s="362"/>
      <c r="AO272" s="362"/>
      <c r="AP272" s="362"/>
      <c r="AQ272" s="362"/>
      <c r="AR272" s="362"/>
    </row>
    <row r="273" spans="1:44" ht="12.75" customHeight="1" x14ac:dyDescent="0.15">
      <c r="A273" s="431"/>
      <c r="B273" s="393"/>
      <c r="C273" s="428"/>
      <c r="D273" s="428">
        <v>588898.31714568846</v>
      </c>
      <c r="E273" s="224">
        <v>140780.36953935935</v>
      </c>
      <c r="F273" s="224">
        <v>4.1393654946581027</v>
      </c>
      <c r="G273" s="224">
        <v>3.3875185935824748</v>
      </c>
      <c r="H273" s="224">
        <v>2.7869841707395882</v>
      </c>
      <c r="I273" s="224">
        <v>1.9495297819018478</v>
      </c>
      <c r="J273" s="224"/>
      <c r="M273" s="224">
        <f t="shared" si="15"/>
        <v>448117.94760632911</v>
      </c>
      <c r="N273" s="224">
        <f t="shared" si="16"/>
        <v>0.7518469010756279</v>
      </c>
      <c r="O273" s="224">
        <f t="shared" si="17"/>
        <v>0.83745438883774037</v>
      </c>
      <c r="Q273" s="224"/>
      <c r="R273" s="224"/>
      <c r="S273" s="429"/>
      <c r="Z273" s="362"/>
      <c r="AA273" s="421"/>
      <c r="AB273" s="362"/>
      <c r="AC273" s="362"/>
      <c r="AD273" s="362"/>
      <c r="AE273" s="362"/>
      <c r="AF273" s="362"/>
      <c r="AG273" s="362"/>
      <c r="AH273" s="362"/>
      <c r="AI273" s="393"/>
      <c r="AJ273" s="393"/>
      <c r="AK273" s="362"/>
      <c r="AL273" s="362"/>
      <c r="AM273" s="362"/>
      <c r="AN273" s="362"/>
      <c r="AO273" s="362"/>
      <c r="AP273" s="362"/>
      <c r="AQ273" s="362"/>
      <c r="AR273" s="362"/>
    </row>
    <row r="274" spans="1:44" ht="12.75" customHeight="1" x14ac:dyDescent="0.15">
      <c r="A274" s="431"/>
      <c r="B274" s="393"/>
      <c r="C274" s="428"/>
      <c r="D274" s="428">
        <v>503446.34197030513</v>
      </c>
      <c r="E274" s="224">
        <v>113013.52988330885</v>
      </c>
      <c r="F274" s="224">
        <v>5.0365944562575642</v>
      </c>
      <c r="G274" s="224">
        <v>3.5794015757583768</v>
      </c>
      <c r="H274" s="224">
        <v>2.7059460743887858</v>
      </c>
      <c r="I274" s="224">
        <v>1.9339326620687964</v>
      </c>
      <c r="J274" s="224"/>
      <c r="M274" s="224">
        <f t="shared" ref="M274:M337" si="18">+D274-E274</f>
        <v>390432.81208699627</v>
      </c>
      <c r="N274" s="224">
        <f t="shared" ref="N274:N337" si="19">+F274-G274</f>
        <v>1.4571928804991874</v>
      </c>
      <c r="O274" s="224">
        <f t="shared" ref="O274:O337" si="20">+H274-I274</f>
        <v>0.77201341231998932</v>
      </c>
      <c r="Q274" s="224"/>
      <c r="R274" s="224"/>
      <c r="S274" s="429"/>
      <c r="Z274" s="362"/>
      <c r="AA274" s="421"/>
      <c r="AB274" s="362"/>
      <c r="AC274" s="362"/>
      <c r="AD274" s="362"/>
      <c r="AE274" s="362"/>
      <c r="AF274" s="362"/>
      <c r="AG274" s="362"/>
      <c r="AH274" s="362"/>
      <c r="AI274" s="393"/>
      <c r="AJ274" s="393"/>
      <c r="AK274" s="362"/>
      <c r="AL274" s="362"/>
      <c r="AM274" s="362"/>
      <c r="AN274" s="362"/>
      <c r="AO274" s="362"/>
      <c r="AP274" s="362"/>
      <c r="AQ274" s="362"/>
      <c r="AR274" s="362"/>
    </row>
    <row r="275" spans="1:44" ht="12.75" customHeight="1" x14ac:dyDescent="0.15">
      <c r="A275" s="431"/>
      <c r="B275" s="393"/>
      <c r="C275" s="428"/>
      <c r="D275" s="428">
        <v>646378.307556357</v>
      </c>
      <c r="E275" s="224">
        <v>178231.0417323687</v>
      </c>
      <c r="F275" s="224">
        <v>4.2671841739737024</v>
      </c>
      <c r="G275" s="224">
        <v>3.4868078477977278</v>
      </c>
      <c r="H275" s="224">
        <v>2.5460243433542926</v>
      </c>
      <c r="I275" s="224">
        <v>1.8981923815208128</v>
      </c>
      <c r="J275" s="224"/>
      <c r="M275" s="224">
        <f t="shared" si="18"/>
        <v>468147.2658239883</v>
      </c>
      <c r="N275" s="224">
        <f t="shared" si="19"/>
        <v>0.78037632617597463</v>
      </c>
      <c r="O275" s="224">
        <f t="shared" si="20"/>
        <v>0.6478319618334798</v>
      </c>
      <c r="Q275" s="224"/>
      <c r="R275" s="224"/>
      <c r="S275" s="429"/>
      <c r="Z275" s="362"/>
      <c r="AA275" s="421"/>
      <c r="AB275" s="362"/>
      <c r="AC275" s="362"/>
      <c r="AD275" s="362"/>
      <c r="AE275" s="362"/>
      <c r="AF275" s="362"/>
      <c r="AG275" s="362"/>
      <c r="AH275" s="362"/>
      <c r="AI275" s="393"/>
      <c r="AJ275" s="393"/>
      <c r="AK275" s="362"/>
      <c r="AL275" s="362"/>
      <c r="AM275" s="362"/>
      <c r="AN275" s="362"/>
      <c r="AO275" s="362"/>
      <c r="AP275" s="362"/>
      <c r="AQ275" s="362"/>
      <c r="AR275" s="362"/>
    </row>
    <row r="276" spans="1:44" ht="12.75" customHeight="1" x14ac:dyDescent="0.15">
      <c r="A276" s="431"/>
      <c r="B276" s="393"/>
      <c r="C276" s="428"/>
      <c r="D276" s="428">
        <v>638442.67164129426</v>
      </c>
      <c r="E276" s="224">
        <v>157600.53512739317</v>
      </c>
      <c r="F276" s="224">
        <v>5.1501167813368935</v>
      </c>
      <c r="G276" s="224">
        <v>4.3633438670308706</v>
      </c>
      <c r="H276" s="224">
        <v>2.972787647890172</v>
      </c>
      <c r="I276" s="224">
        <v>2.4765772122833094</v>
      </c>
      <c r="J276" s="224"/>
      <c r="M276" s="224">
        <f t="shared" si="18"/>
        <v>480842.13651390106</v>
      </c>
      <c r="N276" s="224">
        <f t="shared" si="19"/>
        <v>0.78677291430602292</v>
      </c>
      <c r="O276" s="224">
        <f t="shared" si="20"/>
        <v>0.49621043560686262</v>
      </c>
      <c r="Q276" s="224"/>
      <c r="R276" s="224"/>
      <c r="S276" s="429"/>
      <c r="Z276" s="362"/>
      <c r="AA276" s="421"/>
      <c r="AB276" s="362"/>
      <c r="AC276" s="362"/>
      <c r="AD276" s="362"/>
      <c r="AE276" s="362"/>
      <c r="AF276" s="362"/>
      <c r="AG276" s="362"/>
      <c r="AH276" s="362"/>
      <c r="AI276" s="393"/>
      <c r="AJ276" s="393"/>
      <c r="AK276" s="362"/>
      <c r="AL276" s="362"/>
      <c r="AM276" s="362"/>
      <c r="AN276" s="362"/>
      <c r="AO276" s="362"/>
      <c r="AP276" s="362"/>
      <c r="AQ276" s="362"/>
      <c r="AR276" s="362"/>
    </row>
    <row r="277" spans="1:44" ht="12.75" customHeight="1" x14ac:dyDescent="0.15">
      <c r="A277" s="431"/>
      <c r="B277" s="393"/>
      <c r="C277" s="428"/>
      <c r="D277" s="428">
        <v>689543.08197263617</v>
      </c>
      <c r="E277" s="224">
        <v>128330.22700173061</v>
      </c>
      <c r="F277" s="224">
        <v>4.5562533977234336</v>
      </c>
      <c r="G277" s="224">
        <v>3.7784705718566451</v>
      </c>
      <c r="H277" s="224">
        <v>2.5941696979933555</v>
      </c>
      <c r="I277" s="224">
        <v>1.9441249443005253</v>
      </c>
      <c r="J277" s="224"/>
      <c r="M277" s="224">
        <f t="shared" si="18"/>
        <v>561212.85497090558</v>
      </c>
      <c r="N277" s="224">
        <f t="shared" si="19"/>
        <v>0.77778282586678849</v>
      </c>
      <c r="O277" s="224">
        <f t="shared" si="20"/>
        <v>0.65004475369283021</v>
      </c>
      <c r="Q277" s="224"/>
      <c r="R277" s="224"/>
      <c r="S277" s="429"/>
      <c r="Z277" s="362"/>
      <c r="AA277" s="421"/>
      <c r="AB277" s="362"/>
      <c r="AC277" s="362"/>
      <c r="AD277" s="362"/>
      <c r="AE277" s="362"/>
      <c r="AF277" s="362"/>
      <c r="AG277" s="362"/>
      <c r="AH277" s="362"/>
      <c r="AI277" s="393"/>
      <c r="AJ277" s="393"/>
      <c r="AK277" s="362"/>
      <c r="AL277" s="362"/>
      <c r="AM277" s="362"/>
      <c r="AN277" s="362"/>
      <c r="AO277" s="362"/>
      <c r="AP277" s="362"/>
      <c r="AQ277" s="362"/>
      <c r="AR277" s="362"/>
    </row>
    <row r="278" spans="1:44" ht="12.75" customHeight="1" x14ac:dyDescent="0.15">
      <c r="A278" s="431"/>
      <c r="B278" s="393"/>
      <c r="C278" s="428"/>
      <c r="D278" s="428">
        <v>570823.08281864109</v>
      </c>
      <c r="E278" s="224">
        <v>108227.37785865259</v>
      </c>
      <c r="F278" s="224">
        <v>3.9848191986073798</v>
      </c>
      <c r="G278" s="224">
        <v>4.0585757604911574</v>
      </c>
      <c r="H278" s="224">
        <v>2.6367868766445302</v>
      </c>
      <c r="I278" s="224">
        <v>2.4472927095359576</v>
      </c>
      <c r="J278" s="224"/>
      <c r="M278" s="224">
        <f t="shared" si="18"/>
        <v>462595.70495998848</v>
      </c>
      <c r="N278" s="224">
        <f t="shared" si="19"/>
        <v>-7.375656188377766E-2</v>
      </c>
      <c r="O278" s="224">
        <f t="shared" si="20"/>
        <v>0.18949416710857259</v>
      </c>
      <c r="Q278" s="224"/>
      <c r="R278" s="224"/>
      <c r="S278" s="429"/>
      <c r="Z278" s="362"/>
      <c r="AA278" s="421"/>
      <c r="AB278" s="362"/>
      <c r="AC278" s="362"/>
      <c r="AD278" s="362"/>
      <c r="AE278" s="362"/>
      <c r="AF278" s="362"/>
      <c r="AG278" s="362"/>
      <c r="AH278" s="362"/>
      <c r="AI278" s="393"/>
      <c r="AJ278" s="393"/>
      <c r="AK278" s="362"/>
      <c r="AL278" s="362"/>
      <c r="AM278" s="362"/>
      <c r="AN278" s="362"/>
      <c r="AO278" s="362"/>
      <c r="AP278" s="362"/>
      <c r="AQ278" s="362"/>
      <c r="AR278" s="362"/>
    </row>
    <row r="279" spans="1:44" ht="12.75" customHeight="1" x14ac:dyDescent="0.15">
      <c r="A279" s="431"/>
      <c r="B279" s="393"/>
      <c r="C279" s="428"/>
      <c r="D279" s="428">
        <v>511551.30530690495</v>
      </c>
      <c r="E279" s="224">
        <v>138523.76393791122</v>
      </c>
      <c r="F279" s="224">
        <v>4.4630347553496517</v>
      </c>
      <c r="G279" s="224">
        <v>4.2254895802960455</v>
      </c>
      <c r="H279" s="224">
        <v>2.480646719580359</v>
      </c>
      <c r="I279" s="224">
        <v>2.3471337180203835</v>
      </c>
      <c r="J279" s="224"/>
      <c r="M279" s="224">
        <f t="shared" si="18"/>
        <v>373027.5413689937</v>
      </c>
      <c r="N279" s="224">
        <f t="shared" si="19"/>
        <v>0.23754517505360617</v>
      </c>
      <c r="O279" s="224">
        <f t="shared" si="20"/>
        <v>0.13351300155997547</v>
      </c>
      <c r="Q279" s="224"/>
      <c r="R279" s="224"/>
      <c r="S279" s="429"/>
      <c r="Z279" s="362"/>
      <c r="AA279" s="421"/>
      <c r="AB279" s="362"/>
      <c r="AC279" s="362"/>
      <c r="AD279" s="362"/>
      <c r="AE279" s="362"/>
      <c r="AF279" s="362"/>
      <c r="AG279" s="362"/>
      <c r="AH279" s="362"/>
      <c r="AI279" s="393"/>
      <c r="AJ279" s="393"/>
      <c r="AK279" s="362"/>
      <c r="AL279" s="362"/>
      <c r="AM279" s="362"/>
      <c r="AN279" s="362"/>
      <c r="AO279" s="362"/>
      <c r="AP279" s="362"/>
      <c r="AQ279" s="362"/>
      <c r="AR279" s="362"/>
    </row>
    <row r="280" spans="1:44" ht="12.75" customHeight="1" x14ac:dyDescent="0.15">
      <c r="A280" s="431"/>
      <c r="B280" s="393"/>
      <c r="C280" s="428"/>
      <c r="D280" s="428">
        <v>609148.68478203402</v>
      </c>
      <c r="E280" s="224">
        <v>192584.45774676284</v>
      </c>
      <c r="F280" s="224">
        <v>4.049363632131711</v>
      </c>
      <c r="G280" s="224">
        <v>3.730360378636699</v>
      </c>
      <c r="H280" s="224">
        <v>2.5954025286268494</v>
      </c>
      <c r="I280" s="224">
        <v>2.1927387872183464</v>
      </c>
      <c r="J280" s="224"/>
      <c r="M280" s="224">
        <f t="shared" si="18"/>
        <v>416564.22703527118</v>
      </c>
      <c r="N280" s="224">
        <f t="shared" si="19"/>
        <v>0.31900325349501202</v>
      </c>
      <c r="O280" s="224">
        <f t="shared" si="20"/>
        <v>0.40266374140850303</v>
      </c>
      <c r="Q280" s="224"/>
      <c r="R280" s="224"/>
      <c r="S280" s="429"/>
      <c r="Z280" s="362"/>
      <c r="AA280" s="421"/>
      <c r="AB280" s="362"/>
      <c r="AC280" s="362"/>
      <c r="AD280" s="362"/>
      <c r="AE280" s="362"/>
      <c r="AF280" s="362"/>
      <c r="AG280" s="362"/>
      <c r="AH280" s="362"/>
      <c r="AI280" s="393"/>
      <c r="AJ280" s="393"/>
      <c r="AK280" s="362"/>
      <c r="AL280" s="362"/>
      <c r="AM280" s="362"/>
      <c r="AN280" s="362"/>
      <c r="AO280" s="362"/>
      <c r="AP280" s="362"/>
      <c r="AQ280" s="362"/>
      <c r="AR280" s="362"/>
    </row>
    <row r="281" spans="1:44" ht="12.75" customHeight="1" x14ac:dyDescent="0.15">
      <c r="A281" s="431"/>
      <c r="B281" s="393"/>
      <c r="C281" s="428"/>
      <c r="D281" s="428">
        <v>816965.84570653597</v>
      </c>
      <c r="E281" s="224">
        <v>231081.76527056249</v>
      </c>
      <c r="F281" s="224">
        <v>4.2156543569366152</v>
      </c>
      <c r="G281" s="224">
        <v>4.6695766781842556</v>
      </c>
      <c r="H281" s="224">
        <v>2.8470475760670682</v>
      </c>
      <c r="I281" s="224">
        <v>2.8145036522669904</v>
      </c>
      <c r="J281" s="224"/>
      <c r="M281" s="224">
        <f t="shared" si="18"/>
        <v>585884.08043597348</v>
      </c>
      <c r="N281" s="224">
        <f t="shared" si="19"/>
        <v>-0.45392232124764043</v>
      </c>
      <c r="O281" s="224">
        <f t="shared" si="20"/>
        <v>3.2543923800077756E-2</v>
      </c>
      <c r="Q281" s="224"/>
      <c r="R281" s="224"/>
      <c r="S281" s="429"/>
      <c r="Z281" s="362"/>
      <c r="AA281" s="421"/>
      <c r="AB281" s="362"/>
      <c r="AC281" s="362"/>
      <c r="AD281" s="362"/>
      <c r="AE281" s="362"/>
      <c r="AF281" s="362"/>
      <c r="AG281" s="362"/>
      <c r="AH281" s="362"/>
      <c r="AI281" s="393"/>
      <c r="AJ281" s="393"/>
      <c r="AK281" s="362"/>
      <c r="AL281" s="362"/>
      <c r="AM281" s="362"/>
      <c r="AN281" s="362"/>
      <c r="AO281" s="362"/>
      <c r="AP281" s="362"/>
      <c r="AQ281" s="362"/>
      <c r="AR281" s="362"/>
    </row>
    <row r="282" spans="1:44" ht="12.75" customHeight="1" x14ac:dyDescent="0.15">
      <c r="A282" s="431"/>
      <c r="B282" s="393"/>
      <c r="C282" s="428"/>
      <c r="D282" s="428">
        <v>472267.63511150685</v>
      </c>
      <c r="E282" s="224">
        <v>100200.19769356911</v>
      </c>
      <c r="F282" s="224">
        <v>4.4504366424894011</v>
      </c>
      <c r="G282" s="224">
        <v>4.1977703312904824</v>
      </c>
      <c r="H282" s="224">
        <v>2.437725708711806</v>
      </c>
      <c r="I282" s="224">
        <v>2.1833514913254053</v>
      </c>
      <c r="J282" s="224"/>
      <c r="M282" s="224">
        <f t="shared" si="18"/>
        <v>372067.43741793773</v>
      </c>
      <c r="N282" s="224">
        <f t="shared" si="19"/>
        <v>0.25266631119891869</v>
      </c>
      <c r="O282" s="224">
        <f t="shared" si="20"/>
        <v>0.25437421738640076</v>
      </c>
      <c r="Q282" s="224"/>
      <c r="R282" s="224"/>
      <c r="S282" s="429"/>
      <c r="Z282" s="362"/>
      <c r="AA282" s="421"/>
      <c r="AB282" s="362"/>
      <c r="AC282" s="362"/>
      <c r="AD282" s="362"/>
      <c r="AE282" s="362"/>
      <c r="AF282" s="362"/>
      <c r="AG282" s="362"/>
      <c r="AH282" s="362"/>
      <c r="AI282" s="393"/>
      <c r="AJ282" s="393"/>
      <c r="AK282" s="362"/>
      <c r="AL282" s="362"/>
      <c r="AM282" s="362"/>
      <c r="AN282" s="362"/>
      <c r="AO282" s="362"/>
      <c r="AP282" s="362"/>
      <c r="AQ282" s="362"/>
      <c r="AR282" s="362"/>
    </row>
    <row r="283" spans="1:44" ht="12.75" customHeight="1" x14ac:dyDescent="0.15">
      <c r="A283" s="431"/>
      <c r="B283" s="393"/>
      <c r="C283" s="428"/>
      <c r="D283" s="428">
        <v>612831.56613448996</v>
      </c>
      <c r="E283" s="224">
        <v>140919.9857427229</v>
      </c>
      <c r="F283" s="224">
        <v>4.2836106183280176</v>
      </c>
      <c r="G283" s="224">
        <v>4.6483457771459538</v>
      </c>
      <c r="H283" s="224">
        <v>2.618748795503417</v>
      </c>
      <c r="I283" s="224">
        <v>2.5333660502652839</v>
      </c>
      <c r="J283" s="224"/>
      <c r="M283" s="224">
        <f t="shared" si="18"/>
        <v>471911.58039176709</v>
      </c>
      <c r="N283" s="224">
        <f t="shared" si="19"/>
        <v>-0.36473515881793617</v>
      </c>
      <c r="O283" s="224">
        <f t="shared" si="20"/>
        <v>8.5382745238133051E-2</v>
      </c>
      <c r="Q283" s="224"/>
      <c r="R283" s="224"/>
      <c r="S283" s="429"/>
      <c r="Z283" s="362"/>
      <c r="AA283" s="421"/>
      <c r="AB283" s="362"/>
      <c r="AC283" s="362"/>
      <c r="AD283" s="362"/>
      <c r="AE283" s="362"/>
      <c r="AF283" s="362"/>
      <c r="AG283" s="362"/>
      <c r="AH283" s="362"/>
      <c r="AI283" s="393"/>
      <c r="AJ283" s="393"/>
      <c r="AK283" s="362"/>
      <c r="AL283" s="362"/>
      <c r="AM283" s="362"/>
      <c r="AN283" s="362"/>
      <c r="AO283" s="362"/>
      <c r="AP283" s="362"/>
      <c r="AQ283" s="362"/>
      <c r="AR283" s="362"/>
    </row>
    <row r="284" spans="1:44" ht="12.75" customHeight="1" x14ac:dyDescent="0.15">
      <c r="A284" s="431"/>
      <c r="B284" s="393"/>
      <c r="C284" s="428"/>
      <c r="D284" s="428">
        <v>569467.40271731326</v>
      </c>
      <c r="E284" s="224">
        <v>147479.76956704599</v>
      </c>
      <c r="F284" s="224">
        <v>4.6768053728319918</v>
      </c>
      <c r="G284" s="224">
        <v>3.6296527185120202</v>
      </c>
      <c r="H284" s="224">
        <v>2.5407134578258663</v>
      </c>
      <c r="I284" s="224">
        <v>1.8991294495454154</v>
      </c>
      <c r="J284" s="224"/>
      <c r="M284" s="224">
        <f t="shared" si="18"/>
        <v>421987.6331502673</v>
      </c>
      <c r="N284" s="224">
        <f t="shared" si="19"/>
        <v>1.0471526543199716</v>
      </c>
      <c r="O284" s="224">
        <f t="shared" si="20"/>
        <v>0.64158400828045092</v>
      </c>
      <c r="Q284" s="224"/>
      <c r="R284" s="224"/>
      <c r="S284" s="429"/>
      <c r="Z284" s="362"/>
      <c r="AA284" s="421"/>
      <c r="AB284" s="362"/>
      <c r="AC284" s="362"/>
      <c r="AD284" s="362"/>
      <c r="AE284" s="362"/>
      <c r="AF284" s="362"/>
      <c r="AG284" s="362"/>
      <c r="AH284" s="362"/>
      <c r="AI284" s="393"/>
      <c r="AJ284" s="393"/>
      <c r="AK284" s="362"/>
      <c r="AL284" s="362"/>
      <c r="AM284" s="362"/>
      <c r="AN284" s="362"/>
      <c r="AO284" s="362"/>
      <c r="AP284" s="362"/>
      <c r="AQ284" s="362"/>
      <c r="AR284" s="362"/>
    </row>
    <row r="285" spans="1:44" ht="12.75" customHeight="1" x14ac:dyDescent="0.15">
      <c r="A285" s="431"/>
      <c r="B285" s="393"/>
      <c r="C285" s="428"/>
      <c r="D285" s="428">
        <v>656068.13628961879</v>
      </c>
      <c r="E285" s="224">
        <v>177642.96681304657</v>
      </c>
      <c r="F285" s="224">
        <v>4.4804792926129364</v>
      </c>
      <c r="G285" s="224">
        <v>3.745587576801634</v>
      </c>
      <c r="H285" s="224">
        <v>2.4857675986311514</v>
      </c>
      <c r="I285" s="224">
        <v>1.979962211890449</v>
      </c>
      <c r="J285" s="224"/>
      <c r="M285" s="224">
        <f t="shared" si="18"/>
        <v>478425.16947657219</v>
      </c>
      <c r="N285" s="224">
        <f t="shared" si="19"/>
        <v>0.73489171581130242</v>
      </c>
      <c r="O285" s="224">
        <f t="shared" si="20"/>
        <v>0.50580538674070241</v>
      </c>
      <c r="Q285" s="224"/>
      <c r="R285" s="224"/>
      <c r="S285" s="429"/>
      <c r="Z285" s="362"/>
      <c r="AA285" s="421"/>
      <c r="AB285" s="362"/>
      <c r="AC285" s="362"/>
      <c r="AD285" s="362"/>
      <c r="AE285" s="362"/>
      <c r="AF285" s="362"/>
      <c r="AG285" s="362"/>
      <c r="AH285" s="362"/>
      <c r="AI285" s="393"/>
      <c r="AJ285" s="393"/>
      <c r="AK285" s="362"/>
      <c r="AL285" s="362"/>
      <c r="AM285" s="362"/>
      <c r="AN285" s="362"/>
      <c r="AO285" s="362"/>
      <c r="AP285" s="362"/>
      <c r="AQ285" s="362"/>
      <c r="AR285" s="362"/>
    </row>
    <row r="286" spans="1:44" ht="12.75" customHeight="1" x14ac:dyDescent="0.15">
      <c r="A286" s="431"/>
      <c r="B286" s="393"/>
      <c r="C286" s="428"/>
      <c r="D286" s="428">
        <v>679509.36884621624</v>
      </c>
      <c r="E286" s="224">
        <v>181592.45287055086</v>
      </c>
      <c r="F286" s="224">
        <v>4.6225194808148391</v>
      </c>
      <c r="G286" s="224">
        <v>4.7665125474790555</v>
      </c>
      <c r="H286" s="224">
        <v>2.6173547395077232</v>
      </c>
      <c r="I286" s="224">
        <v>2.4637661998568894</v>
      </c>
      <c r="J286" s="224"/>
      <c r="M286" s="224">
        <f t="shared" si="18"/>
        <v>497916.91597566538</v>
      </c>
      <c r="N286" s="224">
        <f t="shared" si="19"/>
        <v>-0.14399306666421641</v>
      </c>
      <c r="O286" s="224">
        <f t="shared" si="20"/>
        <v>0.15358853965083386</v>
      </c>
      <c r="Q286" s="224"/>
      <c r="R286" s="224"/>
      <c r="S286" s="429"/>
      <c r="Z286" s="362"/>
      <c r="AA286" s="421"/>
      <c r="AB286" s="362"/>
      <c r="AC286" s="362"/>
      <c r="AD286" s="362"/>
      <c r="AE286" s="362"/>
      <c r="AF286" s="362"/>
      <c r="AG286" s="362"/>
      <c r="AH286" s="362"/>
      <c r="AI286" s="393"/>
      <c r="AJ286" s="393"/>
      <c r="AK286" s="362"/>
      <c r="AL286" s="362"/>
      <c r="AM286" s="362"/>
      <c r="AN286" s="362"/>
      <c r="AO286" s="362"/>
      <c r="AP286" s="362"/>
      <c r="AQ286" s="362"/>
      <c r="AR286" s="362"/>
    </row>
    <row r="287" spans="1:44" ht="12.75" customHeight="1" x14ac:dyDescent="0.15">
      <c r="A287" s="431"/>
      <c r="B287" s="393"/>
      <c r="C287" s="428"/>
      <c r="D287" s="428">
        <v>470291.04729758378</v>
      </c>
      <c r="E287" s="224">
        <v>105002.4250444771</v>
      </c>
      <c r="F287" s="224">
        <v>4.2992173414201353</v>
      </c>
      <c r="G287" s="224">
        <v>3.732024239339645</v>
      </c>
      <c r="H287" s="224">
        <v>2.2973080039682032</v>
      </c>
      <c r="I287" s="224">
        <v>1.9935380561544929</v>
      </c>
      <c r="J287" s="224"/>
      <c r="M287" s="224">
        <f t="shared" si="18"/>
        <v>365288.62225310667</v>
      </c>
      <c r="N287" s="224">
        <f t="shared" si="19"/>
        <v>0.56719310208049034</v>
      </c>
      <c r="O287" s="224">
        <f t="shared" si="20"/>
        <v>0.30376994781371036</v>
      </c>
      <c r="Q287" s="224"/>
      <c r="R287" s="224"/>
      <c r="S287" s="429"/>
      <c r="Z287" s="362"/>
      <c r="AA287" s="421"/>
      <c r="AB287" s="362"/>
      <c r="AC287" s="362"/>
      <c r="AD287" s="362"/>
      <c r="AE287" s="362"/>
      <c r="AF287" s="362"/>
      <c r="AG287" s="362"/>
      <c r="AH287" s="362"/>
      <c r="AI287" s="393"/>
      <c r="AJ287" s="393"/>
      <c r="AK287" s="362"/>
      <c r="AL287" s="362"/>
      <c r="AM287" s="362"/>
      <c r="AN287" s="362"/>
      <c r="AO287" s="362"/>
      <c r="AP287" s="362"/>
      <c r="AQ287" s="362"/>
      <c r="AR287" s="362"/>
    </row>
    <row r="288" spans="1:44" ht="12.75" customHeight="1" x14ac:dyDescent="0.15">
      <c r="A288" s="431"/>
      <c r="B288" s="393"/>
      <c r="C288" s="428"/>
      <c r="D288" s="428">
        <v>587426.60496308689</v>
      </c>
      <c r="E288" s="224">
        <v>143504.64688910032</v>
      </c>
      <c r="F288" s="224">
        <v>4.4781855155026111</v>
      </c>
      <c r="G288" s="224">
        <v>4.0848185575061748</v>
      </c>
      <c r="H288" s="224">
        <v>3.054021427813105</v>
      </c>
      <c r="I288" s="224">
        <v>2.4829834136516089</v>
      </c>
      <c r="J288" s="224"/>
      <c r="M288" s="224">
        <f t="shared" si="18"/>
        <v>443921.95807398658</v>
      </c>
      <c r="N288" s="224">
        <f t="shared" si="19"/>
        <v>0.39336695799643628</v>
      </c>
      <c r="O288" s="224">
        <f t="shared" si="20"/>
        <v>0.57103801416149613</v>
      </c>
      <c r="Q288" s="224"/>
      <c r="R288" s="224"/>
      <c r="S288" s="429"/>
      <c r="Z288" s="362"/>
      <c r="AA288" s="421"/>
      <c r="AB288" s="362"/>
      <c r="AC288" s="362"/>
      <c r="AD288" s="362"/>
      <c r="AE288" s="362"/>
      <c r="AF288" s="362"/>
      <c r="AG288" s="362"/>
      <c r="AH288" s="362"/>
      <c r="AI288" s="393"/>
      <c r="AJ288" s="393"/>
      <c r="AK288" s="362"/>
      <c r="AL288" s="362"/>
      <c r="AM288" s="362"/>
      <c r="AN288" s="362"/>
      <c r="AO288" s="362"/>
      <c r="AP288" s="362"/>
      <c r="AQ288" s="362"/>
      <c r="AR288" s="362"/>
    </row>
    <row r="289" spans="1:44" ht="12.75" customHeight="1" x14ac:dyDescent="0.15">
      <c r="A289" s="431"/>
      <c r="B289" s="393"/>
      <c r="C289" s="428"/>
      <c r="D289" s="428">
        <v>629384.22675741278</v>
      </c>
      <c r="E289" s="224">
        <v>174286.31911666406</v>
      </c>
      <c r="F289" s="224">
        <v>4.3068503435086249</v>
      </c>
      <c r="G289" s="224">
        <v>3.3173991371301539</v>
      </c>
      <c r="H289" s="224">
        <v>2.6340125097279037</v>
      </c>
      <c r="I289" s="224">
        <v>2.0834451553432962</v>
      </c>
      <c r="J289" s="224"/>
      <c r="M289" s="224">
        <f t="shared" si="18"/>
        <v>455097.90764074872</v>
      </c>
      <c r="N289" s="224">
        <f t="shared" si="19"/>
        <v>0.98945120637847106</v>
      </c>
      <c r="O289" s="224">
        <f t="shared" si="20"/>
        <v>0.55056735438460747</v>
      </c>
      <c r="Q289" s="224"/>
      <c r="R289" s="224"/>
      <c r="S289" s="429"/>
      <c r="Z289" s="362"/>
      <c r="AA289" s="421"/>
      <c r="AB289" s="362"/>
      <c r="AC289" s="362"/>
      <c r="AD289" s="362"/>
      <c r="AE289" s="362"/>
      <c r="AF289" s="362"/>
      <c r="AG289" s="362"/>
      <c r="AH289" s="362"/>
      <c r="AI289" s="393"/>
      <c r="AJ289" s="393"/>
      <c r="AK289" s="362"/>
      <c r="AL289" s="362"/>
      <c r="AM289" s="362"/>
      <c r="AN289" s="362"/>
      <c r="AO289" s="362"/>
      <c r="AP289" s="362"/>
      <c r="AQ289" s="362"/>
      <c r="AR289" s="362"/>
    </row>
    <row r="290" spans="1:44" ht="12.75" customHeight="1" x14ac:dyDescent="0.15">
      <c r="A290" s="431"/>
      <c r="B290" s="393"/>
      <c r="C290" s="428"/>
      <c r="D290" s="428">
        <v>575470.04711866425</v>
      </c>
      <c r="E290" s="224">
        <v>89941.757259871316</v>
      </c>
      <c r="F290" s="224">
        <v>3.7776427903115737</v>
      </c>
      <c r="G290" s="224">
        <v>3.5559567205217681</v>
      </c>
      <c r="H290" s="224">
        <v>2.2172648846252905</v>
      </c>
      <c r="I290" s="224">
        <v>1.8230551443597665</v>
      </c>
      <c r="J290" s="224"/>
      <c r="M290" s="224">
        <f t="shared" si="18"/>
        <v>485528.28985879291</v>
      </c>
      <c r="N290" s="224">
        <f t="shared" si="19"/>
        <v>0.22168606978980554</v>
      </c>
      <c r="O290" s="224">
        <f t="shared" si="20"/>
        <v>0.39420974026552402</v>
      </c>
      <c r="Q290" s="224"/>
      <c r="R290" s="224"/>
      <c r="S290" s="429"/>
      <c r="Z290" s="362"/>
      <c r="AA290" s="421"/>
      <c r="AB290" s="362"/>
      <c r="AC290" s="362"/>
      <c r="AD290" s="362"/>
      <c r="AE290" s="362"/>
      <c r="AF290" s="362"/>
      <c r="AG290" s="362"/>
      <c r="AH290" s="362"/>
      <c r="AI290" s="393"/>
      <c r="AJ290" s="393"/>
      <c r="AK290" s="362"/>
      <c r="AL290" s="362"/>
      <c r="AM290" s="362"/>
      <c r="AN290" s="362"/>
      <c r="AO290" s="362"/>
      <c r="AP290" s="362"/>
      <c r="AQ290" s="362"/>
      <c r="AR290" s="362"/>
    </row>
    <row r="291" spans="1:44" ht="12.75" customHeight="1" x14ac:dyDescent="0.15">
      <c r="A291" s="431"/>
      <c r="B291" s="393"/>
      <c r="C291" s="428"/>
      <c r="D291" s="428">
        <v>574487.19773387839</v>
      </c>
      <c r="E291" s="224">
        <v>135976.38225064348</v>
      </c>
      <c r="F291" s="224">
        <v>4.0787052079015833</v>
      </c>
      <c r="G291" s="224">
        <v>4.290223405053573</v>
      </c>
      <c r="H291" s="224">
        <v>2.3416201036756346</v>
      </c>
      <c r="I291" s="224">
        <v>2.3215068011539466</v>
      </c>
      <c r="J291" s="224"/>
      <c r="M291" s="224">
        <f t="shared" si="18"/>
        <v>438510.81548323494</v>
      </c>
      <c r="N291" s="224">
        <f t="shared" si="19"/>
        <v>-0.21151819715198972</v>
      </c>
      <c r="O291" s="224">
        <f t="shared" si="20"/>
        <v>2.011330252168797E-2</v>
      </c>
      <c r="Q291" s="224"/>
      <c r="R291" s="224"/>
      <c r="S291" s="429"/>
      <c r="Z291" s="362"/>
      <c r="AA291" s="421"/>
      <c r="AB291" s="362"/>
      <c r="AC291" s="362"/>
      <c r="AD291" s="362"/>
      <c r="AE291" s="362"/>
      <c r="AF291" s="362"/>
      <c r="AG291" s="362"/>
      <c r="AH291" s="362"/>
      <c r="AI291" s="393"/>
      <c r="AJ291" s="393"/>
      <c r="AK291" s="362"/>
      <c r="AL291" s="362"/>
      <c r="AM291" s="362"/>
      <c r="AN291" s="362"/>
      <c r="AO291" s="362"/>
      <c r="AP291" s="362"/>
      <c r="AQ291" s="362"/>
      <c r="AR291" s="362"/>
    </row>
    <row r="292" spans="1:44" ht="12.75" customHeight="1" x14ac:dyDescent="0.15">
      <c r="A292" s="431"/>
      <c r="B292" s="393"/>
      <c r="C292" s="428"/>
      <c r="D292" s="428">
        <v>545017.90588665497</v>
      </c>
      <c r="E292" s="224">
        <v>139011.8401858891</v>
      </c>
      <c r="F292" s="224">
        <v>3.842041383103886</v>
      </c>
      <c r="G292" s="224">
        <v>4.0536599376128546</v>
      </c>
      <c r="H292" s="224">
        <v>2.2123890800263055</v>
      </c>
      <c r="I292" s="224">
        <v>2.3127771138102764</v>
      </c>
      <c r="J292" s="224"/>
      <c r="M292" s="224">
        <f t="shared" si="18"/>
        <v>406006.06570076587</v>
      </c>
      <c r="N292" s="224">
        <f t="shared" si="19"/>
        <v>-0.2116185545089686</v>
      </c>
      <c r="O292" s="224">
        <f t="shared" si="20"/>
        <v>-0.10038803378397088</v>
      </c>
      <c r="Q292" s="224"/>
      <c r="R292" s="224"/>
      <c r="S292" s="429"/>
      <c r="Z292" s="362"/>
      <c r="AA292" s="421"/>
      <c r="AB292" s="362"/>
      <c r="AC292" s="362"/>
      <c r="AD292" s="362"/>
      <c r="AE292" s="362"/>
      <c r="AF292" s="362"/>
      <c r="AG292" s="362"/>
      <c r="AH292" s="362"/>
      <c r="AI292" s="393"/>
      <c r="AJ292" s="393"/>
      <c r="AK292" s="362"/>
      <c r="AL292" s="362"/>
      <c r="AM292" s="362"/>
      <c r="AN292" s="362"/>
      <c r="AO292" s="362"/>
      <c r="AP292" s="362"/>
      <c r="AQ292" s="362"/>
      <c r="AR292" s="362"/>
    </row>
    <row r="293" spans="1:44" ht="12.75" customHeight="1" x14ac:dyDescent="0.15">
      <c r="A293" s="431"/>
      <c r="B293" s="393"/>
      <c r="C293" s="428"/>
      <c r="D293" s="428">
        <v>577139.90022232896</v>
      </c>
      <c r="E293" s="224">
        <v>169393.94188580773</v>
      </c>
      <c r="F293" s="224">
        <v>5.0545099621632348</v>
      </c>
      <c r="G293" s="224">
        <v>4.0242973228141787</v>
      </c>
      <c r="H293" s="224">
        <v>2.3535641062365276</v>
      </c>
      <c r="I293" s="224">
        <v>1.8875937671090268</v>
      </c>
      <c r="J293" s="224"/>
      <c r="M293" s="224">
        <f t="shared" si="18"/>
        <v>407745.95833652123</v>
      </c>
      <c r="N293" s="224">
        <f t="shared" si="19"/>
        <v>1.030212639349056</v>
      </c>
      <c r="O293" s="224">
        <f t="shared" si="20"/>
        <v>0.46597033912750074</v>
      </c>
      <c r="Q293" s="224"/>
      <c r="R293" s="224"/>
      <c r="S293" s="429"/>
      <c r="Z293" s="362"/>
      <c r="AA293" s="421"/>
      <c r="AB293" s="362"/>
      <c r="AC293" s="362"/>
      <c r="AD293" s="362"/>
      <c r="AE293" s="362"/>
      <c r="AF293" s="362"/>
      <c r="AG293" s="362"/>
      <c r="AH293" s="362"/>
      <c r="AI293" s="393"/>
      <c r="AJ293" s="393"/>
      <c r="AK293" s="362"/>
      <c r="AL293" s="362"/>
      <c r="AM293" s="362"/>
      <c r="AN293" s="362"/>
      <c r="AO293" s="362"/>
      <c r="AP293" s="362"/>
      <c r="AQ293" s="362"/>
      <c r="AR293" s="362"/>
    </row>
    <row r="294" spans="1:44" ht="12.75" customHeight="1" x14ac:dyDescent="0.15">
      <c r="A294" s="431"/>
      <c r="B294" s="393"/>
      <c r="C294" s="428"/>
      <c r="D294" s="428">
        <v>546772.0051070234</v>
      </c>
      <c r="E294" s="224">
        <v>155729.56040157791</v>
      </c>
      <c r="F294" s="224">
        <v>4.4792086704282781</v>
      </c>
      <c r="G294" s="224">
        <v>3.5962524534763958</v>
      </c>
      <c r="H294" s="224">
        <v>2.5488984655167664</v>
      </c>
      <c r="I294" s="224">
        <v>1.89035910437509</v>
      </c>
      <c r="J294" s="224"/>
      <c r="M294" s="224">
        <f t="shared" si="18"/>
        <v>391042.44470544549</v>
      </c>
      <c r="N294" s="224">
        <f t="shared" si="19"/>
        <v>0.88295621695188231</v>
      </c>
      <c r="O294" s="224">
        <f t="shared" si="20"/>
        <v>0.65853936114167633</v>
      </c>
      <c r="Q294" s="224"/>
      <c r="R294" s="224"/>
      <c r="S294" s="429"/>
      <c r="Z294" s="362"/>
      <c r="AA294" s="421"/>
      <c r="AB294" s="362"/>
      <c r="AC294" s="362"/>
      <c r="AD294" s="362"/>
      <c r="AE294" s="362"/>
      <c r="AF294" s="362"/>
      <c r="AG294" s="362"/>
      <c r="AH294" s="362"/>
      <c r="AI294" s="393"/>
      <c r="AJ294" s="393"/>
      <c r="AK294" s="362"/>
      <c r="AL294" s="362"/>
      <c r="AM294" s="362"/>
      <c r="AN294" s="362"/>
      <c r="AO294" s="362"/>
      <c r="AP294" s="362"/>
      <c r="AQ294" s="362"/>
      <c r="AR294" s="362"/>
    </row>
    <row r="295" spans="1:44" ht="12.75" customHeight="1" x14ac:dyDescent="0.15">
      <c r="A295" s="431"/>
      <c r="B295" s="393"/>
      <c r="C295" s="428"/>
      <c r="D295" s="428">
        <v>704711.37013588496</v>
      </c>
      <c r="E295" s="224">
        <v>224332.37321504205</v>
      </c>
      <c r="F295" s="224">
        <v>4.365902615209901</v>
      </c>
      <c r="G295" s="224">
        <v>3.8488424168301596</v>
      </c>
      <c r="H295" s="224">
        <v>2.5241345269166686</v>
      </c>
      <c r="I295" s="224">
        <v>2.0578887010265192</v>
      </c>
      <c r="J295" s="224"/>
      <c r="M295" s="224">
        <f t="shared" si="18"/>
        <v>480378.99692084291</v>
      </c>
      <c r="N295" s="224">
        <f t="shared" si="19"/>
        <v>0.51706019837974138</v>
      </c>
      <c r="O295" s="224">
        <f t="shared" si="20"/>
        <v>0.4662458258901494</v>
      </c>
      <c r="Q295" s="224"/>
      <c r="R295" s="224"/>
      <c r="S295" s="429"/>
      <c r="Z295" s="362"/>
      <c r="AA295" s="421"/>
      <c r="AB295" s="362"/>
      <c r="AC295" s="362"/>
      <c r="AD295" s="362"/>
      <c r="AE295" s="362"/>
      <c r="AF295" s="362"/>
      <c r="AG295" s="362"/>
      <c r="AH295" s="362"/>
      <c r="AI295" s="393"/>
      <c r="AJ295" s="393"/>
      <c r="AK295" s="362"/>
      <c r="AL295" s="362"/>
      <c r="AM295" s="362"/>
      <c r="AN295" s="362"/>
      <c r="AO295" s="362"/>
      <c r="AP295" s="362"/>
      <c r="AQ295" s="362"/>
      <c r="AR295" s="362"/>
    </row>
    <row r="296" spans="1:44" ht="12.75" customHeight="1" x14ac:dyDescent="0.15">
      <c r="A296" s="431"/>
      <c r="B296" s="393"/>
      <c r="C296" s="428"/>
      <c r="D296" s="428">
        <v>637903.4834927097</v>
      </c>
      <c r="E296" s="224">
        <v>149725.45379608555</v>
      </c>
      <c r="F296" s="224">
        <v>4.0746967452248413</v>
      </c>
      <c r="G296" s="224">
        <v>3.8244221076797391</v>
      </c>
      <c r="H296" s="224">
        <v>2.6463889808763703</v>
      </c>
      <c r="I296" s="224">
        <v>2.0295395206898239</v>
      </c>
      <c r="J296" s="224"/>
      <c r="M296" s="224">
        <f t="shared" si="18"/>
        <v>488178.02969662414</v>
      </c>
      <c r="N296" s="224">
        <f t="shared" si="19"/>
        <v>0.25027463754510215</v>
      </c>
      <c r="O296" s="224">
        <f t="shared" si="20"/>
        <v>0.61684946018654641</v>
      </c>
      <c r="Q296" s="224"/>
      <c r="R296" s="224"/>
      <c r="S296" s="429"/>
      <c r="Z296" s="362"/>
      <c r="AA296" s="421"/>
      <c r="AB296" s="362"/>
      <c r="AC296" s="362"/>
      <c r="AD296" s="362"/>
      <c r="AE296" s="362"/>
      <c r="AF296" s="362"/>
      <c r="AG296" s="362"/>
      <c r="AH296" s="362"/>
      <c r="AI296" s="393"/>
      <c r="AJ296" s="393"/>
      <c r="AK296" s="362"/>
      <c r="AL296" s="362"/>
      <c r="AM296" s="362"/>
      <c r="AN296" s="362"/>
      <c r="AO296" s="362"/>
      <c r="AP296" s="362"/>
      <c r="AQ296" s="362"/>
      <c r="AR296" s="362"/>
    </row>
    <row r="297" spans="1:44" ht="12.75" customHeight="1" x14ac:dyDescent="0.15">
      <c r="A297" s="431"/>
      <c r="B297" s="393"/>
      <c r="C297" s="428"/>
      <c r="D297" s="428">
        <v>618303.20182513935</v>
      </c>
      <c r="E297" s="224">
        <v>155510.11802881214</v>
      </c>
      <c r="F297" s="224">
        <v>4.6982203546591803</v>
      </c>
      <c r="G297" s="224">
        <v>4.1845072150705933</v>
      </c>
      <c r="H297" s="224">
        <v>2.2237387732337099</v>
      </c>
      <c r="I297" s="224">
        <v>1.8328208559106582</v>
      </c>
      <c r="J297" s="224"/>
      <c r="M297" s="224">
        <f t="shared" si="18"/>
        <v>462793.08379632724</v>
      </c>
      <c r="N297" s="224">
        <f t="shared" si="19"/>
        <v>0.513713139588587</v>
      </c>
      <c r="O297" s="224">
        <f t="shared" si="20"/>
        <v>0.3909179173230517</v>
      </c>
      <c r="Q297" s="224"/>
      <c r="R297" s="224"/>
      <c r="S297" s="429"/>
      <c r="Z297" s="362"/>
      <c r="AA297" s="421"/>
      <c r="AB297" s="362"/>
      <c r="AC297" s="362"/>
      <c r="AD297" s="362"/>
      <c r="AE297" s="362"/>
      <c r="AF297" s="362"/>
      <c r="AG297" s="362"/>
      <c r="AH297" s="362"/>
      <c r="AI297" s="393"/>
      <c r="AJ297" s="393"/>
      <c r="AK297" s="362"/>
      <c r="AL297" s="362"/>
      <c r="AM297" s="362"/>
      <c r="AN297" s="362"/>
      <c r="AO297" s="362"/>
      <c r="AP297" s="362"/>
      <c r="AQ297" s="362"/>
      <c r="AR297" s="362"/>
    </row>
    <row r="298" spans="1:44" ht="12.75" customHeight="1" x14ac:dyDescent="0.15">
      <c r="A298" s="431"/>
      <c r="B298" s="393"/>
      <c r="C298" s="428"/>
      <c r="D298" s="428">
        <v>532913.34424828738</v>
      </c>
      <c r="E298" s="224">
        <v>119453.6771030544</v>
      </c>
      <c r="F298" s="224">
        <v>4.5370835169163604</v>
      </c>
      <c r="G298" s="224">
        <v>3.9586854734428476</v>
      </c>
      <c r="H298" s="224">
        <v>2.6222495518526294</v>
      </c>
      <c r="I298" s="224">
        <v>2.3083502423372821</v>
      </c>
      <c r="J298" s="224"/>
      <c r="M298" s="224">
        <f t="shared" si="18"/>
        <v>413459.66714523296</v>
      </c>
      <c r="N298" s="224">
        <f t="shared" si="19"/>
        <v>0.57839804347351276</v>
      </c>
      <c r="O298" s="224">
        <f t="shared" si="20"/>
        <v>0.31389930951534728</v>
      </c>
      <c r="Q298" s="224"/>
      <c r="R298" s="224"/>
      <c r="S298" s="429"/>
      <c r="Z298" s="362"/>
      <c r="AA298" s="421"/>
      <c r="AB298" s="362"/>
      <c r="AC298" s="362"/>
      <c r="AD298" s="362"/>
      <c r="AE298" s="362"/>
      <c r="AF298" s="362"/>
      <c r="AG298" s="362"/>
      <c r="AH298" s="362"/>
      <c r="AI298" s="393"/>
      <c r="AJ298" s="393"/>
      <c r="AK298" s="362"/>
      <c r="AL298" s="362"/>
      <c r="AM298" s="362"/>
      <c r="AN298" s="362"/>
      <c r="AO298" s="362"/>
      <c r="AP298" s="362"/>
      <c r="AQ298" s="362"/>
      <c r="AR298" s="362"/>
    </row>
    <row r="299" spans="1:44" ht="12.75" customHeight="1" x14ac:dyDescent="0.15">
      <c r="A299" s="431"/>
      <c r="B299" s="393"/>
      <c r="C299" s="428"/>
      <c r="D299" s="428">
        <v>560455.58146324696</v>
      </c>
      <c r="E299" s="224">
        <v>131575.21506264812</v>
      </c>
      <c r="F299" s="224">
        <v>4.7413619806931848</v>
      </c>
      <c r="G299" s="224">
        <v>4.504979883590587</v>
      </c>
      <c r="H299" s="224">
        <v>2.7425168460688729</v>
      </c>
      <c r="I299" s="224">
        <v>2.4128834298157891</v>
      </c>
      <c r="J299" s="224"/>
      <c r="M299" s="224">
        <f t="shared" si="18"/>
        <v>428880.36640059884</v>
      </c>
      <c r="N299" s="224">
        <f t="shared" si="19"/>
        <v>0.23638209710259783</v>
      </c>
      <c r="O299" s="224">
        <f t="shared" si="20"/>
        <v>0.32963341625308384</v>
      </c>
      <c r="Q299" s="224"/>
      <c r="R299" s="224"/>
      <c r="S299" s="429"/>
      <c r="Z299" s="362"/>
      <c r="AA299" s="421"/>
      <c r="AB299" s="362"/>
      <c r="AC299" s="362"/>
      <c r="AD299" s="362"/>
      <c r="AE299" s="362"/>
      <c r="AF299" s="362"/>
      <c r="AG299" s="362"/>
      <c r="AH299" s="362"/>
      <c r="AI299" s="393"/>
      <c r="AJ299" s="393"/>
      <c r="AK299" s="362"/>
      <c r="AL299" s="362"/>
      <c r="AM299" s="362"/>
      <c r="AN299" s="362"/>
      <c r="AO299" s="362"/>
      <c r="AP299" s="362"/>
      <c r="AQ299" s="362"/>
      <c r="AR299" s="362"/>
    </row>
    <row r="300" spans="1:44" ht="12.75" customHeight="1" x14ac:dyDescent="0.15">
      <c r="A300" s="431"/>
      <c r="B300" s="393"/>
      <c r="C300" s="428"/>
      <c r="D300" s="428">
        <v>705802.7846876136</v>
      </c>
      <c r="E300" s="224">
        <v>181625.68948305747</v>
      </c>
      <c r="F300" s="224">
        <v>4.537948152487373</v>
      </c>
      <c r="G300" s="224">
        <v>3.6358406531738212</v>
      </c>
      <c r="H300" s="224">
        <v>2.6183129571423778</v>
      </c>
      <c r="I300" s="224">
        <v>1.8540346062432456</v>
      </c>
      <c r="J300" s="224"/>
      <c r="M300" s="224">
        <f t="shared" si="18"/>
        <v>524177.09520455613</v>
      </c>
      <c r="N300" s="224">
        <f t="shared" si="19"/>
        <v>0.90210749931355183</v>
      </c>
      <c r="O300" s="224">
        <f t="shared" si="20"/>
        <v>0.76427835089913221</v>
      </c>
      <c r="Q300" s="224"/>
      <c r="R300" s="224"/>
      <c r="S300" s="429"/>
      <c r="Z300" s="362"/>
      <c r="AA300" s="421"/>
      <c r="AB300" s="362"/>
      <c r="AC300" s="362"/>
      <c r="AD300" s="362"/>
      <c r="AE300" s="362"/>
      <c r="AF300" s="362"/>
      <c r="AG300" s="362"/>
      <c r="AH300" s="362"/>
      <c r="AI300" s="393"/>
      <c r="AJ300" s="393"/>
      <c r="AK300" s="362"/>
      <c r="AL300" s="362"/>
      <c r="AM300" s="362"/>
      <c r="AN300" s="362"/>
      <c r="AO300" s="362"/>
      <c r="AP300" s="362"/>
      <c r="AQ300" s="362"/>
      <c r="AR300" s="362"/>
    </row>
    <row r="301" spans="1:44" ht="12.75" customHeight="1" x14ac:dyDescent="0.15">
      <c r="A301" s="431"/>
      <c r="B301" s="393"/>
      <c r="C301" s="428"/>
      <c r="D301" s="428">
        <v>700691.13114266063</v>
      </c>
      <c r="E301" s="224">
        <v>144400.33171689278</v>
      </c>
      <c r="F301" s="224">
        <v>4.0893137194278619</v>
      </c>
      <c r="G301" s="224">
        <v>3.9550336259235301</v>
      </c>
      <c r="H301" s="224">
        <v>2.54722436150294</v>
      </c>
      <c r="I301" s="224">
        <v>2.2825632567374461</v>
      </c>
      <c r="J301" s="224"/>
      <c r="M301" s="224">
        <f t="shared" si="18"/>
        <v>556290.79942576785</v>
      </c>
      <c r="N301" s="224">
        <f t="shared" si="19"/>
        <v>0.13428009350433179</v>
      </c>
      <c r="O301" s="224">
        <f t="shared" si="20"/>
        <v>0.26466110476549387</v>
      </c>
      <c r="Q301" s="224"/>
      <c r="R301" s="224"/>
      <c r="S301" s="429"/>
      <c r="Z301" s="362"/>
      <c r="AA301" s="421"/>
      <c r="AB301" s="362"/>
      <c r="AC301" s="362"/>
      <c r="AD301" s="362"/>
      <c r="AE301" s="362"/>
      <c r="AF301" s="362"/>
      <c r="AG301" s="362"/>
      <c r="AH301" s="362"/>
      <c r="AI301" s="393"/>
      <c r="AJ301" s="393"/>
      <c r="AK301" s="362"/>
      <c r="AL301" s="362"/>
      <c r="AM301" s="362"/>
      <c r="AN301" s="362"/>
      <c r="AO301" s="362"/>
      <c r="AP301" s="362"/>
      <c r="AQ301" s="362"/>
      <c r="AR301" s="362"/>
    </row>
    <row r="302" spans="1:44" ht="12.75" customHeight="1" x14ac:dyDescent="0.15">
      <c r="A302" s="431"/>
      <c r="B302" s="393"/>
      <c r="C302" s="428"/>
      <c r="D302" s="428">
        <v>574075.89225092973</v>
      </c>
      <c r="E302" s="224">
        <v>133396.36389050461</v>
      </c>
      <c r="F302" s="224">
        <v>4.7915511169093827</v>
      </c>
      <c r="G302" s="224">
        <v>3.2663494740257115</v>
      </c>
      <c r="H302" s="224">
        <v>2.5651075943261508</v>
      </c>
      <c r="I302" s="224">
        <v>1.7742554536825283</v>
      </c>
      <c r="J302" s="224"/>
      <c r="M302" s="224">
        <f t="shared" si="18"/>
        <v>440679.52836042515</v>
      </c>
      <c r="N302" s="224">
        <f t="shared" si="19"/>
        <v>1.5252016428836712</v>
      </c>
      <c r="O302" s="224">
        <f t="shared" si="20"/>
        <v>0.79085214064362241</v>
      </c>
      <c r="Q302" s="224"/>
      <c r="R302" s="224"/>
      <c r="S302" s="429"/>
      <c r="Z302" s="362"/>
      <c r="AA302" s="421"/>
      <c r="AB302" s="362"/>
      <c r="AC302" s="362"/>
      <c r="AD302" s="362"/>
      <c r="AE302" s="362"/>
      <c r="AF302" s="362"/>
      <c r="AG302" s="362"/>
      <c r="AH302" s="362"/>
      <c r="AI302" s="393"/>
      <c r="AJ302" s="393"/>
      <c r="AK302" s="362"/>
      <c r="AL302" s="362"/>
      <c r="AM302" s="362"/>
      <c r="AN302" s="362"/>
      <c r="AO302" s="362"/>
      <c r="AP302" s="362"/>
      <c r="AQ302" s="362"/>
      <c r="AR302" s="362"/>
    </row>
    <row r="303" spans="1:44" ht="12.75" customHeight="1" x14ac:dyDescent="0.15">
      <c r="A303" s="431"/>
      <c r="B303" s="393"/>
      <c r="C303" s="428"/>
      <c r="D303" s="428">
        <v>592253.4857982262</v>
      </c>
      <c r="E303" s="224">
        <v>206175.71897223225</v>
      </c>
      <c r="F303" s="224">
        <v>3.9012667315113556</v>
      </c>
      <c r="G303" s="224">
        <v>4.6801958335754392</v>
      </c>
      <c r="H303" s="224">
        <v>2.6001646847356521</v>
      </c>
      <c r="I303" s="224">
        <v>2.551125909054571</v>
      </c>
      <c r="J303" s="224"/>
      <c r="M303" s="224">
        <f t="shared" si="18"/>
        <v>386077.76682599395</v>
      </c>
      <c r="N303" s="224">
        <f t="shared" si="19"/>
        <v>-0.77892910206408361</v>
      </c>
      <c r="O303" s="224">
        <f t="shared" si="20"/>
        <v>4.9038775681081059E-2</v>
      </c>
      <c r="Q303" s="224"/>
      <c r="R303" s="224"/>
      <c r="S303" s="429"/>
      <c r="Z303" s="362"/>
      <c r="AA303" s="421"/>
      <c r="AB303" s="362"/>
      <c r="AC303" s="362"/>
      <c r="AD303" s="362"/>
      <c r="AE303" s="362"/>
      <c r="AF303" s="362"/>
      <c r="AG303" s="362"/>
      <c r="AH303" s="362"/>
      <c r="AI303" s="393"/>
      <c r="AJ303" s="393"/>
      <c r="AK303" s="362"/>
      <c r="AL303" s="362"/>
      <c r="AM303" s="362"/>
      <c r="AN303" s="362"/>
      <c r="AO303" s="362"/>
      <c r="AP303" s="362"/>
      <c r="AQ303" s="362"/>
      <c r="AR303" s="362"/>
    </row>
    <row r="304" spans="1:44" ht="12.75" customHeight="1" x14ac:dyDescent="0.15">
      <c r="A304" s="431"/>
      <c r="B304" s="393"/>
      <c r="C304" s="428"/>
      <c r="D304" s="428">
        <v>706556.08641392528</v>
      </c>
      <c r="E304" s="224">
        <v>162740.3991631362</v>
      </c>
      <c r="F304" s="224">
        <v>4.4801814484019067</v>
      </c>
      <c r="G304" s="224">
        <v>4.1830971918563042</v>
      </c>
      <c r="H304" s="224">
        <v>2.9655547234274504</v>
      </c>
      <c r="I304" s="224">
        <v>2.3212981884329285</v>
      </c>
      <c r="J304" s="224"/>
      <c r="M304" s="224">
        <f t="shared" si="18"/>
        <v>543815.68725078902</v>
      </c>
      <c r="N304" s="224">
        <f t="shared" si="19"/>
        <v>0.29708425654560244</v>
      </c>
      <c r="O304" s="224">
        <f t="shared" si="20"/>
        <v>0.64425653499452196</v>
      </c>
      <c r="Q304" s="224"/>
      <c r="R304" s="224"/>
      <c r="S304" s="429"/>
      <c r="Z304" s="362"/>
      <c r="AA304" s="421"/>
      <c r="AB304" s="362"/>
      <c r="AC304" s="362"/>
      <c r="AD304" s="362"/>
      <c r="AE304" s="362"/>
      <c r="AF304" s="362"/>
      <c r="AG304" s="362"/>
      <c r="AH304" s="362"/>
      <c r="AI304" s="393"/>
      <c r="AJ304" s="393"/>
      <c r="AK304" s="362"/>
      <c r="AL304" s="362"/>
      <c r="AM304" s="362"/>
      <c r="AN304" s="362"/>
      <c r="AO304" s="362"/>
      <c r="AP304" s="362"/>
      <c r="AQ304" s="362"/>
      <c r="AR304" s="362"/>
    </row>
    <row r="305" spans="1:44" ht="12.75" customHeight="1" x14ac:dyDescent="0.15">
      <c r="A305" s="431"/>
      <c r="B305" s="393"/>
      <c r="C305" s="428"/>
      <c r="D305" s="428">
        <v>702518.51834720175</v>
      </c>
      <c r="E305" s="224">
        <v>190027.10559289803</v>
      </c>
      <c r="F305" s="224">
        <v>3.9674487890652581</v>
      </c>
      <c r="G305" s="224">
        <v>3.704162035072974</v>
      </c>
      <c r="H305" s="224">
        <v>2.6771134388122588</v>
      </c>
      <c r="I305" s="224">
        <v>2.2850795297556754</v>
      </c>
      <c r="J305" s="224"/>
      <c r="M305" s="224">
        <f t="shared" si="18"/>
        <v>512491.41275430372</v>
      </c>
      <c r="N305" s="224">
        <f t="shared" si="19"/>
        <v>0.26328675399228407</v>
      </c>
      <c r="O305" s="224">
        <f t="shared" si="20"/>
        <v>0.39203390905658342</v>
      </c>
      <c r="Q305" s="224"/>
      <c r="R305" s="224"/>
      <c r="S305" s="429"/>
      <c r="Z305" s="362"/>
      <c r="AA305" s="421"/>
      <c r="AB305" s="362"/>
      <c r="AC305" s="362"/>
      <c r="AD305" s="362"/>
      <c r="AE305" s="362"/>
      <c r="AF305" s="362"/>
      <c r="AG305" s="362"/>
      <c r="AH305" s="362"/>
      <c r="AI305" s="393"/>
      <c r="AJ305" s="393"/>
      <c r="AK305" s="362"/>
      <c r="AL305" s="362"/>
      <c r="AM305" s="362"/>
      <c r="AN305" s="362"/>
      <c r="AO305" s="362"/>
      <c r="AP305" s="362"/>
      <c r="AQ305" s="362"/>
      <c r="AR305" s="362"/>
    </row>
    <row r="306" spans="1:44" ht="12.75" customHeight="1" x14ac:dyDescent="0.15">
      <c r="A306" s="431"/>
      <c r="B306" s="393"/>
      <c r="C306" s="428"/>
      <c r="D306" s="428">
        <v>806980.08505325508</v>
      </c>
      <c r="E306" s="224">
        <v>157855.33397059643</v>
      </c>
      <c r="F306" s="224">
        <v>4.8588393261082015</v>
      </c>
      <c r="G306" s="224">
        <v>3.7433613526415637</v>
      </c>
      <c r="H306" s="224">
        <v>2.8567632199600785</v>
      </c>
      <c r="I306" s="224">
        <v>1.9770708894529219</v>
      </c>
      <c r="J306" s="224"/>
      <c r="M306" s="224">
        <f t="shared" si="18"/>
        <v>649124.75108265865</v>
      </c>
      <c r="N306" s="224">
        <f t="shared" si="19"/>
        <v>1.1154779734666378</v>
      </c>
      <c r="O306" s="224">
        <f t="shared" si="20"/>
        <v>0.87969233050715667</v>
      </c>
      <c r="Q306" s="224"/>
      <c r="R306" s="224"/>
      <c r="S306" s="429"/>
      <c r="Z306" s="362"/>
      <c r="AA306" s="421"/>
      <c r="AB306" s="362"/>
      <c r="AC306" s="362"/>
      <c r="AD306" s="362"/>
      <c r="AE306" s="362"/>
      <c r="AF306" s="362"/>
      <c r="AG306" s="362"/>
      <c r="AH306" s="362"/>
      <c r="AI306" s="393"/>
      <c r="AJ306" s="393"/>
      <c r="AK306" s="362"/>
      <c r="AL306" s="362"/>
      <c r="AM306" s="362"/>
      <c r="AN306" s="362"/>
      <c r="AO306" s="362"/>
      <c r="AP306" s="362"/>
      <c r="AQ306" s="362"/>
      <c r="AR306" s="362"/>
    </row>
    <row r="307" spans="1:44" ht="12.75" customHeight="1" x14ac:dyDescent="0.15">
      <c r="A307" s="431"/>
      <c r="B307" s="393"/>
      <c r="C307" s="428"/>
      <c r="D307" s="428">
        <v>573531.11033986171</v>
      </c>
      <c r="E307" s="224">
        <v>124275.95924908627</v>
      </c>
      <c r="F307" s="224">
        <v>3.8842228830001182</v>
      </c>
      <c r="G307" s="224">
        <v>3.8507718010876268</v>
      </c>
      <c r="H307" s="224">
        <v>2.2606770107096792</v>
      </c>
      <c r="I307" s="224">
        <v>1.9428918136178741</v>
      </c>
      <c r="J307" s="224"/>
      <c r="M307" s="224">
        <f t="shared" si="18"/>
        <v>449255.15109077544</v>
      </c>
      <c r="N307" s="224">
        <f t="shared" si="19"/>
        <v>3.3451081912491354E-2</v>
      </c>
      <c r="O307" s="224">
        <f t="shared" si="20"/>
        <v>0.31778519709180508</v>
      </c>
      <c r="Q307" s="224"/>
      <c r="R307" s="224"/>
      <c r="S307" s="429"/>
      <c r="Z307" s="362"/>
      <c r="AA307" s="421"/>
      <c r="AB307" s="362"/>
      <c r="AC307" s="362"/>
      <c r="AD307" s="362"/>
      <c r="AE307" s="362"/>
      <c r="AF307" s="362"/>
      <c r="AG307" s="362"/>
      <c r="AH307" s="362"/>
      <c r="AI307" s="393"/>
      <c r="AJ307" s="393"/>
      <c r="AK307" s="362"/>
      <c r="AL307" s="362"/>
      <c r="AM307" s="362"/>
      <c r="AN307" s="362"/>
      <c r="AO307" s="362"/>
      <c r="AP307" s="362"/>
      <c r="AQ307" s="362"/>
      <c r="AR307" s="362"/>
    </row>
    <row r="308" spans="1:44" ht="12.75" customHeight="1" x14ac:dyDescent="0.15">
      <c r="A308" s="431"/>
      <c r="B308" s="393"/>
      <c r="C308" s="428"/>
      <c r="D308" s="428">
        <v>607855.36782735854</v>
      </c>
      <c r="E308" s="224">
        <v>242532.15751507093</v>
      </c>
      <c r="F308" s="224">
        <v>4.1195893719815633</v>
      </c>
      <c r="G308" s="224">
        <v>3.9439159359009786</v>
      </c>
      <c r="H308" s="224">
        <v>2.3388089855636758</v>
      </c>
      <c r="I308" s="224">
        <v>2.1120172489684492</v>
      </c>
      <c r="J308" s="224"/>
      <c r="M308" s="224">
        <f t="shared" si="18"/>
        <v>365323.21031228761</v>
      </c>
      <c r="N308" s="224">
        <f t="shared" si="19"/>
        <v>0.17567343608058472</v>
      </c>
      <c r="O308" s="224">
        <f t="shared" si="20"/>
        <v>0.22679173659522656</v>
      </c>
      <c r="Q308" s="224"/>
      <c r="R308" s="224"/>
      <c r="S308" s="429"/>
      <c r="Z308" s="362"/>
      <c r="AA308" s="421"/>
      <c r="AB308" s="362"/>
      <c r="AC308" s="362"/>
      <c r="AD308" s="362"/>
      <c r="AE308" s="362"/>
      <c r="AF308" s="362"/>
      <c r="AG308" s="362"/>
      <c r="AH308" s="362"/>
      <c r="AI308" s="393"/>
      <c r="AJ308" s="393"/>
      <c r="AK308" s="362"/>
      <c r="AL308" s="362"/>
      <c r="AM308" s="362"/>
      <c r="AN308" s="362"/>
      <c r="AO308" s="362"/>
      <c r="AP308" s="362"/>
      <c r="AQ308" s="362"/>
      <c r="AR308" s="362"/>
    </row>
    <row r="309" spans="1:44" ht="12.75" customHeight="1" x14ac:dyDescent="0.15">
      <c r="A309" s="431"/>
      <c r="B309" s="393"/>
      <c r="C309" s="428"/>
      <c r="D309" s="428">
        <v>665123.53320325329</v>
      </c>
      <c r="E309" s="224">
        <v>191774.39444761543</v>
      </c>
      <c r="F309" s="224">
        <v>4.4006784410517685</v>
      </c>
      <c r="G309" s="224">
        <v>4.4251154772026524</v>
      </c>
      <c r="H309" s="224">
        <v>2.0489233452618536</v>
      </c>
      <c r="I309" s="224">
        <v>1.9646885773624578</v>
      </c>
      <c r="J309" s="224"/>
      <c r="M309" s="224">
        <f t="shared" si="18"/>
        <v>473349.13875563786</v>
      </c>
      <c r="N309" s="224">
        <f t="shared" si="19"/>
        <v>-2.4437036150883884E-2</v>
      </c>
      <c r="O309" s="224">
        <f t="shared" si="20"/>
        <v>8.4234767899395768E-2</v>
      </c>
      <c r="Q309" s="224"/>
      <c r="R309" s="224"/>
      <c r="S309" s="429"/>
      <c r="Z309" s="362"/>
      <c r="AA309" s="421"/>
      <c r="AB309" s="362"/>
      <c r="AC309" s="362"/>
      <c r="AD309" s="362"/>
      <c r="AE309" s="362"/>
      <c r="AF309" s="362"/>
      <c r="AG309" s="362"/>
      <c r="AH309" s="362"/>
      <c r="AI309" s="393"/>
      <c r="AJ309" s="393"/>
      <c r="AK309" s="362"/>
      <c r="AL309" s="362"/>
      <c r="AM309" s="362"/>
      <c r="AN309" s="362"/>
      <c r="AO309" s="362"/>
      <c r="AP309" s="362"/>
      <c r="AQ309" s="362"/>
      <c r="AR309" s="362"/>
    </row>
    <row r="310" spans="1:44" ht="12.75" customHeight="1" x14ac:dyDescent="0.15">
      <c r="A310" s="431"/>
      <c r="B310" s="393"/>
      <c r="C310" s="428"/>
      <c r="D310" s="428">
        <v>581886.53648900532</v>
      </c>
      <c r="E310" s="224">
        <v>93133.640597942314</v>
      </c>
      <c r="F310" s="224">
        <v>3.9557827092619697</v>
      </c>
      <c r="G310" s="224">
        <v>3.6300133639985144</v>
      </c>
      <c r="H310" s="224">
        <v>2.8896588396525509</v>
      </c>
      <c r="I310" s="224">
        <v>2.410175772835164</v>
      </c>
      <c r="J310" s="224"/>
      <c r="M310" s="224">
        <f t="shared" si="18"/>
        <v>488752.89589106303</v>
      </c>
      <c r="N310" s="224">
        <f t="shared" si="19"/>
        <v>0.32576934526345536</v>
      </c>
      <c r="O310" s="224">
        <f t="shared" si="20"/>
        <v>0.47948306681738684</v>
      </c>
      <c r="Q310" s="224"/>
      <c r="R310" s="224"/>
      <c r="S310" s="429"/>
      <c r="Z310" s="362"/>
      <c r="AA310" s="421"/>
      <c r="AB310" s="362"/>
      <c r="AC310" s="362"/>
      <c r="AD310" s="362"/>
      <c r="AE310" s="362"/>
      <c r="AF310" s="362"/>
      <c r="AG310" s="362"/>
      <c r="AH310" s="362"/>
      <c r="AI310" s="393"/>
      <c r="AJ310" s="393"/>
      <c r="AK310" s="362"/>
      <c r="AL310" s="362"/>
      <c r="AM310" s="362"/>
      <c r="AN310" s="362"/>
      <c r="AO310" s="362"/>
      <c r="AP310" s="362"/>
      <c r="AQ310" s="362"/>
      <c r="AR310" s="362"/>
    </row>
    <row r="311" spans="1:44" ht="12.75" customHeight="1" x14ac:dyDescent="0.15">
      <c r="A311" s="431"/>
      <c r="B311" s="393"/>
      <c r="C311" s="428"/>
      <c r="D311" s="428">
        <v>561522.20790452987</v>
      </c>
      <c r="E311" s="224">
        <v>116331.48868863047</v>
      </c>
      <c r="F311" s="224">
        <v>4.2473031861389501</v>
      </c>
      <c r="G311" s="224">
        <v>4.3064800411397304</v>
      </c>
      <c r="H311" s="224">
        <v>2.7366109033895309</v>
      </c>
      <c r="I311" s="224">
        <v>2.5280033198224774</v>
      </c>
      <c r="J311" s="224"/>
      <c r="M311" s="224">
        <f t="shared" si="18"/>
        <v>445190.71921589941</v>
      </c>
      <c r="N311" s="224">
        <f t="shared" si="19"/>
        <v>-5.9176855000780293E-2</v>
      </c>
      <c r="O311" s="224">
        <f t="shared" si="20"/>
        <v>0.20860758356705356</v>
      </c>
      <c r="Q311" s="224"/>
      <c r="R311" s="224"/>
      <c r="S311" s="429"/>
      <c r="Z311" s="362"/>
      <c r="AA311" s="421"/>
      <c r="AB311" s="362"/>
      <c r="AC311" s="362"/>
      <c r="AD311" s="362"/>
      <c r="AE311" s="362"/>
      <c r="AF311" s="362"/>
      <c r="AG311" s="362"/>
      <c r="AH311" s="362"/>
      <c r="AI311" s="393"/>
      <c r="AJ311" s="393"/>
      <c r="AK311" s="362"/>
      <c r="AL311" s="362"/>
      <c r="AM311" s="362"/>
      <c r="AN311" s="362"/>
      <c r="AO311" s="362"/>
      <c r="AP311" s="362"/>
      <c r="AQ311" s="362"/>
      <c r="AR311" s="362"/>
    </row>
    <row r="312" spans="1:44" ht="12.75" customHeight="1" x14ac:dyDescent="0.15">
      <c r="A312" s="431"/>
      <c r="B312" s="393"/>
      <c r="C312" s="428"/>
      <c r="D312" s="428">
        <v>556429.04569112277</v>
      </c>
      <c r="E312" s="224">
        <v>128511.6702127153</v>
      </c>
      <c r="F312" s="224">
        <v>4.6090841347347213</v>
      </c>
      <c r="G312" s="224">
        <v>3.7498223140753337</v>
      </c>
      <c r="H312" s="224">
        <v>2.5748633606853386</v>
      </c>
      <c r="I312" s="224">
        <v>2.0831514476954935</v>
      </c>
      <c r="J312" s="224"/>
      <c r="M312" s="224">
        <f t="shared" si="18"/>
        <v>427917.37547840748</v>
      </c>
      <c r="N312" s="224">
        <f t="shared" si="19"/>
        <v>0.85926182065938761</v>
      </c>
      <c r="O312" s="224">
        <f t="shared" si="20"/>
        <v>0.49171191298984507</v>
      </c>
      <c r="Q312" s="224"/>
      <c r="R312" s="224"/>
      <c r="S312" s="429"/>
      <c r="Z312" s="362"/>
      <c r="AA312" s="421"/>
      <c r="AB312" s="362"/>
      <c r="AC312" s="362"/>
      <c r="AD312" s="362"/>
      <c r="AE312" s="362"/>
      <c r="AF312" s="362"/>
      <c r="AG312" s="362"/>
      <c r="AH312" s="362"/>
      <c r="AI312" s="393"/>
      <c r="AJ312" s="393"/>
      <c r="AK312" s="362"/>
      <c r="AL312" s="362"/>
      <c r="AM312" s="362"/>
      <c r="AN312" s="362"/>
      <c r="AO312" s="362"/>
      <c r="AP312" s="362"/>
      <c r="AQ312" s="362"/>
      <c r="AR312" s="362"/>
    </row>
    <row r="313" spans="1:44" ht="12.75" customHeight="1" x14ac:dyDescent="0.15">
      <c r="A313" s="431"/>
      <c r="B313" s="393"/>
      <c r="C313" s="428"/>
      <c r="D313" s="428">
        <v>572636.50530225388</v>
      </c>
      <c r="E313" s="224">
        <v>106371.30266697682</v>
      </c>
      <c r="F313" s="224">
        <v>4.2843665920006462</v>
      </c>
      <c r="G313" s="224">
        <v>4.0639734855986447</v>
      </c>
      <c r="H313" s="224">
        <v>2.6083078145480831</v>
      </c>
      <c r="I313" s="224">
        <v>2.1974364398661805</v>
      </c>
      <c r="J313" s="224"/>
      <c r="M313" s="224">
        <f t="shared" si="18"/>
        <v>466265.20263527706</v>
      </c>
      <c r="N313" s="224">
        <f t="shared" si="19"/>
        <v>0.22039310640200149</v>
      </c>
      <c r="O313" s="224">
        <f t="shared" si="20"/>
        <v>0.4108713746819026</v>
      </c>
      <c r="Q313" s="224"/>
      <c r="R313" s="224"/>
      <c r="S313" s="429"/>
      <c r="Z313" s="362"/>
      <c r="AA313" s="421"/>
      <c r="AB313" s="362"/>
      <c r="AC313" s="362"/>
      <c r="AD313" s="362"/>
      <c r="AE313" s="362"/>
      <c r="AF313" s="362"/>
      <c r="AG313" s="362"/>
      <c r="AH313" s="362"/>
      <c r="AI313" s="393"/>
      <c r="AJ313" s="393"/>
      <c r="AK313" s="362"/>
      <c r="AL313" s="362"/>
      <c r="AM313" s="362"/>
      <c r="AN313" s="362"/>
      <c r="AO313" s="362"/>
      <c r="AP313" s="362"/>
      <c r="AQ313" s="362"/>
      <c r="AR313" s="362"/>
    </row>
    <row r="314" spans="1:44" ht="12.75" customHeight="1" x14ac:dyDescent="0.15">
      <c r="A314" s="431"/>
      <c r="B314" s="393"/>
      <c r="C314" s="428"/>
      <c r="D314" s="428">
        <v>668251.49012848758</v>
      </c>
      <c r="E314" s="224">
        <v>139122.17903297732</v>
      </c>
      <c r="F314" s="224">
        <v>3.9644307768084639</v>
      </c>
      <c r="G314" s="224">
        <v>3.7521231892039033</v>
      </c>
      <c r="H314" s="224">
        <v>2.526651185402768</v>
      </c>
      <c r="I314" s="224">
        <v>2.0037934019928465</v>
      </c>
      <c r="J314" s="224"/>
      <c r="M314" s="224">
        <f t="shared" si="18"/>
        <v>529129.31109551026</v>
      </c>
      <c r="N314" s="224">
        <f t="shared" si="19"/>
        <v>0.21230758760456059</v>
      </c>
      <c r="O314" s="224">
        <f t="shared" si="20"/>
        <v>0.52285778340992151</v>
      </c>
      <c r="Q314" s="224"/>
      <c r="R314" s="224"/>
      <c r="S314" s="429"/>
      <c r="Z314" s="362"/>
      <c r="AA314" s="421"/>
      <c r="AB314" s="362"/>
      <c r="AC314" s="362"/>
      <c r="AD314" s="362"/>
      <c r="AE314" s="362"/>
      <c r="AF314" s="362"/>
      <c r="AG314" s="362"/>
      <c r="AH314" s="362"/>
      <c r="AI314" s="393"/>
      <c r="AJ314" s="393"/>
      <c r="AK314" s="362"/>
      <c r="AL314" s="362"/>
      <c r="AM314" s="362"/>
      <c r="AN314" s="362"/>
      <c r="AO314" s="362"/>
      <c r="AP314" s="362"/>
      <c r="AQ314" s="362"/>
      <c r="AR314" s="362"/>
    </row>
    <row r="315" spans="1:44" ht="12.75" customHeight="1" x14ac:dyDescent="0.15">
      <c r="A315" s="431"/>
      <c r="B315" s="393"/>
      <c r="C315" s="428"/>
      <c r="D315" s="428">
        <v>592032.58536870801</v>
      </c>
      <c r="E315" s="224">
        <v>157632.29148414847</v>
      </c>
      <c r="F315" s="224">
        <v>4.509854631565239</v>
      </c>
      <c r="G315" s="224">
        <v>3.8302925589790195</v>
      </c>
      <c r="H315" s="224">
        <v>2.7798660966491027</v>
      </c>
      <c r="I315" s="224">
        <v>2.2714679511546185</v>
      </c>
      <c r="J315" s="224"/>
      <c r="M315" s="224">
        <f t="shared" si="18"/>
        <v>434400.29388455953</v>
      </c>
      <c r="N315" s="224">
        <f t="shared" si="19"/>
        <v>0.67956207258621948</v>
      </c>
      <c r="O315" s="224">
        <f t="shared" si="20"/>
        <v>0.50839814549448414</v>
      </c>
      <c r="Q315" s="224"/>
      <c r="R315" s="224"/>
      <c r="S315" s="429"/>
      <c r="Z315" s="362"/>
      <c r="AA315" s="421"/>
      <c r="AB315" s="362"/>
      <c r="AC315" s="362"/>
      <c r="AD315" s="362"/>
      <c r="AE315" s="362"/>
      <c r="AF315" s="362"/>
      <c r="AG315" s="362"/>
      <c r="AH315" s="362"/>
      <c r="AI315" s="393"/>
      <c r="AJ315" s="393"/>
      <c r="AK315" s="362"/>
      <c r="AL315" s="362"/>
      <c r="AM315" s="362"/>
      <c r="AN315" s="362"/>
      <c r="AO315" s="362"/>
      <c r="AP315" s="362"/>
      <c r="AQ315" s="362"/>
      <c r="AR315" s="362"/>
    </row>
    <row r="316" spans="1:44" ht="12.75" customHeight="1" x14ac:dyDescent="0.15">
      <c r="A316" s="431"/>
      <c r="B316" s="393"/>
      <c r="C316" s="428"/>
      <c r="D316" s="428">
        <v>595648.16289585026</v>
      </c>
      <c r="E316" s="224">
        <v>165495.03561613319</v>
      </c>
      <c r="F316" s="224">
        <v>4.2961425929448298</v>
      </c>
      <c r="G316" s="224">
        <v>4.4313303298385671</v>
      </c>
      <c r="H316" s="224">
        <v>2.7269905170160258</v>
      </c>
      <c r="I316" s="224">
        <v>2.6526007614838072</v>
      </c>
      <c r="J316" s="224"/>
      <c r="M316" s="224">
        <f t="shared" si="18"/>
        <v>430153.12727971707</v>
      </c>
      <c r="N316" s="224">
        <f t="shared" si="19"/>
        <v>-0.13518773689373731</v>
      </c>
      <c r="O316" s="224">
        <f t="shared" si="20"/>
        <v>7.4389755532218604E-2</v>
      </c>
      <c r="Q316" s="224"/>
      <c r="R316" s="224"/>
      <c r="S316" s="429"/>
      <c r="Z316" s="362"/>
      <c r="AA316" s="421"/>
      <c r="AB316" s="362"/>
      <c r="AC316" s="362"/>
      <c r="AD316" s="362"/>
      <c r="AE316" s="362"/>
      <c r="AF316" s="362"/>
      <c r="AG316" s="362"/>
      <c r="AH316" s="362"/>
      <c r="AI316" s="393"/>
      <c r="AJ316" s="393"/>
      <c r="AK316" s="362"/>
      <c r="AL316" s="362"/>
      <c r="AM316" s="362"/>
      <c r="AN316" s="362"/>
      <c r="AO316" s="362"/>
      <c r="AP316" s="362"/>
      <c r="AQ316" s="362"/>
      <c r="AR316" s="362"/>
    </row>
    <row r="317" spans="1:44" ht="12.75" customHeight="1" x14ac:dyDescent="0.15">
      <c r="A317" s="431"/>
      <c r="B317" s="393"/>
      <c r="C317" s="428"/>
      <c r="D317" s="428">
        <v>600541.90944510279</v>
      </c>
      <c r="E317" s="224">
        <v>116658.0867511594</v>
      </c>
      <c r="F317" s="224">
        <v>3.7737487268828809</v>
      </c>
      <c r="G317" s="224">
        <v>3.2900821981346544</v>
      </c>
      <c r="H317" s="224">
        <v>2.237335750887349</v>
      </c>
      <c r="I317" s="224">
        <v>1.8182832553701131</v>
      </c>
      <c r="J317" s="224"/>
      <c r="M317" s="224">
        <f t="shared" si="18"/>
        <v>483883.8226939434</v>
      </c>
      <c r="N317" s="224">
        <f t="shared" si="19"/>
        <v>0.48366652874822647</v>
      </c>
      <c r="O317" s="224">
        <f t="shared" si="20"/>
        <v>0.41905249551723589</v>
      </c>
      <c r="Q317" s="224"/>
      <c r="R317" s="224"/>
      <c r="S317" s="429"/>
      <c r="Z317" s="362"/>
      <c r="AA317" s="421"/>
      <c r="AB317" s="362"/>
      <c r="AC317" s="362"/>
      <c r="AD317" s="362"/>
      <c r="AE317" s="362"/>
      <c r="AF317" s="362"/>
      <c r="AG317" s="362"/>
      <c r="AH317" s="362"/>
      <c r="AI317" s="393"/>
      <c r="AJ317" s="393"/>
      <c r="AK317" s="362"/>
      <c r="AL317" s="362"/>
      <c r="AM317" s="362"/>
      <c r="AN317" s="362"/>
      <c r="AO317" s="362"/>
      <c r="AP317" s="362"/>
      <c r="AQ317" s="362"/>
      <c r="AR317" s="362"/>
    </row>
    <row r="318" spans="1:44" ht="12.75" customHeight="1" x14ac:dyDescent="0.15">
      <c r="A318" s="431"/>
      <c r="B318" s="393"/>
      <c r="C318" s="428"/>
      <c r="D318" s="428">
        <v>667452.36355441238</v>
      </c>
      <c r="E318" s="224">
        <v>151924.54927341751</v>
      </c>
      <c r="F318" s="224">
        <v>4.7194857465016584</v>
      </c>
      <c r="G318" s="224">
        <v>4.2345207915878555</v>
      </c>
      <c r="H318" s="224">
        <v>3.2824398883588342</v>
      </c>
      <c r="I318" s="224">
        <v>2.7511602498368308</v>
      </c>
      <c r="J318" s="224"/>
      <c r="M318" s="224">
        <f t="shared" si="18"/>
        <v>515527.81428099488</v>
      </c>
      <c r="N318" s="224">
        <f t="shared" si="19"/>
        <v>0.48496495491380287</v>
      </c>
      <c r="O318" s="224">
        <f t="shared" si="20"/>
        <v>0.53127963852200333</v>
      </c>
      <c r="Q318" s="224"/>
      <c r="R318" s="224"/>
      <c r="S318" s="429"/>
      <c r="Z318" s="362"/>
      <c r="AA318" s="421"/>
      <c r="AB318" s="362"/>
      <c r="AC318" s="362"/>
      <c r="AD318" s="362"/>
      <c r="AE318" s="362"/>
      <c r="AF318" s="362"/>
      <c r="AG318" s="362"/>
      <c r="AH318" s="362"/>
      <c r="AI318" s="393"/>
      <c r="AJ318" s="393"/>
      <c r="AK318" s="362"/>
      <c r="AL318" s="362"/>
      <c r="AM318" s="362"/>
      <c r="AN318" s="362"/>
      <c r="AO318" s="362"/>
      <c r="AP318" s="362"/>
      <c r="AQ318" s="362"/>
      <c r="AR318" s="362"/>
    </row>
    <row r="319" spans="1:44" ht="12.75" customHeight="1" x14ac:dyDescent="0.15">
      <c r="A319" s="431"/>
      <c r="B319" s="393"/>
      <c r="C319" s="428"/>
      <c r="D319" s="428">
        <v>576803.93728035118</v>
      </c>
      <c r="E319" s="224">
        <v>117224.2067306299</v>
      </c>
      <c r="F319" s="224">
        <v>4.608200277725981</v>
      </c>
      <c r="G319" s="224">
        <v>3.5996496295440275</v>
      </c>
      <c r="H319" s="224">
        <v>2.4760135026407841</v>
      </c>
      <c r="I319" s="224">
        <v>1.904143979088508</v>
      </c>
      <c r="J319" s="224"/>
      <c r="M319" s="224">
        <f t="shared" si="18"/>
        <v>459579.73054972128</v>
      </c>
      <c r="N319" s="224">
        <f t="shared" si="19"/>
        <v>1.0085506481819535</v>
      </c>
      <c r="O319" s="224">
        <f t="shared" si="20"/>
        <v>0.57186952355227616</v>
      </c>
      <c r="Q319" s="224"/>
      <c r="R319" s="224"/>
      <c r="S319" s="429"/>
      <c r="Z319" s="362"/>
      <c r="AA319" s="421"/>
      <c r="AB319" s="362"/>
      <c r="AC319" s="362"/>
      <c r="AD319" s="362"/>
      <c r="AE319" s="362"/>
      <c r="AF319" s="362"/>
      <c r="AG319" s="362"/>
      <c r="AH319" s="362"/>
      <c r="AI319" s="393"/>
      <c r="AJ319" s="393"/>
      <c r="AK319" s="362"/>
      <c r="AL319" s="362"/>
      <c r="AM319" s="362"/>
      <c r="AN319" s="362"/>
      <c r="AO319" s="362"/>
      <c r="AP319" s="362"/>
      <c r="AQ319" s="362"/>
      <c r="AR319" s="362"/>
    </row>
    <row r="320" spans="1:44" ht="12.75" customHeight="1" x14ac:dyDescent="0.15">
      <c r="A320" s="431"/>
      <c r="B320" s="393"/>
      <c r="C320" s="428"/>
      <c r="D320" s="428">
        <v>632235.83189520787</v>
      </c>
      <c r="E320" s="224">
        <v>122910.25329791606</v>
      </c>
      <c r="F320" s="224">
        <v>4.293989579727314</v>
      </c>
      <c r="G320" s="224">
        <v>4.0830130711370343</v>
      </c>
      <c r="H320" s="224">
        <v>2.6957608377550746</v>
      </c>
      <c r="I320" s="224">
        <v>2.338056395443028</v>
      </c>
      <c r="J320" s="224"/>
      <c r="M320" s="224">
        <f t="shared" si="18"/>
        <v>509325.57859729184</v>
      </c>
      <c r="N320" s="224">
        <f t="shared" si="19"/>
        <v>0.21097650859027972</v>
      </c>
      <c r="O320" s="224">
        <f t="shared" si="20"/>
        <v>0.35770444231204657</v>
      </c>
      <c r="Q320" s="224"/>
      <c r="R320" s="224"/>
      <c r="S320" s="429"/>
      <c r="Z320" s="362"/>
      <c r="AA320" s="421"/>
      <c r="AB320" s="362"/>
      <c r="AC320" s="362"/>
      <c r="AD320" s="362"/>
      <c r="AE320" s="362"/>
      <c r="AF320" s="362"/>
      <c r="AG320" s="362"/>
      <c r="AH320" s="362"/>
      <c r="AI320" s="393"/>
      <c r="AJ320" s="393"/>
      <c r="AK320" s="362"/>
      <c r="AL320" s="362"/>
      <c r="AM320" s="362"/>
      <c r="AN320" s="362"/>
      <c r="AO320" s="362"/>
      <c r="AP320" s="362"/>
      <c r="AQ320" s="362"/>
      <c r="AR320" s="362"/>
    </row>
    <row r="321" spans="1:44" ht="12.75" customHeight="1" x14ac:dyDescent="0.15">
      <c r="A321" s="431"/>
      <c r="B321" s="393"/>
      <c r="C321" s="428"/>
      <c r="D321" s="428">
        <v>567240.06262513308</v>
      </c>
      <c r="E321" s="224">
        <v>124783.78306079032</v>
      </c>
      <c r="F321" s="224">
        <v>4.566965234185286</v>
      </c>
      <c r="G321" s="224">
        <v>3.6851558418340282</v>
      </c>
      <c r="H321" s="224">
        <v>2.5885835982744769</v>
      </c>
      <c r="I321" s="224">
        <v>1.8717072228233369</v>
      </c>
      <c r="J321" s="224"/>
      <c r="M321" s="224">
        <f t="shared" si="18"/>
        <v>442456.27956434275</v>
      </c>
      <c r="N321" s="224">
        <f t="shared" si="19"/>
        <v>0.88180939235125777</v>
      </c>
      <c r="O321" s="224">
        <f t="shared" si="20"/>
        <v>0.71687637545114002</v>
      </c>
      <c r="Q321" s="224"/>
      <c r="R321" s="224"/>
      <c r="S321" s="429"/>
      <c r="Z321" s="362"/>
      <c r="AA321" s="421"/>
      <c r="AB321" s="362"/>
      <c r="AC321" s="362"/>
      <c r="AD321" s="362"/>
      <c r="AE321" s="362"/>
      <c r="AF321" s="362"/>
      <c r="AG321" s="362"/>
      <c r="AH321" s="362"/>
      <c r="AI321" s="393"/>
      <c r="AJ321" s="393"/>
      <c r="AK321" s="362"/>
      <c r="AL321" s="362"/>
      <c r="AM321" s="362"/>
      <c r="AN321" s="362"/>
      <c r="AO321" s="362"/>
      <c r="AP321" s="362"/>
      <c r="AQ321" s="362"/>
      <c r="AR321" s="362"/>
    </row>
    <row r="322" spans="1:44" ht="12.75" customHeight="1" x14ac:dyDescent="0.15">
      <c r="A322" s="431"/>
      <c r="B322" s="393"/>
      <c r="C322" s="428"/>
      <c r="D322" s="428">
        <v>757125.66013537382</v>
      </c>
      <c r="E322" s="224">
        <v>203697.2783711809</v>
      </c>
      <c r="F322" s="224">
        <v>4.141416925313858</v>
      </c>
      <c r="G322" s="224">
        <v>3.6481582525241421</v>
      </c>
      <c r="H322" s="224">
        <v>2.7665415799580702</v>
      </c>
      <c r="I322" s="224">
        <v>2.2009275634356475</v>
      </c>
      <c r="J322" s="224"/>
      <c r="M322" s="224">
        <f t="shared" si="18"/>
        <v>553428.38176419295</v>
      </c>
      <c r="N322" s="224">
        <f t="shared" si="19"/>
        <v>0.49325867278971591</v>
      </c>
      <c r="O322" s="224">
        <f t="shared" si="20"/>
        <v>0.5656140165224226</v>
      </c>
      <c r="Q322" s="224"/>
      <c r="R322" s="224"/>
      <c r="S322" s="429"/>
      <c r="Z322" s="362"/>
      <c r="AA322" s="421"/>
      <c r="AB322" s="362"/>
      <c r="AC322" s="362"/>
      <c r="AD322" s="362"/>
      <c r="AE322" s="362"/>
      <c r="AF322" s="362"/>
      <c r="AG322" s="362"/>
      <c r="AH322" s="362"/>
      <c r="AI322" s="393"/>
      <c r="AJ322" s="393"/>
      <c r="AK322" s="362"/>
      <c r="AL322" s="362"/>
      <c r="AM322" s="362"/>
      <c r="AN322" s="362"/>
      <c r="AO322" s="362"/>
      <c r="AP322" s="362"/>
      <c r="AQ322" s="362"/>
      <c r="AR322" s="362"/>
    </row>
    <row r="323" spans="1:44" ht="12.75" customHeight="1" x14ac:dyDescent="0.15">
      <c r="A323" s="431"/>
      <c r="B323" s="393"/>
      <c r="C323" s="428"/>
      <c r="D323" s="428">
        <v>530069.7639218953</v>
      </c>
      <c r="E323" s="224">
        <v>136461.15964884771</v>
      </c>
      <c r="F323" s="224">
        <v>4.4038833334326766</v>
      </c>
      <c r="G323" s="224">
        <v>4.0529398834045116</v>
      </c>
      <c r="H323" s="224">
        <v>2.671801225516615</v>
      </c>
      <c r="I323" s="224">
        <v>2.3483284682736008</v>
      </c>
      <c r="J323" s="224"/>
      <c r="M323" s="224">
        <f t="shared" si="18"/>
        <v>393608.60427304759</v>
      </c>
      <c r="N323" s="224">
        <f t="shared" si="19"/>
        <v>0.35094345002816496</v>
      </c>
      <c r="O323" s="224">
        <f t="shared" si="20"/>
        <v>0.32347275724301428</v>
      </c>
      <c r="Q323" s="224"/>
      <c r="R323" s="224"/>
      <c r="S323" s="429"/>
      <c r="Z323" s="362"/>
      <c r="AA323" s="421"/>
      <c r="AB323" s="362"/>
      <c r="AC323" s="362"/>
      <c r="AD323" s="362"/>
      <c r="AE323" s="362"/>
      <c r="AF323" s="362"/>
      <c r="AG323" s="362"/>
      <c r="AH323" s="362"/>
      <c r="AI323" s="393"/>
      <c r="AJ323" s="393"/>
      <c r="AK323" s="362"/>
      <c r="AL323" s="362"/>
      <c r="AM323" s="362"/>
      <c r="AN323" s="362"/>
      <c r="AO323" s="362"/>
      <c r="AP323" s="362"/>
      <c r="AQ323" s="362"/>
      <c r="AR323" s="362"/>
    </row>
    <row r="324" spans="1:44" ht="12.75" customHeight="1" x14ac:dyDescent="0.15">
      <c r="A324" s="431"/>
      <c r="B324" s="393"/>
      <c r="C324" s="428"/>
      <c r="D324" s="428">
        <v>580020.078747708</v>
      </c>
      <c r="E324" s="224">
        <v>176553.45657254008</v>
      </c>
      <c r="F324" s="224">
        <v>4.1421222215785516</v>
      </c>
      <c r="G324" s="224">
        <v>3.7963700303054448</v>
      </c>
      <c r="H324" s="224">
        <v>2.4888827502402786</v>
      </c>
      <c r="I324" s="224">
        <v>2.0488965940326298</v>
      </c>
      <c r="J324" s="224"/>
      <c r="M324" s="224">
        <f t="shared" si="18"/>
        <v>403466.6221751679</v>
      </c>
      <c r="N324" s="224">
        <f t="shared" si="19"/>
        <v>0.34575219127310675</v>
      </c>
      <c r="O324" s="224">
        <f t="shared" si="20"/>
        <v>0.4399861562076488</v>
      </c>
      <c r="Q324" s="224"/>
      <c r="R324" s="224"/>
      <c r="S324" s="429"/>
      <c r="Z324" s="362"/>
      <c r="AA324" s="421"/>
      <c r="AB324" s="362"/>
      <c r="AC324" s="362"/>
      <c r="AD324" s="362"/>
      <c r="AE324" s="362"/>
      <c r="AF324" s="362"/>
      <c r="AG324" s="362"/>
      <c r="AH324" s="362"/>
      <c r="AI324" s="393"/>
      <c r="AJ324" s="393"/>
      <c r="AK324" s="362"/>
      <c r="AL324" s="362"/>
      <c r="AM324" s="362"/>
      <c r="AN324" s="362"/>
      <c r="AO324" s="362"/>
      <c r="AP324" s="362"/>
      <c r="AQ324" s="362"/>
      <c r="AR324" s="362"/>
    </row>
    <row r="325" spans="1:44" ht="12.75" customHeight="1" x14ac:dyDescent="0.15">
      <c r="A325" s="431"/>
      <c r="B325" s="393"/>
      <c r="C325" s="428"/>
      <c r="D325" s="428">
        <v>631198.731387384</v>
      </c>
      <c r="E325" s="224">
        <v>109452.67468705834</v>
      </c>
      <c r="F325" s="224">
        <v>4.8237290181240615</v>
      </c>
      <c r="G325" s="224">
        <v>3.6517918162189016</v>
      </c>
      <c r="H325" s="224">
        <v>2.9806924465291593</v>
      </c>
      <c r="I325" s="224">
        <v>2.0792181631105224</v>
      </c>
      <c r="J325" s="224"/>
      <c r="M325" s="224">
        <f t="shared" si="18"/>
        <v>521746.05670032569</v>
      </c>
      <c r="N325" s="224">
        <f t="shared" si="19"/>
        <v>1.1719372019051599</v>
      </c>
      <c r="O325" s="224">
        <f t="shared" si="20"/>
        <v>0.90147428341863689</v>
      </c>
      <c r="Q325" s="224"/>
      <c r="R325" s="224"/>
      <c r="S325" s="429"/>
      <c r="Z325" s="362"/>
      <c r="AA325" s="421"/>
      <c r="AB325" s="362"/>
      <c r="AC325" s="362"/>
      <c r="AD325" s="362"/>
      <c r="AE325" s="362"/>
      <c r="AF325" s="362"/>
      <c r="AG325" s="362"/>
      <c r="AH325" s="362"/>
      <c r="AI325" s="393"/>
      <c r="AJ325" s="393"/>
      <c r="AK325" s="362"/>
      <c r="AL325" s="362"/>
      <c r="AM325" s="362"/>
      <c r="AN325" s="362"/>
      <c r="AO325" s="362"/>
      <c r="AP325" s="362"/>
      <c r="AQ325" s="362"/>
      <c r="AR325" s="362"/>
    </row>
    <row r="326" spans="1:44" ht="12.75" customHeight="1" x14ac:dyDescent="0.15">
      <c r="A326" s="431"/>
      <c r="B326" s="393"/>
      <c r="C326" s="428"/>
      <c r="D326" s="428">
        <v>690748.38149465609</v>
      </c>
      <c r="E326" s="224">
        <v>144832.51274410656</v>
      </c>
      <c r="F326" s="224">
        <v>4.4758433909549975</v>
      </c>
      <c r="G326" s="224">
        <v>4.0693248435449991</v>
      </c>
      <c r="H326" s="224">
        <v>2.8836418273669993</v>
      </c>
      <c r="I326" s="224">
        <v>2.1635221346377658</v>
      </c>
      <c r="J326" s="224"/>
      <c r="M326" s="224">
        <f t="shared" si="18"/>
        <v>545915.8687505495</v>
      </c>
      <c r="N326" s="224">
        <f t="shared" si="19"/>
        <v>0.40651854740999838</v>
      </c>
      <c r="O326" s="224">
        <f t="shared" si="20"/>
        <v>0.72011969272923348</v>
      </c>
      <c r="Q326" s="224"/>
      <c r="R326" s="224"/>
      <c r="S326" s="429"/>
      <c r="Z326" s="362"/>
      <c r="AA326" s="421"/>
      <c r="AB326" s="362"/>
      <c r="AC326" s="362"/>
      <c r="AD326" s="362"/>
      <c r="AE326" s="362"/>
      <c r="AF326" s="362"/>
      <c r="AG326" s="362"/>
      <c r="AH326" s="362"/>
      <c r="AI326" s="393"/>
      <c r="AJ326" s="393"/>
      <c r="AK326" s="362"/>
      <c r="AL326" s="362"/>
      <c r="AM326" s="362"/>
      <c r="AN326" s="362"/>
      <c r="AO326" s="362"/>
      <c r="AP326" s="362"/>
      <c r="AQ326" s="362"/>
      <c r="AR326" s="362"/>
    </row>
    <row r="327" spans="1:44" ht="12.75" customHeight="1" x14ac:dyDescent="0.15">
      <c r="A327" s="431"/>
      <c r="B327" s="393"/>
      <c r="C327" s="428"/>
      <c r="D327" s="428">
        <v>665991.36198654282</v>
      </c>
      <c r="E327" s="224">
        <v>142625.43971124911</v>
      </c>
      <c r="F327" s="224">
        <v>4.7635809989362983</v>
      </c>
      <c r="G327" s="224">
        <v>3.9287922065970315</v>
      </c>
      <c r="H327" s="224">
        <v>3.1180134847785932</v>
      </c>
      <c r="I327" s="224">
        <v>2.4929347379348066</v>
      </c>
      <c r="J327" s="224"/>
      <c r="M327" s="224">
        <f t="shared" si="18"/>
        <v>523365.92227529373</v>
      </c>
      <c r="N327" s="224">
        <f t="shared" si="19"/>
        <v>0.83478879233926673</v>
      </c>
      <c r="O327" s="224">
        <f t="shared" si="20"/>
        <v>0.62507874684378661</v>
      </c>
      <c r="Q327" s="224"/>
      <c r="R327" s="224"/>
      <c r="S327" s="429"/>
      <c r="Z327" s="362"/>
      <c r="AA327" s="421"/>
      <c r="AB327" s="362"/>
      <c r="AC327" s="362"/>
      <c r="AD327" s="362"/>
      <c r="AE327" s="362"/>
      <c r="AF327" s="362"/>
      <c r="AG327" s="362"/>
      <c r="AH327" s="362"/>
      <c r="AI327" s="393"/>
      <c r="AJ327" s="393"/>
      <c r="AK327" s="362"/>
      <c r="AL327" s="362"/>
      <c r="AM327" s="362"/>
      <c r="AN327" s="362"/>
      <c r="AO327" s="362"/>
      <c r="AP327" s="362"/>
      <c r="AQ327" s="362"/>
      <c r="AR327" s="362"/>
    </row>
    <row r="328" spans="1:44" ht="12.75" customHeight="1" x14ac:dyDescent="0.15">
      <c r="A328" s="431"/>
      <c r="B328" s="393"/>
      <c r="C328" s="428"/>
      <c r="D328" s="428">
        <v>539478.18563749513</v>
      </c>
      <c r="E328" s="224">
        <v>176339.19319468128</v>
      </c>
      <c r="F328" s="224">
        <v>3.7326232979803495</v>
      </c>
      <c r="G328" s="224">
        <v>4.262805856060039</v>
      </c>
      <c r="H328" s="224">
        <v>2.4065784778155441</v>
      </c>
      <c r="I328" s="224">
        <v>2.3914426515109857</v>
      </c>
      <c r="J328" s="224"/>
      <c r="M328" s="224">
        <f t="shared" si="18"/>
        <v>363138.99244281382</v>
      </c>
      <c r="N328" s="224">
        <f t="shared" si="19"/>
        <v>-0.5301825580796895</v>
      </c>
      <c r="O328" s="224">
        <f t="shared" si="20"/>
        <v>1.5135826304558453E-2</v>
      </c>
      <c r="Q328" s="224"/>
      <c r="R328" s="224"/>
      <c r="S328" s="429"/>
      <c r="Z328" s="362"/>
      <c r="AA328" s="421"/>
      <c r="AB328" s="362"/>
      <c r="AC328" s="362"/>
      <c r="AD328" s="362"/>
      <c r="AE328" s="362"/>
      <c r="AF328" s="362"/>
      <c r="AG328" s="362"/>
      <c r="AH328" s="362"/>
      <c r="AI328" s="393"/>
      <c r="AJ328" s="393"/>
      <c r="AK328" s="362"/>
      <c r="AL328" s="362"/>
      <c r="AM328" s="362"/>
      <c r="AN328" s="362"/>
      <c r="AO328" s="362"/>
      <c r="AP328" s="362"/>
      <c r="AQ328" s="362"/>
      <c r="AR328" s="362"/>
    </row>
    <row r="329" spans="1:44" ht="12.75" customHeight="1" x14ac:dyDescent="0.15">
      <c r="A329" s="431"/>
      <c r="B329" s="393"/>
      <c r="C329" s="428"/>
      <c r="D329" s="428">
        <v>620980.40322343959</v>
      </c>
      <c r="E329" s="224">
        <v>168632.17252256096</v>
      </c>
      <c r="F329" s="224">
        <v>4.2665163151335666</v>
      </c>
      <c r="G329" s="224">
        <v>3.7140179726366722</v>
      </c>
      <c r="H329" s="224">
        <v>2.5622938277068306</v>
      </c>
      <c r="I329" s="224">
        <v>2.1300991245668093</v>
      </c>
      <c r="J329" s="224"/>
      <c r="M329" s="224">
        <f t="shared" si="18"/>
        <v>452348.23070087866</v>
      </c>
      <c r="N329" s="224">
        <f t="shared" si="19"/>
        <v>0.55249834249689433</v>
      </c>
      <c r="O329" s="224">
        <f t="shared" si="20"/>
        <v>0.43219470314002129</v>
      </c>
      <c r="Q329" s="224"/>
      <c r="R329" s="224"/>
      <c r="S329" s="429"/>
      <c r="Z329" s="362"/>
      <c r="AA329" s="421"/>
      <c r="AB329" s="362"/>
      <c r="AC329" s="362"/>
      <c r="AD329" s="362"/>
      <c r="AE329" s="362"/>
      <c r="AF329" s="362"/>
      <c r="AG329" s="362"/>
      <c r="AH329" s="362"/>
      <c r="AI329" s="393"/>
      <c r="AJ329" s="393"/>
      <c r="AK329" s="362"/>
      <c r="AL329" s="362"/>
      <c r="AM329" s="362"/>
      <c r="AN329" s="362"/>
      <c r="AO329" s="362"/>
      <c r="AP329" s="362"/>
      <c r="AQ329" s="362"/>
      <c r="AR329" s="362"/>
    </row>
    <row r="330" spans="1:44" ht="12.75" customHeight="1" x14ac:dyDescent="0.15">
      <c r="A330" s="431"/>
      <c r="B330" s="393"/>
      <c r="C330" s="428"/>
      <c r="D330" s="428">
        <v>532928.88213224022</v>
      </c>
      <c r="E330" s="224">
        <v>138788.42792883632</v>
      </c>
      <c r="F330" s="224">
        <v>4.54600928430387</v>
      </c>
      <c r="G330" s="224">
        <v>3.7780668538744102</v>
      </c>
      <c r="H330" s="224">
        <v>2.6387337803253836</v>
      </c>
      <c r="I330" s="224">
        <v>1.9737601092810222</v>
      </c>
      <c r="J330" s="224"/>
      <c r="M330" s="224">
        <f t="shared" si="18"/>
        <v>394140.4542034039</v>
      </c>
      <c r="N330" s="224">
        <f t="shared" si="19"/>
        <v>0.76794243042945975</v>
      </c>
      <c r="O330" s="224">
        <f t="shared" si="20"/>
        <v>0.66497367104436145</v>
      </c>
      <c r="Q330" s="224"/>
      <c r="R330" s="224"/>
      <c r="S330" s="429"/>
      <c r="Z330" s="362"/>
      <c r="AA330" s="421"/>
      <c r="AB330" s="362"/>
      <c r="AC330" s="362"/>
      <c r="AD330" s="362"/>
      <c r="AE330" s="362"/>
      <c r="AF330" s="362"/>
      <c r="AG330" s="362"/>
      <c r="AH330" s="362"/>
      <c r="AI330" s="393"/>
      <c r="AJ330" s="393"/>
      <c r="AK330" s="362"/>
      <c r="AL330" s="362"/>
      <c r="AM330" s="362"/>
      <c r="AN330" s="362"/>
      <c r="AO330" s="362"/>
      <c r="AP330" s="362"/>
      <c r="AQ330" s="362"/>
      <c r="AR330" s="362"/>
    </row>
    <row r="331" spans="1:44" ht="12.75" customHeight="1" x14ac:dyDescent="0.15">
      <c r="A331" s="431"/>
      <c r="B331" s="393"/>
      <c r="C331" s="428"/>
      <c r="D331" s="428">
        <v>533475.05533945363</v>
      </c>
      <c r="E331" s="224">
        <v>124728.0132544732</v>
      </c>
      <c r="F331" s="224">
        <v>4.2054126254713067</v>
      </c>
      <c r="G331" s="224">
        <v>4.045575280728853</v>
      </c>
      <c r="H331" s="224">
        <v>2.6116206585489703</v>
      </c>
      <c r="I331" s="224">
        <v>2.4893992241076046</v>
      </c>
      <c r="J331" s="224"/>
      <c r="M331" s="224">
        <f t="shared" si="18"/>
        <v>408747.04208498041</v>
      </c>
      <c r="N331" s="224">
        <f t="shared" si="19"/>
        <v>0.1598373447424537</v>
      </c>
      <c r="O331" s="224">
        <f t="shared" si="20"/>
        <v>0.12222143444136568</v>
      </c>
      <c r="Q331" s="224"/>
      <c r="R331" s="224"/>
      <c r="S331" s="429"/>
      <c r="Z331" s="362"/>
      <c r="AA331" s="421"/>
      <c r="AB331" s="362"/>
      <c r="AC331" s="362"/>
      <c r="AD331" s="362"/>
      <c r="AE331" s="362"/>
      <c r="AF331" s="362"/>
      <c r="AG331" s="362"/>
      <c r="AH331" s="362"/>
      <c r="AI331" s="393"/>
      <c r="AJ331" s="393"/>
      <c r="AK331" s="362"/>
      <c r="AL331" s="362"/>
      <c r="AM331" s="362"/>
      <c r="AN331" s="362"/>
      <c r="AO331" s="362"/>
      <c r="AP331" s="362"/>
      <c r="AQ331" s="362"/>
      <c r="AR331" s="362"/>
    </row>
    <row r="332" spans="1:44" ht="12.75" customHeight="1" x14ac:dyDescent="0.15">
      <c r="A332" s="431"/>
      <c r="B332" s="393"/>
      <c r="C332" s="428"/>
      <c r="D332" s="428">
        <v>546105.86720182281</v>
      </c>
      <c r="E332" s="224">
        <v>188960.35421530096</v>
      </c>
      <c r="F332" s="224">
        <v>3.8229555306353302</v>
      </c>
      <c r="G332" s="224">
        <v>4.1436084611435202</v>
      </c>
      <c r="H332" s="224">
        <v>2.2678121588971951</v>
      </c>
      <c r="I332" s="224">
        <v>2.3022690676808897</v>
      </c>
      <c r="J332" s="224"/>
      <c r="M332" s="224">
        <f t="shared" si="18"/>
        <v>357145.51298652182</v>
      </c>
      <c r="N332" s="224">
        <f t="shared" si="19"/>
        <v>-0.32065293050818999</v>
      </c>
      <c r="O332" s="224">
        <f t="shared" si="20"/>
        <v>-3.4456908783694562E-2</v>
      </c>
      <c r="Q332" s="224"/>
      <c r="R332" s="224"/>
      <c r="S332" s="429"/>
      <c r="Z332" s="362"/>
      <c r="AA332" s="421"/>
      <c r="AB332" s="362"/>
      <c r="AC332" s="362"/>
      <c r="AD332" s="362"/>
      <c r="AE332" s="362"/>
      <c r="AF332" s="362"/>
      <c r="AG332" s="362"/>
      <c r="AH332" s="362"/>
      <c r="AI332" s="393"/>
      <c r="AJ332" s="393"/>
      <c r="AK332" s="362"/>
      <c r="AL332" s="362"/>
      <c r="AM332" s="362"/>
      <c r="AN332" s="362"/>
      <c r="AO332" s="362"/>
      <c r="AP332" s="362"/>
      <c r="AQ332" s="362"/>
      <c r="AR332" s="362"/>
    </row>
    <row r="333" spans="1:44" ht="12.75" customHeight="1" x14ac:dyDescent="0.15">
      <c r="A333" s="431"/>
      <c r="B333" s="393"/>
      <c r="C333" s="428"/>
      <c r="D333" s="428">
        <v>722142.05454439938</v>
      </c>
      <c r="E333" s="224">
        <v>179688.42089288915</v>
      </c>
      <c r="F333" s="224">
        <v>4.5856095987827725</v>
      </c>
      <c r="G333" s="224">
        <v>3.7394232040328856</v>
      </c>
      <c r="H333" s="224">
        <v>2.9624496849105109</v>
      </c>
      <c r="I333" s="224">
        <v>2.1619335191654567</v>
      </c>
      <c r="J333" s="224"/>
      <c r="M333" s="224">
        <f t="shared" si="18"/>
        <v>542453.63365151023</v>
      </c>
      <c r="N333" s="224">
        <f t="shared" si="19"/>
        <v>0.84618639474988688</v>
      </c>
      <c r="O333" s="224">
        <f t="shared" si="20"/>
        <v>0.80051616574505413</v>
      </c>
      <c r="Q333" s="224"/>
      <c r="R333" s="224"/>
      <c r="S333" s="429"/>
      <c r="Z333" s="362"/>
      <c r="AA333" s="421"/>
      <c r="AB333" s="362"/>
      <c r="AC333" s="362"/>
      <c r="AD333" s="362"/>
      <c r="AE333" s="362"/>
      <c r="AF333" s="362"/>
      <c r="AG333" s="362"/>
      <c r="AH333" s="362"/>
      <c r="AI333" s="393"/>
      <c r="AJ333" s="393"/>
      <c r="AK333" s="362"/>
      <c r="AL333" s="362"/>
      <c r="AM333" s="362"/>
      <c r="AN333" s="362"/>
      <c r="AO333" s="362"/>
      <c r="AP333" s="362"/>
      <c r="AQ333" s="362"/>
      <c r="AR333" s="362"/>
    </row>
    <row r="334" spans="1:44" ht="12.75" customHeight="1" x14ac:dyDescent="0.15">
      <c r="A334" s="431"/>
      <c r="B334" s="393"/>
      <c r="C334" s="428"/>
      <c r="D334" s="428">
        <v>596763.22406110878</v>
      </c>
      <c r="E334" s="224">
        <v>230117.57573571306</v>
      </c>
      <c r="F334" s="224">
        <v>3.7031563770338356</v>
      </c>
      <c r="G334" s="224">
        <v>4.0248215382436543</v>
      </c>
      <c r="H334" s="224">
        <v>2.2007079874042526</v>
      </c>
      <c r="I334" s="224">
        <v>2.1578564734322851</v>
      </c>
      <c r="J334" s="224"/>
      <c r="M334" s="224">
        <f t="shared" si="18"/>
        <v>366645.64832539571</v>
      </c>
      <c r="N334" s="224">
        <f t="shared" si="19"/>
        <v>-0.3216651612098187</v>
      </c>
      <c r="O334" s="224">
        <f t="shared" si="20"/>
        <v>4.2851513971967403E-2</v>
      </c>
      <c r="Q334" s="224"/>
      <c r="R334" s="224"/>
      <c r="S334" s="429"/>
      <c r="Z334" s="362"/>
      <c r="AA334" s="421"/>
      <c r="AB334" s="362"/>
      <c r="AC334" s="362"/>
      <c r="AD334" s="362"/>
      <c r="AE334" s="362"/>
      <c r="AF334" s="362"/>
      <c r="AG334" s="362"/>
      <c r="AH334" s="362"/>
      <c r="AI334" s="393"/>
      <c r="AJ334" s="393"/>
      <c r="AK334" s="362"/>
      <c r="AL334" s="362"/>
      <c r="AM334" s="362"/>
      <c r="AN334" s="362"/>
      <c r="AO334" s="362"/>
      <c r="AP334" s="362"/>
      <c r="AQ334" s="362"/>
      <c r="AR334" s="362"/>
    </row>
    <row r="335" spans="1:44" ht="12.75" customHeight="1" x14ac:dyDescent="0.15">
      <c r="A335" s="431"/>
      <c r="B335" s="393"/>
      <c r="C335" s="428"/>
      <c r="D335" s="428">
        <v>697778.51358471962</v>
      </c>
      <c r="E335" s="224">
        <v>242508.12727990228</v>
      </c>
      <c r="F335" s="224">
        <v>4.2168346163825641</v>
      </c>
      <c r="G335" s="224">
        <v>3.9175097642475754</v>
      </c>
      <c r="H335" s="224">
        <v>2.7508005515606233</v>
      </c>
      <c r="I335" s="224">
        <v>2.2093318955249335</v>
      </c>
      <c r="J335" s="224"/>
      <c r="M335" s="224">
        <f t="shared" si="18"/>
        <v>455270.38630481734</v>
      </c>
      <c r="N335" s="224">
        <f t="shared" si="19"/>
        <v>0.29932485213498872</v>
      </c>
      <c r="O335" s="224">
        <f t="shared" si="20"/>
        <v>0.54146865603568983</v>
      </c>
      <c r="Q335" s="224"/>
      <c r="R335" s="224"/>
      <c r="S335" s="429"/>
      <c r="Z335" s="362"/>
      <c r="AA335" s="421"/>
      <c r="AB335" s="362"/>
      <c r="AC335" s="362"/>
      <c r="AD335" s="362"/>
      <c r="AE335" s="362"/>
      <c r="AF335" s="362"/>
      <c r="AG335" s="362"/>
      <c r="AH335" s="362"/>
      <c r="AI335" s="393"/>
      <c r="AJ335" s="393"/>
      <c r="AK335" s="362"/>
      <c r="AL335" s="362"/>
      <c r="AM335" s="362"/>
      <c r="AN335" s="362"/>
      <c r="AO335" s="362"/>
      <c r="AP335" s="362"/>
      <c r="AQ335" s="362"/>
      <c r="AR335" s="362"/>
    </row>
    <row r="336" spans="1:44" ht="12.75" customHeight="1" x14ac:dyDescent="0.15">
      <c r="A336" s="431"/>
      <c r="B336" s="393"/>
      <c r="C336" s="428"/>
      <c r="D336" s="428">
        <v>545780.63343868044</v>
      </c>
      <c r="E336" s="224">
        <v>172528.61765331394</v>
      </c>
      <c r="F336" s="224">
        <v>3.8705668154083739</v>
      </c>
      <c r="G336" s="224">
        <v>3.7160333432126587</v>
      </c>
      <c r="H336" s="224">
        <v>2.3412653365475466</v>
      </c>
      <c r="I336" s="224">
        <v>2.1637353742827017</v>
      </c>
      <c r="J336" s="224"/>
      <c r="M336" s="224">
        <f t="shared" si="18"/>
        <v>373252.01578536653</v>
      </c>
      <c r="N336" s="224">
        <f t="shared" si="19"/>
        <v>0.15453347219571523</v>
      </c>
      <c r="O336" s="224">
        <f t="shared" si="20"/>
        <v>0.17752996226484496</v>
      </c>
      <c r="Q336" s="224"/>
      <c r="R336" s="224"/>
      <c r="S336" s="429"/>
      <c r="Z336" s="362"/>
      <c r="AA336" s="421"/>
      <c r="AB336" s="362"/>
      <c r="AC336" s="362"/>
      <c r="AD336" s="362"/>
      <c r="AE336" s="362"/>
      <c r="AF336" s="362"/>
      <c r="AG336" s="362"/>
      <c r="AH336" s="362"/>
      <c r="AI336" s="393"/>
      <c r="AJ336" s="393"/>
      <c r="AK336" s="362"/>
      <c r="AL336" s="362"/>
      <c r="AM336" s="362"/>
      <c r="AN336" s="362"/>
      <c r="AO336" s="362"/>
      <c r="AP336" s="362"/>
      <c r="AQ336" s="362"/>
      <c r="AR336" s="362"/>
    </row>
    <row r="337" spans="1:44" ht="12.75" customHeight="1" x14ac:dyDescent="0.15">
      <c r="A337" s="431"/>
      <c r="B337" s="393"/>
      <c r="C337" s="428"/>
      <c r="D337" s="428">
        <v>590327.65406376193</v>
      </c>
      <c r="E337" s="224">
        <v>140839.45549160676</v>
      </c>
      <c r="F337" s="224">
        <v>4.2745342506130175</v>
      </c>
      <c r="G337" s="224">
        <v>3.6603338118666016</v>
      </c>
      <c r="H337" s="224">
        <v>2.7814459209728102</v>
      </c>
      <c r="I337" s="224">
        <v>2.1847529059375974</v>
      </c>
      <c r="J337" s="224"/>
      <c r="M337" s="224">
        <f t="shared" si="18"/>
        <v>449488.1985721552</v>
      </c>
      <c r="N337" s="224">
        <f t="shared" si="19"/>
        <v>0.61420043874641594</v>
      </c>
      <c r="O337" s="224">
        <f t="shared" si="20"/>
        <v>0.59669301503521277</v>
      </c>
      <c r="Q337" s="224"/>
      <c r="R337" s="224"/>
      <c r="S337" s="429"/>
      <c r="Z337" s="362"/>
      <c r="AA337" s="421"/>
      <c r="AB337" s="362"/>
      <c r="AC337" s="362"/>
      <c r="AD337" s="362"/>
      <c r="AE337" s="362"/>
      <c r="AF337" s="362"/>
      <c r="AG337" s="362"/>
      <c r="AH337" s="362"/>
      <c r="AI337" s="393"/>
      <c r="AJ337" s="393"/>
      <c r="AK337" s="362"/>
      <c r="AL337" s="362"/>
      <c r="AM337" s="362"/>
      <c r="AN337" s="362"/>
      <c r="AO337" s="362"/>
      <c r="AP337" s="362"/>
      <c r="AQ337" s="362"/>
      <c r="AR337" s="362"/>
    </row>
    <row r="338" spans="1:44" ht="12.75" customHeight="1" x14ac:dyDescent="0.15">
      <c r="A338" s="431"/>
      <c r="B338" s="393"/>
      <c r="C338" s="428"/>
      <c r="D338" s="428">
        <v>671735.89100787812</v>
      </c>
      <c r="E338" s="224">
        <v>159059.49953267252</v>
      </c>
      <c r="F338" s="224">
        <v>5.5385019208590656</v>
      </c>
      <c r="G338" s="224">
        <v>3.8057713313326271</v>
      </c>
      <c r="H338" s="224">
        <v>3.6280914883746571</v>
      </c>
      <c r="I338" s="224">
        <v>2.4571778261725044</v>
      </c>
      <c r="J338" s="224"/>
      <c r="M338" s="224">
        <f t="shared" ref="M338:M401" si="21">+D338-E338</f>
        <v>512676.3914752056</v>
      </c>
      <c r="N338" s="224">
        <f t="shared" ref="N338:N401" si="22">+F338-G338</f>
        <v>1.7327305895264384</v>
      </c>
      <c r="O338" s="224">
        <f t="shared" ref="O338:O401" si="23">+H338-I338</f>
        <v>1.1709136622021528</v>
      </c>
      <c r="Q338" s="224"/>
      <c r="R338" s="224"/>
      <c r="S338" s="429"/>
      <c r="Z338" s="362"/>
      <c r="AA338" s="421"/>
      <c r="AB338" s="362"/>
      <c r="AC338" s="362"/>
      <c r="AD338" s="362"/>
      <c r="AE338" s="362"/>
      <c r="AF338" s="362"/>
      <c r="AG338" s="362"/>
      <c r="AH338" s="362"/>
      <c r="AI338" s="393"/>
      <c r="AJ338" s="393"/>
      <c r="AK338" s="362"/>
      <c r="AL338" s="362"/>
      <c r="AM338" s="362"/>
      <c r="AN338" s="362"/>
      <c r="AO338" s="362"/>
      <c r="AP338" s="362"/>
      <c r="AQ338" s="362"/>
      <c r="AR338" s="362"/>
    </row>
    <row r="339" spans="1:44" ht="12.75" customHeight="1" x14ac:dyDescent="0.15">
      <c r="A339" s="431"/>
      <c r="B339" s="393"/>
      <c r="C339" s="428"/>
      <c r="D339" s="428">
        <v>730310.568799356</v>
      </c>
      <c r="E339" s="224">
        <v>154027.47918554212</v>
      </c>
      <c r="F339" s="224">
        <v>4.5297168523091056</v>
      </c>
      <c r="G339" s="224">
        <v>3.6035431029545788</v>
      </c>
      <c r="H339" s="224">
        <v>2.7701992203052983</v>
      </c>
      <c r="I339" s="224">
        <v>2.0240241054007151</v>
      </c>
      <c r="J339" s="224"/>
      <c r="M339" s="224">
        <f t="shared" si="21"/>
        <v>576283.08961381391</v>
      </c>
      <c r="N339" s="224">
        <f t="shared" si="22"/>
        <v>0.92617374935452679</v>
      </c>
      <c r="O339" s="224">
        <f t="shared" si="23"/>
        <v>0.74617511490458321</v>
      </c>
      <c r="Q339" s="224"/>
      <c r="R339" s="224"/>
      <c r="S339" s="429"/>
      <c r="Z339" s="362"/>
      <c r="AA339" s="421"/>
      <c r="AB339" s="362"/>
      <c r="AC339" s="362"/>
      <c r="AD339" s="362"/>
      <c r="AE339" s="362"/>
      <c r="AF339" s="362"/>
      <c r="AG339" s="362"/>
      <c r="AH339" s="362"/>
      <c r="AI339" s="393"/>
      <c r="AJ339" s="393"/>
      <c r="AK339" s="362"/>
      <c r="AL339" s="362"/>
      <c r="AM339" s="362"/>
      <c r="AN339" s="362"/>
      <c r="AO339" s="362"/>
      <c r="AP339" s="362"/>
      <c r="AQ339" s="362"/>
      <c r="AR339" s="362"/>
    </row>
    <row r="340" spans="1:44" ht="12.75" customHeight="1" x14ac:dyDescent="0.15">
      <c r="A340" s="431"/>
      <c r="B340" s="393"/>
      <c r="C340" s="428"/>
      <c r="D340" s="428">
        <v>649590.19905616413</v>
      </c>
      <c r="E340" s="224">
        <v>188767.38800891381</v>
      </c>
      <c r="F340" s="224">
        <v>4.5075252232154899</v>
      </c>
      <c r="G340" s="224">
        <v>3.8560976943090908</v>
      </c>
      <c r="H340" s="224">
        <v>2.6871701213646721</v>
      </c>
      <c r="I340" s="224">
        <v>2.196429641505464</v>
      </c>
      <c r="J340" s="224"/>
      <c r="M340" s="224">
        <f t="shared" si="21"/>
        <v>460822.81104725029</v>
      </c>
      <c r="N340" s="224">
        <f t="shared" si="22"/>
        <v>0.6514275289063991</v>
      </c>
      <c r="O340" s="224">
        <f t="shared" si="23"/>
        <v>0.4907404798592081</v>
      </c>
      <c r="Q340" s="224"/>
      <c r="R340" s="224"/>
      <c r="S340" s="429"/>
      <c r="Z340" s="362"/>
      <c r="AA340" s="421"/>
      <c r="AB340" s="362"/>
      <c r="AC340" s="362"/>
      <c r="AD340" s="362"/>
      <c r="AE340" s="362"/>
      <c r="AF340" s="362"/>
      <c r="AG340" s="362"/>
      <c r="AH340" s="362"/>
      <c r="AI340" s="393"/>
      <c r="AJ340" s="393"/>
      <c r="AK340" s="362"/>
      <c r="AL340" s="362"/>
      <c r="AM340" s="362"/>
      <c r="AN340" s="362"/>
      <c r="AO340" s="362"/>
      <c r="AP340" s="362"/>
      <c r="AQ340" s="362"/>
      <c r="AR340" s="362"/>
    </row>
    <row r="341" spans="1:44" ht="12.75" customHeight="1" x14ac:dyDescent="0.15">
      <c r="A341" s="431"/>
      <c r="B341" s="393"/>
      <c r="C341" s="428"/>
      <c r="D341" s="428">
        <v>642474.47660529893</v>
      </c>
      <c r="E341" s="224">
        <v>205372.99170272448</v>
      </c>
      <c r="F341" s="224">
        <v>4.238275385827678</v>
      </c>
      <c r="G341" s="224">
        <v>4.1541994786431973</v>
      </c>
      <c r="H341" s="224">
        <v>2.6014016000988955</v>
      </c>
      <c r="I341" s="224">
        <v>2.3239222356804268</v>
      </c>
      <c r="J341" s="224"/>
      <c r="M341" s="224">
        <f t="shared" si="21"/>
        <v>437101.48490257445</v>
      </c>
      <c r="N341" s="224">
        <f t="shared" si="22"/>
        <v>8.4075907184480769E-2</v>
      </c>
      <c r="O341" s="224">
        <f t="shared" si="23"/>
        <v>0.27747936441846877</v>
      </c>
      <c r="Q341" s="224"/>
      <c r="R341" s="224"/>
      <c r="S341" s="429"/>
      <c r="Z341" s="362"/>
      <c r="AA341" s="421"/>
      <c r="AB341" s="362"/>
      <c r="AC341" s="362"/>
      <c r="AD341" s="362"/>
      <c r="AE341" s="362"/>
      <c r="AF341" s="362"/>
      <c r="AG341" s="362"/>
      <c r="AH341" s="362"/>
      <c r="AI341" s="393"/>
      <c r="AJ341" s="393"/>
      <c r="AK341" s="362"/>
      <c r="AL341" s="362"/>
      <c r="AM341" s="362"/>
      <c r="AN341" s="362"/>
      <c r="AO341" s="362"/>
      <c r="AP341" s="362"/>
      <c r="AQ341" s="362"/>
      <c r="AR341" s="362"/>
    </row>
    <row r="342" spans="1:44" ht="12.75" customHeight="1" x14ac:dyDescent="0.15">
      <c r="A342" s="431"/>
      <c r="B342" s="393"/>
      <c r="C342" s="428"/>
      <c r="D342" s="428">
        <v>583201.50714576594</v>
      </c>
      <c r="E342" s="224">
        <v>186813.3563575478</v>
      </c>
      <c r="F342" s="224">
        <v>4.3179988947597456</v>
      </c>
      <c r="G342" s="224">
        <v>3.9745962627074118</v>
      </c>
      <c r="H342" s="224">
        <v>2.3505076804089917</v>
      </c>
      <c r="I342" s="224">
        <v>2.1666317454465251</v>
      </c>
      <c r="J342" s="224"/>
      <c r="M342" s="224">
        <f t="shared" si="21"/>
        <v>396388.15078821813</v>
      </c>
      <c r="N342" s="224">
        <f t="shared" si="22"/>
        <v>0.34340263205233379</v>
      </c>
      <c r="O342" s="224">
        <f t="shared" si="23"/>
        <v>0.18387593496246657</v>
      </c>
      <c r="Q342" s="224"/>
      <c r="R342" s="224"/>
      <c r="S342" s="429"/>
      <c r="Z342" s="362"/>
      <c r="AA342" s="421"/>
      <c r="AB342" s="362"/>
      <c r="AC342" s="362"/>
      <c r="AD342" s="362"/>
      <c r="AE342" s="362"/>
      <c r="AF342" s="362"/>
      <c r="AG342" s="362"/>
      <c r="AH342" s="362"/>
      <c r="AI342" s="393"/>
      <c r="AJ342" s="393"/>
      <c r="AK342" s="362"/>
      <c r="AL342" s="362"/>
      <c r="AM342" s="362"/>
      <c r="AN342" s="362"/>
      <c r="AO342" s="362"/>
      <c r="AP342" s="362"/>
      <c r="AQ342" s="362"/>
      <c r="AR342" s="362"/>
    </row>
    <row r="343" spans="1:44" ht="12.75" customHeight="1" x14ac:dyDescent="0.15">
      <c r="A343" s="431"/>
      <c r="B343" s="393"/>
      <c r="C343" s="428"/>
      <c r="D343" s="428">
        <v>497898.18525604857</v>
      </c>
      <c r="E343" s="224">
        <v>162243.44324696247</v>
      </c>
      <c r="F343" s="224">
        <v>3.7279642186477222</v>
      </c>
      <c r="G343" s="224">
        <v>4.1102232932108578</v>
      </c>
      <c r="H343" s="224">
        <v>2.2138872598472692</v>
      </c>
      <c r="I343" s="224">
        <v>2.1539449582710368</v>
      </c>
      <c r="J343" s="224"/>
      <c r="M343" s="224">
        <f t="shared" si="21"/>
        <v>335654.74200908607</v>
      </c>
      <c r="N343" s="224">
        <f t="shared" si="22"/>
        <v>-0.38225907456313557</v>
      </c>
      <c r="O343" s="224">
        <f t="shared" si="23"/>
        <v>5.9942301576232371E-2</v>
      </c>
      <c r="Q343" s="224"/>
      <c r="R343" s="224"/>
      <c r="S343" s="429"/>
      <c r="Z343" s="362"/>
      <c r="AA343" s="421"/>
      <c r="AB343" s="362"/>
      <c r="AC343" s="362"/>
      <c r="AD343" s="362"/>
      <c r="AE343" s="362"/>
      <c r="AF343" s="362"/>
      <c r="AG343" s="362"/>
      <c r="AH343" s="362"/>
      <c r="AI343" s="393"/>
      <c r="AJ343" s="393"/>
      <c r="AK343" s="362"/>
      <c r="AL343" s="362"/>
      <c r="AM343" s="362"/>
      <c r="AN343" s="362"/>
      <c r="AO343" s="362"/>
      <c r="AP343" s="362"/>
      <c r="AQ343" s="362"/>
      <c r="AR343" s="362"/>
    </row>
    <row r="344" spans="1:44" ht="12.75" customHeight="1" x14ac:dyDescent="0.15">
      <c r="A344" s="431"/>
      <c r="B344" s="393"/>
      <c r="C344" s="428"/>
      <c r="D344" s="428">
        <v>564474.49779060122</v>
      </c>
      <c r="E344" s="224">
        <v>144578.36075610548</v>
      </c>
      <c r="F344" s="224">
        <v>4.3769169169551807</v>
      </c>
      <c r="G344" s="224">
        <v>3.720708684607267</v>
      </c>
      <c r="H344" s="224">
        <v>2.2846784429630747</v>
      </c>
      <c r="I344" s="224">
        <v>1.8820676318778526</v>
      </c>
      <c r="J344" s="224"/>
      <c r="M344" s="224">
        <f t="shared" si="21"/>
        <v>419896.13703449571</v>
      </c>
      <c r="N344" s="224">
        <f t="shared" si="22"/>
        <v>0.6562082323479137</v>
      </c>
      <c r="O344" s="224">
        <f t="shared" si="23"/>
        <v>0.40261081108522201</v>
      </c>
      <c r="Q344" s="224"/>
      <c r="R344" s="224"/>
      <c r="S344" s="429"/>
      <c r="Z344" s="362"/>
      <c r="AA344" s="421"/>
      <c r="AB344" s="362"/>
      <c r="AC344" s="362"/>
      <c r="AD344" s="362"/>
      <c r="AE344" s="362"/>
      <c r="AF344" s="362"/>
      <c r="AG344" s="362"/>
      <c r="AH344" s="362"/>
      <c r="AI344" s="393"/>
      <c r="AJ344" s="393"/>
      <c r="AK344" s="362"/>
      <c r="AL344" s="362"/>
      <c r="AM344" s="362"/>
      <c r="AN344" s="362"/>
      <c r="AO344" s="362"/>
      <c r="AP344" s="362"/>
      <c r="AQ344" s="362"/>
      <c r="AR344" s="362"/>
    </row>
    <row r="345" spans="1:44" ht="12.75" customHeight="1" x14ac:dyDescent="0.15">
      <c r="A345" s="431"/>
      <c r="B345" s="393"/>
      <c r="C345" s="428"/>
      <c r="D345" s="428">
        <v>632685.49137430522</v>
      </c>
      <c r="E345" s="224">
        <v>211485.82016941745</v>
      </c>
      <c r="F345" s="224">
        <v>4.5532410453575567</v>
      </c>
      <c r="G345" s="224">
        <v>4.204168640688982</v>
      </c>
      <c r="H345" s="224">
        <v>2.8248881564401298</v>
      </c>
      <c r="I345" s="224">
        <v>2.494340860931799</v>
      </c>
      <c r="J345" s="224"/>
      <c r="M345" s="224">
        <f t="shared" si="21"/>
        <v>421199.6712048878</v>
      </c>
      <c r="N345" s="224">
        <f t="shared" si="22"/>
        <v>0.3490724046685747</v>
      </c>
      <c r="O345" s="224">
        <f t="shared" si="23"/>
        <v>0.33054729550833084</v>
      </c>
      <c r="Q345" s="224"/>
      <c r="R345" s="224"/>
      <c r="S345" s="429"/>
      <c r="Z345" s="362"/>
      <c r="AA345" s="421"/>
      <c r="AB345" s="362"/>
      <c r="AC345" s="362"/>
      <c r="AD345" s="362"/>
      <c r="AE345" s="362"/>
      <c r="AF345" s="362"/>
      <c r="AG345" s="362"/>
      <c r="AH345" s="362"/>
      <c r="AI345" s="393"/>
      <c r="AJ345" s="393"/>
      <c r="AK345" s="362"/>
      <c r="AL345" s="362"/>
      <c r="AM345" s="362"/>
      <c r="AN345" s="362"/>
      <c r="AO345" s="362"/>
      <c r="AP345" s="362"/>
      <c r="AQ345" s="362"/>
      <c r="AR345" s="362"/>
    </row>
    <row r="346" spans="1:44" ht="12.75" customHeight="1" x14ac:dyDescent="0.15">
      <c r="A346" s="431"/>
      <c r="B346" s="393"/>
      <c r="C346" s="428"/>
      <c r="D346" s="428">
        <v>586473.76057881152</v>
      </c>
      <c r="E346" s="224">
        <v>106637.22297302354</v>
      </c>
      <c r="F346" s="224">
        <v>3.9973040928067864</v>
      </c>
      <c r="G346" s="224">
        <v>3.9956570554436026</v>
      </c>
      <c r="H346" s="224">
        <v>2.3321722792143618</v>
      </c>
      <c r="I346" s="224">
        <v>2.239475824811763</v>
      </c>
      <c r="J346" s="224"/>
      <c r="M346" s="224">
        <f t="shared" si="21"/>
        <v>479836.53760578798</v>
      </c>
      <c r="N346" s="224">
        <f t="shared" si="22"/>
        <v>1.6470373631838342E-3</v>
      </c>
      <c r="O346" s="224">
        <f t="shared" si="23"/>
        <v>9.2696454402598771E-2</v>
      </c>
      <c r="Q346" s="224"/>
      <c r="R346" s="224"/>
      <c r="S346" s="429"/>
      <c r="Z346" s="362"/>
      <c r="AA346" s="421"/>
      <c r="AB346" s="362"/>
      <c r="AC346" s="362"/>
      <c r="AD346" s="362"/>
      <c r="AE346" s="362"/>
      <c r="AF346" s="362"/>
      <c r="AG346" s="362"/>
      <c r="AH346" s="362"/>
      <c r="AI346" s="393"/>
      <c r="AJ346" s="393"/>
      <c r="AK346" s="362"/>
      <c r="AL346" s="362"/>
      <c r="AM346" s="362"/>
      <c r="AN346" s="362"/>
      <c r="AO346" s="362"/>
      <c r="AP346" s="362"/>
      <c r="AQ346" s="362"/>
      <c r="AR346" s="362"/>
    </row>
    <row r="347" spans="1:44" ht="12.75" customHeight="1" x14ac:dyDescent="0.15">
      <c r="A347" s="431"/>
      <c r="B347" s="393"/>
      <c r="C347" s="428"/>
      <c r="D347" s="428">
        <v>796261.86662993196</v>
      </c>
      <c r="E347" s="224">
        <v>181940.20528340418</v>
      </c>
      <c r="F347" s="224">
        <v>3.8148621644587095</v>
      </c>
      <c r="G347" s="224">
        <v>3.5192923995964618</v>
      </c>
      <c r="H347" s="224">
        <v>2.5759098576994588</v>
      </c>
      <c r="I347" s="224">
        <v>2.167945457099187</v>
      </c>
      <c r="J347" s="224"/>
      <c r="M347" s="224">
        <f t="shared" si="21"/>
        <v>614321.66134652775</v>
      </c>
      <c r="N347" s="224">
        <f t="shared" si="22"/>
        <v>0.29556976486224773</v>
      </c>
      <c r="O347" s="224">
        <f t="shared" si="23"/>
        <v>0.40796440060027184</v>
      </c>
      <c r="Q347" s="224"/>
      <c r="R347" s="224"/>
      <c r="S347" s="429"/>
      <c r="Z347" s="362"/>
      <c r="AA347" s="421"/>
      <c r="AB347" s="362"/>
      <c r="AC347" s="362"/>
      <c r="AD347" s="362"/>
      <c r="AE347" s="362"/>
      <c r="AF347" s="362"/>
      <c r="AG347" s="362"/>
      <c r="AH347" s="362"/>
      <c r="AI347" s="393"/>
      <c r="AJ347" s="393"/>
      <c r="AK347" s="362"/>
      <c r="AL347" s="362"/>
      <c r="AM347" s="362"/>
      <c r="AN347" s="362"/>
      <c r="AO347" s="362"/>
      <c r="AP347" s="362"/>
      <c r="AQ347" s="362"/>
      <c r="AR347" s="362"/>
    </row>
    <row r="348" spans="1:44" ht="12.75" customHeight="1" x14ac:dyDescent="0.15">
      <c r="A348" s="431"/>
      <c r="B348" s="393"/>
      <c r="C348" s="428"/>
      <c r="D348" s="428">
        <v>554924.35046098928</v>
      </c>
      <c r="E348" s="224">
        <v>200388.08963464334</v>
      </c>
      <c r="F348" s="224">
        <v>4.1998854154656806</v>
      </c>
      <c r="G348" s="224">
        <v>4.0223115169681538</v>
      </c>
      <c r="H348" s="224">
        <v>2.5143045019349373</v>
      </c>
      <c r="I348" s="224">
        <v>2.2128214514108451</v>
      </c>
      <c r="J348" s="224"/>
      <c r="M348" s="224">
        <f t="shared" si="21"/>
        <v>354536.26082634594</v>
      </c>
      <c r="N348" s="224">
        <f t="shared" si="22"/>
        <v>0.17757389849752681</v>
      </c>
      <c r="O348" s="224">
        <f t="shared" si="23"/>
        <v>0.30148305052409219</v>
      </c>
      <c r="Q348" s="224"/>
      <c r="R348" s="224"/>
      <c r="S348" s="429"/>
      <c r="Z348" s="362"/>
      <c r="AA348" s="421"/>
      <c r="AB348" s="362"/>
      <c r="AC348" s="362"/>
      <c r="AD348" s="362"/>
      <c r="AE348" s="362"/>
      <c r="AF348" s="362"/>
      <c r="AG348" s="362"/>
      <c r="AH348" s="362"/>
      <c r="AI348" s="393"/>
      <c r="AJ348" s="393"/>
      <c r="AK348" s="362"/>
      <c r="AL348" s="362"/>
      <c r="AM348" s="362"/>
      <c r="AN348" s="362"/>
      <c r="AO348" s="362"/>
      <c r="AP348" s="362"/>
      <c r="AQ348" s="362"/>
      <c r="AR348" s="362"/>
    </row>
    <row r="349" spans="1:44" ht="12.75" customHeight="1" x14ac:dyDescent="0.15">
      <c r="A349" s="431"/>
      <c r="B349" s="393"/>
      <c r="C349" s="428"/>
      <c r="D349" s="428">
        <v>652074.31019359361</v>
      </c>
      <c r="E349" s="224">
        <v>128557.366441205</v>
      </c>
      <c r="F349" s="224">
        <v>4.7668962972068663</v>
      </c>
      <c r="G349" s="224">
        <v>3.5954040351672463</v>
      </c>
      <c r="H349" s="224">
        <v>2.9325781792640804</v>
      </c>
      <c r="I349" s="224">
        <v>2.1072693997513898</v>
      </c>
      <c r="J349" s="224"/>
      <c r="M349" s="224">
        <f t="shared" si="21"/>
        <v>523516.94375238859</v>
      </c>
      <c r="N349" s="224">
        <f t="shared" si="22"/>
        <v>1.17149226203962</v>
      </c>
      <c r="O349" s="224">
        <f t="shared" si="23"/>
        <v>0.82530877951269055</v>
      </c>
      <c r="Q349" s="224"/>
      <c r="R349" s="224"/>
      <c r="S349" s="429"/>
      <c r="Z349" s="362"/>
      <c r="AA349" s="421"/>
      <c r="AB349" s="362"/>
      <c r="AC349" s="362"/>
      <c r="AD349" s="362"/>
      <c r="AE349" s="362"/>
      <c r="AF349" s="362"/>
      <c r="AG349" s="362"/>
      <c r="AH349" s="362"/>
      <c r="AI349" s="393"/>
      <c r="AJ349" s="393"/>
      <c r="AK349" s="362"/>
      <c r="AL349" s="362"/>
      <c r="AM349" s="362"/>
      <c r="AN349" s="362"/>
      <c r="AO349" s="362"/>
      <c r="AP349" s="362"/>
      <c r="AQ349" s="362"/>
      <c r="AR349" s="362"/>
    </row>
    <row r="350" spans="1:44" ht="12.75" customHeight="1" x14ac:dyDescent="0.15">
      <c r="A350" s="431"/>
      <c r="B350" s="393"/>
      <c r="C350" s="428"/>
      <c r="D350" s="428">
        <v>526494.76356964046</v>
      </c>
      <c r="E350" s="224">
        <v>139175.70639619057</v>
      </c>
      <c r="F350" s="224">
        <v>3.9135128571693691</v>
      </c>
      <c r="G350" s="224">
        <v>3.3860651263558061</v>
      </c>
      <c r="H350" s="224">
        <v>2.3037323724608507</v>
      </c>
      <c r="I350" s="224">
        <v>1.8356158633446353</v>
      </c>
      <c r="J350" s="224"/>
      <c r="M350" s="224">
        <f t="shared" si="21"/>
        <v>387319.0571734499</v>
      </c>
      <c r="N350" s="224">
        <f t="shared" si="22"/>
        <v>0.527447730813563</v>
      </c>
      <c r="O350" s="224">
        <f t="shared" si="23"/>
        <v>0.46811650911621538</v>
      </c>
      <c r="Q350" s="224"/>
      <c r="R350" s="224"/>
      <c r="S350" s="429"/>
      <c r="Z350" s="362"/>
      <c r="AA350" s="421"/>
      <c r="AB350" s="362"/>
      <c r="AC350" s="362"/>
      <c r="AD350" s="362"/>
      <c r="AE350" s="362"/>
      <c r="AF350" s="362"/>
      <c r="AG350" s="362"/>
      <c r="AH350" s="362"/>
      <c r="AI350" s="393"/>
      <c r="AJ350" s="393"/>
      <c r="AK350" s="362"/>
      <c r="AL350" s="362"/>
      <c r="AM350" s="362"/>
      <c r="AN350" s="362"/>
      <c r="AO350" s="362"/>
      <c r="AP350" s="362"/>
      <c r="AQ350" s="362"/>
      <c r="AR350" s="362"/>
    </row>
    <row r="351" spans="1:44" ht="12.75" customHeight="1" x14ac:dyDescent="0.15">
      <c r="A351" s="431"/>
      <c r="B351" s="393"/>
      <c r="C351" s="428"/>
      <c r="D351" s="428">
        <v>562985.37364418688</v>
      </c>
      <c r="E351" s="224">
        <v>159635.12413127173</v>
      </c>
      <c r="F351" s="224">
        <v>4.0389506975517406</v>
      </c>
      <c r="G351" s="224">
        <v>3.7792633486116123</v>
      </c>
      <c r="H351" s="224">
        <v>2.3453984013525755</v>
      </c>
      <c r="I351" s="224">
        <v>1.9803733387414588</v>
      </c>
      <c r="J351" s="224"/>
      <c r="M351" s="224">
        <f t="shared" si="21"/>
        <v>403350.24951291515</v>
      </c>
      <c r="N351" s="224">
        <f t="shared" si="22"/>
        <v>0.25968734894012835</v>
      </c>
      <c r="O351" s="224">
        <f t="shared" si="23"/>
        <v>0.36502506261111667</v>
      </c>
      <c r="Q351" s="224"/>
      <c r="R351" s="224"/>
      <c r="S351" s="429"/>
      <c r="Z351" s="362"/>
      <c r="AA351" s="421"/>
      <c r="AB351" s="362"/>
      <c r="AC351" s="362"/>
      <c r="AD351" s="362"/>
      <c r="AE351" s="362"/>
      <c r="AF351" s="362"/>
      <c r="AG351" s="362"/>
      <c r="AH351" s="362"/>
      <c r="AI351" s="393"/>
      <c r="AJ351" s="393"/>
      <c r="AK351" s="362"/>
      <c r="AL351" s="362"/>
      <c r="AM351" s="362"/>
      <c r="AN351" s="362"/>
      <c r="AO351" s="362"/>
      <c r="AP351" s="362"/>
      <c r="AQ351" s="362"/>
      <c r="AR351" s="362"/>
    </row>
    <row r="352" spans="1:44" ht="12.75" customHeight="1" x14ac:dyDescent="0.15">
      <c r="A352" s="431"/>
      <c r="B352" s="393"/>
      <c r="C352" s="428"/>
      <c r="D352" s="428">
        <v>611873.42375187995</v>
      </c>
      <c r="E352" s="224">
        <v>135412.23069698986</v>
      </c>
      <c r="F352" s="224">
        <v>3.9450558155511115</v>
      </c>
      <c r="G352" s="224">
        <v>3.9948701812067675</v>
      </c>
      <c r="H352" s="224">
        <v>2.5524984412665472</v>
      </c>
      <c r="I352" s="224">
        <v>2.3203305049028846</v>
      </c>
      <c r="J352" s="224"/>
      <c r="M352" s="224">
        <f t="shared" si="21"/>
        <v>476461.19305489009</v>
      </c>
      <c r="N352" s="224">
        <f t="shared" si="22"/>
        <v>-4.9814365655656001E-2</v>
      </c>
      <c r="O352" s="224">
        <f t="shared" si="23"/>
        <v>0.23216793636366262</v>
      </c>
      <c r="Q352" s="224"/>
      <c r="R352" s="224"/>
      <c r="S352" s="429"/>
      <c r="Z352" s="362"/>
      <c r="AA352" s="421"/>
      <c r="AB352" s="362"/>
      <c r="AC352" s="362"/>
      <c r="AD352" s="362"/>
      <c r="AE352" s="362"/>
      <c r="AF352" s="362"/>
      <c r="AG352" s="362"/>
      <c r="AH352" s="362"/>
      <c r="AI352" s="393"/>
      <c r="AJ352" s="393"/>
      <c r="AK352" s="362"/>
      <c r="AL352" s="362"/>
      <c r="AM352" s="362"/>
      <c r="AN352" s="362"/>
      <c r="AO352" s="362"/>
      <c r="AP352" s="362"/>
      <c r="AQ352" s="362"/>
      <c r="AR352" s="362"/>
    </row>
    <row r="353" spans="1:44" ht="12.75" customHeight="1" x14ac:dyDescent="0.15">
      <c r="A353" s="431"/>
      <c r="B353" s="393"/>
      <c r="C353" s="428"/>
      <c r="D353" s="428">
        <v>663825.29771174013</v>
      </c>
      <c r="E353" s="224">
        <v>244025.33413959423</v>
      </c>
      <c r="F353" s="224">
        <v>4.2438316139444776</v>
      </c>
      <c r="G353" s="224">
        <v>3.7766063990133092</v>
      </c>
      <c r="H353" s="224">
        <v>2.7623556198389969</v>
      </c>
      <c r="I353" s="224">
        <v>2.57680934392054</v>
      </c>
      <c r="J353" s="224"/>
      <c r="M353" s="224">
        <f t="shared" si="21"/>
        <v>419799.96357214591</v>
      </c>
      <c r="N353" s="224">
        <f t="shared" si="22"/>
        <v>0.46722521493116842</v>
      </c>
      <c r="O353" s="224">
        <f t="shared" si="23"/>
        <v>0.18554627591845696</v>
      </c>
      <c r="Q353" s="224"/>
      <c r="R353" s="224"/>
      <c r="S353" s="429"/>
      <c r="Z353" s="362"/>
      <c r="AA353" s="421"/>
      <c r="AB353" s="362"/>
      <c r="AC353" s="362"/>
      <c r="AD353" s="362"/>
      <c r="AE353" s="362"/>
      <c r="AF353" s="362"/>
      <c r="AG353" s="362"/>
      <c r="AH353" s="362"/>
      <c r="AI353" s="393"/>
      <c r="AJ353" s="393"/>
      <c r="AK353" s="362"/>
      <c r="AL353" s="362"/>
      <c r="AM353" s="362"/>
      <c r="AN353" s="362"/>
      <c r="AO353" s="362"/>
      <c r="AP353" s="362"/>
      <c r="AQ353" s="362"/>
      <c r="AR353" s="362"/>
    </row>
    <row r="354" spans="1:44" ht="12.75" customHeight="1" x14ac:dyDescent="0.15">
      <c r="A354" s="431"/>
      <c r="B354" s="393"/>
      <c r="C354" s="428"/>
      <c r="D354" s="428">
        <v>550322.45914496551</v>
      </c>
      <c r="E354" s="224">
        <v>127589.04505527922</v>
      </c>
      <c r="F354" s="224">
        <v>4.8249267166149359</v>
      </c>
      <c r="G354" s="224">
        <v>4.0832873975989452</v>
      </c>
      <c r="H354" s="224">
        <v>2.9298113677674329</v>
      </c>
      <c r="I354" s="224">
        <v>2.4204991733935723</v>
      </c>
      <c r="J354" s="224"/>
      <c r="M354" s="224">
        <f t="shared" si="21"/>
        <v>422733.4140896863</v>
      </c>
      <c r="N354" s="224">
        <f t="shared" si="22"/>
        <v>0.74163931901599067</v>
      </c>
      <c r="O354" s="224">
        <f t="shared" si="23"/>
        <v>0.50931219437386055</v>
      </c>
      <c r="Q354" s="224"/>
      <c r="R354" s="224"/>
      <c r="S354" s="429"/>
      <c r="Z354" s="362"/>
      <c r="AA354" s="421"/>
      <c r="AB354" s="362"/>
      <c r="AC354" s="362"/>
      <c r="AD354" s="362"/>
      <c r="AE354" s="362"/>
      <c r="AF354" s="362"/>
      <c r="AG354" s="362"/>
      <c r="AH354" s="362"/>
      <c r="AI354" s="393"/>
      <c r="AJ354" s="393"/>
      <c r="AK354" s="362"/>
      <c r="AL354" s="362"/>
      <c r="AM354" s="362"/>
      <c r="AN354" s="362"/>
      <c r="AO354" s="362"/>
      <c r="AP354" s="362"/>
      <c r="AQ354" s="362"/>
      <c r="AR354" s="362"/>
    </row>
    <row r="355" spans="1:44" ht="12.75" customHeight="1" x14ac:dyDescent="0.15">
      <c r="A355" s="431"/>
      <c r="B355" s="393"/>
      <c r="C355" s="428"/>
      <c r="D355" s="428">
        <v>580748.27356848877</v>
      </c>
      <c r="E355" s="224">
        <v>124588.34385718792</v>
      </c>
      <c r="F355" s="224">
        <v>4.4142836611336804</v>
      </c>
      <c r="G355" s="224">
        <v>3.8877137012976131</v>
      </c>
      <c r="H355" s="224">
        <v>2.7795964064640422</v>
      </c>
      <c r="I355" s="224">
        <v>2.3841944371942798</v>
      </c>
      <c r="J355" s="224"/>
      <c r="M355" s="224">
        <f t="shared" si="21"/>
        <v>456159.92971130088</v>
      </c>
      <c r="N355" s="224">
        <f t="shared" si="22"/>
        <v>0.52656995983606736</v>
      </c>
      <c r="O355" s="224">
        <f t="shared" si="23"/>
        <v>0.39540196926976234</v>
      </c>
      <c r="Q355" s="224"/>
      <c r="R355" s="224"/>
      <c r="S355" s="429"/>
      <c r="Z355" s="362"/>
      <c r="AA355" s="421"/>
      <c r="AB355" s="362"/>
      <c r="AC355" s="362"/>
      <c r="AD355" s="362"/>
      <c r="AE355" s="362"/>
      <c r="AF355" s="362"/>
      <c r="AG355" s="362"/>
      <c r="AH355" s="362"/>
      <c r="AI355" s="393"/>
      <c r="AJ355" s="393"/>
      <c r="AK355" s="362"/>
      <c r="AL355" s="362"/>
      <c r="AM355" s="362"/>
      <c r="AN355" s="362"/>
      <c r="AO355" s="362"/>
      <c r="AP355" s="362"/>
      <c r="AQ355" s="362"/>
      <c r="AR355" s="362"/>
    </row>
    <row r="356" spans="1:44" ht="12.75" customHeight="1" x14ac:dyDescent="0.15">
      <c r="A356" s="431"/>
      <c r="B356" s="393"/>
      <c r="C356" s="428"/>
      <c r="D356" s="428">
        <v>565791.61401040782</v>
      </c>
      <c r="E356" s="224">
        <v>123109.06489136608</v>
      </c>
      <c r="F356" s="224">
        <v>4.51626774771026</v>
      </c>
      <c r="G356" s="224">
        <v>3.8612571241852085</v>
      </c>
      <c r="H356" s="224">
        <v>2.9491769534423722</v>
      </c>
      <c r="I356" s="224">
        <v>2.5311691765544193</v>
      </c>
      <c r="J356" s="224"/>
      <c r="M356" s="224">
        <f t="shared" si="21"/>
        <v>442682.54911904177</v>
      </c>
      <c r="N356" s="224">
        <f t="shared" si="22"/>
        <v>0.65501062352505146</v>
      </c>
      <c r="O356" s="224">
        <f t="shared" si="23"/>
        <v>0.41800777688795288</v>
      </c>
      <c r="Q356" s="224"/>
      <c r="R356" s="224"/>
      <c r="S356" s="429"/>
      <c r="Z356" s="362"/>
      <c r="AA356" s="421"/>
      <c r="AB356" s="362"/>
      <c r="AC356" s="362"/>
      <c r="AD356" s="362"/>
      <c r="AE356" s="362"/>
      <c r="AF356" s="362"/>
      <c r="AG356" s="362"/>
      <c r="AH356" s="362"/>
      <c r="AI356" s="393"/>
      <c r="AJ356" s="393"/>
      <c r="AK356" s="362"/>
      <c r="AL356" s="362"/>
      <c r="AM356" s="362"/>
      <c r="AN356" s="362"/>
      <c r="AO356" s="362"/>
      <c r="AP356" s="362"/>
      <c r="AQ356" s="362"/>
      <c r="AR356" s="362"/>
    </row>
    <row r="357" spans="1:44" ht="12.75" customHeight="1" x14ac:dyDescent="0.15">
      <c r="A357" s="431"/>
      <c r="B357" s="393"/>
      <c r="C357" s="428"/>
      <c r="D357" s="428">
        <v>663237.79329285165</v>
      </c>
      <c r="E357" s="224">
        <v>135741.98794398858</v>
      </c>
      <c r="F357" s="224">
        <v>3.6344726378644223</v>
      </c>
      <c r="G357" s="224">
        <v>3.8998050478581701</v>
      </c>
      <c r="H357" s="224">
        <v>2.4982405932598795</v>
      </c>
      <c r="I357" s="224">
        <v>1.9782035568439047</v>
      </c>
      <c r="J357" s="224"/>
      <c r="M357" s="224">
        <f t="shared" si="21"/>
        <v>527495.80534886313</v>
      </c>
      <c r="N357" s="224">
        <f t="shared" si="22"/>
        <v>-0.26533240999374774</v>
      </c>
      <c r="O357" s="224">
        <f t="shared" si="23"/>
        <v>0.52003703641597476</v>
      </c>
      <c r="Q357" s="224"/>
      <c r="R357" s="224"/>
      <c r="S357" s="429"/>
      <c r="Z357" s="362"/>
      <c r="AA357" s="421"/>
      <c r="AB357" s="362"/>
      <c r="AC357" s="362"/>
      <c r="AD357" s="362"/>
      <c r="AE357" s="362"/>
      <c r="AF357" s="362"/>
      <c r="AG357" s="362"/>
      <c r="AH357" s="362"/>
      <c r="AI357" s="393"/>
      <c r="AJ357" s="393"/>
      <c r="AK357" s="362"/>
      <c r="AL357" s="362"/>
      <c r="AM357" s="362"/>
      <c r="AN357" s="362"/>
      <c r="AO357" s="362"/>
      <c r="AP357" s="362"/>
      <c r="AQ357" s="362"/>
      <c r="AR357" s="362"/>
    </row>
    <row r="358" spans="1:44" ht="12.75" customHeight="1" x14ac:dyDescent="0.15">
      <c r="A358" s="431"/>
      <c r="B358" s="393"/>
      <c r="C358" s="428"/>
      <c r="D358" s="428">
        <v>583927.57457433501</v>
      </c>
      <c r="E358" s="224">
        <v>130707.87872250583</v>
      </c>
      <c r="F358" s="224">
        <v>4.2428227341391072</v>
      </c>
      <c r="G358" s="224">
        <v>3.8545915214114195</v>
      </c>
      <c r="H358" s="224">
        <v>2.7110425326922987</v>
      </c>
      <c r="I358" s="224">
        <v>2.2753825388429494</v>
      </c>
      <c r="J358" s="224"/>
      <c r="M358" s="224">
        <f t="shared" si="21"/>
        <v>453219.69585182919</v>
      </c>
      <c r="N358" s="224">
        <f t="shared" si="22"/>
        <v>0.38823121272768768</v>
      </c>
      <c r="O358" s="224">
        <f t="shared" si="23"/>
        <v>0.43565999384934928</v>
      </c>
      <c r="Q358" s="224"/>
      <c r="R358" s="224"/>
      <c r="S358" s="429"/>
      <c r="Z358" s="362"/>
      <c r="AA358" s="421"/>
      <c r="AB358" s="362"/>
      <c r="AC358" s="362"/>
      <c r="AD358" s="362"/>
      <c r="AE358" s="362"/>
      <c r="AF358" s="362"/>
      <c r="AG358" s="362"/>
      <c r="AH358" s="362"/>
      <c r="AI358" s="393"/>
      <c r="AJ358" s="393"/>
      <c r="AK358" s="362"/>
      <c r="AL358" s="362"/>
      <c r="AM358" s="362"/>
      <c r="AN358" s="362"/>
      <c r="AO358" s="362"/>
      <c r="AP358" s="362"/>
      <c r="AQ358" s="362"/>
      <c r="AR358" s="362"/>
    </row>
    <row r="359" spans="1:44" ht="12.75" customHeight="1" x14ac:dyDescent="0.15">
      <c r="A359" s="431"/>
      <c r="B359" s="393"/>
      <c r="C359" s="428"/>
      <c r="D359" s="428">
        <v>606743.03951708472</v>
      </c>
      <c r="E359" s="224">
        <v>170862.17514036788</v>
      </c>
      <c r="F359" s="224">
        <v>4.2107696237349934</v>
      </c>
      <c r="G359" s="224">
        <v>4.1367177311493881</v>
      </c>
      <c r="H359" s="224">
        <v>2.4336004373076934</v>
      </c>
      <c r="I359" s="224">
        <v>2.3137502907240708</v>
      </c>
      <c r="J359" s="224"/>
      <c r="M359" s="224">
        <f t="shared" si="21"/>
        <v>435880.86437671684</v>
      </c>
      <c r="N359" s="224">
        <f t="shared" si="22"/>
        <v>7.4051892585605295E-2</v>
      </c>
      <c r="O359" s="224">
        <f t="shared" si="23"/>
        <v>0.11985014658362259</v>
      </c>
      <c r="Q359" s="224"/>
      <c r="R359" s="224"/>
      <c r="S359" s="429"/>
      <c r="Z359" s="362"/>
      <c r="AA359" s="421"/>
      <c r="AB359" s="362"/>
      <c r="AC359" s="362"/>
      <c r="AD359" s="362"/>
      <c r="AE359" s="362"/>
      <c r="AF359" s="362"/>
      <c r="AG359" s="362"/>
      <c r="AH359" s="362"/>
      <c r="AI359" s="393"/>
      <c r="AJ359" s="393"/>
      <c r="AK359" s="362"/>
      <c r="AL359" s="362"/>
      <c r="AM359" s="362"/>
      <c r="AN359" s="362"/>
      <c r="AO359" s="362"/>
      <c r="AP359" s="362"/>
      <c r="AQ359" s="362"/>
      <c r="AR359" s="362"/>
    </row>
    <row r="360" spans="1:44" ht="12.75" customHeight="1" x14ac:dyDescent="0.15">
      <c r="A360" s="431"/>
      <c r="B360" s="393"/>
      <c r="C360" s="428"/>
      <c r="D360" s="428">
        <v>594345.14802496065</v>
      </c>
      <c r="E360" s="224">
        <v>148785.64979367386</v>
      </c>
      <c r="F360" s="224">
        <v>4.8542918207068162</v>
      </c>
      <c r="G360" s="224">
        <v>3.9219447460977741</v>
      </c>
      <c r="H360" s="224">
        <v>3.099954484129416</v>
      </c>
      <c r="I360" s="224">
        <v>2.286041771360507</v>
      </c>
      <c r="J360" s="224"/>
      <c r="M360" s="224">
        <f t="shared" si="21"/>
        <v>445559.49823128677</v>
      </c>
      <c r="N360" s="224">
        <f t="shared" si="22"/>
        <v>0.93234707460904209</v>
      </c>
      <c r="O360" s="224">
        <f t="shared" si="23"/>
        <v>0.81391271276890897</v>
      </c>
      <c r="Q360" s="224"/>
      <c r="R360" s="224"/>
      <c r="S360" s="429"/>
      <c r="Z360" s="362"/>
      <c r="AA360" s="421"/>
      <c r="AB360" s="362"/>
      <c r="AC360" s="362"/>
      <c r="AD360" s="362"/>
      <c r="AE360" s="362"/>
      <c r="AF360" s="362"/>
      <c r="AG360" s="362"/>
      <c r="AH360" s="362"/>
      <c r="AI360" s="393"/>
      <c r="AJ360" s="393"/>
      <c r="AK360" s="362"/>
      <c r="AL360" s="362"/>
      <c r="AM360" s="362"/>
      <c r="AN360" s="362"/>
      <c r="AO360" s="362"/>
      <c r="AP360" s="362"/>
      <c r="AQ360" s="362"/>
      <c r="AR360" s="362"/>
    </row>
    <row r="361" spans="1:44" ht="12.75" customHeight="1" x14ac:dyDescent="0.15">
      <c r="A361" s="431"/>
      <c r="B361" s="393"/>
      <c r="C361" s="428"/>
      <c r="D361" s="428">
        <v>596146.05166658631</v>
      </c>
      <c r="E361" s="224">
        <v>197081.91069640679</v>
      </c>
      <c r="F361" s="224">
        <v>4.3904428760786107</v>
      </c>
      <c r="G361" s="224">
        <v>4.066714433927122</v>
      </c>
      <c r="H361" s="224">
        <v>2.5874250961483565</v>
      </c>
      <c r="I361" s="224">
        <v>2.0957985070637823</v>
      </c>
      <c r="J361" s="224"/>
      <c r="M361" s="224">
        <f t="shared" si="21"/>
        <v>399064.14097017952</v>
      </c>
      <c r="N361" s="224">
        <f t="shared" si="22"/>
        <v>0.32372844215148877</v>
      </c>
      <c r="O361" s="224">
        <f t="shared" si="23"/>
        <v>0.49162658908457413</v>
      </c>
      <c r="Q361" s="224"/>
      <c r="R361" s="224"/>
      <c r="S361" s="429"/>
      <c r="Z361" s="362"/>
      <c r="AA361" s="421"/>
      <c r="AB361" s="362"/>
      <c r="AC361" s="362"/>
      <c r="AD361" s="362"/>
      <c r="AE361" s="362"/>
      <c r="AF361" s="362"/>
      <c r="AG361" s="362"/>
      <c r="AH361" s="362"/>
      <c r="AI361" s="393"/>
      <c r="AJ361" s="393"/>
      <c r="AK361" s="362"/>
      <c r="AL361" s="362"/>
      <c r="AM361" s="362"/>
      <c r="AN361" s="362"/>
      <c r="AO361" s="362"/>
      <c r="AP361" s="362"/>
      <c r="AQ361" s="362"/>
      <c r="AR361" s="362"/>
    </row>
    <row r="362" spans="1:44" ht="12.75" customHeight="1" x14ac:dyDescent="0.15">
      <c r="A362" s="431"/>
      <c r="B362" s="393"/>
      <c r="C362" s="428"/>
      <c r="D362" s="428">
        <v>672796.48735216586</v>
      </c>
      <c r="E362" s="224">
        <v>170360.18604009555</v>
      </c>
      <c r="F362" s="224">
        <v>4.8581609938830113</v>
      </c>
      <c r="G362" s="224">
        <v>3.6263042399214158</v>
      </c>
      <c r="H362" s="224">
        <v>2.8795341838988864</v>
      </c>
      <c r="I362" s="224">
        <v>2.1203745993324796</v>
      </c>
      <c r="J362" s="224"/>
      <c r="M362" s="224">
        <f t="shared" si="21"/>
        <v>502436.30131207034</v>
      </c>
      <c r="N362" s="224">
        <f t="shared" si="22"/>
        <v>1.2318567539615954</v>
      </c>
      <c r="O362" s="224">
        <f t="shared" si="23"/>
        <v>0.75915958456640675</v>
      </c>
      <c r="Q362" s="224"/>
      <c r="R362" s="224"/>
      <c r="S362" s="429"/>
      <c r="Z362" s="362"/>
      <c r="AA362" s="421"/>
      <c r="AB362" s="362"/>
      <c r="AC362" s="362"/>
      <c r="AD362" s="362"/>
      <c r="AE362" s="362"/>
      <c r="AF362" s="362"/>
      <c r="AG362" s="362"/>
      <c r="AH362" s="362"/>
      <c r="AI362" s="393"/>
      <c r="AJ362" s="393"/>
      <c r="AK362" s="362"/>
      <c r="AL362" s="362"/>
      <c r="AM362" s="362"/>
      <c r="AN362" s="362"/>
      <c r="AO362" s="362"/>
      <c r="AP362" s="362"/>
      <c r="AQ362" s="362"/>
      <c r="AR362" s="362"/>
    </row>
    <row r="363" spans="1:44" ht="12.75" customHeight="1" x14ac:dyDescent="0.15">
      <c r="A363" s="431"/>
      <c r="B363" s="393"/>
      <c r="C363" s="428"/>
      <c r="D363" s="428">
        <v>582095.90025172953</v>
      </c>
      <c r="E363" s="224">
        <v>116556.61001470772</v>
      </c>
      <c r="F363" s="224">
        <v>4.1334777601270982</v>
      </c>
      <c r="G363" s="224">
        <v>3.5873311734340483</v>
      </c>
      <c r="H363" s="224">
        <v>2.6153026410567612</v>
      </c>
      <c r="I363" s="224">
        <v>2.0494463162559797</v>
      </c>
      <c r="J363" s="224"/>
      <c r="M363" s="224">
        <f t="shared" si="21"/>
        <v>465539.29023702181</v>
      </c>
      <c r="N363" s="224">
        <f t="shared" si="22"/>
        <v>0.54614658669304994</v>
      </c>
      <c r="O363" s="224">
        <f t="shared" si="23"/>
        <v>0.56585632480078152</v>
      </c>
      <c r="Q363" s="224"/>
      <c r="R363" s="224"/>
      <c r="S363" s="429"/>
      <c r="Z363" s="362"/>
      <c r="AA363" s="421"/>
      <c r="AB363" s="362"/>
      <c r="AC363" s="362"/>
      <c r="AD363" s="362"/>
      <c r="AE363" s="362"/>
      <c r="AF363" s="362"/>
      <c r="AG363" s="362"/>
      <c r="AH363" s="362"/>
      <c r="AI363" s="393"/>
      <c r="AJ363" s="393"/>
      <c r="AK363" s="362"/>
      <c r="AL363" s="362"/>
      <c r="AM363" s="362"/>
      <c r="AN363" s="362"/>
      <c r="AO363" s="362"/>
      <c r="AP363" s="362"/>
      <c r="AQ363" s="362"/>
      <c r="AR363" s="362"/>
    </row>
    <row r="364" spans="1:44" ht="12.75" customHeight="1" x14ac:dyDescent="0.15">
      <c r="A364" s="431"/>
      <c r="B364" s="393"/>
      <c r="C364" s="428"/>
      <c r="D364" s="428">
        <v>521336.62969071337</v>
      </c>
      <c r="E364" s="224">
        <v>142305.64141461698</v>
      </c>
      <c r="F364" s="224">
        <v>4.5970003896951086</v>
      </c>
      <c r="G364" s="224">
        <v>4.0970849193104257</v>
      </c>
      <c r="H364" s="224">
        <v>2.5870930425988399</v>
      </c>
      <c r="I364" s="224">
        <v>2.1643528061242474</v>
      </c>
      <c r="J364" s="224"/>
      <c r="M364" s="224">
        <f t="shared" si="21"/>
        <v>379030.98827609641</v>
      </c>
      <c r="N364" s="224">
        <f t="shared" si="22"/>
        <v>0.49991547038468287</v>
      </c>
      <c r="O364" s="224">
        <f t="shared" si="23"/>
        <v>0.42274023647459247</v>
      </c>
      <c r="Q364" s="224"/>
      <c r="R364" s="224"/>
      <c r="S364" s="429"/>
      <c r="Z364" s="362"/>
      <c r="AA364" s="421"/>
      <c r="AB364" s="362"/>
      <c r="AC364" s="362"/>
      <c r="AD364" s="362"/>
      <c r="AE364" s="362"/>
      <c r="AF364" s="362"/>
      <c r="AG364" s="362"/>
      <c r="AH364" s="362"/>
      <c r="AI364" s="393"/>
      <c r="AJ364" s="393"/>
      <c r="AK364" s="362"/>
      <c r="AL364" s="362"/>
      <c r="AM364" s="362"/>
      <c r="AN364" s="362"/>
      <c r="AO364" s="362"/>
      <c r="AP364" s="362"/>
      <c r="AQ364" s="362"/>
      <c r="AR364" s="362"/>
    </row>
    <row r="365" spans="1:44" ht="12.75" customHeight="1" x14ac:dyDescent="0.15">
      <c r="A365" s="431"/>
      <c r="B365" s="393"/>
      <c r="C365" s="428"/>
      <c r="D365" s="428">
        <v>636002.91106763715</v>
      </c>
      <c r="E365" s="224">
        <v>221299.28632545713</v>
      </c>
      <c r="F365" s="224">
        <v>4.5223022512201414</v>
      </c>
      <c r="G365" s="224">
        <v>4.4569132183893467</v>
      </c>
      <c r="H365" s="224">
        <v>2.4522872106429712</v>
      </c>
      <c r="I365" s="224">
        <v>2.3397365427962269</v>
      </c>
      <c r="J365" s="224"/>
      <c r="M365" s="224">
        <f t="shared" si="21"/>
        <v>414703.62474217999</v>
      </c>
      <c r="N365" s="224">
        <f t="shared" si="22"/>
        <v>6.5389032830794669E-2</v>
      </c>
      <c r="O365" s="224">
        <f t="shared" si="23"/>
        <v>0.11255066784674428</v>
      </c>
      <c r="Q365" s="224"/>
      <c r="R365" s="224"/>
      <c r="S365" s="429"/>
      <c r="Z365" s="362"/>
      <c r="AA365" s="421"/>
      <c r="AB365" s="362"/>
      <c r="AC365" s="362"/>
      <c r="AD365" s="362"/>
      <c r="AE365" s="362"/>
      <c r="AF365" s="362"/>
      <c r="AG365" s="362"/>
      <c r="AH365" s="362"/>
      <c r="AI365" s="393"/>
      <c r="AJ365" s="393"/>
      <c r="AK365" s="362"/>
      <c r="AL365" s="362"/>
      <c r="AM365" s="362"/>
      <c r="AN365" s="362"/>
      <c r="AO365" s="362"/>
      <c r="AP365" s="362"/>
      <c r="AQ365" s="362"/>
      <c r="AR365" s="362"/>
    </row>
    <row r="366" spans="1:44" ht="12.75" customHeight="1" x14ac:dyDescent="0.15">
      <c r="A366" s="431"/>
      <c r="B366" s="393"/>
      <c r="C366" s="428"/>
      <c r="D366" s="428">
        <v>643544.04334630049</v>
      </c>
      <c r="E366" s="224">
        <v>176282.28271553697</v>
      </c>
      <c r="F366" s="224">
        <v>4.442102517049876</v>
      </c>
      <c r="G366" s="224">
        <v>4.2019338362459857</v>
      </c>
      <c r="H366" s="224">
        <v>2.3454207513155807</v>
      </c>
      <c r="I366" s="224">
        <v>1.9151043602574569</v>
      </c>
      <c r="J366" s="224"/>
      <c r="M366" s="224">
        <f t="shared" si="21"/>
        <v>467261.76063076349</v>
      </c>
      <c r="N366" s="224">
        <f t="shared" si="22"/>
        <v>0.24016868080389031</v>
      </c>
      <c r="O366" s="224">
        <f t="shared" si="23"/>
        <v>0.4303163910581238</v>
      </c>
      <c r="Q366" s="224"/>
      <c r="R366" s="224"/>
      <c r="S366" s="429"/>
      <c r="Z366" s="362"/>
      <c r="AA366" s="421"/>
      <c r="AB366" s="362"/>
      <c r="AC366" s="362"/>
      <c r="AD366" s="362"/>
      <c r="AE366" s="362"/>
      <c r="AF366" s="362"/>
      <c r="AG366" s="362"/>
      <c r="AH366" s="362"/>
      <c r="AI366" s="393"/>
      <c r="AJ366" s="393"/>
      <c r="AK366" s="362"/>
      <c r="AL366" s="362"/>
      <c r="AM366" s="362"/>
      <c r="AN366" s="362"/>
      <c r="AO366" s="362"/>
      <c r="AP366" s="362"/>
      <c r="AQ366" s="362"/>
      <c r="AR366" s="362"/>
    </row>
    <row r="367" spans="1:44" ht="12.75" customHeight="1" x14ac:dyDescent="0.15">
      <c r="A367" s="431"/>
      <c r="B367" s="393"/>
      <c r="C367" s="428"/>
      <c r="D367" s="428">
        <v>587265.08358984452</v>
      </c>
      <c r="E367" s="224">
        <v>159343.73663666414</v>
      </c>
      <c r="F367" s="224">
        <v>4.7577721758189737</v>
      </c>
      <c r="G367" s="224">
        <v>4.2912295089966817</v>
      </c>
      <c r="H367" s="224">
        <v>2.8138137525167179</v>
      </c>
      <c r="I367" s="224">
        <v>2.3685007466428867</v>
      </c>
      <c r="J367" s="224"/>
      <c r="M367" s="224">
        <f t="shared" si="21"/>
        <v>427921.34695318039</v>
      </c>
      <c r="N367" s="224">
        <f t="shared" si="22"/>
        <v>0.46654266682229206</v>
      </c>
      <c r="O367" s="224">
        <f t="shared" si="23"/>
        <v>0.44531300587383127</v>
      </c>
      <c r="Q367" s="224"/>
      <c r="R367" s="224"/>
      <c r="S367" s="429"/>
      <c r="Z367" s="362"/>
      <c r="AA367" s="421"/>
      <c r="AB367" s="362"/>
      <c r="AC367" s="362"/>
      <c r="AD367" s="362"/>
      <c r="AE367" s="362"/>
      <c r="AF367" s="362"/>
      <c r="AG367" s="362"/>
      <c r="AH367" s="362"/>
      <c r="AI367" s="393"/>
      <c r="AJ367" s="393"/>
      <c r="AK367" s="362"/>
      <c r="AL367" s="362"/>
      <c r="AM367" s="362"/>
      <c r="AN367" s="362"/>
      <c r="AO367" s="362"/>
      <c r="AP367" s="362"/>
      <c r="AQ367" s="362"/>
      <c r="AR367" s="362"/>
    </row>
    <row r="368" spans="1:44" ht="12.75" customHeight="1" x14ac:dyDescent="0.15">
      <c r="A368" s="431"/>
      <c r="B368" s="393"/>
      <c r="C368" s="428"/>
      <c r="D368" s="428">
        <v>663831.02175636054</v>
      </c>
      <c r="E368" s="224">
        <v>153666.52624336147</v>
      </c>
      <c r="F368" s="224">
        <v>3.8907999744492519</v>
      </c>
      <c r="G368" s="224">
        <v>3.970416924241206</v>
      </c>
      <c r="H368" s="224">
        <v>2.1468395556633908</v>
      </c>
      <c r="I368" s="224">
        <v>1.9989286706216811</v>
      </c>
      <c r="J368" s="224"/>
      <c r="M368" s="224">
        <f t="shared" si="21"/>
        <v>510164.49551299907</v>
      </c>
      <c r="N368" s="224">
        <f t="shared" si="22"/>
        <v>-7.9616949791954106E-2</v>
      </c>
      <c r="O368" s="224">
        <f t="shared" si="23"/>
        <v>0.14791088504170968</v>
      </c>
      <c r="Q368" s="224"/>
      <c r="R368" s="224"/>
      <c r="S368" s="429"/>
      <c r="Z368" s="362"/>
      <c r="AA368" s="421"/>
      <c r="AB368" s="362"/>
      <c r="AC368" s="362"/>
      <c r="AD368" s="362"/>
      <c r="AE368" s="362"/>
      <c r="AF368" s="362"/>
      <c r="AG368" s="362"/>
      <c r="AH368" s="362"/>
      <c r="AI368" s="393"/>
      <c r="AJ368" s="393"/>
      <c r="AK368" s="362"/>
      <c r="AL368" s="362"/>
      <c r="AM368" s="362"/>
      <c r="AN368" s="362"/>
      <c r="AO368" s="362"/>
      <c r="AP368" s="362"/>
      <c r="AQ368" s="362"/>
      <c r="AR368" s="362"/>
    </row>
    <row r="369" spans="1:44" ht="12.75" customHeight="1" x14ac:dyDescent="0.15">
      <c r="A369" s="431"/>
      <c r="B369" s="393"/>
      <c r="C369" s="428"/>
      <c r="D369" s="428">
        <v>634861.39297859673</v>
      </c>
      <c r="E369" s="224">
        <v>202226.71851707724</v>
      </c>
      <c r="F369" s="224">
        <v>4.5845201742892465</v>
      </c>
      <c r="G369" s="224">
        <v>4.173256768002064</v>
      </c>
      <c r="H369" s="224">
        <v>2.3841449447039036</v>
      </c>
      <c r="I369" s="224">
        <v>2.1336713834959946</v>
      </c>
      <c r="J369" s="224"/>
      <c r="M369" s="224">
        <f t="shared" si="21"/>
        <v>432634.67446151946</v>
      </c>
      <c r="N369" s="224">
        <f t="shared" si="22"/>
        <v>0.4112634062871825</v>
      </c>
      <c r="O369" s="224">
        <f t="shared" si="23"/>
        <v>0.25047356120790898</v>
      </c>
      <c r="Q369" s="224"/>
      <c r="R369" s="224"/>
      <c r="S369" s="429"/>
      <c r="Z369" s="362"/>
      <c r="AA369" s="421"/>
      <c r="AB369" s="362"/>
      <c r="AC369" s="362"/>
      <c r="AD369" s="362"/>
      <c r="AE369" s="362"/>
      <c r="AF369" s="362"/>
      <c r="AG369" s="362"/>
      <c r="AH369" s="362"/>
      <c r="AI369" s="393"/>
      <c r="AJ369" s="393"/>
      <c r="AK369" s="362"/>
      <c r="AL369" s="362"/>
      <c r="AM369" s="362"/>
      <c r="AN369" s="362"/>
      <c r="AO369" s="362"/>
      <c r="AP369" s="362"/>
      <c r="AQ369" s="362"/>
      <c r="AR369" s="362"/>
    </row>
    <row r="370" spans="1:44" ht="12.75" customHeight="1" x14ac:dyDescent="0.15">
      <c r="A370" s="431"/>
      <c r="B370" s="393"/>
      <c r="C370" s="428"/>
      <c r="D370" s="428">
        <v>640793.51966098533</v>
      </c>
      <c r="E370" s="224">
        <v>167793.21703873458</v>
      </c>
      <c r="F370" s="224">
        <v>3.9226307685608601</v>
      </c>
      <c r="G370" s="224">
        <v>3.4873613762382893</v>
      </c>
      <c r="H370" s="224">
        <v>2.829135694940716</v>
      </c>
      <c r="I370" s="224">
        <v>2.3562752310259496</v>
      </c>
      <c r="J370" s="224"/>
      <c r="M370" s="224">
        <f t="shared" si="21"/>
        <v>473000.30262225075</v>
      </c>
      <c r="N370" s="224">
        <f t="shared" si="22"/>
        <v>0.43526939232257078</v>
      </c>
      <c r="O370" s="224">
        <f t="shared" si="23"/>
        <v>0.47286046391476644</v>
      </c>
      <c r="Q370" s="224"/>
      <c r="R370" s="224"/>
      <c r="S370" s="429"/>
      <c r="Z370" s="362"/>
      <c r="AA370" s="421"/>
      <c r="AB370" s="362"/>
      <c r="AC370" s="362"/>
      <c r="AD370" s="362"/>
      <c r="AE370" s="362"/>
      <c r="AF370" s="362"/>
      <c r="AG370" s="362"/>
      <c r="AH370" s="362"/>
      <c r="AI370" s="393"/>
      <c r="AJ370" s="393"/>
      <c r="AK370" s="362"/>
      <c r="AL370" s="362"/>
      <c r="AM370" s="362"/>
      <c r="AN370" s="362"/>
      <c r="AO370" s="362"/>
      <c r="AP370" s="362"/>
      <c r="AQ370" s="362"/>
      <c r="AR370" s="362"/>
    </row>
    <row r="371" spans="1:44" ht="12.75" customHeight="1" x14ac:dyDescent="0.15">
      <c r="A371" s="431"/>
      <c r="B371" s="393"/>
      <c r="C371" s="428"/>
      <c r="D371" s="428">
        <v>562964.66658640304</v>
      </c>
      <c r="E371" s="224">
        <v>116394.63433884428</v>
      </c>
      <c r="F371" s="224">
        <v>5.0581512216816717</v>
      </c>
      <c r="G371" s="224">
        <v>3.9180555984063723</v>
      </c>
      <c r="H371" s="224">
        <v>2.6682358237647521</v>
      </c>
      <c r="I371" s="224">
        <v>2.056910286825457</v>
      </c>
      <c r="J371" s="224"/>
      <c r="M371" s="224">
        <f t="shared" si="21"/>
        <v>446570.03224755876</v>
      </c>
      <c r="N371" s="224">
        <f t="shared" si="22"/>
        <v>1.1400956232752995</v>
      </c>
      <c r="O371" s="224">
        <f t="shared" si="23"/>
        <v>0.61132553693929514</v>
      </c>
      <c r="Q371" s="224"/>
      <c r="R371" s="224"/>
      <c r="S371" s="429"/>
      <c r="Z371" s="362"/>
      <c r="AA371" s="421"/>
      <c r="AB371" s="362"/>
      <c r="AC371" s="362"/>
      <c r="AD371" s="362"/>
      <c r="AE371" s="362"/>
      <c r="AF371" s="362"/>
      <c r="AG371" s="362"/>
      <c r="AH371" s="362"/>
      <c r="AI371" s="393"/>
      <c r="AJ371" s="393"/>
      <c r="AK371" s="362"/>
      <c r="AL371" s="362"/>
      <c r="AM371" s="362"/>
      <c r="AN371" s="362"/>
      <c r="AO371" s="362"/>
      <c r="AP371" s="362"/>
      <c r="AQ371" s="362"/>
      <c r="AR371" s="362"/>
    </row>
    <row r="372" spans="1:44" ht="12.75" customHeight="1" x14ac:dyDescent="0.15">
      <c r="A372" s="431"/>
      <c r="B372" s="393"/>
      <c r="C372" s="428"/>
      <c r="D372" s="428">
        <v>446073.21413369448</v>
      </c>
      <c r="E372" s="224">
        <v>115389.8017055525</v>
      </c>
      <c r="F372" s="224">
        <v>4.2997769068659499</v>
      </c>
      <c r="G372" s="224">
        <v>4.0900738271613504</v>
      </c>
      <c r="H372" s="224">
        <v>2.4445043330447582</v>
      </c>
      <c r="I372" s="224">
        <v>2.3041621955868927</v>
      </c>
      <c r="J372" s="224"/>
      <c r="M372" s="224">
        <f t="shared" si="21"/>
        <v>330683.41242814198</v>
      </c>
      <c r="N372" s="224">
        <f t="shared" si="22"/>
        <v>0.20970307970459956</v>
      </c>
      <c r="O372" s="224">
        <f t="shared" si="23"/>
        <v>0.1403421374578655</v>
      </c>
      <c r="Q372" s="224"/>
      <c r="R372" s="224"/>
      <c r="S372" s="429"/>
      <c r="Z372" s="362"/>
      <c r="AA372" s="421"/>
      <c r="AB372" s="362"/>
      <c r="AC372" s="362"/>
      <c r="AD372" s="362"/>
      <c r="AE372" s="362"/>
      <c r="AF372" s="362"/>
      <c r="AG372" s="362"/>
      <c r="AH372" s="362"/>
      <c r="AI372" s="393"/>
      <c r="AJ372" s="393"/>
      <c r="AK372" s="362"/>
      <c r="AL372" s="362"/>
      <c r="AM372" s="362"/>
      <c r="AN372" s="362"/>
      <c r="AO372" s="362"/>
      <c r="AP372" s="362"/>
      <c r="AQ372" s="362"/>
      <c r="AR372" s="362"/>
    </row>
    <row r="373" spans="1:44" ht="12.75" customHeight="1" x14ac:dyDescent="0.15">
      <c r="A373" s="431"/>
      <c r="B373" s="393"/>
      <c r="C373" s="428"/>
      <c r="D373" s="428">
        <v>710230.25832951453</v>
      </c>
      <c r="E373" s="224">
        <v>237134.20696714055</v>
      </c>
      <c r="F373" s="224">
        <v>4.2124737443904099</v>
      </c>
      <c r="G373" s="224">
        <v>3.8869692185423799</v>
      </c>
      <c r="H373" s="224">
        <v>2.3669014580731211</v>
      </c>
      <c r="I373" s="224">
        <v>1.9036735643685201</v>
      </c>
      <c r="J373" s="224"/>
      <c r="M373" s="224">
        <f t="shared" si="21"/>
        <v>473096.05136237398</v>
      </c>
      <c r="N373" s="224">
        <f t="shared" si="22"/>
        <v>0.32550452584803002</v>
      </c>
      <c r="O373" s="224">
        <f t="shared" si="23"/>
        <v>0.46322789370460105</v>
      </c>
      <c r="Q373" s="224"/>
      <c r="R373" s="224"/>
      <c r="S373" s="429"/>
      <c r="Z373" s="362"/>
      <c r="AA373" s="421"/>
      <c r="AB373" s="362"/>
      <c r="AC373" s="362"/>
      <c r="AD373" s="362"/>
      <c r="AE373" s="362"/>
      <c r="AF373" s="362"/>
      <c r="AG373" s="362"/>
      <c r="AH373" s="362"/>
      <c r="AI373" s="393"/>
      <c r="AJ373" s="393"/>
      <c r="AK373" s="362"/>
      <c r="AL373" s="362"/>
      <c r="AM373" s="362"/>
      <c r="AN373" s="362"/>
      <c r="AO373" s="362"/>
      <c r="AP373" s="362"/>
      <c r="AQ373" s="362"/>
      <c r="AR373" s="362"/>
    </row>
    <row r="374" spans="1:44" ht="12.75" customHeight="1" x14ac:dyDescent="0.15">
      <c r="A374" s="431"/>
      <c r="B374" s="393"/>
      <c r="C374" s="428"/>
      <c r="D374" s="428">
        <v>721146.06879663281</v>
      </c>
      <c r="E374" s="224">
        <v>151795.13549958056</v>
      </c>
      <c r="F374" s="224">
        <v>4.4497679314859413</v>
      </c>
      <c r="G374" s="224">
        <v>3.6945615037012107</v>
      </c>
      <c r="H374" s="224">
        <v>2.8811837639037892</v>
      </c>
      <c r="I374" s="224">
        <v>1.9856690973928353</v>
      </c>
      <c r="J374" s="224"/>
      <c r="M374" s="224">
        <f t="shared" si="21"/>
        <v>569350.93329705228</v>
      </c>
      <c r="N374" s="224">
        <f t="shared" si="22"/>
        <v>0.75520642778473057</v>
      </c>
      <c r="O374" s="224">
        <f t="shared" si="23"/>
        <v>0.89551466651095391</v>
      </c>
      <c r="Q374" s="224"/>
      <c r="R374" s="224"/>
      <c r="S374" s="429"/>
      <c r="Z374" s="362"/>
      <c r="AA374" s="421"/>
      <c r="AB374" s="362"/>
      <c r="AC374" s="362"/>
      <c r="AD374" s="362"/>
      <c r="AE374" s="362"/>
      <c r="AF374" s="362"/>
      <c r="AG374" s="362"/>
      <c r="AH374" s="362"/>
      <c r="AI374" s="393"/>
      <c r="AJ374" s="393"/>
      <c r="AK374" s="362"/>
      <c r="AL374" s="362"/>
      <c r="AM374" s="362"/>
      <c r="AN374" s="362"/>
      <c r="AO374" s="362"/>
      <c r="AP374" s="362"/>
      <c r="AQ374" s="362"/>
      <c r="AR374" s="362"/>
    </row>
    <row r="375" spans="1:44" ht="12.75" customHeight="1" x14ac:dyDescent="0.15">
      <c r="A375" s="431"/>
      <c r="B375" s="393"/>
      <c r="C375" s="428"/>
      <c r="D375" s="428">
        <v>558993.26284654031</v>
      </c>
      <c r="E375" s="224">
        <v>158503.89380932262</v>
      </c>
      <c r="F375" s="224">
        <v>4.3282434249811796</v>
      </c>
      <c r="G375" s="224">
        <v>3.9187882724555605</v>
      </c>
      <c r="H375" s="224">
        <v>2.856466476487761</v>
      </c>
      <c r="I375" s="224">
        <v>2.4537116691663892</v>
      </c>
      <c r="J375" s="224"/>
      <c r="M375" s="224">
        <f t="shared" si="21"/>
        <v>400489.36903721769</v>
      </c>
      <c r="N375" s="224">
        <f t="shared" si="22"/>
        <v>0.40945515252561915</v>
      </c>
      <c r="O375" s="224">
        <f t="shared" si="23"/>
        <v>0.40275480732137181</v>
      </c>
      <c r="Q375" s="224"/>
      <c r="R375" s="224"/>
      <c r="S375" s="429"/>
      <c r="Z375" s="362"/>
      <c r="AA375" s="421"/>
      <c r="AB375" s="362"/>
      <c r="AC375" s="362"/>
      <c r="AD375" s="362"/>
      <c r="AE375" s="362"/>
      <c r="AF375" s="362"/>
      <c r="AG375" s="362"/>
      <c r="AH375" s="362"/>
      <c r="AI375" s="393"/>
      <c r="AJ375" s="393"/>
      <c r="AK375" s="362"/>
      <c r="AL375" s="362"/>
      <c r="AM375" s="362"/>
      <c r="AN375" s="362"/>
      <c r="AO375" s="362"/>
      <c r="AP375" s="362"/>
      <c r="AQ375" s="362"/>
      <c r="AR375" s="362"/>
    </row>
    <row r="376" spans="1:44" ht="12.75" customHeight="1" x14ac:dyDescent="0.15">
      <c r="A376" s="431"/>
      <c r="B376" s="393"/>
      <c r="C376" s="428"/>
      <c r="D376" s="428">
        <v>524652.87326926237</v>
      </c>
      <c r="E376" s="224">
        <v>95131.0179331174</v>
      </c>
      <c r="F376" s="224">
        <v>4.384319654012625</v>
      </c>
      <c r="G376" s="224">
        <v>3.8059357085205319</v>
      </c>
      <c r="H376" s="224">
        <v>2.503105543111575</v>
      </c>
      <c r="I376" s="224">
        <v>2.0921084213696015</v>
      </c>
      <c r="J376" s="224"/>
      <c r="M376" s="224">
        <f t="shared" si="21"/>
        <v>429521.85533614497</v>
      </c>
      <c r="N376" s="224">
        <f t="shared" si="22"/>
        <v>0.57838394549209315</v>
      </c>
      <c r="O376" s="224">
        <f t="shared" si="23"/>
        <v>0.41099712174197345</v>
      </c>
      <c r="Q376" s="224"/>
      <c r="R376" s="224"/>
      <c r="S376" s="429"/>
      <c r="Z376" s="362"/>
      <c r="AA376" s="421"/>
      <c r="AB376" s="362"/>
      <c r="AC376" s="362"/>
      <c r="AD376" s="362"/>
      <c r="AE376" s="362"/>
      <c r="AF376" s="362"/>
      <c r="AG376" s="362"/>
      <c r="AH376" s="362"/>
      <c r="AI376" s="393"/>
      <c r="AJ376" s="393"/>
      <c r="AK376" s="362"/>
      <c r="AL376" s="362"/>
      <c r="AM376" s="362"/>
      <c r="AN376" s="362"/>
      <c r="AO376" s="362"/>
      <c r="AP376" s="362"/>
      <c r="AQ376" s="362"/>
      <c r="AR376" s="362"/>
    </row>
    <row r="377" spans="1:44" ht="12.75" customHeight="1" x14ac:dyDescent="0.15">
      <c r="A377" s="431"/>
      <c r="B377" s="393"/>
      <c r="C377" s="428"/>
      <c r="D377" s="428">
        <v>545478.15736933984</v>
      </c>
      <c r="E377" s="224">
        <v>149696.48991149789</v>
      </c>
      <c r="F377" s="224">
        <v>4.8607106082575005</v>
      </c>
      <c r="G377" s="224">
        <v>4.2072916273844054</v>
      </c>
      <c r="H377" s="224">
        <v>2.5808434386491856</v>
      </c>
      <c r="I377" s="224">
        <v>2.2675579899346352</v>
      </c>
      <c r="J377" s="224"/>
      <c r="M377" s="224">
        <f t="shared" si="21"/>
        <v>395781.66745784192</v>
      </c>
      <c r="N377" s="224">
        <f t="shared" si="22"/>
        <v>0.65341898087309502</v>
      </c>
      <c r="O377" s="224">
        <f t="shared" si="23"/>
        <v>0.31328544871455044</v>
      </c>
      <c r="Q377" s="224"/>
      <c r="R377" s="224"/>
      <c r="S377" s="429"/>
      <c r="Z377" s="362"/>
      <c r="AA377" s="421"/>
      <c r="AB377" s="362"/>
      <c r="AC377" s="362"/>
      <c r="AD377" s="362"/>
      <c r="AE377" s="362"/>
      <c r="AF377" s="362"/>
      <c r="AG377" s="362"/>
      <c r="AH377" s="362"/>
      <c r="AI377" s="393"/>
      <c r="AJ377" s="393"/>
      <c r="AK377" s="362"/>
      <c r="AL377" s="362"/>
      <c r="AM377" s="362"/>
      <c r="AN377" s="362"/>
      <c r="AO377" s="362"/>
      <c r="AP377" s="362"/>
      <c r="AQ377" s="362"/>
      <c r="AR377" s="362"/>
    </row>
    <row r="378" spans="1:44" ht="12.75" customHeight="1" x14ac:dyDescent="0.15">
      <c r="A378" s="431"/>
      <c r="B378" s="393"/>
      <c r="C378" s="428"/>
      <c r="D378" s="428">
        <v>553988.80008916359</v>
      </c>
      <c r="E378" s="224">
        <v>151617.0420702128</v>
      </c>
      <c r="F378" s="224">
        <v>4.2341178036390108</v>
      </c>
      <c r="G378" s="224">
        <v>3.9209079094675499</v>
      </c>
      <c r="H378" s="224">
        <v>2.5354311223518549</v>
      </c>
      <c r="I378" s="224">
        <v>2.2097622022688914</v>
      </c>
      <c r="J378" s="224"/>
      <c r="M378" s="224">
        <f t="shared" si="21"/>
        <v>402371.75801895082</v>
      </c>
      <c r="N378" s="224">
        <f t="shared" si="22"/>
        <v>0.31320989417146095</v>
      </c>
      <c r="O378" s="224">
        <f t="shared" si="23"/>
        <v>0.32566892008296344</v>
      </c>
      <c r="Q378" s="224"/>
      <c r="R378" s="224"/>
      <c r="S378" s="429"/>
      <c r="Z378" s="362"/>
      <c r="AA378" s="421"/>
      <c r="AB378" s="362"/>
      <c r="AC378" s="362"/>
      <c r="AD378" s="362"/>
      <c r="AE378" s="362"/>
      <c r="AF378" s="362"/>
      <c r="AG378" s="362"/>
      <c r="AH378" s="362"/>
      <c r="AI378" s="393"/>
      <c r="AJ378" s="393"/>
      <c r="AK378" s="362"/>
      <c r="AL378" s="362"/>
      <c r="AM378" s="362"/>
      <c r="AN378" s="362"/>
      <c r="AO378" s="362"/>
      <c r="AP378" s="362"/>
      <c r="AQ378" s="362"/>
      <c r="AR378" s="362"/>
    </row>
    <row r="379" spans="1:44" ht="12.75" customHeight="1" x14ac:dyDescent="0.15">
      <c r="A379" s="431"/>
      <c r="B379" s="393"/>
      <c r="C379" s="428"/>
      <c r="D379" s="428">
        <v>602525.98787037272</v>
      </c>
      <c r="E379" s="224">
        <v>142644.93866510337</v>
      </c>
      <c r="F379" s="224">
        <v>4.5874484718587833</v>
      </c>
      <c r="G379" s="224">
        <v>3.3585527206306414</v>
      </c>
      <c r="H379" s="224">
        <v>2.8582245194751241</v>
      </c>
      <c r="I379" s="224">
        <v>2.1000810919558677</v>
      </c>
      <c r="J379" s="224"/>
      <c r="M379" s="224">
        <f t="shared" si="21"/>
        <v>459881.04920526932</v>
      </c>
      <c r="N379" s="224">
        <f t="shared" si="22"/>
        <v>1.228895751228142</v>
      </c>
      <c r="O379" s="224">
        <f t="shared" si="23"/>
        <v>0.75814342751925645</v>
      </c>
      <c r="Q379" s="224"/>
      <c r="R379" s="224"/>
      <c r="S379" s="429"/>
      <c r="Z379" s="362"/>
      <c r="AA379" s="421"/>
      <c r="AB379" s="362"/>
      <c r="AC379" s="362"/>
      <c r="AD379" s="362"/>
      <c r="AE379" s="362"/>
      <c r="AF379" s="362"/>
      <c r="AG379" s="362"/>
      <c r="AH379" s="362"/>
      <c r="AI379" s="393"/>
      <c r="AJ379" s="393"/>
      <c r="AK379" s="362"/>
      <c r="AL379" s="362"/>
      <c r="AM379" s="362"/>
      <c r="AN379" s="362"/>
      <c r="AO379" s="362"/>
      <c r="AP379" s="362"/>
      <c r="AQ379" s="362"/>
      <c r="AR379" s="362"/>
    </row>
    <row r="380" spans="1:44" ht="12.75" customHeight="1" x14ac:dyDescent="0.15">
      <c r="A380" s="431"/>
      <c r="B380" s="393"/>
      <c r="C380" s="428"/>
      <c r="D380" s="428">
        <v>487400.74304030871</v>
      </c>
      <c r="E380" s="224">
        <v>126259.05941072523</v>
      </c>
      <c r="F380" s="224">
        <v>4.0299414023908469</v>
      </c>
      <c r="G380" s="224">
        <v>3.896759093201192</v>
      </c>
      <c r="H380" s="224">
        <v>2.1808384273701726</v>
      </c>
      <c r="I380" s="224">
        <v>2.0345374308707393</v>
      </c>
      <c r="J380" s="224"/>
      <c r="M380" s="224">
        <f t="shared" si="21"/>
        <v>361141.68362958345</v>
      </c>
      <c r="N380" s="224">
        <f t="shared" si="22"/>
        <v>0.1331823091896549</v>
      </c>
      <c r="O380" s="224">
        <f t="shared" si="23"/>
        <v>0.14630099649943329</v>
      </c>
      <c r="Q380" s="224"/>
      <c r="R380" s="224"/>
      <c r="S380" s="429"/>
      <c r="Z380" s="362"/>
      <c r="AA380" s="421"/>
      <c r="AB380" s="362"/>
      <c r="AC380" s="362"/>
      <c r="AD380" s="362"/>
      <c r="AE380" s="362"/>
      <c r="AF380" s="362"/>
      <c r="AG380" s="362"/>
      <c r="AH380" s="362"/>
      <c r="AI380" s="393"/>
      <c r="AJ380" s="393"/>
      <c r="AK380" s="362"/>
      <c r="AL380" s="362"/>
      <c r="AM380" s="362"/>
      <c r="AN380" s="362"/>
      <c r="AO380" s="362"/>
      <c r="AP380" s="362"/>
      <c r="AQ380" s="362"/>
      <c r="AR380" s="362"/>
    </row>
    <row r="381" spans="1:44" ht="12.75" customHeight="1" x14ac:dyDescent="0.15">
      <c r="A381" s="431"/>
      <c r="B381" s="393"/>
      <c r="C381" s="428"/>
      <c r="D381" s="428">
        <v>632317.28028934076</v>
      </c>
      <c r="E381" s="224">
        <v>130235.19660855386</v>
      </c>
      <c r="F381" s="224">
        <v>4.3607828397716304</v>
      </c>
      <c r="G381" s="224">
        <v>3.9406971078205437</v>
      </c>
      <c r="H381" s="224">
        <v>2.7738564289860781</v>
      </c>
      <c r="I381" s="224">
        <v>2.1243089818802892</v>
      </c>
      <c r="J381" s="224"/>
      <c r="M381" s="224">
        <f t="shared" si="21"/>
        <v>502082.08368078689</v>
      </c>
      <c r="N381" s="224">
        <f t="shared" si="22"/>
        <v>0.42008573195108667</v>
      </c>
      <c r="O381" s="224">
        <f t="shared" si="23"/>
        <v>0.64954744710578893</v>
      </c>
      <c r="Q381" s="224"/>
      <c r="R381" s="224"/>
      <c r="S381" s="429"/>
      <c r="Z381" s="362"/>
      <c r="AA381" s="421"/>
      <c r="AB381" s="362"/>
      <c r="AC381" s="362"/>
      <c r="AD381" s="362"/>
      <c r="AE381" s="362"/>
      <c r="AF381" s="362"/>
      <c r="AG381" s="362"/>
      <c r="AH381" s="362"/>
      <c r="AI381" s="393"/>
      <c r="AJ381" s="393"/>
      <c r="AK381" s="362"/>
      <c r="AL381" s="362"/>
      <c r="AM381" s="362"/>
      <c r="AN381" s="362"/>
      <c r="AO381" s="362"/>
      <c r="AP381" s="362"/>
      <c r="AQ381" s="362"/>
      <c r="AR381" s="362"/>
    </row>
    <row r="382" spans="1:44" ht="12.75" customHeight="1" x14ac:dyDescent="0.15">
      <c r="A382" s="431"/>
      <c r="B382" s="393"/>
      <c r="C382" s="428"/>
      <c r="D382" s="428">
        <v>556267.63736401661</v>
      </c>
      <c r="E382" s="224">
        <v>123284.38905031973</v>
      </c>
      <c r="F382" s="224">
        <v>4.1240897851694065</v>
      </c>
      <c r="G382" s="224">
        <v>3.9366879648804551</v>
      </c>
      <c r="H382" s="224">
        <v>2.5463953557033006</v>
      </c>
      <c r="I382" s="224">
        <v>2.2346914178881292</v>
      </c>
      <c r="J382" s="224"/>
      <c r="M382" s="224">
        <f t="shared" si="21"/>
        <v>432983.24831369688</v>
      </c>
      <c r="N382" s="224">
        <f t="shared" si="22"/>
        <v>0.18740182028895136</v>
      </c>
      <c r="O382" s="224">
        <f t="shared" si="23"/>
        <v>0.31170393781517136</v>
      </c>
      <c r="Q382" s="224"/>
      <c r="R382" s="224"/>
      <c r="S382" s="429"/>
      <c r="Z382" s="362"/>
      <c r="AA382" s="421"/>
      <c r="AB382" s="362"/>
      <c r="AC382" s="362"/>
      <c r="AD382" s="362"/>
      <c r="AE382" s="362"/>
      <c r="AF382" s="362"/>
      <c r="AG382" s="362"/>
      <c r="AH382" s="362"/>
      <c r="AI382" s="393"/>
      <c r="AJ382" s="393"/>
      <c r="AK382" s="362"/>
      <c r="AL382" s="362"/>
      <c r="AM382" s="362"/>
      <c r="AN382" s="362"/>
      <c r="AO382" s="362"/>
      <c r="AP382" s="362"/>
      <c r="AQ382" s="362"/>
      <c r="AR382" s="362"/>
    </row>
    <row r="383" spans="1:44" ht="12.75" customHeight="1" x14ac:dyDescent="0.15">
      <c r="A383" s="431"/>
      <c r="B383" s="393"/>
      <c r="C383" s="428"/>
      <c r="D383" s="428">
        <v>655198.66618022334</v>
      </c>
      <c r="E383" s="224">
        <v>201161.51589986737</v>
      </c>
      <c r="F383" s="224">
        <v>4.8898324221321365</v>
      </c>
      <c r="G383" s="224">
        <v>4.1312185176967287</v>
      </c>
      <c r="H383" s="224">
        <v>2.8282316946922568</v>
      </c>
      <c r="I383" s="224">
        <v>2.4165972535811466</v>
      </c>
      <c r="J383" s="224"/>
      <c r="M383" s="224">
        <f t="shared" si="21"/>
        <v>454037.15028035594</v>
      </c>
      <c r="N383" s="224">
        <f t="shared" si="22"/>
        <v>0.75861390443540788</v>
      </c>
      <c r="O383" s="224">
        <f t="shared" si="23"/>
        <v>0.41163444111111014</v>
      </c>
      <c r="Q383" s="224"/>
      <c r="R383" s="224"/>
      <c r="S383" s="429"/>
      <c r="Z383" s="362"/>
      <c r="AA383" s="421"/>
      <c r="AB383" s="362"/>
      <c r="AC383" s="362"/>
      <c r="AD383" s="362"/>
      <c r="AE383" s="362"/>
      <c r="AF383" s="362"/>
      <c r="AG383" s="362"/>
      <c r="AH383" s="362"/>
      <c r="AI383" s="393"/>
      <c r="AJ383" s="393"/>
      <c r="AK383" s="362"/>
      <c r="AL383" s="362"/>
      <c r="AM383" s="362"/>
      <c r="AN383" s="362"/>
      <c r="AO383" s="362"/>
      <c r="AP383" s="362"/>
      <c r="AQ383" s="362"/>
      <c r="AR383" s="362"/>
    </row>
    <row r="384" spans="1:44" ht="12.75" customHeight="1" x14ac:dyDescent="0.15">
      <c r="A384" s="431"/>
      <c r="B384" s="393"/>
      <c r="C384" s="428"/>
      <c r="D384" s="428">
        <v>567404.22210456512</v>
      </c>
      <c r="E384" s="224">
        <v>119122.50073782724</v>
      </c>
      <c r="F384" s="224">
        <v>3.8978863071752476</v>
      </c>
      <c r="G384" s="224">
        <v>3.5369621759293177</v>
      </c>
      <c r="H384" s="224">
        <v>2.0502155145911187</v>
      </c>
      <c r="I384" s="224">
        <v>1.7767773201915651</v>
      </c>
      <c r="J384" s="224"/>
      <c r="M384" s="224">
        <f t="shared" si="21"/>
        <v>448281.72136673785</v>
      </c>
      <c r="N384" s="224">
        <f t="shared" si="22"/>
        <v>0.36092413124592992</v>
      </c>
      <c r="O384" s="224">
        <f t="shared" si="23"/>
        <v>0.27343819439955364</v>
      </c>
      <c r="Q384" s="224"/>
      <c r="R384" s="224"/>
      <c r="S384" s="429"/>
      <c r="Z384" s="362"/>
      <c r="AA384" s="421"/>
      <c r="AB384" s="362"/>
      <c r="AC384" s="362"/>
      <c r="AD384" s="362"/>
      <c r="AE384" s="362"/>
      <c r="AF384" s="362"/>
      <c r="AG384" s="362"/>
      <c r="AH384" s="362"/>
      <c r="AI384" s="393"/>
      <c r="AJ384" s="393"/>
      <c r="AK384" s="362"/>
      <c r="AL384" s="362"/>
      <c r="AM384" s="362"/>
      <c r="AN384" s="362"/>
      <c r="AO384" s="362"/>
      <c r="AP384" s="362"/>
      <c r="AQ384" s="362"/>
      <c r="AR384" s="362"/>
    </row>
    <row r="385" spans="1:44" ht="12.75" customHeight="1" x14ac:dyDescent="0.15">
      <c r="A385" s="431"/>
      <c r="B385" s="393"/>
      <c r="C385" s="428"/>
      <c r="D385" s="428">
        <v>586607.93606793904</v>
      </c>
      <c r="E385" s="224">
        <v>181275.6488832086</v>
      </c>
      <c r="F385" s="224">
        <v>3.9175952348424317</v>
      </c>
      <c r="G385" s="224">
        <v>3.9669946158117648</v>
      </c>
      <c r="H385" s="224">
        <v>2.4664355830052802</v>
      </c>
      <c r="I385" s="224">
        <v>2.2482867327372009</v>
      </c>
      <c r="J385" s="224"/>
      <c r="M385" s="224">
        <f t="shared" si="21"/>
        <v>405332.2871847304</v>
      </c>
      <c r="N385" s="224">
        <f t="shared" si="22"/>
        <v>-4.9399380969333162E-2</v>
      </c>
      <c r="O385" s="224">
        <f t="shared" si="23"/>
        <v>0.21814885026807929</v>
      </c>
      <c r="Q385" s="224"/>
      <c r="R385" s="224"/>
      <c r="S385" s="429"/>
      <c r="Z385" s="362"/>
      <c r="AA385" s="421"/>
      <c r="AB385" s="362"/>
      <c r="AC385" s="362"/>
      <c r="AD385" s="362"/>
      <c r="AE385" s="362"/>
      <c r="AF385" s="362"/>
      <c r="AG385" s="362"/>
      <c r="AH385" s="362"/>
      <c r="AI385" s="393"/>
      <c r="AJ385" s="393"/>
      <c r="AK385" s="362"/>
      <c r="AL385" s="362"/>
      <c r="AM385" s="362"/>
      <c r="AN385" s="362"/>
      <c r="AO385" s="362"/>
      <c r="AP385" s="362"/>
      <c r="AQ385" s="362"/>
      <c r="AR385" s="362"/>
    </row>
    <row r="386" spans="1:44" ht="12.75" customHeight="1" x14ac:dyDescent="0.15">
      <c r="A386" s="431"/>
      <c r="B386" s="393"/>
      <c r="C386" s="428"/>
      <c r="D386" s="428">
        <v>623738.41121377761</v>
      </c>
      <c r="E386" s="224">
        <v>164000.19101448543</v>
      </c>
      <c r="F386" s="224">
        <v>4.1551839796546872</v>
      </c>
      <c r="G386" s="224">
        <v>3.9652156357006882</v>
      </c>
      <c r="H386" s="224">
        <v>2.5528142037704948</v>
      </c>
      <c r="I386" s="224">
        <v>2.2308010283737025</v>
      </c>
      <c r="J386" s="224"/>
      <c r="M386" s="224">
        <f t="shared" si="21"/>
        <v>459738.22019929218</v>
      </c>
      <c r="N386" s="224">
        <f t="shared" si="22"/>
        <v>0.18996834395399897</v>
      </c>
      <c r="O386" s="224">
        <f t="shared" si="23"/>
        <v>0.32201317539679231</v>
      </c>
      <c r="Q386" s="224"/>
      <c r="R386" s="224"/>
      <c r="S386" s="429"/>
      <c r="Z386" s="362"/>
      <c r="AA386" s="421"/>
      <c r="AB386" s="362"/>
      <c r="AC386" s="362"/>
      <c r="AD386" s="362"/>
      <c r="AE386" s="362"/>
      <c r="AF386" s="362"/>
      <c r="AG386" s="362"/>
      <c r="AH386" s="362"/>
      <c r="AI386" s="393"/>
      <c r="AJ386" s="393"/>
      <c r="AK386" s="362"/>
      <c r="AL386" s="362"/>
      <c r="AM386" s="362"/>
      <c r="AN386" s="362"/>
      <c r="AO386" s="362"/>
      <c r="AP386" s="362"/>
      <c r="AQ386" s="362"/>
      <c r="AR386" s="362"/>
    </row>
    <row r="387" spans="1:44" ht="12.75" customHeight="1" x14ac:dyDescent="0.15">
      <c r="A387" s="431"/>
      <c r="B387" s="393"/>
      <c r="C387" s="428"/>
      <c r="D387" s="428">
        <v>503231.11902591027</v>
      </c>
      <c r="E387" s="224">
        <v>147676.66379739187</v>
      </c>
      <c r="F387" s="224">
        <v>4.3573852275197051</v>
      </c>
      <c r="G387" s="224">
        <v>3.9551847917215306</v>
      </c>
      <c r="H387" s="224">
        <v>2.3213078955214059</v>
      </c>
      <c r="I387" s="224">
        <v>2.2671164053847352</v>
      </c>
      <c r="J387" s="224"/>
      <c r="M387" s="224">
        <f t="shared" si="21"/>
        <v>355554.4552285184</v>
      </c>
      <c r="N387" s="224">
        <f t="shared" si="22"/>
        <v>0.40220043579817455</v>
      </c>
      <c r="O387" s="224">
        <f t="shared" si="23"/>
        <v>5.4191490136670684E-2</v>
      </c>
      <c r="Q387" s="224"/>
      <c r="R387" s="224"/>
      <c r="S387" s="429"/>
      <c r="Z387" s="362"/>
      <c r="AA387" s="421"/>
      <c r="AB387" s="362"/>
      <c r="AC387" s="362"/>
      <c r="AD387" s="362"/>
      <c r="AE387" s="362"/>
      <c r="AF387" s="362"/>
      <c r="AG387" s="362"/>
      <c r="AH387" s="362"/>
      <c r="AI387" s="393"/>
      <c r="AJ387" s="393"/>
      <c r="AK387" s="362"/>
      <c r="AL387" s="362"/>
      <c r="AM387" s="362"/>
      <c r="AN387" s="362"/>
      <c r="AO387" s="362"/>
      <c r="AP387" s="362"/>
      <c r="AQ387" s="362"/>
      <c r="AR387" s="362"/>
    </row>
    <row r="388" spans="1:44" ht="12.75" customHeight="1" x14ac:dyDescent="0.15">
      <c r="A388" s="431"/>
      <c r="B388" s="393"/>
      <c r="C388" s="428"/>
      <c r="D388" s="428">
        <v>504716.78268867492</v>
      </c>
      <c r="E388" s="224">
        <v>150494.11263647844</v>
      </c>
      <c r="F388" s="224">
        <v>4.622572134216532</v>
      </c>
      <c r="G388" s="224">
        <v>3.9556525483606464</v>
      </c>
      <c r="H388" s="224">
        <v>2.5117787656677786</v>
      </c>
      <c r="I388" s="224">
        <v>2.1702256568263474</v>
      </c>
      <c r="J388" s="224"/>
      <c r="M388" s="224">
        <f t="shared" si="21"/>
        <v>354222.67005219648</v>
      </c>
      <c r="N388" s="224">
        <f t="shared" si="22"/>
        <v>0.66691958585588562</v>
      </c>
      <c r="O388" s="224">
        <f t="shared" si="23"/>
        <v>0.3415531088414312</v>
      </c>
      <c r="Q388" s="224"/>
      <c r="R388" s="224"/>
      <c r="S388" s="429"/>
      <c r="Z388" s="362"/>
      <c r="AA388" s="421"/>
      <c r="AB388" s="362"/>
      <c r="AC388" s="362"/>
      <c r="AD388" s="362"/>
      <c r="AE388" s="362"/>
      <c r="AF388" s="362"/>
      <c r="AG388" s="362"/>
      <c r="AH388" s="362"/>
      <c r="AI388" s="393"/>
      <c r="AJ388" s="393"/>
      <c r="AK388" s="362"/>
      <c r="AL388" s="362"/>
      <c r="AM388" s="362"/>
      <c r="AN388" s="362"/>
      <c r="AO388" s="362"/>
      <c r="AP388" s="362"/>
      <c r="AQ388" s="362"/>
      <c r="AR388" s="362"/>
    </row>
    <row r="389" spans="1:44" ht="12.75" customHeight="1" x14ac:dyDescent="0.15">
      <c r="A389" s="431"/>
      <c r="B389" s="393"/>
      <c r="C389" s="428"/>
      <c r="D389" s="428">
        <v>597856.95809360361</v>
      </c>
      <c r="E389" s="224">
        <v>183346.08512233506</v>
      </c>
      <c r="F389" s="224">
        <v>4.3307380763769627</v>
      </c>
      <c r="G389" s="224">
        <v>3.6092841639820148</v>
      </c>
      <c r="H389" s="224">
        <v>2.8204811715823279</v>
      </c>
      <c r="I389" s="224">
        <v>2.211722777320563</v>
      </c>
      <c r="J389" s="224"/>
      <c r="M389" s="224">
        <f t="shared" si="21"/>
        <v>414510.87297126855</v>
      </c>
      <c r="N389" s="224">
        <f t="shared" si="22"/>
        <v>0.72145391239494794</v>
      </c>
      <c r="O389" s="224">
        <f t="shared" si="23"/>
        <v>0.60875839426176492</v>
      </c>
      <c r="Q389" s="224"/>
      <c r="R389" s="224"/>
      <c r="S389" s="429"/>
      <c r="Z389" s="362"/>
      <c r="AA389" s="421"/>
      <c r="AB389" s="362"/>
      <c r="AC389" s="362"/>
      <c r="AD389" s="362"/>
      <c r="AE389" s="362"/>
      <c r="AF389" s="362"/>
      <c r="AG389" s="362"/>
      <c r="AH389" s="362"/>
      <c r="AI389" s="393"/>
      <c r="AJ389" s="393"/>
      <c r="AK389" s="362"/>
      <c r="AL389" s="362"/>
      <c r="AM389" s="362"/>
      <c r="AN389" s="362"/>
      <c r="AO389" s="362"/>
      <c r="AP389" s="362"/>
      <c r="AQ389" s="362"/>
      <c r="AR389" s="362"/>
    </row>
    <row r="390" spans="1:44" ht="12.75" customHeight="1" x14ac:dyDescent="0.15">
      <c r="A390" s="431"/>
      <c r="B390" s="393"/>
      <c r="C390" s="428"/>
      <c r="D390" s="428">
        <v>609432.0945495026</v>
      </c>
      <c r="E390" s="224">
        <v>156286.96616594857</v>
      </c>
      <c r="F390" s="224">
        <v>4.5479204664529913</v>
      </c>
      <c r="G390" s="224">
        <v>4.2179090846903335</v>
      </c>
      <c r="H390" s="224">
        <v>2.7680598751108163</v>
      </c>
      <c r="I390" s="224">
        <v>2.3928601810606276</v>
      </c>
      <c r="J390" s="224"/>
      <c r="M390" s="224">
        <f t="shared" si="21"/>
        <v>453145.12838355405</v>
      </c>
      <c r="N390" s="224">
        <f t="shared" si="22"/>
        <v>0.33001138176265776</v>
      </c>
      <c r="O390" s="224">
        <f t="shared" si="23"/>
        <v>0.37519969405018871</v>
      </c>
      <c r="Q390" s="224"/>
      <c r="R390" s="224"/>
      <c r="S390" s="429"/>
      <c r="Z390" s="362"/>
      <c r="AA390" s="421"/>
      <c r="AB390" s="362"/>
      <c r="AC390" s="362"/>
      <c r="AD390" s="362"/>
      <c r="AE390" s="362"/>
      <c r="AF390" s="362"/>
      <c r="AG390" s="362"/>
      <c r="AH390" s="362"/>
      <c r="AI390" s="393"/>
      <c r="AJ390" s="393"/>
      <c r="AK390" s="362"/>
      <c r="AL390" s="362"/>
      <c r="AM390" s="362"/>
      <c r="AN390" s="362"/>
      <c r="AO390" s="362"/>
      <c r="AP390" s="362"/>
      <c r="AQ390" s="362"/>
      <c r="AR390" s="362"/>
    </row>
    <row r="391" spans="1:44" ht="12.75" customHeight="1" x14ac:dyDescent="0.15">
      <c r="A391" s="431"/>
      <c r="B391" s="393"/>
      <c r="C391" s="428"/>
      <c r="D391" s="428">
        <v>616568.89303742175</v>
      </c>
      <c r="E391" s="224">
        <v>151007.58888486226</v>
      </c>
      <c r="F391" s="224">
        <v>3.8424028496591962</v>
      </c>
      <c r="G391" s="224">
        <v>3.9291587992572476</v>
      </c>
      <c r="H391" s="224">
        <v>2.1838718279320952</v>
      </c>
      <c r="I391" s="224">
        <v>2.0910937539918479</v>
      </c>
      <c r="J391" s="224"/>
      <c r="M391" s="224">
        <f t="shared" si="21"/>
        <v>465561.30415255949</v>
      </c>
      <c r="N391" s="224">
        <f t="shared" si="22"/>
        <v>-8.6755949598051441E-2</v>
      </c>
      <c r="O391" s="224">
        <f t="shared" si="23"/>
        <v>9.2778073940247285E-2</v>
      </c>
      <c r="Q391" s="224"/>
      <c r="R391" s="224"/>
      <c r="S391" s="429"/>
      <c r="Z391" s="362"/>
      <c r="AA391" s="421"/>
      <c r="AB391" s="362"/>
      <c r="AC391" s="362"/>
      <c r="AD391" s="362"/>
      <c r="AE391" s="362"/>
      <c r="AF391" s="362"/>
      <c r="AG391" s="362"/>
      <c r="AH391" s="362"/>
      <c r="AI391" s="393"/>
      <c r="AJ391" s="393"/>
      <c r="AK391" s="362"/>
      <c r="AL391" s="362"/>
      <c r="AM391" s="362"/>
      <c r="AN391" s="362"/>
      <c r="AO391" s="362"/>
      <c r="AP391" s="362"/>
      <c r="AQ391" s="362"/>
      <c r="AR391" s="362"/>
    </row>
    <row r="392" spans="1:44" ht="12.75" customHeight="1" x14ac:dyDescent="0.15">
      <c r="A392" s="431"/>
      <c r="B392" s="393"/>
      <c r="C392" s="428"/>
      <c r="D392" s="428">
        <v>598360.84399046667</v>
      </c>
      <c r="E392" s="224">
        <v>156126.44660427124</v>
      </c>
      <c r="F392" s="224">
        <v>4.6797401005707862</v>
      </c>
      <c r="G392" s="224">
        <v>3.6477324379584544</v>
      </c>
      <c r="H392" s="224">
        <v>2.4310914739398886</v>
      </c>
      <c r="I392" s="224">
        <v>1.798690736128697</v>
      </c>
      <c r="J392" s="224"/>
      <c r="M392" s="224">
        <f t="shared" si="21"/>
        <v>442234.39738619543</v>
      </c>
      <c r="N392" s="224">
        <f t="shared" si="22"/>
        <v>1.0320076626123318</v>
      </c>
      <c r="O392" s="224">
        <f t="shared" si="23"/>
        <v>0.63240073781119155</v>
      </c>
      <c r="Q392" s="224"/>
      <c r="R392" s="224"/>
      <c r="S392" s="429"/>
      <c r="Z392" s="362"/>
      <c r="AA392" s="421"/>
      <c r="AB392" s="362"/>
      <c r="AC392" s="362"/>
      <c r="AD392" s="362"/>
      <c r="AE392" s="362"/>
      <c r="AF392" s="362"/>
      <c r="AG392" s="362"/>
      <c r="AH392" s="362"/>
      <c r="AI392" s="393"/>
      <c r="AJ392" s="393"/>
      <c r="AK392" s="362"/>
      <c r="AL392" s="362"/>
      <c r="AM392" s="362"/>
      <c r="AN392" s="362"/>
      <c r="AO392" s="362"/>
      <c r="AP392" s="362"/>
      <c r="AQ392" s="362"/>
      <c r="AR392" s="362"/>
    </row>
    <row r="393" spans="1:44" ht="12.75" customHeight="1" x14ac:dyDescent="0.15">
      <c r="A393" s="431"/>
      <c r="B393" s="393"/>
      <c r="C393" s="428"/>
      <c r="D393" s="428">
        <v>620830.67515232461</v>
      </c>
      <c r="E393" s="224">
        <v>206431.16728624402</v>
      </c>
      <c r="F393" s="224">
        <v>4.125777788691515</v>
      </c>
      <c r="G393" s="224">
        <v>4.0840344788839449</v>
      </c>
      <c r="H393" s="224">
        <v>2.3335012777363708</v>
      </c>
      <c r="I393" s="224">
        <v>1.7503118338107133</v>
      </c>
      <c r="J393" s="224"/>
      <c r="M393" s="224">
        <f t="shared" si="21"/>
        <v>414399.50786608062</v>
      </c>
      <c r="N393" s="224">
        <f t="shared" si="22"/>
        <v>4.1743309807570128E-2</v>
      </c>
      <c r="O393" s="224">
        <f t="shared" si="23"/>
        <v>0.58318944392565752</v>
      </c>
      <c r="Q393" s="224"/>
      <c r="R393" s="224"/>
      <c r="S393" s="429"/>
      <c r="Z393" s="362"/>
      <c r="AA393" s="421"/>
      <c r="AB393" s="362"/>
      <c r="AC393" s="362"/>
      <c r="AD393" s="362"/>
      <c r="AE393" s="362"/>
      <c r="AF393" s="362"/>
      <c r="AG393" s="362"/>
      <c r="AH393" s="362"/>
      <c r="AI393" s="393"/>
      <c r="AJ393" s="393"/>
      <c r="AK393" s="362"/>
      <c r="AL393" s="362"/>
      <c r="AM393" s="362"/>
      <c r="AN393" s="362"/>
      <c r="AO393" s="362"/>
      <c r="AP393" s="362"/>
      <c r="AQ393" s="362"/>
      <c r="AR393" s="362"/>
    </row>
    <row r="394" spans="1:44" ht="12.75" customHeight="1" x14ac:dyDescent="0.15">
      <c r="A394" s="431"/>
      <c r="B394" s="393"/>
      <c r="C394" s="428"/>
      <c r="D394" s="428">
        <v>543894.873960244</v>
      </c>
      <c r="E394" s="224">
        <v>144267.72198993294</v>
      </c>
      <c r="F394" s="224">
        <v>4.6018186808690498</v>
      </c>
      <c r="G394" s="224">
        <v>3.4780483410305094</v>
      </c>
      <c r="H394" s="224">
        <v>2.4131018082596141</v>
      </c>
      <c r="I394" s="224">
        <v>1.7843002001242656</v>
      </c>
      <c r="J394" s="224"/>
      <c r="M394" s="224">
        <f t="shared" si="21"/>
        <v>399627.15197031107</v>
      </c>
      <c r="N394" s="224">
        <f t="shared" si="22"/>
        <v>1.1237703398385404</v>
      </c>
      <c r="O394" s="224">
        <f t="shared" si="23"/>
        <v>0.62880160813534847</v>
      </c>
      <c r="Q394" s="224"/>
      <c r="R394" s="224"/>
      <c r="S394" s="429"/>
      <c r="Z394" s="362"/>
      <c r="AA394" s="421"/>
      <c r="AB394" s="362"/>
      <c r="AC394" s="362"/>
      <c r="AD394" s="362"/>
      <c r="AE394" s="362"/>
      <c r="AF394" s="362"/>
      <c r="AG394" s="362"/>
      <c r="AH394" s="362"/>
      <c r="AI394" s="393"/>
      <c r="AJ394" s="393"/>
      <c r="AK394" s="362"/>
      <c r="AL394" s="362"/>
      <c r="AM394" s="362"/>
      <c r="AN394" s="362"/>
      <c r="AO394" s="362"/>
      <c r="AP394" s="362"/>
      <c r="AQ394" s="362"/>
      <c r="AR394" s="362"/>
    </row>
    <row r="395" spans="1:44" ht="12.75" customHeight="1" x14ac:dyDescent="0.15">
      <c r="A395" s="431"/>
      <c r="B395" s="393"/>
      <c r="C395" s="428"/>
      <c r="D395" s="428">
        <v>627259.88727197598</v>
      </c>
      <c r="E395" s="224">
        <v>143657.15219462485</v>
      </c>
      <c r="F395" s="224">
        <v>4.3929346356473369</v>
      </c>
      <c r="G395" s="224">
        <v>4.5066804223234742</v>
      </c>
      <c r="H395" s="224">
        <v>2.7790176182887452</v>
      </c>
      <c r="I395" s="224">
        <v>2.629104015598331</v>
      </c>
      <c r="J395" s="224"/>
      <c r="M395" s="224">
        <f t="shared" si="21"/>
        <v>483602.7350773511</v>
      </c>
      <c r="N395" s="224">
        <f t="shared" si="22"/>
        <v>-0.11374578667613733</v>
      </c>
      <c r="O395" s="224">
        <f t="shared" si="23"/>
        <v>0.1499136026904142</v>
      </c>
      <c r="Q395" s="224"/>
      <c r="R395" s="224"/>
      <c r="S395" s="429"/>
      <c r="Z395" s="362"/>
      <c r="AA395" s="421"/>
      <c r="AB395" s="362"/>
      <c r="AC395" s="362"/>
      <c r="AD395" s="362"/>
      <c r="AE395" s="362"/>
      <c r="AF395" s="362"/>
      <c r="AG395" s="362"/>
      <c r="AH395" s="362"/>
      <c r="AI395" s="393"/>
      <c r="AJ395" s="393"/>
      <c r="AK395" s="362"/>
      <c r="AL395" s="362"/>
      <c r="AM395" s="362"/>
      <c r="AN395" s="362"/>
      <c r="AO395" s="362"/>
      <c r="AP395" s="362"/>
      <c r="AQ395" s="362"/>
      <c r="AR395" s="362"/>
    </row>
    <row r="396" spans="1:44" ht="12.75" customHeight="1" x14ac:dyDescent="0.15">
      <c r="A396" s="431"/>
      <c r="B396" s="393"/>
      <c r="C396" s="428"/>
      <c r="D396" s="428">
        <v>496647.88818869309</v>
      </c>
      <c r="E396" s="224">
        <v>130563.16644985018</v>
      </c>
      <c r="F396" s="224">
        <v>4.0613771217775803</v>
      </c>
      <c r="G396" s="224">
        <v>4.0782118442941266</v>
      </c>
      <c r="H396" s="224">
        <v>2.4913954586377778</v>
      </c>
      <c r="I396" s="224">
        <v>2.3416789003224165</v>
      </c>
      <c r="J396" s="224"/>
      <c r="M396" s="224">
        <f t="shared" si="21"/>
        <v>366084.7217388429</v>
      </c>
      <c r="N396" s="224">
        <f t="shared" si="22"/>
        <v>-1.6834722516546385E-2</v>
      </c>
      <c r="O396" s="224">
        <f t="shared" si="23"/>
        <v>0.14971655831536124</v>
      </c>
      <c r="Q396" s="224"/>
      <c r="R396" s="224"/>
      <c r="S396" s="429"/>
      <c r="Z396" s="362"/>
      <c r="AA396" s="421"/>
      <c r="AB396" s="362"/>
      <c r="AC396" s="362"/>
      <c r="AD396" s="362"/>
      <c r="AE396" s="362"/>
      <c r="AF396" s="362"/>
      <c r="AG396" s="362"/>
      <c r="AH396" s="362"/>
      <c r="AI396" s="393"/>
      <c r="AJ396" s="393"/>
      <c r="AK396" s="362"/>
      <c r="AL396" s="362"/>
      <c r="AM396" s="362"/>
      <c r="AN396" s="362"/>
      <c r="AO396" s="362"/>
      <c r="AP396" s="362"/>
      <c r="AQ396" s="362"/>
      <c r="AR396" s="362"/>
    </row>
    <row r="397" spans="1:44" ht="12.75" customHeight="1" x14ac:dyDescent="0.15">
      <c r="A397" s="431"/>
      <c r="B397" s="393"/>
      <c r="C397" s="428"/>
      <c r="D397" s="428">
        <v>608929.36024071579</v>
      </c>
      <c r="E397" s="224">
        <v>130491.17303290042</v>
      </c>
      <c r="F397" s="224">
        <v>4.6408133648541607</v>
      </c>
      <c r="G397" s="224">
        <v>3.4768700571056086</v>
      </c>
      <c r="H397" s="224">
        <v>2.9669467388083759</v>
      </c>
      <c r="I397" s="224">
        <v>2.0091412696405788</v>
      </c>
      <c r="J397" s="224"/>
      <c r="M397" s="224">
        <f t="shared" si="21"/>
        <v>478438.18720781535</v>
      </c>
      <c r="N397" s="224">
        <f t="shared" si="22"/>
        <v>1.1639433077485521</v>
      </c>
      <c r="O397" s="224">
        <f t="shared" si="23"/>
        <v>0.95780546916779707</v>
      </c>
      <c r="Q397" s="224"/>
      <c r="R397" s="224"/>
      <c r="S397" s="429"/>
      <c r="Z397" s="362"/>
      <c r="AA397" s="421"/>
      <c r="AB397" s="362"/>
      <c r="AC397" s="362"/>
      <c r="AD397" s="362"/>
      <c r="AE397" s="362"/>
      <c r="AF397" s="362"/>
      <c r="AG397" s="362"/>
      <c r="AH397" s="362"/>
      <c r="AI397" s="393"/>
      <c r="AJ397" s="393"/>
      <c r="AK397" s="362"/>
      <c r="AL397" s="362"/>
      <c r="AM397" s="362"/>
      <c r="AN397" s="362"/>
      <c r="AO397" s="362"/>
      <c r="AP397" s="362"/>
      <c r="AQ397" s="362"/>
      <c r="AR397" s="362"/>
    </row>
    <row r="398" spans="1:44" ht="12.75" customHeight="1" x14ac:dyDescent="0.15">
      <c r="A398" s="431"/>
      <c r="B398" s="393"/>
      <c r="C398" s="428"/>
      <c r="D398" s="428">
        <v>581142.12200524996</v>
      </c>
      <c r="E398" s="224">
        <v>165004.2303382642</v>
      </c>
      <c r="F398" s="224">
        <v>3.9381697231878925</v>
      </c>
      <c r="G398" s="224">
        <v>3.7934414133658687</v>
      </c>
      <c r="H398" s="224">
        <v>2.4434960096138196</v>
      </c>
      <c r="I398" s="224">
        <v>2.2257807471180135</v>
      </c>
      <c r="J398" s="224"/>
      <c r="M398" s="224">
        <f t="shared" si="21"/>
        <v>416137.89166698576</v>
      </c>
      <c r="N398" s="224">
        <f t="shared" si="22"/>
        <v>0.14472830982202378</v>
      </c>
      <c r="O398" s="224">
        <f t="shared" si="23"/>
        <v>0.21771526249580608</v>
      </c>
      <c r="Q398" s="224"/>
      <c r="R398" s="224"/>
      <c r="S398" s="429"/>
      <c r="Z398" s="362"/>
      <c r="AA398" s="421"/>
      <c r="AB398" s="362"/>
      <c r="AC398" s="362"/>
      <c r="AD398" s="362"/>
      <c r="AE398" s="362"/>
      <c r="AF398" s="362"/>
      <c r="AG398" s="362"/>
      <c r="AH398" s="362"/>
      <c r="AI398" s="393"/>
      <c r="AJ398" s="393"/>
      <c r="AK398" s="362"/>
      <c r="AL398" s="362"/>
      <c r="AM398" s="362"/>
      <c r="AN398" s="362"/>
      <c r="AO398" s="362"/>
      <c r="AP398" s="362"/>
      <c r="AQ398" s="362"/>
      <c r="AR398" s="362"/>
    </row>
    <row r="399" spans="1:44" ht="12.75" customHeight="1" x14ac:dyDescent="0.15">
      <c r="A399" s="431"/>
      <c r="B399" s="393"/>
      <c r="C399" s="428"/>
      <c r="D399" s="428">
        <v>502828.06595820037</v>
      </c>
      <c r="E399" s="224">
        <v>98670.391083326569</v>
      </c>
      <c r="F399" s="224">
        <v>4.7720530018934486</v>
      </c>
      <c r="G399" s="224">
        <v>3.7655761607359866</v>
      </c>
      <c r="H399" s="224">
        <v>2.6308046421790134</v>
      </c>
      <c r="I399" s="224">
        <v>2.1645847541734282</v>
      </c>
      <c r="J399" s="224"/>
      <c r="M399" s="224">
        <f t="shared" si="21"/>
        <v>404157.67487487383</v>
      </c>
      <c r="N399" s="224">
        <f t="shared" si="22"/>
        <v>1.0064768411574621</v>
      </c>
      <c r="O399" s="224">
        <f t="shared" si="23"/>
        <v>0.46621988800558523</v>
      </c>
      <c r="Q399" s="224"/>
      <c r="R399" s="224"/>
      <c r="S399" s="429"/>
      <c r="Z399" s="362"/>
      <c r="AA399" s="421"/>
      <c r="AB399" s="362"/>
      <c r="AC399" s="362"/>
      <c r="AD399" s="362"/>
      <c r="AE399" s="362"/>
      <c r="AF399" s="362"/>
      <c r="AG399" s="362"/>
      <c r="AH399" s="362"/>
      <c r="AI399" s="393"/>
      <c r="AJ399" s="393"/>
      <c r="AK399" s="362"/>
      <c r="AL399" s="362"/>
      <c r="AM399" s="362"/>
      <c r="AN399" s="362"/>
      <c r="AO399" s="362"/>
      <c r="AP399" s="362"/>
      <c r="AQ399" s="362"/>
      <c r="AR399" s="362"/>
    </row>
    <row r="400" spans="1:44" ht="12.75" customHeight="1" x14ac:dyDescent="0.15">
      <c r="A400" s="431"/>
      <c r="B400" s="393"/>
      <c r="C400" s="428"/>
      <c r="D400" s="428">
        <v>471555.62921252043</v>
      </c>
      <c r="E400" s="224">
        <v>132319.02973149944</v>
      </c>
      <c r="F400" s="224">
        <v>3.8217274690819254</v>
      </c>
      <c r="G400" s="224">
        <v>4.5909522315651143</v>
      </c>
      <c r="H400" s="224">
        <v>2.3502225308466755</v>
      </c>
      <c r="I400" s="224">
        <v>2.6658354286205062</v>
      </c>
      <c r="J400" s="224"/>
      <c r="M400" s="224">
        <f t="shared" si="21"/>
        <v>339236.599481021</v>
      </c>
      <c r="N400" s="224">
        <f t="shared" si="22"/>
        <v>-0.76922476248318894</v>
      </c>
      <c r="O400" s="224">
        <f t="shared" si="23"/>
        <v>-0.31561289777383061</v>
      </c>
      <c r="Q400" s="224"/>
      <c r="R400" s="224"/>
      <c r="S400" s="429"/>
      <c r="Z400" s="362"/>
      <c r="AA400" s="421"/>
      <c r="AB400" s="362"/>
      <c r="AC400" s="362"/>
      <c r="AD400" s="362"/>
      <c r="AE400" s="362"/>
      <c r="AF400" s="362"/>
      <c r="AG400" s="362"/>
      <c r="AH400" s="362"/>
      <c r="AI400" s="393"/>
      <c r="AJ400" s="393"/>
      <c r="AK400" s="362"/>
      <c r="AL400" s="362"/>
      <c r="AM400" s="362"/>
      <c r="AN400" s="362"/>
      <c r="AO400" s="362"/>
      <c r="AP400" s="362"/>
      <c r="AQ400" s="362"/>
      <c r="AR400" s="362"/>
    </row>
    <row r="401" spans="1:44" ht="12.75" customHeight="1" x14ac:dyDescent="0.15">
      <c r="A401" s="431"/>
      <c r="B401" s="393"/>
      <c r="C401" s="428"/>
      <c r="D401" s="428">
        <v>544776.57749665657</v>
      </c>
      <c r="E401" s="224">
        <v>123778.32341561209</v>
      </c>
      <c r="F401" s="224">
        <v>4.2656532116788881</v>
      </c>
      <c r="G401" s="224">
        <v>4.4330056264375832</v>
      </c>
      <c r="H401" s="224">
        <v>2.7235081784368149</v>
      </c>
      <c r="I401" s="224">
        <v>2.6523437361770239</v>
      </c>
      <c r="J401" s="224"/>
      <c r="M401" s="224">
        <f t="shared" si="21"/>
        <v>420998.25408104446</v>
      </c>
      <c r="N401" s="224">
        <f t="shared" si="22"/>
        <v>-0.16735241475869511</v>
      </c>
      <c r="O401" s="224">
        <f t="shared" si="23"/>
        <v>7.1164442259791016E-2</v>
      </c>
      <c r="Q401" s="224"/>
      <c r="R401" s="224"/>
      <c r="S401" s="429"/>
      <c r="Z401" s="362"/>
      <c r="AA401" s="421"/>
      <c r="AB401" s="362"/>
      <c r="AC401" s="362"/>
      <c r="AD401" s="362"/>
      <c r="AE401" s="362"/>
      <c r="AF401" s="362"/>
      <c r="AG401" s="362"/>
      <c r="AH401" s="362"/>
      <c r="AI401" s="393"/>
      <c r="AJ401" s="393"/>
      <c r="AK401" s="362"/>
      <c r="AL401" s="362"/>
      <c r="AM401" s="362"/>
      <c r="AN401" s="362"/>
      <c r="AO401" s="362"/>
      <c r="AP401" s="362"/>
      <c r="AQ401" s="362"/>
      <c r="AR401" s="362"/>
    </row>
    <row r="402" spans="1:44" ht="12.75" customHeight="1" x14ac:dyDescent="0.15">
      <c r="A402" s="431"/>
      <c r="B402" s="393"/>
      <c r="C402" s="428"/>
      <c r="D402" s="428">
        <v>555997.35516514664</v>
      </c>
      <c r="E402" s="224">
        <v>151878.18210712407</v>
      </c>
      <c r="F402" s="224">
        <v>4.4190143604465844</v>
      </c>
      <c r="G402" s="224">
        <v>3.960229155558352</v>
      </c>
      <c r="H402" s="224">
        <v>2.5559476711419493</v>
      </c>
      <c r="I402" s="224">
        <v>2.1928526205079817</v>
      </c>
      <c r="J402" s="224"/>
      <c r="M402" s="224">
        <f t="shared" ref="M402:M465" si="24">+D402-E402</f>
        <v>404119.17305802257</v>
      </c>
      <c r="N402" s="224">
        <f t="shared" ref="N402:N465" si="25">+F402-G402</f>
        <v>0.45878520488823238</v>
      </c>
      <c r="O402" s="224">
        <f t="shared" ref="O402:O465" si="26">+H402-I402</f>
        <v>0.36309505063396763</v>
      </c>
      <c r="Q402" s="224"/>
      <c r="R402" s="224"/>
      <c r="S402" s="429"/>
      <c r="Z402" s="362"/>
      <c r="AA402" s="421"/>
      <c r="AB402" s="362"/>
      <c r="AC402" s="362"/>
      <c r="AD402" s="362"/>
      <c r="AE402" s="362"/>
      <c r="AF402" s="362"/>
      <c r="AG402" s="362"/>
      <c r="AH402" s="362"/>
      <c r="AI402" s="393"/>
      <c r="AJ402" s="393"/>
      <c r="AK402" s="362"/>
      <c r="AL402" s="362"/>
      <c r="AM402" s="362"/>
      <c r="AN402" s="362"/>
      <c r="AO402" s="362"/>
      <c r="AP402" s="362"/>
      <c r="AQ402" s="362"/>
      <c r="AR402" s="362"/>
    </row>
    <row r="403" spans="1:44" ht="12.75" customHeight="1" x14ac:dyDescent="0.15">
      <c r="A403" s="431"/>
      <c r="B403" s="393"/>
      <c r="C403" s="428"/>
      <c r="D403" s="428">
        <v>604914.26975443331</v>
      </c>
      <c r="E403" s="224">
        <v>132560.8591840677</v>
      </c>
      <c r="F403" s="224">
        <v>4.9877498841850203</v>
      </c>
      <c r="G403" s="224">
        <v>3.9700236651299634</v>
      </c>
      <c r="H403" s="224">
        <v>2.8090509306720834</v>
      </c>
      <c r="I403" s="224">
        <v>2.0541367132855628</v>
      </c>
      <c r="J403" s="224"/>
      <c r="M403" s="224">
        <f t="shared" si="24"/>
        <v>472353.41057036561</v>
      </c>
      <c r="N403" s="224">
        <f t="shared" si="25"/>
        <v>1.0177262190550569</v>
      </c>
      <c r="O403" s="224">
        <f t="shared" si="26"/>
        <v>0.75491421738652065</v>
      </c>
      <c r="Q403" s="224"/>
      <c r="R403" s="224"/>
      <c r="S403" s="429"/>
      <c r="Z403" s="362"/>
      <c r="AA403" s="421"/>
      <c r="AB403" s="362"/>
      <c r="AC403" s="362"/>
      <c r="AD403" s="362"/>
      <c r="AE403" s="362"/>
      <c r="AF403" s="362"/>
      <c r="AG403" s="362"/>
      <c r="AH403" s="362"/>
      <c r="AI403" s="393"/>
      <c r="AJ403" s="393"/>
      <c r="AK403" s="362"/>
      <c r="AL403" s="362"/>
      <c r="AM403" s="362"/>
      <c r="AN403" s="362"/>
      <c r="AO403" s="362"/>
      <c r="AP403" s="362"/>
      <c r="AQ403" s="362"/>
      <c r="AR403" s="362"/>
    </row>
    <row r="404" spans="1:44" ht="12.75" customHeight="1" x14ac:dyDescent="0.15">
      <c r="A404" s="431"/>
      <c r="B404" s="393"/>
      <c r="C404" s="428"/>
      <c r="D404" s="428">
        <v>516415.22529086424</v>
      </c>
      <c r="E404" s="224">
        <v>150536.29806944623</v>
      </c>
      <c r="F404" s="224">
        <v>4.3827955811557073</v>
      </c>
      <c r="G404" s="224">
        <v>4.0886624581203472</v>
      </c>
      <c r="H404" s="224">
        <v>2.5108884138865291</v>
      </c>
      <c r="I404" s="224">
        <v>2.2879155149997876</v>
      </c>
      <c r="J404" s="224"/>
      <c r="M404" s="224">
        <f t="shared" si="24"/>
        <v>365878.92722141801</v>
      </c>
      <c r="N404" s="224">
        <f t="shared" si="25"/>
        <v>0.2941331230353601</v>
      </c>
      <c r="O404" s="224">
        <f t="shared" si="26"/>
        <v>0.22297289888674143</v>
      </c>
      <c r="Q404" s="224"/>
      <c r="R404" s="224"/>
      <c r="S404" s="429"/>
      <c r="Z404" s="362"/>
      <c r="AA404" s="421"/>
      <c r="AB404" s="362"/>
      <c r="AC404" s="362"/>
      <c r="AD404" s="362"/>
      <c r="AE404" s="362"/>
      <c r="AF404" s="362"/>
      <c r="AG404" s="362"/>
      <c r="AH404" s="362"/>
      <c r="AI404" s="393"/>
      <c r="AJ404" s="393"/>
      <c r="AK404" s="362"/>
      <c r="AL404" s="362"/>
      <c r="AM404" s="362"/>
      <c r="AN404" s="362"/>
      <c r="AO404" s="362"/>
      <c r="AP404" s="362"/>
      <c r="AQ404" s="362"/>
      <c r="AR404" s="362"/>
    </row>
    <row r="405" spans="1:44" ht="12.75" customHeight="1" x14ac:dyDescent="0.15">
      <c r="A405" s="431"/>
      <c r="B405" s="393"/>
      <c r="C405" s="428"/>
      <c r="D405" s="428">
        <v>620428.44872713834</v>
      </c>
      <c r="E405" s="224">
        <v>115381.63636260544</v>
      </c>
      <c r="F405" s="224">
        <v>4.2529030801339651</v>
      </c>
      <c r="G405" s="224">
        <v>4.0533867503088246</v>
      </c>
      <c r="H405" s="224">
        <v>2.4085730529491371</v>
      </c>
      <c r="I405" s="224">
        <v>2.1997174894373441</v>
      </c>
      <c r="J405" s="224"/>
      <c r="M405" s="224">
        <f t="shared" si="24"/>
        <v>505046.8123645329</v>
      </c>
      <c r="N405" s="224">
        <f t="shared" si="25"/>
        <v>0.19951632982514056</v>
      </c>
      <c r="O405" s="224">
        <f t="shared" si="26"/>
        <v>0.20885556351179302</v>
      </c>
      <c r="Q405" s="224"/>
      <c r="R405" s="224"/>
      <c r="S405" s="429"/>
      <c r="Z405" s="362"/>
      <c r="AA405" s="421"/>
      <c r="AB405" s="362"/>
      <c r="AC405" s="362"/>
      <c r="AD405" s="362"/>
      <c r="AE405" s="362"/>
      <c r="AF405" s="362"/>
      <c r="AG405" s="362"/>
      <c r="AH405" s="362"/>
      <c r="AI405" s="393"/>
      <c r="AJ405" s="393"/>
      <c r="AK405" s="362"/>
      <c r="AL405" s="362"/>
      <c r="AM405" s="362"/>
      <c r="AN405" s="362"/>
      <c r="AO405" s="362"/>
      <c r="AP405" s="362"/>
      <c r="AQ405" s="362"/>
      <c r="AR405" s="362"/>
    </row>
    <row r="406" spans="1:44" ht="12.75" customHeight="1" x14ac:dyDescent="0.15">
      <c r="A406" s="431"/>
      <c r="B406" s="393"/>
      <c r="C406" s="428"/>
      <c r="D406" s="428">
        <v>618855.21532991808</v>
      </c>
      <c r="E406" s="224">
        <v>140722.10319676038</v>
      </c>
      <c r="F406" s="224">
        <v>3.9060354289230861</v>
      </c>
      <c r="G406" s="224">
        <v>4.3478392950923741</v>
      </c>
      <c r="H406" s="224">
        <v>2.6435528999136513</v>
      </c>
      <c r="I406" s="224">
        <v>2.4385448938260543</v>
      </c>
      <c r="J406" s="224"/>
      <c r="M406" s="224">
        <f t="shared" si="24"/>
        <v>478133.11213315767</v>
      </c>
      <c r="N406" s="224">
        <f t="shared" si="25"/>
        <v>-0.44180386616928802</v>
      </c>
      <c r="O406" s="224">
        <f t="shared" si="26"/>
        <v>0.20500800608759695</v>
      </c>
      <c r="Q406" s="224"/>
      <c r="R406" s="224"/>
      <c r="S406" s="429"/>
      <c r="Z406" s="362"/>
      <c r="AA406" s="421"/>
      <c r="AB406" s="362"/>
      <c r="AC406" s="362"/>
      <c r="AD406" s="362"/>
      <c r="AE406" s="362"/>
      <c r="AF406" s="362"/>
      <c r="AG406" s="362"/>
      <c r="AH406" s="362"/>
      <c r="AI406" s="393"/>
      <c r="AJ406" s="393"/>
      <c r="AK406" s="362"/>
      <c r="AL406" s="362"/>
      <c r="AM406" s="362"/>
      <c r="AN406" s="362"/>
      <c r="AO406" s="362"/>
      <c r="AP406" s="362"/>
      <c r="AQ406" s="362"/>
      <c r="AR406" s="362"/>
    </row>
    <row r="407" spans="1:44" ht="12.75" customHeight="1" x14ac:dyDescent="0.15">
      <c r="A407" s="431"/>
      <c r="B407" s="393"/>
      <c r="C407" s="428"/>
      <c r="D407" s="428">
        <v>565445.64857450163</v>
      </c>
      <c r="E407" s="224">
        <v>131324.85620432202</v>
      </c>
      <c r="F407" s="224">
        <v>4.6396344857445406</v>
      </c>
      <c r="G407" s="224">
        <v>3.5677971960132115</v>
      </c>
      <c r="H407" s="224">
        <v>2.6571529654576347</v>
      </c>
      <c r="I407" s="224">
        <v>1.9994328858621244</v>
      </c>
      <c r="J407" s="224"/>
      <c r="M407" s="224">
        <f t="shared" si="24"/>
        <v>434120.79237017961</v>
      </c>
      <c r="N407" s="224">
        <f t="shared" si="25"/>
        <v>1.0718372897313291</v>
      </c>
      <c r="O407" s="224">
        <f t="shared" si="26"/>
        <v>0.65772007959551027</v>
      </c>
      <c r="Q407" s="224"/>
      <c r="R407" s="224"/>
      <c r="S407" s="429"/>
      <c r="Z407" s="362"/>
      <c r="AA407" s="421"/>
      <c r="AB407" s="362"/>
      <c r="AC407" s="362"/>
      <c r="AD407" s="362"/>
      <c r="AE407" s="362"/>
      <c r="AF407" s="362"/>
      <c r="AG407" s="362"/>
      <c r="AH407" s="362"/>
      <c r="AI407" s="393"/>
      <c r="AJ407" s="393"/>
      <c r="AK407" s="362"/>
      <c r="AL407" s="362"/>
      <c r="AM407" s="362"/>
      <c r="AN407" s="362"/>
      <c r="AO407" s="362"/>
      <c r="AP407" s="362"/>
      <c r="AQ407" s="362"/>
      <c r="AR407" s="362"/>
    </row>
    <row r="408" spans="1:44" ht="12.75" customHeight="1" x14ac:dyDescent="0.15">
      <c r="A408" s="431"/>
      <c r="B408" s="393"/>
      <c r="C408" s="428"/>
      <c r="D408" s="428">
        <v>530215.30059992068</v>
      </c>
      <c r="E408" s="224">
        <v>158084.98079775926</v>
      </c>
      <c r="F408" s="224">
        <v>4.3592948241723368</v>
      </c>
      <c r="G408" s="224">
        <v>4.2555754062828397</v>
      </c>
      <c r="H408" s="224">
        <v>2.2129069206388987</v>
      </c>
      <c r="I408" s="224">
        <v>2.1071553831199155</v>
      </c>
      <c r="J408" s="224"/>
      <c r="M408" s="224">
        <f t="shared" si="24"/>
        <v>372130.31980216142</v>
      </c>
      <c r="N408" s="224">
        <f t="shared" si="25"/>
        <v>0.10371941788949712</v>
      </c>
      <c r="O408" s="224">
        <f t="shared" si="26"/>
        <v>0.10575153751898325</v>
      </c>
      <c r="Q408" s="224"/>
      <c r="R408" s="224"/>
      <c r="S408" s="429"/>
      <c r="Z408" s="362"/>
      <c r="AA408" s="421"/>
      <c r="AB408" s="362"/>
      <c r="AC408" s="362"/>
      <c r="AD408" s="362"/>
      <c r="AE408" s="362"/>
      <c r="AF408" s="362"/>
      <c r="AG408" s="362"/>
      <c r="AH408" s="362"/>
      <c r="AI408" s="393"/>
      <c r="AJ408" s="393"/>
      <c r="AK408" s="362"/>
      <c r="AL408" s="362"/>
      <c r="AM408" s="362"/>
      <c r="AN408" s="362"/>
      <c r="AO408" s="362"/>
      <c r="AP408" s="362"/>
      <c r="AQ408" s="362"/>
      <c r="AR408" s="362"/>
    </row>
    <row r="409" spans="1:44" ht="12.75" customHeight="1" x14ac:dyDescent="0.15">
      <c r="A409" s="431"/>
      <c r="B409" s="393"/>
      <c r="C409" s="428"/>
      <c r="D409" s="428">
        <v>625965.4705363753</v>
      </c>
      <c r="E409" s="224">
        <v>141798.80388370057</v>
      </c>
      <c r="F409" s="224">
        <v>4.5162065056866982</v>
      </c>
      <c r="G409" s="224">
        <v>3.7805768471674952</v>
      </c>
      <c r="H409" s="224">
        <v>2.7652022964090168</v>
      </c>
      <c r="I409" s="224">
        <v>2.3177355293656188</v>
      </c>
      <c r="J409" s="224"/>
      <c r="M409" s="224">
        <f t="shared" si="24"/>
        <v>484166.66665267473</v>
      </c>
      <c r="N409" s="224">
        <f t="shared" si="25"/>
        <v>0.73562965851920303</v>
      </c>
      <c r="O409" s="224">
        <f t="shared" si="26"/>
        <v>0.44746676704339805</v>
      </c>
      <c r="Q409" s="224"/>
      <c r="R409" s="224"/>
      <c r="S409" s="429"/>
      <c r="Z409" s="362"/>
      <c r="AA409" s="421"/>
      <c r="AB409" s="362"/>
      <c r="AC409" s="362"/>
      <c r="AD409" s="362"/>
      <c r="AE409" s="362"/>
      <c r="AF409" s="362"/>
      <c r="AG409" s="362"/>
      <c r="AH409" s="362"/>
      <c r="AI409" s="393"/>
      <c r="AJ409" s="393"/>
      <c r="AK409" s="362"/>
      <c r="AL409" s="362"/>
      <c r="AM409" s="362"/>
      <c r="AN409" s="362"/>
      <c r="AO409" s="362"/>
      <c r="AP409" s="362"/>
      <c r="AQ409" s="362"/>
      <c r="AR409" s="362"/>
    </row>
    <row r="410" spans="1:44" ht="12.75" customHeight="1" x14ac:dyDescent="0.15">
      <c r="A410" s="431"/>
      <c r="B410" s="393"/>
      <c r="C410" s="428"/>
      <c r="D410" s="428">
        <v>633140.01364457491</v>
      </c>
      <c r="E410" s="224">
        <v>230948.74096877512</v>
      </c>
      <c r="F410" s="224">
        <v>4.2360517869738645</v>
      </c>
      <c r="G410" s="224">
        <v>4.0956873948119732</v>
      </c>
      <c r="H410" s="224">
        <v>2.2941958415874435</v>
      </c>
      <c r="I410" s="224">
        <v>2.0555107423661285</v>
      </c>
      <c r="J410" s="224"/>
      <c r="M410" s="224">
        <f t="shared" si="24"/>
        <v>402191.27267579979</v>
      </c>
      <c r="N410" s="224">
        <f t="shared" si="25"/>
        <v>0.14036439216189134</v>
      </c>
      <c r="O410" s="224">
        <f t="shared" si="26"/>
        <v>0.23868509922131498</v>
      </c>
      <c r="Q410" s="224"/>
      <c r="R410" s="224"/>
      <c r="S410" s="429"/>
      <c r="Z410" s="362"/>
      <c r="AA410" s="421"/>
      <c r="AB410" s="362"/>
      <c r="AC410" s="362"/>
      <c r="AD410" s="362"/>
      <c r="AE410" s="362"/>
      <c r="AF410" s="362"/>
      <c r="AG410" s="362"/>
      <c r="AH410" s="362"/>
      <c r="AI410" s="393"/>
      <c r="AJ410" s="393"/>
      <c r="AK410" s="362"/>
      <c r="AL410" s="362"/>
      <c r="AM410" s="362"/>
      <c r="AN410" s="362"/>
      <c r="AO410" s="362"/>
      <c r="AP410" s="362"/>
      <c r="AQ410" s="362"/>
      <c r="AR410" s="362"/>
    </row>
    <row r="411" spans="1:44" ht="12.75" customHeight="1" x14ac:dyDescent="0.15">
      <c r="A411" s="431"/>
      <c r="B411" s="393"/>
      <c r="C411" s="428"/>
      <c r="D411" s="428">
        <v>558645.28618026804</v>
      </c>
      <c r="E411" s="224">
        <v>155676.62745529271</v>
      </c>
      <c r="F411" s="224">
        <v>4.7922985606134025</v>
      </c>
      <c r="G411" s="224">
        <v>4.265840684516836</v>
      </c>
      <c r="H411" s="224">
        <v>2.6734682489311519</v>
      </c>
      <c r="I411" s="224">
        <v>2.3477148926144</v>
      </c>
      <c r="J411" s="224"/>
      <c r="M411" s="224">
        <f t="shared" si="24"/>
        <v>402968.65872497531</v>
      </c>
      <c r="N411" s="224">
        <f t="shared" si="25"/>
        <v>0.52645787609656658</v>
      </c>
      <c r="O411" s="224">
        <f t="shared" si="26"/>
        <v>0.32575335631675184</v>
      </c>
      <c r="Q411" s="224"/>
      <c r="R411" s="224"/>
      <c r="S411" s="429"/>
      <c r="Z411" s="362"/>
      <c r="AA411" s="421"/>
      <c r="AB411" s="362"/>
      <c r="AC411" s="362"/>
      <c r="AD411" s="362"/>
      <c r="AE411" s="362"/>
      <c r="AF411" s="362"/>
      <c r="AG411" s="362"/>
      <c r="AH411" s="362"/>
      <c r="AI411" s="393"/>
      <c r="AJ411" s="393"/>
      <c r="AK411" s="362"/>
      <c r="AL411" s="362"/>
      <c r="AM411" s="362"/>
      <c r="AN411" s="362"/>
      <c r="AO411" s="362"/>
      <c r="AP411" s="362"/>
      <c r="AQ411" s="362"/>
      <c r="AR411" s="362"/>
    </row>
    <row r="412" spans="1:44" ht="12.75" customHeight="1" x14ac:dyDescent="0.15">
      <c r="A412" s="431"/>
      <c r="B412" s="393"/>
      <c r="C412" s="428"/>
      <c r="D412" s="428">
        <v>526938.31423772068</v>
      </c>
      <c r="E412" s="224">
        <v>172207.5666147942</v>
      </c>
      <c r="F412" s="224">
        <v>4.6808291010122272</v>
      </c>
      <c r="G412" s="224">
        <v>4.2928612451282877</v>
      </c>
      <c r="H412" s="224">
        <v>2.4724606118931138</v>
      </c>
      <c r="I412" s="224">
        <v>2.2526558002535384</v>
      </c>
      <c r="J412" s="224"/>
      <c r="M412" s="224">
        <f t="shared" si="24"/>
        <v>354730.74762292649</v>
      </c>
      <c r="N412" s="224">
        <f t="shared" si="25"/>
        <v>0.38796785588393945</v>
      </c>
      <c r="O412" s="224">
        <f t="shared" si="26"/>
        <v>0.21980481163957544</v>
      </c>
      <c r="Q412" s="224"/>
      <c r="R412" s="224"/>
      <c r="S412" s="429"/>
      <c r="Z412" s="362"/>
      <c r="AA412" s="421"/>
      <c r="AB412" s="362"/>
      <c r="AC412" s="362"/>
      <c r="AD412" s="362"/>
      <c r="AE412" s="362"/>
      <c r="AF412" s="362"/>
      <c r="AG412" s="362"/>
      <c r="AH412" s="362"/>
      <c r="AI412" s="393"/>
      <c r="AJ412" s="393"/>
      <c r="AK412" s="362"/>
      <c r="AL412" s="362"/>
      <c r="AM412" s="362"/>
      <c r="AN412" s="362"/>
      <c r="AO412" s="362"/>
      <c r="AP412" s="362"/>
      <c r="AQ412" s="362"/>
      <c r="AR412" s="362"/>
    </row>
    <row r="413" spans="1:44" ht="12.75" customHeight="1" x14ac:dyDescent="0.15">
      <c r="A413" s="431"/>
      <c r="B413" s="393"/>
      <c r="C413" s="428"/>
      <c r="D413" s="428">
        <v>673899.621859462</v>
      </c>
      <c r="E413" s="224">
        <v>155009.10908006175</v>
      </c>
      <c r="F413" s="224">
        <v>4.6141148434034758</v>
      </c>
      <c r="G413" s="224">
        <v>4.3426597398462823</v>
      </c>
      <c r="H413" s="224">
        <v>2.2145793734753219</v>
      </c>
      <c r="I413" s="224">
        <v>1.9417860365965345</v>
      </c>
      <c r="J413" s="224"/>
      <c r="M413" s="224">
        <f t="shared" si="24"/>
        <v>518890.51277940022</v>
      </c>
      <c r="N413" s="224">
        <f t="shared" si="25"/>
        <v>0.27145510355719349</v>
      </c>
      <c r="O413" s="224">
        <f t="shared" si="26"/>
        <v>0.27279333687878737</v>
      </c>
      <c r="Q413" s="224"/>
      <c r="R413" s="224"/>
      <c r="S413" s="429"/>
      <c r="Z413" s="362"/>
      <c r="AA413" s="421"/>
      <c r="AB413" s="362"/>
      <c r="AC413" s="362"/>
      <c r="AD413" s="362"/>
      <c r="AE413" s="362"/>
      <c r="AF413" s="362"/>
      <c r="AG413" s="362"/>
      <c r="AH413" s="362"/>
      <c r="AI413" s="393"/>
      <c r="AJ413" s="393"/>
      <c r="AK413" s="362"/>
      <c r="AL413" s="362"/>
      <c r="AM413" s="362"/>
      <c r="AN413" s="362"/>
      <c r="AO413" s="362"/>
      <c r="AP413" s="362"/>
      <c r="AQ413" s="362"/>
      <c r="AR413" s="362"/>
    </row>
    <row r="414" spans="1:44" ht="12.75" customHeight="1" x14ac:dyDescent="0.15">
      <c r="A414" s="431"/>
      <c r="B414" s="393"/>
      <c r="C414" s="428"/>
      <c r="D414" s="428">
        <v>584452.561988528</v>
      </c>
      <c r="E414" s="224">
        <v>167190.28031084526</v>
      </c>
      <c r="F414" s="224">
        <v>4.5215978690276204</v>
      </c>
      <c r="G414" s="224">
        <v>4.1957134627202981</v>
      </c>
      <c r="H414" s="224">
        <v>2.8238613234130661</v>
      </c>
      <c r="I414" s="224">
        <v>2.4174512592611079</v>
      </c>
      <c r="J414" s="224"/>
      <c r="M414" s="224">
        <f t="shared" si="24"/>
        <v>417262.28167768277</v>
      </c>
      <c r="N414" s="224">
        <f t="shared" si="25"/>
        <v>0.32588440630732229</v>
      </c>
      <c r="O414" s="224">
        <f t="shared" si="26"/>
        <v>0.40641006415195813</v>
      </c>
      <c r="Q414" s="224"/>
      <c r="R414" s="224"/>
      <c r="S414" s="429"/>
      <c r="Z414" s="362"/>
      <c r="AA414" s="421"/>
      <c r="AB414" s="362"/>
      <c r="AC414" s="362"/>
      <c r="AD414" s="362"/>
      <c r="AE414" s="362"/>
      <c r="AF414" s="362"/>
      <c r="AG414" s="362"/>
      <c r="AH414" s="362"/>
      <c r="AI414" s="393"/>
      <c r="AJ414" s="393"/>
      <c r="AK414" s="362"/>
      <c r="AL414" s="362"/>
      <c r="AM414" s="362"/>
      <c r="AN414" s="362"/>
      <c r="AO414" s="362"/>
      <c r="AP414" s="362"/>
      <c r="AQ414" s="362"/>
      <c r="AR414" s="362"/>
    </row>
    <row r="415" spans="1:44" ht="12.75" customHeight="1" x14ac:dyDescent="0.15">
      <c r="A415" s="431"/>
      <c r="B415" s="393"/>
      <c r="C415" s="428"/>
      <c r="D415" s="428">
        <v>675604.56706928695</v>
      </c>
      <c r="E415" s="224">
        <v>205144.79457543691</v>
      </c>
      <c r="F415" s="224">
        <v>4.5850866330953206</v>
      </c>
      <c r="G415" s="224">
        <v>3.9347538394175601</v>
      </c>
      <c r="H415" s="224">
        <v>2.4201263322955309</v>
      </c>
      <c r="I415" s="224">
        <v>2.0690322576955502</v>
      </c>
      <c r="J415" s="224"/>
      <c r="M415" s="224">
        <f t="shared" si="24"/>
        <v>470459.77249385003</v>
      </c>
      <c r="N415" s="224">
        <f t="shared" si="25"/>
        <v>0.65033279367776053</v>
      </c>
      <c r="O415" s="224">
        <f t="shared" si="26"/>
        <v>0.35109407459998065</v>
      </c>
      <c r="Q415" s="224"/>
      <c r="R415" s="224"/>
      <c r="S415" s="429"/>
      <c r="Z415" s="362"/>
      <c r="AA415" s="421"/>
      <c r="AB415" s="362"/>
      <c r="AC415" s="362"/>
      <c r="AD415" s="362"/>
      <c r="AE415" s="362"/>
      <c r="AF415" s="362"/>
      <c r="AG415" s="362"/>
      <c r="AH415" s="362"/>
      <c r="AI415" s="393"/>
      <c r="AJ415" s="393"/>
      <c r="AK415" s="362"/>
      <c r="AL415" s="362"/>
      <c r="AM415" s="362"/>
      <c r="AN415" s="362"/>
      <c r="AO415" s="362"/>
      <c r="AP415" s="362"/>
      <c r="AQ415" s="362"/>
      <c r="AR415" s="362"/>
    </row>
    <row r="416" spans="1:44" ht="12.75" customHeight="1" x14ac:dyDescent="0.15">
      <c r="A416" s="431"/>
      <c r="B416" s="393"/>
      <c r="C416" s="428"/>
      <c r="D416" s="428">
        <v>516715.41341131553</v>
      </c>
      <c r="E416" s="224">
        <v>144177.21291272651</v>
      </c>
      <c r="F416" s="224">
        <v>4.6782877481416012</v>
      </c>
      <c r="G416" s="224">
        <v>3.5399263086279773</v>
      </c>
      <c r="H416" s="224">
        <v>2.3963972276861192</v>
      </c>
      <c r="I416" s="224">
        <v>1.8482664545709375</v>
      </c>
      <c r="J416" s="224"/>
      <c r="M416" s="224">
        <f t="shared" si="24"/>
        <v>372538.20049858902</v>
      </c>
      <c r="N416" s="224">
        <f t="shared" si="25"/>
        <v>1.1383614395136239</v>
      </c>
      <c r="O416" s="224">
        <f t="shared" si="26"/>
        <v>0.54813077311518166</v>
      </c>
      <c r="Q416" s="224"/>
      <c r="R416" s="224"/>
      <c r="S416" s="429"/>
      <c r="Z416" s="362"/>
      <c r="AA416" s="421"/>
      <c r="AB416" s="362"/>
      <c r="AC416" s="362"/>
      <c r="AD416" s="362"/>
      <c r="AE416" s="362"/>
      <c r="AF416" s="362"/>
      <c r="AG416" s="362"/>
      <c r="AH416" s="362"/>
      <c r="AI416" s="393"/>
      <c r="AJ416" s="393"/>
      <c r="AK416" s="362"/>
      <c r="AL416" s="362"/>
      <c r="AM416" s="362"/>
      <c r="AN416" s="362"/>
      <c r="AO416" s="362"/>
      <c r="AP416" s="362"/>
      <c r="AQ416" s="362"/>
      <c r="AR416" s="362"/>
    </row>
    <row r="417" spans="1:44" ht="12.75" customHeight="1" x14ac:dyDescent="0.15">
      <c r="A417" s="431"/>
      <c r="B417" s="393"/>
      <c r="C417" s="428"/>
      <c r="D417" s="428">
        <v>559082.71310858824</v>
      </c>
      <c r="E417" s="224">
        <v>206742.68934615891</v>
      </c>
      <c r="F417" s="224">
        <v>3.9628853997254305</v>
      </c>
      <c r="G417" s="224">
        <v>3.8881683821508743</v>
      </c>
      <c r="H417" s="224">
        <v>2.3863793336555346</v>
      </c>
      <c r="I417" s="224">
        <v>2.5051508915960605</v>
      </c>
      <c r="J417" s="224"/>
      <c r="M417" s="224">
        <f t="shared" si="24"/>
        <v>352340.02376242937</v>
      </c>
      <c r="N417" s="224">
        <f t="shared" si="25"/>
        <v>7.4717017574556177E-2</v>
      </c>
      <c r="O417" s="224">
        <f t="shared" si="26"/>
        <v>-0.11877155794052596</v>
      </c>
      <c r="Q417" s="224"/>
      <c r="R417" s="224"/>
      <c r="S417" s="429"/>
      <c r="Z417" s="362"/>
      <c r="AA417" s="421"/>
      <c r="AB417" s="362"/>
      <c r="AC417" s="362"/>
      <c r="AD417" s="362"/>
      <c r="AE417" s="362"/>
      <c r="AF417" s="362"/>
      <c r="AG417" s="362"/>
      <c r="AH417" s="362"/>
      <c r="AI417" s="393"/>
      <c r="AJ417" s="393"/>
      <c r="AK417" s="362"/>
      <c r="AL417" s="362"/>
      <c r="AM417" s="362"/>
      <c r="AN417" s="362"/>
      <c r="AO417" s="362"/>
      <c r="AP417" s="362"/>
      <c r="AQ417" s="362"/>
      <c r="AR417" s="362"/>
    </row>
    <row r="418" spans="1:44" ht="12.75" customHeight="1" x14ac:dyDescent="0.15">
      <c r="A418" s="431"/>
      <c r="B418" s="393"/>
      <c r="C418" s="428"/>
      <c r="D418" s="428">
        <v>590240.75051675795</v>
      </c>
      <c r="E418" s="224">
        <v>139808.06740925572</v>
      </c>
      <c r="F418" s="224">
        <v>4.4076924814714529</v>
      </c>
      <c r="G418" s="224">
        <v>3.7818623450187903</v>
      </c>
      <c r="H418" s="224">
        <v>2.8749612198051677</v>
      </c>
      <c r="I418" s="224">
        <v>2.4097221801852977</v>
      </c>
      <c r="J418" s="224"/>
      <c r="M418" s="224">
        <f t="shared" si="24"/>
        <v>450432.68310750223</v>
      </c>
      <c r="N418" s="224">
        <f t="shared" si="25"/>
        <v>0.62583013645266261</v>
      </c>
      <c r="O418" s="224">
        <f t="shared" si="26"/>
        <v>0.46523903961987001</v>
      </c>
      <c r="Q418" s="224"/>
      <c r="R418" s="224"/>
      <c r="S418" s="429"/>
      <c r="Z418" s="362"/>
      <c r="AA418" s="421"/>
      <c r="AB418" s="362"/>
      <c r="AC418" s="362"/>
      <c r="AD418" s="362"/>
      <c r="AE418" s="362"/>
      <c r="AF418" s="362"/>
      <c r="AG418" s="362"/>
      <c r="AH418" s="362"/>
      <c r="AI418" s="393"/>
      <c r="AJ418" s="393"/>
      <c r="AK418" s="362"/>
      <c r="AL418" s="362"/>
      <c r="AM418" s="362"/>
      <c r="AN418" s="362"/>
      <c r="AO418" s="362"/>
      <c r="AP418" s="362"/>
      <c r="AQ418" s="362"/>
      <c r="AR418" s="362"/>
    </row>
    <row r="419" spans="1:44" ht="12.75" customHeight="1" x14ac:dyDescent="0.15">
      <c r="A419" s="431"/>
      <c r="B419" s="393"/>
      <c r="C419" s="428"/>
      <c r="D419" s="428">
        <v>616911.4840439785</v>
      </c>
      <c r="E419" s="224">
        <v>211984.70225373641</v>
      </c>
      <c r="F419" s="224">
        <v>4.2148144640794847</v>
      </c>
      <c r="G419" s="224">
        <v>4.6813013183403118</v>
      </c>
      <c r="H419" s="224">
        <v>2.677532386326182</v>
      </c>
      <c r="I419" s="224">
        <v>2.82780558387452</v>
      </c>
      <c r="J419" s="224"/>
      <c r="M419" s="224">
        <f t="shared" si="24"/>
        <v>404926.78179024206</v>
      </c>
      <c r="N419" s="224">
        <f t="shared" si="25"/>
        <v>-0.46648685426082714</v>
      </c>
      <c r="O419" s="224">
        <f t="shared" si="26"/>
        <v>-0.15027319754833801</v>
      </c>
      <c r="Q419" s="224"/>
      <c r="R419" s="224"/>
      <c r="S419" s="429"/>
      <c r="Z419" s="362"/>
      <c r="AA419" s="421"/>
      <c r="AB419" s="362"/>
      <c r="AC419" s="362"/>
      <c r="AD419" s="362"/>
      <c r="AE419" s="362"/>
      <c r="AF419" s="362"/>
      <c r="AG419" s="362"/>
      <c r="AH419" s="362"/>
      <c r="AI419" s="393"/>
      <c r="AJ419" s="393"/>
      <c r="AK419" s="362"/>
      <c r="AL419" s="362"/>
      <c r="AM419" s="362"/>
      <c r="AN419" s="362"/>
      <c r="AO419" s="362"/>
      <c r="AP419" s="362"/>
      <c r="AQ419" s="362"/>
      <c r="AR419" s="362"/>
    </row>
    <row r="420" spans="1:44" ht="12.75" customHeight="1" x14ac:dyDescent="0.15">
      <c r="A420" s="431"/>
      <c r="B420" s="393"/>
      <c r="C420" s="428"/>
      <c r="D420" s="428">
        <v>532581.1859295523</v>
      </c>
      <c r="E420" s="224">
        <v>110521.52891942658</v>
      </c>
      <c r="F420" s="224">
        <v>3.687196689923844</v>
      </c>
      <c r="G420" s="224">
        <v>4.2250338844533664</v>
      </c>
      <c r="H420" s="224">
        <v>2.4471643589560883</v>
      </c>
      <c r="I420" s="224">
        <v>2.5609278379461817</v>
      </c>
      <c r="J420" s="224"/>
      <c r="M420" s="224">
        <f t="shared" si="24"/>
        <v>422059.65701012569</v>
      </c>
      <c r="N420" s="224">
        <f t="shared" si="25"/>
        <v>-0.53783719452952239</v>
      </c>
      <c r="O420" s="224">
        <f t="shared" si="26"/>
        <v>-0.11376347899009343</v>
      </c>
      <c r="Q420" s="224"/>
      <c r="R420" s="224"/>
      <c r="S420" s="429"/>
      <c r="Z420" s="362"/>
      <c r="AA420" s="421"/>
      <c r="AB420" s="362"/>
      <c r="AC420" s="362"/>
      <c r="AD420" s="362"/>
      <c r="AE420" s="362"/>
      <c r="AF420" s="362"/>
      <c r="AG420" s="362"/>
      <c r="AH420" s="362"/>
      <c r="AI420" s="393"/>
      <c r="AJ420" s="393"/>
      <c r="AK420" s="362"/>
      <c r="AL420" s="362"/>
      <c r="AM420" s="362"/>
      <c r="AN420" s="362"/>
      <c r="AO420" s="362"/>
      <c r="AP420" s="362"/>
      <c r="AQ420" s="362"/>
      <c r="AR420" s="362"/>
    </row>
    <row r="421" spans="1:44" ht="12.75" customHeight="1" x14ac:dyDescent="0.15">
      <c r="A421" s="431"/>
      <c r="B421" s="393"/>
      <c r="C421" s="428"/>
      <c r="D421" s="428">
        <v>591914.36285261391</v>
      </c>
      <c r="E421" s="224">
        <v>192959.05360489973</v>
      </c>
      <c r="F421" s="224">
        <v>4.1632432079524362</v>
      </c>
      <c r="G421" s="224">
        <v>3.9146713151472232</v>
      </c>
      <c r="H421" s="224">
        <v>2.6236369500698604</v>
      </c>
      <c r="I421" s="224">
        <v>2.1983373298544082</v>
      </c>
      <c r="J421" s="224"/>
      <c r="M421" s="224">
        <f t="shared" si="24"/>
        <v>398955.30924771418</v>
      </c>
      <c r="N421" s="224">
        <f t="shared" si="25"/>
        <v>0.24857189280521297</v>
      </c>
      <c r="O421" s="224">
        <f t="shared" si="26"/>
        <v>0.4252996202154522</v>
      </c>
      <c r="Q421" s="224"/>
      <c r="R421" s="224"/>
      <c r="S421" s="429"/>
      <c r="Z421" s="362"/>
      <c r="AA421" s="421"/>
      <c r="AB421" s="362"/>
      <c r="AC421" s="362"/>
      <c r="AD421" s="362"/>
      <c r="AE421" s="362"/>
      <c r="AF421" s="362"/>
      <c r="AG421" s="362"/>
      <c r="AH421" s="362"/>
      <c r="AI421" s="393"/>
      <c r="AJ421" s="393"/>
      <c r="AK421" s="362"/>
      <c r="AL421" s="362"/>
      <c r="AM421" s="362"/>
      <c r="AN421" s="362"/>
      <c r="AO421" s="362"/>
      <c r="AP421" s="362"/>
      <c r="AQ421" s="362"/>
      <c r="AR421" s="362"/>
    </row>
    <row r="422" spans="1:44" ht="12.75" customHeight="1" x14ac:dyDescent="0.15">
      <c r="A422" s="431"/>
      <c r="B422" s="393"/>
      <c r="C422" s="428"/>
      <c r="D422" s="428">
        <v>648637.29299023584</v>
      </c>
      <c r="E422" s="224">
        <v>139604.60080837793</v>
      </c>
      <c r="F422" s="224">
        <v>4.2536052321074642</v>
      </c>
      <c r="G422" s="224">
        <v>3.8527586838246819</v>
      </c>
      <c r="H422" s="224">
        <v>2.481621224199781</v>
      </c>
      <c r="I422" s="224">
        <v>1.897628870028419</v>
      </c>
      <c r="J422" s="224"/>
      <c r="M422" s="224">
        <f t="shared" si="24"/>
        <v>509032.69218185788</v>
      </c>
      <c r="N422" s="224">
        <f t="shared" si="25"/>
        <v>0.40084654828278232</v>
      </c>
      <c r="O422" s="224">
        <f t="shared" si="26"/>
        <v>0.58399235417136208</v>
      </c>
      <c r="Q422" s="224"/>
      <c r="R422" s="224"/>
      <c r="S422" s="429"/>
      <c r="Z422" s="362"/>
      <c r="AA422" s="421"/>
      <c r="AB422" s="362"/>
      <c r="AC422" s="362"/>
      <c r="AD422" s="362"/>
      <c r="AE422" s="362"/>
      <c r="AF422" s="362"/>
      <c r="AG422" s="362"/>
      <c r="AH422" s="362"/>
      <c r="AI422" s="393"/>
      <c r="AJ422" s="393"/>
      <c r="AK422" s="362"/>
      <c r="AL422" s="362"/>
      <c r="AM422" s="362"/>
      <c r="AN422" s="362"/>
      <c r="AO422" s="362"/>
      <c r="AP422" s="362"/>
      <c r="AQ422" s="362"/>
      <c r="AR422" s="362"/>
    </row>
    <row r="423" spans="1:44" ht="12.75" customHeight="1" x14ac:dyDescent="0.15">
      <c r="A423" s="431"/>
      <c r="B423" s="393"/>
      <c r="C423" s="428"/>
      <c r="D423" s="428">
        <v>625459.49082618114</v>
      </c>
      <c r="E423" s="224">
        <v>168737.18207876774</v>
      </c>
      <c r="F423" s="224">
        <v>4.0158634117440899</v>
      </c>
      <c r="G423" s="224">
        <v>4.3121640956362191</v>
      </c>
      <c r="H423" s="224">
        <v>2.4037055340173463</v>
      </c>
      <c r="I423" s="224">
        <v>2.3330027729124136</v>
      </c>
      <c r="J423" s="224"/>
      <c r="M423" s="224">
        <f t="shared" si="24"/>
        <v>456722.30874741339</v>
      </c>
      <c r="N423" s="224">
        <f t="shared" si="25"/>
        <v>-0.29630068389212916</v>
      </c>
      <c r="O423" s="224">
        <f t="shared" si="26"/>
        <v>7.0702761104932677E-2</v>
      </c>
      <c r="Q423" s="224"/>
      <c r="R423" s="224"/>
      <c r="S423" s="429"/>
      <c r="Z423" s="362"/>
      <c r="AA423" s="421"/>
      <c r="AB423" s="362"/>
      <c r="AC423" s="362"/>
      <c r="AD423" s="362"/>
      <c r="AE423" s="362"/>
      <c r="AF423" s="362"/>
      <c r="AG423" s="362"/>
      <c r="AH423" s="362"/>
      <c r="AI423" s="393"/>
      <c r="AJ423" s="393"/>
      <c r="AK423" s="362"/>
      <c r="AL423" s="362"/>
      <c r="AM423" s="362"/>
      <c r="AN423" s="362"/>
      <c r="AO423" s="362"/>
      <c r="AP423" s="362"/>
      <c r="AQ423" s="362"/>
      <c r="AR423" s="362"/>
    </row>
    <row r="424" spans="1:44" ht="12.75" customHeight="1" x14ac:dyDescent="0.15">
      <c r="A424" s="431"/>
      <c r="B424" s="393"/>
      <c r="C424" s="428"/>
      <c r="D424" s="428">
        <v>692863.54670073674</v>
      </c>
      <c r="E424" s="224">
        <v>165339.51969796402</v>
      </c>
      <c r="F424" s="224">
        <v>4.444788593064775</v>
      </c>
      <c r="G424" s="224">
        <v>3.6616932261197235</v>
      </c>
      <c r="H424" s="224">
        <v>2.9476187373776113</v>
      </c>
      <c r="I424" s="224">
        <v>2.1112947931578043</v>
      </c>
      <c r="J424" s="224"/>
      <c r="M424" s="224">
        <f t="shared" si="24"/>
        <v>527524.02700277278</v>
      </c>
      <c r="N424" s="224">
        <f t="shared" si="25"/>
        <v>0.78309536694505155</v>
      </c>
      <c r="O424" s="224">
        <f t="shared" si="26"/>
        <v>0.83632394421980694</v>
      </c>
      <c r="Q424" s="224"/>
      <c r="R424" s="224"/>
      <c r="S424" s="429"/>
      <c r="Z424" s="362"/>
      <c r="AA424" s="421"/>
      <c r="AB424" s="362"/>
      <c r="AC424" s="362"/>
      <c r="AD424" s="362"/>
      <c r="AE424" s="362"/>
      <c r="AF424" s="362"/>
      <c r="AG424" s="362"/>
      <c r="AH424" s="362"/>
      <c r="AI424" s="393"/>
      <c r="AJ424" s="393"/>
      <c r="AK424" s="362"/>
      <c r="AL424" s="362"/>
      <c r="AM424" s="362"/>
      <c r="AN424" s="362"/>
      <c r="AO424" s="362"/>
      <c r="AP424" s="362"/>
      <c r="AQ424" s="362"/>
      <c r="AR424" s="362"/>
    </row>
    <row r="425" spans="1:44" ht="12.75" customHeight="1" x14ac:dyDescent="0.15">
      <c r="A425" s="431"/>
      <c r="B425" s="393"/>
      <c r="C425" s="428"/>
      <c r="D425" s="428">
        <v>833268.89902527258</v>
      </c>
      <c r="E425" s="224">
        <v>222543.4141435668</v>
      </c>
      <c r="F425" s="224">
        <v>4.8989447845385561</v>
      </c>
      <c r="G425" s="224">
        <v>3.9365126322280006</v>
      </c>
      <c r="H425" s="224">
        <v>2.9551444588467439</v>
      </c>
      <c r="I425" s="224">
        <v>1.9930478923049937</v>
      </c>
      <c r="J425" s="224"/>
      <c r="M425" s="224">
        <f t="shared" si="24"/>
        <v>610725.48488170584</v>
      </c>
      <c r="N425" s="224">
        <f t="shared" si="25"/>
        <v>0.96243215231055546</v>
      </c>
      <c r="O425" s="224">
        <f t="shared" si="26"/>
        <v>0.96209656654175024</v>
      </c>
      <c r="Q425" s="224"/>
      <c r="R425" s="224"/>
      <c r="S425" s="429"/>
      <c r="Z425" s="362"/>
      <c r="AA425" s="421"/>
      <c r="AB425" s="362"/>
      <c r="AC425" s="362"/>
      <c r="AD425" s="362"/>
      <c r="AE425" s="362"/>
      <c r="AF425" s="362"/>
      <c r="AG425" s="362"/>
      <c r="AH425" s="362"/>
      <c r="AI425" s="393"/>
      <c r="AJ425" s="393"/>
      <c r="AK425" s="362"/>
      <c r="AL425" s="362"/>
      <c r="AM425" s="362"/>
      <c r="AN425" s="362"/>
      <c r="AO425" s="362"/>
      <c r="AP425" s="362"/>
      <c r="AQ425" s="362"/>
      <c r="AR425" s="362"/>
    </row>
    <row r="426" spans="1:44" ht="12.75" customHeight="1" x14ac:dyDescent="0.15">
      <c r="A426" s="431"/>
      <c r="B426" s="393"/>
      <c r="C426" s="428"/>
      <c r="D426" s="428">
        <v>690794.18609888211</v>
      </c>
      <c r="E426" s="224">
        <v>159899.86804763516</v>
      </c>
      <c r="F426" s="224">
        <v>4.0522048850355814</v>
      </c>
      <c r="G426" s="224">
        <v>4.0581981738829018</v>
      </c>
      <c r="H426" s="224">
        <v>2.6105481163988276</v>
      </c>
      <c r="I426" s="224">
        <v>2.2440308927376789</v>
      </c>
      <c r="J426" s="224"/>
      <c r="M426" s="224">
        <f t="shared" si="24"/>
        <v>530894.31805124693</v>
      </c>
      <c r="N426" s="224">
        <f t="shared" si="25"/>
        <v>-5.9932888473204216E-3</v>
      </c>
      <c r="O426" s="224">
        <f t="shared" si="26"/>
        <v>0.36651722366114869</v>
      </c>
      <c r="Q426" s="224"/>
      <c r="R426" s="224"/>
      <c r="S426" s="429"/>
      <c r="Z426" s="362"/>
      <c r="AA426" s="421"/>
      <c r="AB426" s="362"/>
      <c r="AC426" s="362"/>
      <c r="AD426" s="362"/>
      <c r="AE426" s="362"/>
      <c r="AF426" s="362"/>
      <c r="AG426" s="362"/>
      <c r="AH426" s="362"/>
      <c r="AI426" s="393"/>
      <c r="AJ426" s="393"/>
      <c r="AK426" s="362"/>
      <c r="AL426" s="362"/>
      <c r="AM426" s="362"/>
      <c r="AN426" s="362"/>
      <c r="AO426" s="362"/>
      <c r="AP426" s="362"/>
      <c r="AQ426" s="362"/>
      <c r="AR426" s="362"/>
    </row>
    <row r="427" spans="1:44" ht="12.75" customHeight="1" x14ac:dyDescent="0.15">
      <c r="A427" s="431"/>
      <c r="B427" s="393"/>
      <c r="C427" s="428"/>
      <c r="D427" s="428">
        <v>663584.19497393968</v>
      </c>
      <c r="E427" s="224">
        <v>142551.29200945888</v>
      </c>
      <c r="F427" s="224">
        <v>4.1514865341539844</v>
      </c>
      <c r="G427" s="224">
        <v>4.4728480817157221</v>
      </c>
      <c r="H427" s="224">
        <v>2.6969251760904736</v>
      </c>
      <c r="I427" s="224">
        <v>2.4878196048804537</v>
      </c>
      <c r="J427" s="224"/>
      <c r="M427" s="224">
        <f t="shared" si="24"/>
        <v>521032.9029644808</v>
      </c>
      <c r="N427" s="224">
        <f t="shared" si="25"/>
        <v>-0.32136154756173774</v>
      </c>
      <c r="O427" s="224">
        <f t="shared" si="26"/>
        <v>0.20910557121001982</v>
      </c>
      <c r="Q427" s="224"/>
      <c r="R427" s="224"/>
      <c r="S427" s="429"/>
      <c r="Z427" s="362"/>
      <c r="AA427" s="421"/>
      <c r="AB427" s="362"/>
      <c r="AC427" s="362"/>
      <c r="AD427" s="362"/>
      <c r="AE427" s="362"/>
      <c r="AF427" s="362"/>
      <c r="AG427" s="362"/>
      <c r="AH427" s="362"/>
      <c r="AI427" s="393"/>
      <c r="AJ427" s="393"/>
      <c r="AK427" s="362"/>
      <c r="AL427" s="362"/>
      <c r="AM427" s="362"/>
      <c r="AN427" s="362"/>
      <c r="AO427" s="362"/>
      <c r="AP427" s="362"/>
      <c r="AQ427" s="362"/>
      <c r="AR427" s="362"/>
    </row>
    <row r="428" spans="1:44" ht="12.75" customHeight="1" x14ac:dyDescent="0.15">
      <c r="A428" s="431"/>
      <c r="B428" s="393"/>
      <c r="C428" s="428"/>
      <c r="D428" s="428">
        <v>723574.70647529326</v>
      </c>
      <c r="E428" s="224">
        <v>141496.8078950372</v>
      </c>
      <c r="F428" s="224">
        <v>4.6870923866690806</v>
      </c>
      <c r="G428" s="224">
        <v>3.7870771455345364</v>
      </c>
      <c r="H428" s="224">
        <v>2.9800760279149685</v>
      </c>
      <c r="I428" s="224">
        <v>2.2684771500882928</v>
      </c>
      <c r="J428" s="224"/>
      <c r="M428" s="224">
        <f t="shared" si="24"/>
        <v>582077.89858025603</v>
      </c>
      <c r="N428" s="224">
        <f t="shared" si="25"/>
        <v>0.90001524113454412</v>
      </c>
      <c r="O428" s="224">
        <f t="shared" si="26"/>
        <v>0.71159887782667575</v>
      </c>
      <c r="Q428" s="224"/>
      <c r="R428" s="224"/>
      <c r="S428" s="429"/>
      <c r="Z428" s="362"/>
      <c r="AA428" s="421"/>
      <c r="AB428" s="362"/>
      <c r="AC428" s="362"/>
      <c r="AD428" s="362"/>
      <c r="AE428" s="362"/>
      <c r="AF428" s="362"/>
      <c r="AG428" s="362"/>
      <c r="AH428" s="362"/>
      <c r="AI428" s="393"/>
      <c r="AJ428" s="393"/>
      <c r="AK428" s="362"/>
      <c r="AL428" s="362"/>
      <c r="AM428" s="362"/>
      <c r="AN428" s="362"/>
      <c r="AO428" s="362"/>
      <c r="AP428" s="362"/>
      <c r="AQ428" s="362"/>
      <c r="AR428" s="362"/>
    </row>
    <row r="429" spans="1:44" ht="12.75" customHeight="1" x14ac:dyDescent="0.15">
      <c r="A429" s="431"/>
      <c r="B429" s="393"/>
      <c r="C429" s="428"/>
      <c r="D429" s="428">
        <v>512667.33763799159</v>
      </c>
      <c r="E429" s="224">
        <v>109355.63668897306</v>
      </c>
      <c r="F429" s="224">
        <v>3.924421738940755</v>
      </c>
      <c r="G429" s="224">
        <v>4.0139548325010415</v>
      </c>
      <c r="H429" s="224">
        <v>2.2781826527016511</v>
      </c>
      <c r="I429" s="224">
        <v>2.1865224052835441</v>
      </c>
      <c r="J429" s="224"/>
      <c r="M429" s="224">
        <f t="shared" si="24"/>
        <v>403311.70094901853</v>
      </c>
      <c r="N429" s="224">
        <f t="shared" si="25"/>
        <v>-8.9533093560286492E-2</v>
      </c>
      <c r="O429" s="224">
        <f t="shared" si="26"/>
        <v>9.1660247418106966E-2</v>
      </c>
      <c r="Q429" s="224"/>
      <c r="R429" s="224"/>
      <c r="S429" s="429"/>
      <c r="Z429" s="362"/>
      <c r="AA429" s="421"/>
      <c r="AB429" s="362"/>
      <c r="AC429" s="362"/>
      <c r="AD429" s="362"/>
      <c r="AE429" s="362"/>
      <c r="AF429" s="362"/>
      <c r="AG429" s="362"/>
      <c r="AH429" s="362"/>
      <c r="AI429" s="393"/>
      <c r="AJ429" s="393"/>
      <c r="AK429" s="362"/>
      <c r="AL429" s="362"/>
      <c r="AM429" s="362"/>
      <c r="AN429" s="362"/>
      <c r="AO429" s="362"/>
      <c r="AP429" s="362"/>
      <c r="AQ429" s="362"/>
      <c r="AR429" s="362"/>
    </row>
    <row r="430" spans="1:44" ht="12.75" customHeight="1" x14ac:dyDescent="0.15">
      <c r="A430" s="431"/>
      <c r="B430" s="393"/>
      <c r="C430" s="428"/>
      <c r="D430" s="428">
        <v>473963.01909493067</v>
      </c>
      <c r="E430" s="224">
        <v>116098.79925133393</v>
      </c>
      <c r="F430" s="224">
        <v>3.6486610736133902</v>
      </c>
      <c r="G430" s="224">
        <v>3.9916932185594223</v>
      </c>
      <c r="H430" s="224">
        <v>1.8802951625939597</v>
      </c>
      <c r="I430" s="224">
        <v>2.0001453076550186</v>
      </c>
      <c r="J430" s="224"/>
      <c r="M430" s="224">
        <f t="shared" si="24"/>
        <v>357864.21984359674</v>
      </c>
      <c r="N430" s="224">
        <f t="shared" si="25"/>
        <v>-0.34303214494603207</v>
      </c>
      <c r="O430" s="224">
        <f t="shared" si="26"/>
        <v>-0.11985014506105895</v>
      </c>
      <c r="Q430" s="224"/>
      <c r="R430" s="224"/>
      <c r="S430" s="429"/>
      <c r="Z430" s="362"/>
      <c r="AA430" s="421"/>
      <c r="AB430" s="362"/>
      <c r="AC430" s="362"/>
      <c r="AD430" s="362"/>
      <c r="AE430" s="362"/>
      <c r="AF430" s="362"/>
      <c r="AG430" s="362"/>
      <c r="AH430" s="362"/>
      <c r="AI430" s="393"/>
      <c r="AJ430" s="393"/>
      <c r="AK430" s="362"/>
      <c r="AL430" s="362"/>
      <c r="AM430" s="362"/>
      <c r="AN430" s="362"/>
      <c r="AO430" s="362"/>
      <c r="AP430" s="362"/>
      <c r="AQ430" s="362"/>
      <c r="AR430" s="362"/>
    </row>
    <row r="431" spans="1:44" ht="12.75" customHeight="1" x14ac:dyDescent="0.15">
      <c r="A431" s="431"/>
      <c r="B431" s="393"/>
      <c r="C431" s="428"/>
      <c r="D431" s="428">
        <v>650185.92570452963</v>
      </c>
      <c r="E431" s="224">
        <v>153508.49000994192</v>
      </c>
      <c r="F431" s="224">
        <v>4.7633074492978285</v>
      </c>
      <c r="G431" s="224">
        <v>3.4322471976183939</v>
      </c>
      <c r="H431" s="224">
        <v>3.3835826445248811</v>
      </c>
      <c r="I431" s="224">
        <v>2.2422282175480026</v>
      </c>
      <c r="J431" s="224"/>
      <c r="M431" s="224">
        <f t="shared" si="24"/>
        <v>496677.43569458771</v>
      </c>
      <c r="N431" s="224">
        <f t="shared" si="25"/>
        <v>1.3310602516794345</v>
      </c>
      <c r="O431" s="224">
        <f t="shared" si="26"/>
        <v>1.1413544269768785</v>
      </c>
      <c r="Q431" s="224"/>
      <c r="R431" s="224"/>
      <c r="S431" s="429"/>
      <c r="Z431" s="362"/>
      <c r="AA431" s="421"/>
      <c r="AB431" s="362"/>
      <c r="AC431" s="362"/>
      <c r="AD431" s="362"/>
      <c r="AE431" s="362"/>
      <c r="AF431" s="362"/>
      <c r="AG431" s="362"/>
      <c r="AH431" s="362"/>
      <c r="AI431" s="393"/>
      <c r="AJ431" s="393"/>
      <c r="AK431" s="362"/>
      <c r="AL431" s="362"/>
      <c r="AM431" s="362"/>
      <c r="AN431" s="362"/>
      <c r="AO431" s="362"/>
      <c r="AP431" s="362"/>
      <c r="AQ431" s="362"/>
      <c r="AR431" s="362"/>
    </row>
    <row r="432" spans="1:44" ht="12.75" customHeight="1" x14ac:dyDescent="0.15">
      <c r="A432" s="431"/>
      <c r="B432" s="393"/>
      <c r="C432" s="428"/>
      <c r="D432" s="428">
        <v>555580.63811563572</v>
      </c>
      <c r="E432" s="224">
        <v>188306.75961041488</v>
      </c>
      <c r="F432" s="224">
        <v>4.4827701276121612</v>
      </c>
      <c r="G432" s="224">
        <v>3.9179000491726979</v>
      </c>
      <c r="H432" s="224">
        <v>2.4185560482773969</v>
      </c>
      <c r="I432" s="224">
        <v>2.023114358922542</v>
      </c>
      <c r="J432" s="224"/>
      <c r="M432" s="224">
        <f t="shared" si="24"/>
        <v>367273.87850522087</v>
      </c>
      <c r="N432" s="224">
        <f t="shared" si="25"/>
        <v>0.56487007843946335</v>
      </c>
      <c r="O432" s="224">
        <f t="shared" si="26"/>
        <v>0.39544168935485491</v>
      </c>
      <c r="Q432" s="224"/>
      <c r="R432" s="224"/>
      <c r="S432" s="429"/>
      <c r="Z432" s="362"/>
      <c r="AA432" s="421"/>
      <c r="AB432" s="362"/>
      <c r="AC432" s="362"/>
      <c r="AD432" s="362"/>
      <c r="AE432" s="362"/>
      <c r="AF432" s="362"/>
      <c r="AG432" s="362"/>
      <c r="AH432" s="362"/>
      <c r="AI432" s="393"/>
      <c r="AJ432" s="393"/>
      <c r="AK432" s="362"/>
      <c r="AL432" s="362"/>
      <c r="AM432" s="362"/>
      <c r="AN432" s="362"/>
      <c r="AO432" s="362"/>
      <c r="AP432" s="362"/>
      <c r="AQ432" s="362"/>
      <c r="AR432" s="362"/>
    </row>
    <row r="433" spans="1:44" ht="12.75" customHeight="1" x14ac:dyDescent="0.15">
      <c r="A433" s="431"/>
      <c r="B433" s="393"/>
      <c r="C433" s="428"/>
      <c r="D433" s="428">
        <v>633471.86164665921</v>
      </c>
      <c r="E433" s="224">
        <v>176545.59297508909</v>
      </c>
      <c r="F433" s="224">
        <v>4.7009162399698035</v>
      </c>
      <c r="G433" s="224">
        <v>3.8959517745956602</v>
      </c>
      <c r="H433" s="224">
        <v>2.6655230708262923</v>
      </c>
      <c r="I433" s="224">
        <v>2.1215310282307214</v>
      </c>
      <c r="J433" s="224"/>
      <c r="M433" s="224">
        <f t="shared" si="24"/>
        <v>456926.26867157011</v>
      </c>
      <c r="N433" s="224">
        <f t="shared" si="25"/>
        <v>0.80496446537414323</v>
      </c>
      <c r="O433" s="224">
        <f t="shared" si="26"/>
        <v>0.54399204259557088</v>
      </c>
      <c r="Q433" s="224"/>
      <c r="R433" s="224"/>
      <c r="S433" s="429"/>
      <c r="Z433" s="362"/>
      <c r="AA433" s="421"/>
      <c r="AB433" s="362"/>
      <c r="AC433" s="362"/>
      <c r="AD433" s="362"/>
      <c r="AE433" s="362"/>
      <c r="AF433" s="362"/>
      <c r="AG433" s="362"/>
      <c r="AH433" s="362"/>
      <c r="AI433" s="393"/>
      <c r="AJ433" s="393"/>
      <c r="AK433" s="362"/>
      <c r="AL433" s="362"/>
      <c r="AM433" s="362"/>
      <c r="AN433" s="362"/>
      <c r="AO433" s="362"/>
      <c r="AP433" s="362"/>
      <c r="AQ433" s="362"/>
      <c r="AR433" s="362"/>
    </row>
    <row r="434" spans="1:44" ht="12.75" customHeight="1" x14ac:dyDescent="0.15">
      <c r="A434" s="431"/>
      <c r="B434" s="393"/>
      <c r="C434" s="428"/>
      <c r="D434" s="428">
        <v>523687.51680851809</v>
      </c>
      <c r="E434" s="224">
        <v>133003.4509624154</v>
      </c>
      <c r="F434" s="224">
        <v>3.9769332881617525</v>
      </c>
      <c r="G434" s="224">
        <v>3.9907170440344797</v>
      </c>
      <c r="H434" s="224">
        <v>2.3996565180685741</v>
      </c>
      <c r="I434" s="224">
        <v>2.3547769870851969</v>
      </c>
      <c r="J434" s="224"/>
      <c r="M434" s="224">
        <f t="shared" si="24"/>
        <v>390684.06584610266</v>
      </c>
      <c r="N434" s="224">
        <f t="shared" si="25"/>
        <v>-1.3783755872727177E-2</v>
      </c>
      <c r="O434" s="224">
        <f t="shared" si="26"/>
        <v>4.4879530983377158E-2</v>
      </c>
      <c r="Q434" s="224"/>
      <c r="R434" s="224"/>
      <c r="S434" s="429"/>
      <c r="Z434" s="362"/>
      <c r="AA434" s="421"/>
      <c r="AB434" s="362"/>
      <c r="AC434" s="362"/>
      <c r="AD434" s="362"/>
      <c r="AE434" s="362"/>
      <c r="AF434" s="362"/>
      <c r="AG434" s="362"/>
      <c r="AH434" s="362"/>
      <c r="AI434" s="393"/>
      <c r="AJ434" s="393"/>
      <c r="AK434" s="362"/>
      <c r="AL434" s="362"/>
      <c r="AM434" s="362"/>
      <c r="AN434" s="362"/>
      <c r="AO434" s="362"/>
      <c r="AP434" s="362"/>
      <c r="AQ434" s="362"/>
      <c r="AR434" s="362"/>
    </row>
    <row r="435" spans="1:44" ht="12.75" customHeight="1" x14ac:dyDescent="0.15">
      <c r="A435" s="431"/>
      <c r="B435" s="393"/>
      <c r="C435" s="428"/>
      <c r="D435" s="428">
        <v>581246.7826167657</v>
      </c>
      <c r="E435" s="224">
        <v>158949.84305985531</v>
      </c>
      <c r="F435" s="224">
        <v>4.6216726631427445</v>
      </c>
      <c r="G435" s="224">
        <v>3.7620153857254763</v>
      </c>
      <c r="H435" s="224">
        <v>2.7138391476322594</v>
      </c>
      <c r="I435" s="224">
        <v>2.0156452733164758</v>
      </c>
      <c r="J435" s="224"/>
      <c r="M435" s="224">
        <f t="shared" si="24"/>
        <v>422296.93955691042</v>
      </c>
      <c r="N435" s="224">
        <f t="shared" si="25"/>
        <v>0.85965727741726816</v>
      </c>
      <c r="O435" s="224">
        <f t="shared" si="26"/>
        <v>0.69819387431578361</v>
      </c>
      <c r="Q435" s="224"/>
      <c r="R435" s="224"/>
      <c r="S435" s="429"/>
      <c r="Z435" s="362"/>
      <c r="AA435" s="421"/>
      <c r="AB435" s="362"/>
      <c r="AC435" s="362"/>
      <c r="AD435" s="362"/>
      <c r="AE435" s="362"/>
      <c r="AF435" s="362"/>
      <c r="AG435" s="362"/>
      <c r="AH435" s="362"/>
      <c r="AI435" s="393"/>
      <c r="AJ435" s="393"/>
      <c r="AK435" s="362"/>
      <c r="AL435" s="362"/>
      <c r="AM435" s="362"/>
      <c r="AN435" s="362"/>
      <c r="AO435" s="362"/>
      <c r="AP435" s="362"/>
      <c r="AQ435" s="362"/>
      <c r="AR435" s="362"/>
    </row>
    <row r="436" spans="1:44" ht="12.75" customHeight="1" x14ac:dyDescent="0.15">
      <c r="A436" s="431"/>
      <c r="B436" s="393"/>
      <c r="C436" s="428"/>
      <c r="D436" s="428">
        <v>565541.72333029762</v>
      </c>
      <c r="E436" s="224">
        <v>130459.94300833181</v>
      </c>
      <c r="F436" s="224">
        <v>4.6669726403264136</v>
      </c>
      <c r="G436" s="224">
        <v>3.8885307783590841</v>
      </c>
      <c r="H436" s="224">
        <v>2.8717962251856988</v>
      </c>
      <c r="I436" s="224">
        <v>2.4280065070036514</v>
      </c>
      <c r="J436" s="224"/>
      <c r="M436" s="224">
        <f t="shared" si="24"/>
        <v>435081.78032196581</v>
      </c>
      <c r="N436" s="224">
        <f t="shared" si="25"/>
        <v>0.77844186196732945</v>
      </c>
      <c r="O436" s="224">
        <f t="shared" si="26"/>
        <v>0.44378971818204738</v>
      </c>
      <c r="Q436" s="224"/>
      <c r="R436" s="224"/>
      <c r="S436" s="429"/>
      <c r="Z436" s="362"/>
      <c r="AA436" s="421"/>
      <c r="AB436" s="362"/>
      <c r="AC436" s="362"/>
      <c r="AD436" s="362"/>
      <c r="AE436" s="362"/>
      <c r="AF436" s="362"/>
      <c r="AG436" s="362"/>
      <c r="AH436" s="362"/>
      <c r="AI436" s="393"/>
      <c r="AJ436" s="393"/>
      <c r="AK436" s="362"/>
      <c r="AL436" s="362"/>
      <c r="AM436" s="362"/>
      <c r="AN436" s="362"/>
      <c r="AO436" s="362"/>
      <c r="AP436" s="362"/>
      <c r="AQ436" s="362"/>
      <c r="AR436" s="362"/>
    </row>
    <row r="437" spans="1:44" ht="12.75" customHeight="1" x14ac:dyDescent="0.15">
      <c r="A437" s="431"/>
      <c r="B437" s="393"/>
      <c r="C437" s="428"/>
      <c r="D437" s="428">
        <v>625835.68242916185</v>
      </c>
      <c r="E437" s="224">
        <v>177008.19451651955</v>
      </c>
      <c r="F437" s="224">
        <v>4.1835704683776997</v>
      </c>
      <c r="G437" s="224">
        <v>4.7245533861453834</v>
      </c>
      <c r="H437" s="224">
        <v>2.3550746564731142</v>
      </c>
      <c r="I437" s="224">
        <v>2.339474587563624</v>
      </c>
      <c r="J437" s="224"/>
      <c r="M437" s="224">
        <f t="shared" si="24"/>
        <v>448827.4879126423</v>
      </c>
      <c r="N437" s="224">
        <f t="shared" si="25"/>
        <v>-0.5409829177676837</v>
      </c>
      <c r="O437" s="224">
        <f t="shared" si="26"/>
        <v>1.5600068909490172E-2</v>
      </c>
      <c r="Q437" s="224"/>
      <c r="R437" s="224"/>
      <c r="S437" s="429"/>
      <c r="Z437" s="362"/>
      <c r="AA437" s="421"/>
      <c r="AB437" s="362"/>
      <c r="AC437" s="362"/>
      <c r="AD437" s="362"/>
      <c r="AE437" s="362"/>
      <c r="AF437" s="362"/>
      <c r="AG437" s="362"/>
      <c r="AH437" s="362"/>
      <c r="AI437" s="393"/>
      <c r="AJ437" s="393"/>
      <c r="AK437" s="362"/>
      <c r="AL437" s="362"/>
      <c r="AM437" s="362"/>
      <c r="AN437" s="362"/>
      <c r="AO437" s="362"/>
      <c r="AP437" s="362"/>
      <c r="AQ437" s="362"/>
      <c r="AR437" s="362"/>
    </row>
    <row r="438" spans="1:44" ht="12.75" customHeight="1" x14ac:dyDescent="0.15">
      <c r="A438" s="431"/>
      <c r="B438" s="393"/>
      <c r="C438" s="428"/>
      <c r="D438" s="428">
        <v>546553.78030631377</v>
      </c>
      <c r="E438" s="224">
        <v>121552.86648251484</v>
      </c>
      <c r="F438" s="224">
        <v>4.7559223182420221</v>
      </c>
      <c r="G438" s="224">
        <v>3.9389364905479032</v>
      </c>
      <c r="H438" s="224">
        <v>2.7251078544667542</v>
      </c>
      <c r="I438" s="224">
        <v>2.118421453931965</v>
      </c>
      <c r="J438" s="224"/>
      <c r="M438" s="224">
        <f t="shared" si="24"/>
        <v>425000.91382379894</v>
      </c>
      <c r="N438" s="224">
        <f t="shared" si="25"/>
        <v>0.81698582769411887</v>
      </c>
      <c r="O438" s="224">
        <f t="shared" si="26"/>
        <v>0.60668640053478917</v>
      </c>
      <c r="Q438" s="224"/>
      <c r="R438" s="224"/>
      <c r="S438" s="429"/>
      <c r="Z438" s="362"/>
      <c r="AA438" s="421"/>
      <c r="AB438" s="362"/>
      <c r="AC438" s="362"/>
      <c r="AD438" s="362"/>
      <c r="AE438" s="362"/>
      <c r="AF438" s="362"/>
      <c r="AG438" s="362"/>
      <c r="AH438" s="362"/>
      <c r="AI438" s="393"/>
      <c r="AJ438" s="393"/>
      <c r="AK438" s="362"/>
      <c r="AL438" s="362"/>
      <c r="AM438" s="362"/>
      <c r="AN438" s="362"/>
      <c r="AO438" s="362"/>
      <c r="AP438" s="362"/>
      <c r="AQ438" s="362"/>
      <c r="AR438" s="362"/>
    </row>
    <row r="439" spans="1:44" ht="12.75" customHeight="1" x14ac:dyDescent="0.15">
      <c r="A439" s="431"/>
      <c r="B439" s="393"/>
      <c r="C439" s="428"/>
      <c r="D439" s="428">
        <v>537693.659430239</v>
      </c>
      <c r="E439" s="224">
        <v>114686.48089080103</v>
      </c>
      <c r="F439" s="224">
        <v>4.6398621943214282</v>
      </c>
      <c r="G439" s="224">
        <v>3.8016391341087519</v>
      </c>
      <c r="H439" s="224">
        <v>2.9743837431941289</v>
      </c>
      <c r="I439" s="224">
        <v>2.4809250754286056</v>
      </c>
      <c r="J439" s="224"/>
      <c r="M439" s="224">
        <f t="shared" si="24"/>
        <v>423007.17853943794</v>
      </c>
      <c r="N439" s="224">
        <f t="shared" si="25"/>
        <v>0.83822306021267634</v>
      </c>
      <c r="O439" s="224">
        <f t="shared" si="26"/>
        <v>0.49345866776552327</v>
      </c>
      <c r="Q439" s="224"/>
      <c r="R439" s="224"/>
      <c r="S439" s="429"/>
      <c r="Z439" s="362"/>
      <c r="AA439" s="421"/>
      <c r="AB439" s="362"/>
      <c r="AC439" s="362"/>
      <c r="AD439" s="362"/>
      <c r="AE439" s="362"/>
      <c r="AF439" s="362"/>
      <c r="AG439" s="362"/>
      <c r="AH439" s="362"/>
      <c r="AI439" s="393"/>
      <c r="AJ439" s="393"/>
      <c r="AK439" s="362"/>
      <c r="AL439" s="362"/>
      <c r="AM439" s="362"/>
      <c r="AN439" s="362"/>
      <c r="AO439" s="362"/>
      <c r="AP439" s="362"/>
      <c r="AQ439" s="362"/>
      <c r="AR439" s="362"/>
    </row>
    <row r="440" spans="1:44" ht="12.75" customHeight="1" x14ac:dyDescent="0.15">
      <c r="A440" s="431"/>
      <c r="B440" s="393"/>
      <c r="C440" s="428"/>
      <c r="D440" s="428">
        <v>638502.06002503226</v>
      </c>
      <c r="E440" s="224">
        <v>230618.12015196308</v>
      </c>
      <c r="F440" s="224">
        <v>3.9904112571686974</v>
      </c>
      <c r="G440" s="224">
        <v>3.8528158313141212</v>
      </c>
      <c r="H440" s="224">
        <v>2.5649339404062306</v>
      </c>
      <c r="I440" s="224">
        <v>2.2898812101635446</v>
      </c>
      <c r="J440" s="224"/>
      <c r="M440" s="224">
        <f t="shared" si="24"/>
        <v>407883.93987306918</v>
      </c>
      <c r="N440" s="224">
        <f t="shared" si="25"/>
        <v>0.13759542585457618</v>
      </c>
      <c r="O440" s="224">
        <f t="shared" si="26"/>
        <v>0.27505273024268595</v>
      </c>
      <c r="Q440" s="224"/>
      <c r="R440" s="224"/>
      <c r="S440" s="429"/>
      <c r="Z440" s="362"/>
      <c r="AA440" s="421"/>
      <c r="AB440" s="362"/>
      <c r="AC440" s="362"/>
      <c r="AD440" s="362"/>
      <c r="AE440" s="362"/>
      <c r="AF440" s="362"/>
      <c r="AG440" s="362"/>
      <c r="AH440" s="362"/>
      <c r="AI440" s="393"/>
      <c r="AJ440" s="393"/>
      <c r="AK440" s="362"/>
      <c r="AL440" s="362"/>
      <c r="AM440" s="362"/>
      <c r="AN440" s="362"/>
      <c r="AO440" s="362"/>
      <c r="AP440" s="362"/>
      <c r="AQ440" s="362"/>
      <c r="AR440" s="362"/>
    </row>
    <row r="441" spans="1:44" ht="12.75" customHeight="1" x14ac:dyDescent="0.15">
      <c r="A441" s="431"/>
      <c r="B441" s="393"/>
      <c r="C441" s="428"/>
      <c r="D441" s="428">
        <v>619213.48542100645</v>
      </c>
      <c r="E441" s="224">
        <v>156806.60444830585</v>
      </c>
      <c r="F441" s="224">
        <v>4.3547971815082818</v>
      </c>
      <c r="G441" s="224">
        <v>3.7741833214662956</v>
      </c>
      <c r="H441" s="224">
        <v>2.8384119855219407</v>
      </c>
      <c r="I441" s="224">
        <v>2.3282117985496997</v>
      </c>
      <c r="J441" s="224"/>
      <c r="M441" s="224">
        <f t="shared" si="24"/>
        <v>462406.8809727006</v>
      </c>
      <c r="N441" s="224">
        <f t="shared" si="25"/>
        <v>0.58061386004198612</v>
      </c>
      <c r="O441" s="224">
        <f t="shared" si="26"/>
        <v>0.51020018697224101</v>
      </c>
      <c r="Q441" s="224"/>
      <c r="R441" s="224"/>
      <c r="S441" s="429"/>
      <c r="Z441" s="362"/>
      <c r="AA441" s="421"/>
      <c r="AB441" s="362"/>
      <c r="AC441" s="362"/>
      <c r="AD441" s="362"/>
      <c r="AE441" s="362"/>
      <c r="AF441" s="362"/>
      <c r="AG441" s="362"/>
      <c r="AH441" s="362"/>
      <c r="AI441" s="393"/>
      <c r="AJ441" s="393"/>
      <c r="AK441" s="362"/>
      <c r="AL441" s="362"/>
      <c r="AM441" s="362"/>
      <c r="AN441" s="362"/>
      <c r="AO441" s="362"/>
      <c r="AP441" s="362"/>
      <c r="AQ441" s="362"/>
      <c r="AR441" s="362"/>
    </row>
    <row r="442" spans="1:44" ht="12.75" customHeight="1" x14ac:dyDescent="0.15">
      <c r="A442" s="431"/>
      <c r="B442" s="393"/>
      <c r="C442" s="428"/>
      <c r="D442" s="428">
        <v>567547.5137804955</v>
      </c>
      <c r="E442" s="224">
        <v>136863.39410229964</v>
      </c>
      <c r="F442" s="224">
        <v>4.1349150361982758</v>
      </c>
      <c r="G442" s="224">
        <v>3.7774358760659834</v>
      </c>
      <c r="H442" s="224">
        <v>1.9354930790591329</v>
      </c>
      <c r="I442" s="224">
        <v>1.6072478448397605</v>
      </c>
      <c r="J442" s="224"/>
      <c r="M442" s="224">
        <f t="shared" si="24"/>
        <v>430684.11967819586</v>
      </c>
      <c r="N442" s="224">
        <f t="shared" si="25"/>
        <v>0.35747916013229242</v>
      </c>
      <c r="O442" s="224">
        <f t="shared" si="26"/>
        <v>0.32824523421937246</v>
      </c>
      <c r="Q442" s="224"/>
      <c r="R442" s="224"/>
      <c r="S442" s="429"/>
      <c r="Z442" s="362"/>
      <c r="AA442" s="421"/>
      <c r="AB442" s="362"/>
      <c r="AC442" s="362"/>
      <c r="AD442" s="362"/>
      <c r="AE442" s="362"/>
      <c r="AF442" s="362"/>
      <c r="AG442" s="362"/>
      <c r="AH442" s="362"/>
      <c r="AI442" s="393"/>
      <c r="AJ442" s="393"/>
      <c r="AK442" s="362"/>
      <c r="AL442" s="362"/>
      <c r="AM442" s="362"/>
      <c r="AN442" s="362"/>
      <c r="AO442" s="362"/>
      <c r="AP442" s="362"/>
      <c r="AQ442" s="362"/>
      <c r="AR442" s="362"/>
    </row>
    <row r="443" spans="1:44" ht="12.75" customHeight="1" x14ac:dyDescent="0.15">
      <c r="A443" s="431"/>
      <c r="B443" s="393"/>
      <c r="C443" s="428"/>
      <c r="D443" s="428">
        <v>572687.42259153258</v>
      </c>
      <c r="E443" s="224">
        <v>141336.34997426445</v>
      </c>
      <c r="F443" s="224">
        <v>4.3834263909046545</v>
      </c>
      <c r="G443" s="224">
        <v>4.1906253929770125</v>
      </c>
      <c r="H443" s="224">
        <v>2.9170333443863847</v>
      </c>
      <c r="I443" s="224">
        <v>2.3410403729092635</v>
      </c>
      <c r="J443" s="224"/>
      <c r="M443" s="224">
        <f t="shared" si="24"/>
        <v>431351.07261726813</v>
      </c>
      <c r="N443" s="224">
        <f t="shared" si="25"/>
        <v>0.19280099792764194</v>
      </c>
      <c r="O443" s="224">
        <f t="shared" si="26"/>
        <v>0.57599297147712125</v>
      </c>
      <c r="Q443" s="224"/>
      <c r="R443" s="224"/>
      <c r="S443" s="429"/>
      <c r="Z443" s="362"/>
      <c r="AA443" s="421"/>
      <c r="AB443" s="362"/>
      <c r="AC443" s="362"/>
      <c r="AD443" s="362"/>
      <c r="AE443" s="362"/>
      <c r="AF443" s="362"/>
      <c r="AG443" s="362"/>
      <c r="AH443" s="362"/>
      <c r="AI443" s="393"/>
      <c r="AJ443" s="393"/>
      <c r="AK443" s="362"/>
      <c r="AL443" s="362"/>
      <c r="AM443" s="362"/>
      <c r="AN443" s="362"/>
      <c r="AO443" s="362"/>
      <c r="AP443" s="362"/>
      <c r="AQ443" s="362"/>
      <c r="AR443" s="362"/>
    </row>
    <row r="444" spans="1:44" ht="12.75" customHeight="1" x14ac:dyDescent="0.15">
      <c r="A444" s="431"/>
      <c r="B444" s="393"/>
      <c r="C444" s="428"/>
      <c r="D444" s="428">
        <v>482087.11759539851</v>
      </c>
      <c r="E444" s="224">
        <v>119623.38477111513</v>
      </c>
      <c r="F444" s="224">
        <v>4.0002926006502451</v>
      </c>
      <c r="G444" s="224">
        <v>4.3809583643228756</v>
      </c>
      <c r="H444" s="224">
        <v>2.4696260857090717</v>
      </c>
      <c r="I444" s="224">
        <v>2.5188648309780635</v>
      </c>
      <c r="J444" s="224"/>
      <c r="M444" s="224">
        <f t="shared" si="24"/>
        <v>362463.73282428336</v>
      </c>
      <c r="N444" s="224">
        <f t="shared" si="25"/>
        <v>-0.3806657636726305</v>
      </c>
      <c r="O444" s="224">
        <f t="shared" si="26"/>
        <v>-4.9238745268991746E-2</v>
      </c>
      <c r="Q444" s="224"/>
      <c r="R444" s="224"/>
      <c r="S444" s="429"/>
      <c r="Z444" s="362"/>
      <c r="AA444" s="421"/>
      <c r="AB444" s="362"/>
      <c r="AC444" s="362"/>
      <c r="AD444" s="362"/>
      <c r="AE444" s="362"/>
      <c r="AF444" s="362"/>
      <c r="AG444" s="362"/>
      <c r="AH444" s="362"/>
      <c r="AI444" s="393"/>
      <c r="AJ444" s="393"/>
      <c r="AK444" s="362"/>
      <c r="AL444" s="362"/>
      <c r="AM444" s="362"/>
      <c r="AN444" s="362"/>
      <c r="AO444" s="362"/>
      <c r="AP444" s="362"/>
      <c r="AQ444" s="362"/>
      <c r="AR444" s="362"/>
    </row>
    <row r="445" spans="1:44" ht="12.75" customHeight="1" x14ac:dyDescent="0.15">
      <c r="A445" s="431"/>
      <c r="B445" s="393"/>
      <c r="C445" s="428"/>
      <c r="D445" s="428">
        <v>571120.73562354466</v>
      </c>
      <c r="E445" s="224">
        <v>139871.48124816868</v>
      </c>
      <c r="F445" s="224">
        <v>4.8438497373037368</v>
      </c>
      <c r="G445" s="224">
        <v>3.4288337347442917</v>
      </c>
      <c r="H445" s="224">
        <v>2.9201191595630722</v>
      </c>
      <c r="I445" s="224">
        <v>1.9983953158467658</v>
      </c>
      <c r="J445" s="224"/>
      <c r="M445" s="224">
        <f t="shared" si="24"/>
        <v>431249.25437537598</v>
      </c>
      <c r="N445" s="224">
        <f t="shared" si="25"/>
        <v>1.4150160025594452</v>
      </c>
      <c r="O445" s="224">
        <f t="shared" si="26"/>
        <v>0.92172384371630645</v>
      </c>
      <c r="Q445" s="224"/>
      <c r="R445" s="224"/>
      <c r="S445" s="429"/>
      <c r="Z445" s="362"/>
      <c r="AA445" s="421"/>
      <c r="AB445" s="362"/>
      <c r="AC445" s="362"/>
      <c r="AD445" s="362"/>
      <c r="AE445" s="362"/>
      <c r="AF445" s="362"/>
      <c r="AG445" s="362"/>
      <c r="AH445" s="362"/>
      <c r="AI445" s="393"/>
      <c r="AJ445" s="393"/>
      <c r="AK445" s="362"/>
      <c r="AL445" s="362"/>
      <c r="AM445" s="362"/>
      <c r="AN445" s="362"/>
      <c r="AO445" s="362"/>
      <c r="AP445" s="362"/>
      <c r="AQ445" s="362"/>
      <c r="AR445" s="362"/>
    </row>
    <row r="446" spans="1:44" ht="12.75" customHeight="1" x14ac:dyDescent="0.15">
      <c r="A446" s="431"/>
      <c r="B446" s="393"/>
      <c r="C446" s="428"/>
      <c r="D446" s="428">
        <v>577836.62795178662</v>
      </c>
      <c r="E446" s="224">
        <v>208155.23015552995</v>
      </c>
      <c r="F446" s="224">
        <v>4.2995011580549818</v>
      </c>
      <c r="G446" s="224">
        <v>4.135059134879465</v>
      </c>
      <c r="H446" s="224">
        <v>2.6076891677453995</v>
      </c>
      <c r="I446" s="224">
        <v>2.3784232648910679</v>
      </c>
      <c r="J446" s="224"/>
      <c r="M446" s="224">
        <f t="shared" si="24"/>
        <v>369681.3977962567</v>
      </c>
      <c r="N446" s="224">
        <f t="shared" si="25"/>
        <v>0.16444202317551682</v>
      </c>
      <c r="O446" s="224">
        <f t="shared" si="26"/>
        <v>0.22926590285433157</v>
      </c>
      <c r="Q446" s="224"/>
      <c r="R446" s="224"/>
      <c r="S446" s="429"/>
      <c r="Z446" s="362"/>
      <c r="AA446" s="421"/>
      <c r="AB446" s="362"/>
      <c r="AC446" s="362"/>
      <c r="AD446" s="362"/>
      <c r="AE446" s="362"/>
      <c r="AF446" s="362"/>
      <c r="AG446" s="362"/>
      <c r="AH446" s="362"/>
      <c r="AI446" s="393"/>
      <c r="AJ446" s="393"/>
      <c r="AK446" s="362"/>
      <c r="AL446" s="362"/>
      <c r="AM446" s="362"/>
      <c r="AN446" s="362"/>
      <c r="AO446" s="362"/>
      <c r="AP446" s="362"/>
      <c r="AQ446" s="362"/>
      <c r="AR446" s="362"/>
    </row>
    <row r="447" spans="1:44" ht="12.75" customHeight="1" x14ac:dyDescent="0.15">
      <c r="A447" s="431"/>
      <c r="B447" s="393"/>
      <c r="C447" s="428"/>
      <c r="D447" s="428">
        <v>596807.98687865923</v>
      </c>
      <c r="E447" s="224">
        <v>89494.272286422143</v>
      </c>
      <c r="F447" s="224">
        <v>4.1421846980788004</v>
      </c>
      <c r="G447" s="224">
        <v>3.6563463611401925</v>
      </c>
      <c r="H447" s="224">
        <v>2.1739669819192935</v>
      </c>
      <c r="I447" s="224">
        <v>1.821609688940135</v>
      </c>
      <c r="J447" s="224"/>
      <c r="M447" s="224">
        <f t="shared" si="24"/>
        <v>507313.71459223708</v>
      </c>
      <c r="N447" s="224">
        <f t="shared" si="25"/>
        <v>0.4858383369386079</v>
      </c>
      <c r="O447" s="224">
        <f t="shared" si="26"/>
        <v>0.35235729297915852</v>
      </c>
      <c r="Q447" s="224"/>
      <c r="R447" s="224"/>
      <c r="S447" s="429"/>
      <c r="Z447" s="362"/>
      <c r="AA447" s="421"/>
      <c r="AB447" s="362"/>
      <c r="AC447" s="362"/>
      <c r="AD447" s="362"/>
      <c r="AE447" s="362"/>
      <c r="AF447" s="362"/>
      <c r="AG447" s="362"/>
      <c r="AH447" s="362"/>
      <c r="AI447" s="393"/>
      <c r="AJ447" s="393"/>
      <c r="AK447" s="362"/>
      <c r="AL447" s="362"/>
      <c r="AM447" s="362"/>
      <c r="AN447" s="362"/>
      <c r="AO447" s="362"/>
      <c r="AP447" s="362"/>
      <c r="AQ447" s="362"/>
      <c r="AR447" s="362"/>
    </row>
    <row r="448" spans="1:44" ht="12.75" customHeight="1" x14ac:dyDescent="0.15">
      <c r="A448" s="431"/>
      <c r="B448" s="393"/>
      <c r="C448" s="428"/>
      <c r="D448" s="428">
        <v>627114.0746494194</v>
      </c>
      <c r="E448" s="224">
        <v>121876.29235801444</v>
      </c>
      <c r="F448" s="224">
        <v>4.1953845312029614</v>
      </c>
      <c r="G448" s="224">
        <v>3.6794961029380393</v>
      </c>
      <c r="H448" s="224">
        <v>2.4919880001288615</v>
      </c>
      <c r="I448" s="224">
        <v>2.1053894546533054</v>
      </c>
      <c r="J448" s="224"/>
      <c r="M448" s="224">
        <f t="shared" si="24"/>
        <v>505237.78229140496</v>
      </c>
      <c r="N448" s="224">
        <f t="shared" si="25"/>
        <v>0.51588842826492209</v>
      </c>
      <c r="O448" s="224">
        <f t="shared" si="26"/>
        <v>0.38659854547555605</v>
      </c>
      <c r="Q448" s="224"/>
      <c r="R448" s="224"/>
      <c r="S448" s="429"/>
      <c r="Z448" s="362"/>
      <c r="AA448" s="421"/>
      <c r="AB448" s="362"/>
      <c r="AC448" s="362"/>
      <c r="AD448" s="362"/>
      <c r="AE448" s="362"/>
      <c r="AF448" s="362"/>
      <c r="AG448" s="362"/>
      <c r="AH448" s="362"/>
      <c r="AI448" s="393"/>
      <c r="AJ448" s="393"/>
      <c r="AK448" s="362"/>
      <c r="AL448" s="362"/>
      <c r="AM448" s="362"/>
      <c r="AN448" s="362"/>
      <c r="AO448" s="362"/>
      <c r="AP448" s="362"/>
      <c r="AQ448" s="362"/>
      <c r="AR448" s="362"/>
    </row>
    <row r="449" spans="1:44" ht="12.75" customHeight="1" x14ac:dyDescent="0.15">
      <c r="A449" s="431"/>
      <c r="B449" s="393"/>
      <c r="C449" s="428"/>
      <c r="D449" s="428">
        <v>519353.95188680547</v>
      </c>
      <c r="E449" s="224">
        <v>148180.16046038052</v>
      </c>
      <c r="F449" s="224">
        <v>4.0570833805176347</v>
      </c>
      <c r="G449" s="224">
        <v>4.3726645592766573</v>
      </c>
      <c r="H449" s="224">
        <v>2.2408817098220442</v>
      </c>
      <c r="I449" s="224">
        <v>2.3409837715220925</v>
      </c>
      <c r="J449" s="224"/>
      <c r="M449" s="224">
        <f t="shared" si="24"/>
        <v>371173.79142642498</v>
      </c>
      <c r="N449" s="224">
        <f t="shared" si="25"/>
        <v>-0.31558117875902258</v>
      </c>
      <c r="O449" s="224">
        <f t="shared" si="26"/>
        <v>-0.10010206170004832</v>
      </c>
      <c r="Q449" s="224"/>
      <c r="R449" s="224"/>
      <c r="S449" s="429"/>
      <c r="Z449" s="362"/>
      <c r="AA449" s="421"/>
      <c r="AB449" s="362"/>
      <c r="AC449" s="362"/>
      <c r="AD449" s="362"/>
      <c r="AE449" s="362"/>
      <c r="AF449" s="362"/>
      <c r="AG449" s="362"/>
      <c r="AH449" s="362"/>
      <c r="AI449" s="393"/>
      <c r="AJ449" s="393"/>
      <c r="AK449" s="362"/>
      <c r="AL449" s="362"/>
      <c r="AM449" s="362"/>
      <c r="AN449" s="362"/>
      <c r="AO449" s="362"/>
      <c r="AP449" s="362"/>
      <c r="AQ449" s="362"/>
      <c r="AR449" s="362"/>
    </row>
    <row r="450" spans="1:44" ht="12.75" customHeight="1" x14ac:dyDescent="0.15">
      <c r="A450" s="431"/>
      <c r="B450" s="393"/>
      <c r="C450" s="428"/>
      <c r="D450" s="428">
        <v>557711.27068825008</v>
      </c>
      <c r="E450" s="224">
        <v>148746.6140017928</v>
      </c>
      <c r="F450" s="224">
        <v>4.9648414049522867</v>
      </c>
      <c r="G450" s="224">
        <v>4.2550697463538043</v>
      </c>
      <c r="H450" s="224">
        <v>2.7424833967943019</v>
      </c>
      <c r="I450" s="224">
        <v>2.3544264040259577</v>
      </c>
      <c r="J450" s="224"/>
      <c r="M450" s="224">
        <f t="shared" si="24"/>
        <v>408964.65668645728</v>
      </c>
      <c r="N450" s="224">
        <f t="shared" si="25"/>
        <v>0.70977165859848235</v>
      </c>
      <c r="O450" s="224">
        <f t="shared" si="26"/>
        <v>0.38805699276834416</v>
      </c>
      <c r="Q450" s="224"/>
      <c r="R450" s="224"/>
      <c r="S450" s="429"/>
      <c r="Z450" s="362"/>
      <c r="AA450" s="421"/>
      <c r="AB450" s="362"/>
      <c r="AC450" s="362"/>
      <c r="AD450" s="362"/>
      <c r="AE450" s="362"/>
      <c r="AF450" s="362"/>
      <c r="AG450" s="362"/>
      <c r="AH450" s="362"/>
      <c r="AI450" s="393"/>
      <c r="AJ450" s="393"/>
      <c r="AK450" s="362"/>
      <c r="AL450" s="362"/>
      <c r="AM450" s="362"/>
      <c r="AN450" s="362"/>
      <c r="AO450" s="362"/>
      <c r="AP450" s="362"/>
      <c r="AQ450" s="362"/>
      <c r="AR450" s="362"/>
    </row>
    <row r="451" spans="1:44" ht="12.75" customHeight="1" x14ac:dyDescent="0.15">
      <c r="A451" s="431"/>
      <c r="B451" s="393"/>
      <c r="C451" s="428"/>
      <c r="D451" s="428">
        <v>617217.63292233238</v>
      </c>
      <c r="E451" s="224">
        <v>175472.925198499</v>
      </c>
      <c r="F451" s="224">
        <v>4.0654576027640674</v>
      </c>
      <c r="G451" s="224">
        <v>4.54953419914197</v>
      </c>
      <c r="H451" s="224">
        <v>2.385687265633079</v>
      </c>
      <c r="I451" s="224">
        <v>2.300849405547206</v>
      </c>
      <c r="J451" s="224"/>
      <c r="M451" s="224">
        <f t="shared" si="24"/>
        <v>441744.70772383339</v>
      </c>
      <c r="N451" s="224">
        <f t="shared" si="25"/>
        <v>-0.48407659637790257</v>
      </c>
      <c r="O451" s="224">
        <f t="shared" si="26"/>
        <v>8.4837860085873018E-2</v>
      </c>
      <c r="Q451" s="224"/>
      <c r="R451" s="224"/>
      <c r="S451" s="429"/>
      <c r="Z451" s="362"/>
      <c r="AA451" s="421"/>
      <c r="AB451" s="362"/>
      <c r="AC451" s="362"/>
      <c r="AD451" s="362"/>
      <c r="AE451" s="362"/>
      <c r="AF451" s="362"/>
      <c r="AG451" s="362"/>
      <c r="AH451" s="362"/>
      <c r="AI451" s="393"/>
      <c r="AJ451" s="393"/>
      <c r="AK451" s="362"/>
      <c r="AL451" s="362"/>
      <c r="AM451" s="362"/>
      <c r="AN451" s="362"/>
      <c r="AO451" s="362"/>
      <c r="AP451" s="362"/>
      <c r="AQ451" s="362"/>
      <c r="AR451" s="362"/>
    </row>
    <row r="452" spans="1:44" ht="12.75" customHeight="1" x14ac:dyDescent="0.15">
      <c r="A452" s="431"/>
      <c r="B452" s="393"/>
      <c r="C452" s="428"/>
      <c r="D452" s="428">
        <v>486270.16734134336</v>
      </c>
      <c r="E452" s="224">
        <v>129110.08933100676</v>
      </c>
      <c r="F452" s="224">
        <v>4.2263065189224331</v>
      </c>
      <c r="G452" s="224">
        <v>3.9484282272009961</v>
      </c>
      <c r="H452" s="224">
        <v>2.4510708068598621</v>
      </c>
      <c r="I452" s="224">
        <v>2.1584130580910679</v>
      </c>
      <c r="J452" s="224"/>
      <c r="M452" s="224">
        <f t="shared" si="24"/>
        <v>357160.07801033661</v>
      </c>
      <c r="N452" s="224">
        <f t="shared" si="25"/>
        <v>0.27787829172143708</v>
      </c>
      <c r="O452" s="224">
        <f t="shared" si="26"/>
        <v>0.29265774876879425</v>
      </c>
      <c r="Q452" s="224"/>
      <c r="R452" s="224"/>
      <c r="S452" s="429"/>
      <c r="Z452" s="362"/>
      <c r="AA452" s="421"/>
      <c r="AB452" s="362"/>
      <c r="AC452" s="362"/>
      <c r="AD452" s="362"/>
      <c r="AE452" s="362"/>
      <c r="AF452" s="362"/>
      <c r="AG452" s="362"/>
      <c r="AH452" s="362"/>
      <c r="AI452" s="393"/>
      <c r="AJ452" s="393"/>
      <c r="AK452" s="362"/>
      <c r="AL452" s="362"/>
      <c r="AM452" s="362"/>
      <c r="AN452" s="362"/>
      <c r="AO452" s="362"/>
      <c r="AP452" s="362"/>
      <c r="AQ452" s="362"/>
      <c r="AR452" s="362"/>
    </row>
    <row r="453" spans="1:44" ht="12.75" customHeight="1" x14ac:dyDescent="0.15">
      <c r="A453" s="431"/>
      <c r="B453" s="393"/>
      <c r="C453" s="428"/>
      <c r="D453" s="428">
        <v>679180.14434542414</v>
      </c>
      <c r="E453" s="224">
        <v>144095.14307007327</v>
      </c>
      <c r="F453" s="224">
        <v>4.7946271684896065</v>
      </c>
      <c r="G453" s="224">
        <v>3.5075996317875284</v>
      </c>
      <c r="H453" s="224">
        <v>3.143798997546583</v>
      </c>
      <c r="I453" s="224">
        <v>2.0545249839068314</v>
      </c>
      <c r="J453" s="224"/>
      <c r="M453" s="224">
        <f t="shared" si="24"/>
        <v>535085.00127535081</v>
      </c>
      <c r="N453" s="224">
        <f t="shared" si="25"/>
        <v>1.287027536702078</v>
      </c>
      <c r="O453" s="224">
        <f t="shared" si="26"/>
        <v>1.0892740136397516</v>
      </c>
      <c r="Q453" s="224"/>
      <c r="R453" s="224"/>
      <c r="S453" s="429"/>
      <c r="Z453" s="362"/>
      <c r="AA453" s="421"/>
      <c r="AB453" s="362"/>
      <c r="AC453" s="362"/>
      <c r="AD453" s="362"/>
      <c r="AE453" s="362"/>
      <c r="AF453" s="362"/>
      <c r="AG453" s="362"/>
      <c r="AH453" s="362"/>
      <c r="AI453" s="393"/>
      <c r="AJ453" s="393"/>
      <c r="AK453" s="362"/>
      <c r="AL453" s="362"/>
      <c r="AM453" s="362"/>
      <c r="AN453" s="362"/>
      <c r="AO453" s="362"/>
      <c r="AP453" s="362"/>
      <c r="AQ453" s="362"/>
      <c r="AR453" s="362"/>
    </row>
    <row r="454" spans="1:44" ht="12.75" customHeight="1" x14ac:dyDescent="0.15">
      <c r="A454" s="431"/>
      <c r="B454" s="393"/>
      <c r="C454" s="428"/>
      <c r="D454" s="428">
        <v>546540.2765703781</v>
      </c>
      <c r="E454" s="224">
        <v>137957.59637918591</v>
      </c>
      <c r="F454" s="224">
        <v>4.1743856405386346</v>
      </c>
      <c r="G454" s="224">
        <v>3.6807107047358327</v>
      </c>
      <c r="H454" s="224">
        <v>2.5986412615198264</v>
      </c>
      <c r="I454" s="224">
        <v>2.0901213385297224</v>
      </c>
      <c r="J454" s="224"/>
      <c r="M454" s="224">
        <f t="shared" si="24"/>
        <v>408582.68019119219</v>
      </c>
      <c r="N454" s="224">
        <f t="shared" si="25"/>
        <v>0.49367493580280186</v>
      </c>
      <c r="O454" s="224">
        <f t="shared" si="26"/>
        <v>0.50851992299010407</v>
      </c>
      <c r="Q454" s="224"/>
      <c r="R454" s="224"/>
      <c r="S454" s="429"/>
      <c r="Z454" s="362"/>
      <c r="AA454" s="421"/>
      <c r="AB454" s="362"/>
      <c r="AC454" s="362"/>
      <c r="AD454" s="362"/>
      <c r="AE454" s="362"/>
      <c r="AF454" s="362"/>
      <c r="AG454" s="362"/>
      <c r="AH454" s="362"/>
      <c r="AI454" s="393"/>
      <c r="AJ454" s="393"/>
      <c r="AK454" s="362"/>
      <c r="AL454" s="362"/>
      <c r="AM454" s="362"/>
      <c r="AN454" s="362"/>
      <c r="AO454" s="362"/>
      <c r="AP454" s="362"/>
      <c r="AQ454" s="362"/>
      <c r="AR454" s="362"/>
    </row>
    <row r="455" spans="1:44" ht="12.75" customHeight="1" x14ac:dyDescent="0.15">
      <c r="A455" s="431"/>
      <c r="B455" s="393"/>
      <c r="C455" s="428"/>
      <c r="D455" s="428">
        <v>656476.74133547163</v>
      </c>
      <c r="E455" s="224">
        <v>119433.30696339971</v>
      </c>
      <c r="F455" s="224">
        <v>4.0050262473864979</v>
      </c>
      <c r="G455" s="224">
        <v>3.4941992612798876</v>
      </c>
      <c r="H455" s="224">
        <v>2.7889149662469506</v>
      </c>
      <c r="I455" s="224">
        <v>2.0706748652549125</v>
      </c>
      <c r="J455" s="224"/>
      <c r="M455" s="224">
        <f t="shared" si="24"/>
        <v>537043.43437207188</v>
      </c>
      <c r="N455" s="224">
        <f t="shared" si="25"/>
        <v>0.51082698610661037</v>
      </c>
      <c r="O455" s="224">
        <f t="shared" si="26"/>
        <v>0.71824010099203806</v>
      </c>
      <c r="Q455" s="224"/>
      <c r="R455" s="224"/>
      <c r="S455" s="429"/>
      <c r="Z455" s="362"/>
      <c r="AA455" s="421"/>
      <c r="AB455" s="362"/>
      <c r="AC455" s="362"/>
      <c r="AD455" s="362"/>
      <c r="AE455" s="362"/>
      <c r="AF455" s="362"/>
      <c r="AG455" s="362"/>
      <c r="AH455" s="362"/>
      <c r="AI455" s="393"/>
      <c r="AJ455" s="393"/>
      <c r="AK455" s="362"/>
      <c r="AL455" s="362"/>
      <c r="AM455" s="362"/>
      <c r="AN455" s="362"/>
      <c r="AO455" s="362"/>
      <c r="AP455" s="362"/>
      <c r="AQ455" s="362"/>
      <c r="AR455" s="362"/>
    </row>
    <row r="456" spans="1:44" ht="12.75" customHeight="1" x14ac:dyDescent="0.15">
      <c r="A456" s="431"/>
      <c r="B456" s="393"/>
      <c r="C456" s="428"/>
      <c r="D456" s="428">
        <v>623336.8156034823</v>
      </c>
      <c r="E456" s="224">
        <v>216346.66077533865</v>
      </c>
      <c r="F456" s="224">
        <v>4.2491578843025533</v>
      </c>
      <c r="G456" s="224">
        <v>3.9018342167284636</v>
      </c>
      <c r="H456" s="224">
        <v>2.1859963472246813</v>
      </c>
      <c r="I456" s="224">
        <v>1.7780628424774934</v>
      </c>
      <c r="J456" s="224"/>
      <c r="M456" s="224">
        <f t="shared" si="24"/>
        <v>406990.15482814366</v>
      </c>
      <c r="N456" s="224">
        <f t="shared" si="25"/>
        <v>0.34732366757408961</v>
      </c>
      <c r="O456" s="224">
        <f t="shared" si="26"/>
        <v>0.40793350474718792</v>
      </c>
      <c r="Q456" s="224"/>
      <c r="R456" s="224"/>
      <c r="S456" s="429"/>
      <c r="Z456" s="362"/>
      <c r="AA456" s="421"/>
      <c r="AB456" s="362"/>
      <c r="AC456" s="362"/>
      <c r="AD456" s="362"/>
      <c r="AE456" s="362"/>
      <c r="AF456" s="362"/>
      <c r="AG456" s="362"/>
      <c r="AH456" s="362"/>
      <c r="AI456" s="393"/>
      <c r="AJ456" s="393"/>
      <c r="AK456" s="362"/>
      <c r="AL456" s="362"/>
      <c r="AM456" s="362"/>
      <c r="AN456" s="362"/>
      <c r="AO456" s="362"/>
      <c r="AP456" s="362"/>
      <c r="AQ456" s="362"/>
      <c r="AR456" s="362"/>
    </row>
    <row r="457" spans="1:44" ht="12.75" customHeight="1" x14ac:dyDescent="0.15">
      <c r="A457" s="431"/>
      <c r="B457" s="393"/>
      <c r="C457" s="428"/>
      <c r="D457" s="428">
        <v>551611.26472875755</v>
      </c>
      <c r="E457" s="224">
        <v>165988.01591417543</v>
      </c>
      <c r="F457" s="224">
        <v>4.1356745695907344</v>
      </c>
      <c r="G457" s="224">
        <v>4.2980261642830513</v>
      </c>
      <c r="H457" s="224">
        <v>2.365713299577116</v>
      </c>
      <c r="I457" s="224">
        <v>2.27993888927627</v>
      </c>
      <c r="J457" s="224"/>
      <c r="M457" s="224">
        <f t="shared" si="24"/>
        <v>385623.24881458213</v>
      </c>
      <c r="N457" s="224">
        <f t="shared" si="25"/>
        <v>-0.16235159469231686</v>
      </c>
      <c r="O457" s="224">
        <f t="shared" si="26"/>
        <v>8.5774410300845982E-2</v>
      </c>
      <c r="Q457" s="224"/>
      <c r="R457" s="224"/>
      <c r="S457" s="429"/>
      <c r="Z457" s="362"/>
      <c r="AA457" s="421"/>
      <c r="AB457" s="362"/>
      <c r="AC457" s="362"/>
      <c r="AD457" s="362"/>
      <c r="AE457" s="362"/>
      <c r="AF457" s="362"/>
      <c r="AG457" s="362"/>
      <c r="AH457" s="362"/>
      <c r="AI457" s="393"/>
      <c r="AJ457" s="393"/>
      <c r="AK457" s="362"/>
      <c r="AL457" s="362"/>
      <c r="AM457" s="362"/>
      <c r="AN457" s="362"/>
      <c r="AO457" s="362"/>
      <c r="AP457" s="362"/>
      <c r="AQ457" s="362"/>
      <c r="AR457" s="362"/>
    </row>
    <row r="458" spans="1:44" ht="12.75" customHeight="1" x14ac:dyDescent="0.15">
      <c r="A458" s="431"/>
      <c r="B458" s="393"/>
      <c r="C458" s="428"/>
      <c r="D458" s="428">
        <v>577934.32325432554</v>
      </c>
      <c r="E458" s="224">
        <v>144537.18381602908</v>
      </c>
      <c r="F458" s="224">
        <v>3.9510425835250795</v>
      </c>
      <c r="G458" s="224">
        <v>4.3810672543621374</v>
      </c>
      <c r="H458" s="224">
        <v>2.4922016092247965</v>
      </c>
      <c r="I458" s="224">
        <v>2.5797821535233414</v>
      </c>
      <c r="J458" s="224"/>
      <c r="M458" s="224">
        <f t="shared" si="24"/>
        <v>433397.13943829644</v>
      </c>
      <c r="N458" s="224">
        <f t="shared" si="25"/>
        <v>-0.43002467083705787</v>
      </c>
      <c r="O458" s="224">
        <f t="shared" si="26"/>
        <v>-8.7580544298544893E-2</v>
      </c>
      <c r="Q458" s="224"/>
      <c r="R458" s="224"/>
      <c r="S458" s="429"/>
      <c r="Z458" s="362"/>
      <c r="AA458" s="421"/>
      <c r="AB458" s="362"/>
      <c r="AC458" s="362"/>
      <c r="AD458" s="362"/>
      <c r="AE458" s="362"/>
      <c r="AF458" s="362"/>
      <c r="AG458" s="362"/>
      <c r="AH458" s="362"/>
      <c r="AI458" s="393"/>
      <c r="AJ458" s="393"/>
      <c r="AK458" s="362"/>
      <c r="AL458" s="362"/>
      <c r="AM458" s="362"/>
      <c r="AN458" s="362"/>
      <c r="AO458" s="362"/>
      <c r="AP458" s="362"/>
      <c r="AQ458" s="362"/>
      <c r="AR458" s="362"/>
    </row>
    <row r="459" spans="1:44" ht="12.75" customHeight="1" x14ac:dyDescent="0.15">
      <c r="A459" s="431"/>
      <c r="B459" s="393"/>
      <c r="C459" s="428"/>
      <c r="D459" s="428">
        <v>550335.15760988696</v>
      </c>
      <c r="E459" s="224">
        <v>143313.27093408865</v>
      </c>
      <c r="F459" s="224">
        <v>4.924115010920846</v>
      </c>
      <c r="G459" s="224">
        <v>4.2002156188431483</v>
      </c>
      <c r="H459" s="224">
        <v>3.0767309072095967</v>
      </c>
      <c r="I459" s="224">
        <v>2.618526101423587</v>
      </c>
      <c r="J459" s="224"/>
      <c r="M459" s="224">
        <f t="shared" si="24"/>
        <v>407021.88667579833</v>
      </c>
      <c r="N459" s="224">
        <f t="shared" si="25"/>
        <v>0.72389939207769771</v>
      </c>
      <c r="O459" s="224">
        <f t="shared" si="26"/>
        <v>0.45820480578600975</v>
      </c>
      <c r="Q459" s="224"/>
      <c r="R459" s="224"/>
      <c r="S459" s="429"/>
      <c r="Z459" s="362"/>
      <c r="AA459" s="421"/>
      <c r="AB459" s="362"/>
      <c r="AC459" s="362"/>
      <c r="AD459" s="362"/>
      <c r="AE459" s="362"/>
      <c r="AF459" s="362"/>
      <c r="AG459" s="362"/>
      <c r="AH459" s="362"/>
      <c r="AI459" s="393"/>
      <c r="AJ459" s="393"/>
      <c r="AK459" s="362"/>
      <c r="AL459" s="362"/>
      <c r="AM459" s="362"/>
      <c r="AN459" s="362"/>
      <c r="AO459" s="362"/>
      <c r="AP459" s="362"/>
      <c r="AQ459" s="362"/>
      <c r="AR459" s="362"/>
    </row>
    <row r="460" spans="1:44" ht="12.75" customHeight="1" x14ac:dyDescent="0.15">
      <c r="A460" s="431"/>
      <c r="B460" s="393"/>
      <c r="C460" s="428"/>
      <c r="D460" s="428">
        <v>564806.79292491684</v>
      </c>
      <c r="E460" s="224">
        <v>141963.48275610351</v>
      </c>
      <c r="F460" s="224">
        <v>5.4246347870674168</v>
      </c>
      <c r="G460" s="224">
        <v>4.3268225028223668</v>
      </c>
      <c r="H460" s="224">
        <v>2.7245554123987863</v>
      </c>
      <c r="I460" s="224">
        <v>2.1926810434709032</v>
      </c>
      <c r="J460" s="224"/>
      <c r="M460" s="224">
        <f t="shared" si="24"/>
        <v>422843.31016881333</v>
      </c>
      <c r="N460" s="224">
        <f t="shared" si="25"/>
        <v>1.09781228424505</v>
      </c>
      <c r="O460" s="224">
        <f t="shared" si="26"/>
        <v>0.53187436892788309</v>
      </c>
      <c r="Q460" s="224"/>
      <c r="R460" s="224"/>
      <c r="S460" s="429"/>
      <c r="Z460" s="362"/>
      <c r="AA460" s="421"/>
      <c r="AB460" s="362"/>
      <c r="AC460" s="362"/>
      <c r="AD460" s="362"/>
      <c r="AE460" s="362"/>
      <c r="AF460" s="362"/>
      <c r="AG460" s="362"/>
      <c r="AH460" s="362"/>
      <c r="AI460" s="393"/>
      <c r="AJ460" s="393"/>
      <c r="AK460" s="362"/>
      <c r="AL460" s="362"/>
      <c r="AM460" s="362"/>
      <c r="AN460" s="362"/>
      <c r="AO460" s="362"/>
      <c r="AP460" s="362"/>
      <c r="AQ460" s="362"/>
      <c r="AR460" s="362"/>
    </row>
    <row r="461" spans="1:44" ht="12.75" customHeight="1" x14ac:dyDescent="0.15">
      <c r="A461" s="431"/>
      <c r="B461" s="393"/>
      <c r="C461" s="428"/>
      <c r="D461" s="428">
        <v>758484.39709858468</v>
      </c>
      <c r="E461" s="224">
        <v>194864.17690713008</v>
      </c>
      <c r="F461" s="224">
        <v>4.4427237096317187</v>
      </c>
      <c r="G461" s="224">
        <v>3.5013489021059394</v>
      </c>
      <c r="H461" s="224">
        <v>2.3852102008434244</v>
      </c>
      <c r="I461" s="224">
        <v>1.7221746778155338</v>
      </c>
      <c r="J461" s="224"/>
      <c r="M461" s="224">
        <f t="shared" si="24"/>
        <v>563620.22019145463</v>
      </c>
      <c r="N461" s="224">
        <f t="shared" si="25"/>
        <v>0.94137480752577929</v>
      </c>
      <c r="O461" s="224">
        <f t="shared" si="26"/>
        <v>0.66303552302789059</v>
      </c>
      <c r="Q461" s="224"/>
      <c r="R461" s="224"/>
      <c r="S461" s="429"/>
      <c r="Z461" s="362"/>
      <c r="AA461" s="421"/>
      <c r="AB461" s="362"/>
      <c r="AC461" s="362"/>
      <c r="AD461" s="362"/>
      <c r="AE461" s="362"/>
      <c r="AF461" s="362"/>
      <c r="AG461" s="362"/>
      <c r="AH461" s="362"/>
      <c r="AI461" s="393"/>
      <c r="AJ461" s="393"/>
      <c r="AK461" s="362"/>
      <c r="AL461" s="362"/>
      <c r="AM461" s="362"/>
      <c r="AN461" s="362"/>
      <c r="AO461" s="362"/>
      <c r="AP461" s="362"/>
      <c r="AQ461" s="362"/>
      <c r="AR461" s="362"/>
    </row>
    <row r="462" spans="1:44" ht="12.75" customHeight="1" x14ac:dyDescent="0.15">
      <c r="A462" s="431"/>
      <c r="B462" s="393"/>
      <c r="C462" s="428"/>
      <c r="D462" s="428">
        <v>619829.60429118352</v>
      </c>
      <c r="E462" s="224">
        <v>223031.40266240633</v>
      </c>
      <c r="F462" s="224">
        <v>4.41508029471367</v>
      </c>
      <c r="G462" s="224">
        <v>4.7544556516533145</v>
      </c>
      <c r="H462" s="224">
        <v>2.5521534600615388</v>
      </c>
      <c r="I462" s="224">
        <v>2.68626785300021</v>
      </c>
      <c r="J462" s="224"/>
      <c r="M462" s="224">
        <f t="shared" si="24"/>
        <v>396798.2016287772</v>
      </c>
      <c r="N462" s="224">
        <f t="shared" si="25"/>
        <v>-0.33937535693964449</v>
      </c>
      <c r="O462" s="224">
        <f t="shared" si="26"/>
        <v>-0.13411439293867122</v>
      </c>
      <c r="Q462" s="224"/>
      <c r="R462" s="224"/>
      <c r="S462" s="429"/>
      <c r="Z462" s="362"/>
      <c r="AA462" s="421"/>
      <c r="AB462" s="362"/>
      <c r="AC462" s="362"/>
      <c r="AD462" s="362"/>
      <c r="AE462" s="362"/>
      <c r="AF462" s="362"/>
      <c r="AG462" s="362"/>
      <c r="AH462" s="362"/>
      <c r="AI462" s="393"/>
      <c r="AJ462" s="393"/>
      <c r="AK462" s="362"/>
      <c r="AL462" s="362"/>
      <c r="AM462" s="362"/>
      <c r="AN462" s="362"/>
      <c r="AO462" s="362"/>
      <c r="AP462" s="362"/>
      <c r="AQ462" s="362"/>
      <c r="AR462" s="362"/>
    </row>
    <row r="463" spans="1:44" ht="12.75" customHeight="1" x14ac:dyDescent="0.15">
      <c r="A463" s="431"/>
      <c r="B463" s="393"/>
      <c r="C463" s="428"/>
      <c r="D463" s="428">
        <v>595182.61450844933</v>
      </c>
      <c r="E463" s="224">
        <v>151651.13262429312</v>
      </c>
      <c r="F463" s="224">
        <v>4.4509524679914847</v>
      </c>
      <c r="G463" s="224">
        <v>3.2558472591011975</v>
      </c>
      <c r="H463" s="224">
        <v>2.6165991690843495</v>
      </c>
      <c r="I463" s="224">
        <v>1.8510558027033435</v>
      </c>
      <c r="J463" s="224"/>
      <c r="M463" s="224">
        <f t="shared" si="24"/>
        <v>443531.48188415624</v>
      </c>
      <c r="N463" s="224">
        <f t="shared" si="25"/>
        <v>1.1951052088902872</v>
      </c>
      <c r="O463" s="224">
        <f t="shared" si="26"/>
        <v>0.76554336638100606</v>
      </c>
      <c r="Q463" s="224"/>
      <c r="R463" s="224"/>
      <c r="S463" s="429"/>
      <c r="Z463" s="362"/>
      <c r="AA463" s="421"/>
      <c r="AB463" s="362"/>
      <c r="AC463" s="362"/>
      <c r="AD463" s="362"/>
      <c r="AE463" s="362"/>
      <c r="AF463" s="362"/>
      <c r="AG463" s="362"/>
      <c r="AH463" s="362"/>
      <c r="AI463" s="393"/>
      <c r="AJ463" s="393"/>
      <c r="AK463" s="362"/>
      <c r="AL463" s="362"/>
      <c r="AM463" s="362"/>
      <c r="AN463" s="362"/>
      <c r="AO463" s="362"/>
      <c r="AP463" s="362"/>
      <c r="AQ463" s="362"/>
      <c r="AR463" s="362"/>
    </row>
    <row r="464" spans="1:44" ht="12.75" customHeight="1" x14ac:dyDescent="0.15">
      <c r="A464" s="431"/>
      <c r="B464" s="393"/>
      <c r="C464" s="428"/>
      <c r="D464" s="428">
        <v>602213.18508255028</v>
      </c>
      <c r="E464" s="224">
        <v>118826.35126363051</v>
      </c>
      <c r="F464" s="224">
        <v>4.4568731754052138</v>
      </c>
      <c r="G464" s="224">
        <v>3.4284229691856503</v>
      </c>
      <c r="H464" s="224">
        <v>2.5673565084910099</v>
      </c>
      <c r="I464" s="224">
        <v>1.8707218979763731</v>
      </c>
      <c r="J464" s="224"/>
      <c r="M464" s="224">
        <f t="shared" si="24"/>
        <v>483386.83381891978</v>
      </c>
      <c r="N464" s="224">
        <f t="shared" si="25"/>
        <v>1.0284502062195635</v>
      </c>
      <c r="O464" s="224">
        <f t="shared" si="26"/>
        <v>0.69663461051463682</v>
      </c>
      <c r="Q464" s="224"/>
      <c r="R464" s="224"/>
      <c r="S464" s="429"/>
      <c r="Z464" s="362"/>
      <c r="AA464" s="421"/>
      <c r="AB464" s="362"/>
      <c r="AC464" s="362"/>
      <c r="AD464" s="362"/>
      <c r="AE464" s="362"/>
      <c r="AF464" s="362"/>
      <c r="AG464" s="362"/>
      <c r="AH464" s="362"/>
      <c r="AI464" s="393"/>
      <c r="AJ464" s="393"/>
      <c r="AK464" s="362"/>
      <c r="AL464" s="362"/>
      <c r="AM464" s="362"/>
      <c r="AN464" s="362"/>
      <c r="AO464" s="362"/>
      <c r="AP464" s="362"/>
      <c r="AQ464" s="362"/>
      <c r="AR464" s="362"/>
    </row>
    <row r="465" spans="1:44" ht="12.75" customHeight="1" x14ac:dyDescent="0.15">
      <c r="A465" s="431"/>
      <c r="B465" s="393"/>
      <c r="C465" s="428"/>
      <c r="D465" s="428">
        <v>628143.05985156912</v>
      </c>
      <c r="E465" s="224">
        <v>131846.3392973358</v>
      </c>
      <c r="F465" s="224">
        <v>4.9492869999477138</v>
      </c>
      <c r="G465" s="224">
        <v>4.4175599344721688</v>
      </c>
      <c r="H465" s="224">
        <v>2.8242905814356591</v>
      </c>
      <c r="I465" s="224">
        <v>2.3370185615317989</v>
      </c>
      <c r="J465" s="224"/>
      <c r="M465" s="224">
        <f t="shared" si="24"/>
        <v>496296.7205542333</v>
      </c>
      <c r="N465" s="224">
        <f t="shared" si="25"/>
        <v>0.53172706547554505</v>
      </c>
      <c r="O465" s="224">
        <f t="shared" si="26"/>
        <v>0.48727201990386027</v>
      </c>
      <c r="Q465" s="224"/>
      <c r="R465" s="224"/>
      <c r="S465" s="429"/>
      <c r="Z465" s="362"/>
      <c r="AA465" s="421"/>
      <c r="AB465" s="362"/>
      <c r="AC465" s="362"/>
      <c r="AD465" s="362"/>
      <c r="AE465" s="362"/>
      <c r="AF465" s="362"/>
      <c r="AG465" s="362"/>
      <c r="AH465" s="362"/>
      <c r="AI465" s="393"/>
      <c r="AJ465" s="393"/>
      <c r="AK465" s="362"/>
      <c r="AL465" s="362"/>
      <c r="AM465" s="362"/>
      <c r="AN465" s="362"/>
      <c r="AO465" s="362"/>
      <c r="AP465" s="362"/>
      <c r="AQ465" s="362"/>
      <c r="AR465" s="362"/>
    </row>
    <row r="466" spans="1:44" ht="12.75" customHeight="1" x14ac:dyDescent="0.15">
      <c r="A466" s="431"/>
      <c r="B466" s="393"/>
      <c r="C466" s="428"/>
      <c r="D466" s="428">
        <v>707048.06096519902</v>
      </c>
      <c r="E466" s="224">
        <v>183631.83001723044</v>
      </c>
      <c r="F466" s="224">
        <v>4.5329967515582519</v>
      </c>
      <c r="G466" s="224">
        <v>3.7723154765176208</v>
      </c>
      <c r="H466" s="224">
        <v>2.2942093160152726</v>
      </c>
      <c r="I466" s="224">
        <v>1.8757690895735954</v>
      </c>
      <c r="J466" s="224"/>
      <c r="M466" s="224">
        <f t="shared" ref="M466:M529" si="27">+D466-E466</f>
        <v>523416.23094796855</v>
      </c>
      <c r="N466" s="224">
        <f t="shared" ref="N466:N529" si="28">+F466-G466</f>
        <v>0.7606812750406311</v>
      </c>
      <c r="O466" s="224">
        <f t="shared" ref="O466:O529" si="29">+H466-I466</f>
        <v>0.41844022644167711</v>
      </c>
      <c r="Q466" s="224"/>
      <c r="R466" s="224"/>
      <c r="S466" s="429"/>
      <c r="Z466" s="362"/>
      <c r="AA466" s="421"/>
      <c r="AB466" s="362"/>
      <c r="AC466" s="362"/>
      <c r="AD466" s="362"/>
      <c r="AE466" s="362"/>
      <c r="AF466" s="362"/>
      <c r="AG466" s="362"/>
      <c r="AH466" s="362"/>
      <c r="AI466" s="393"/>
      <c r="AJ466" s="393"/>
      <c r="AK466" s="362"/>
      <c r="AL466" s="362"/>
      <c r="AM466" s="362"/>
      <c r="AN466" s="362"/>
      <c r="AO466" s="362"/>
      <c r="AP466" s="362"/>
      <c r="AQ466" s="362"/>
      <c r="AR466" s="362"/>
    </row>
    <row r="467" spans="1:44" ht="12.75" customHeight="1" x14ac:dyDescent="0.15">
      <c r="A467" s="431"/>
      <c r="B467" s="393"/>
      <c r="C467" s="428"/>
      <c r="D467" s="428">
        <v>661533.31296710798</v>
      </c>
      <c r="E467" s="224">
        <v>159526.72233296206</v>
      </c>
      <c r="F467" s="224">
        <v>4.51600181374444</v>
      </c>
      <c r="G467" s="224">
        <v>3.7184817460161272</v>
      </c>
      <c r="H467" s="224">
        <v>2.6760946159032248</v>
      </c>
      <c r="I467" s="224">
        <v>2.0535020448850911</v>
      </c>
      <c r="J467" s="224"/>
      <c r="M467" s="224">
        <f t="shared" si="27"/>
        <v>502006.59063414589</v>
      </c>
      <c r="N467" s="224">
        <f t="shared" si="28"/>
        <v>0.79752006772831274</v>
      </c>
      <c r="O467" s="224">
        <f t="shared" si="29"/>
        <v>0.6225925710181337</v>
      </c>
      <c r="Q467" s="224"/>
      <c r="R467" s="224"/>
      <c r="S467" s="429"/>
      <c r="Z467" s="362"/>
      <c r="AA467" s="421"/>
      <c r="AB467" s="362"/>
      <c r="AC467" s="362"/>
      <c r="AD467" s="362"/>
      <c r="AE467" s="362"/>
      <c r="AF467" s="362"/>
      <c r="AG467" s="362"/>
      <c r="AH467" s="362"/>
      <c r="AI467" s="393"/>
      <c r="AJ467" s="393"/>
      <c r="AK467" s="362"/>
      <c r="AL467" s="362"/>
      <c r="AM467" s="362"/>
      <c r="AN467" s="362"/>
      <c r="AO467" s="362"/>
      <c r="AP467" s="362"/>
      <c r="AQ467" s="362"/>
      <c r="AR467" s="362"/>
    </row>
    <row r="468" spans="1:44" ht="12.75" customHeight="1" x14ac:dyDescent="0.15">
      <c r="A468" s="431"/>
      <c r="B468" s="393"/>
      <c r="C468" s="428"/>
      <c r="D468" s="428">
        <v>585674.43868019246</v>
      </c>
      <c r="E468" s="224">
        <v>167930.22531654671</v>
      </c>
      <c r="F468" s="224">
        <v>4.1672340580332152</v>
      </c>
      <c r="G468" s="224">
        <v>3.4972470539994642</v>
      </c>
      <c r="H468" s="224">
        <v>2.517658627813729</v>
      </c>
      <c r="I468" s="224">
        <v>2.0940646214186236</v>
      </c>
      <c r="J468" s="224"/>
      <c r="M468" s="224">
        <f t="shared" si="27"/>
        <v>417744.21336364571</v>
      </c>
      <c r="N468" s="224">
        <f t="shared" si="28"/>
        <v>0.669987004033751</v>
      </c>
      <c r="O468" s="224">
        <f t="shared" si="29"/>
        <v>0.42359400639510536</v>
      </c>
      <c r="Q468" s="224"/>
      <c r="R468" s="224"/>
      <c r="S468" s="429"/>
      <c r="Z468" s="362"/>
      <c r="AA468" s="421"/>
      <c r="AB468" s="362"/>
      <c r="AC468" s="362"/>
      <c r="AD468" s="362"/>
      <c r="AE468" s="362"/>
      <c r="AF468" s="362"/>
      <c r="AG468" s="362"/>
      <c r="AH468" s="362"/>
      <c r="AI468" s="393"/>
      <c r="AJ468" s="393"/>
      <c r="AK468" s="362"/>
      <c r="AL468" s="362"/>
      <c r="AM468" s="362"/>
      <c r="AN468" s="362"/>
      <c r="AO468" s="362"/>
      <c r="AP468" s="362"/>
      <c r="AQ468" s="362"/>
      <c r="AR468" s="362"/>
    </row>
    <row r="469" spans="1:44" ht="12.75" customHeight="1" x14ac:dyDescent="0.15">
      <c r="A469" s="431"/>
      <c r="B469" s="393"/>
      <c r="C469" s="428"/>
      <c r="D469" s="428">
        <v>508306.11379310361</v>
      </c>
      <c r="E469" s="224">
        <v>138893.1475407223</v>
      </c>
      <c r="F469" s="224">
        <v>4.6037888485954195</v>
      </c>
      <c r="G469" s="224">
        <v>3.7450301200114842</v>
      </c>
      <c r="H469" s="224">
        <v>2.2906867291216289</v>
      </c>
      <c r="I469" s="224">
        <v>1.9230759846692909</v>
      </c>
      <c r="J469" s="224"/>
      <c r="M469" s="224">
        <f t="shared" si="27"/>
        <v>369412.96625238133</v>
      </c>
      <c r="N469" s="224">
        <f t="shared" si="28"/>
        <v>0.85875872858393532</v>
      </c>
      <c r="O469" s="224">
        <f t="shared" si="29"/>
        <v>0.36761074445233799</v>
      </c>
      <c r="Q469" s="224"/>
      <c r="R469" s="224"/>
      <c r="S469" s="429"/>
      <c r="Z469" s="362"/>
      <c r="AA469" s="421"/>
      <c r="AB469" s="362"/>
      <c r="AC469" s="362"/>
      <c r="AD469" s="362"/>
      <c r="AE469" s="362"/>
      <c r="AF469" s="362"/>
      <c r="AG469" s="362"/>
      <c r="AH469" s="362"/>
      <c r="AI469" s="393"/>
      <c r="AJ469" s="393"/>
      <c r="AK469" s="362"/>
      <c r="AL469" s="362"/>
      <c r="AM469" s="362"/>
      <c r="AN469" s="362"/>
      <c r="AO469" s="362"/>
      <c r="AP469" s="362"/>
      <c r="AQ469" s="362"/>
      <c r="AR469" s="362"/>
    </row>
    <row r="470" spans="1:44" ht="12.75" customHeight="1" x14ac:dyDescent="0.15">
      <c r="A470" s="431"/>
      <c r="B470" s="393"/>
      <c r="C470" s="428"/>
      <c r="D470" s="428">
        <v>615397.71566370863</v>
      </c>
      <c r="E470" s="224">
        <v>133300.92333666096</v>
      </c>
      <c r="F470" s="224">
        <v>3.8124694775308692</v>
      </c>
      <c r="G470" s="224">
        <v>3.768263785818172</v>
      </c>
      <c r="H470" s="224">
        <v>2.3581454919365683</v>
      </c>
      <c r="I470" s="224">
        <v>2.0156089739023835</v>
      </c>
      <c r="J470" s="224"/>
      <c r="M470" s="224">
        <f t="shared" si="27"/>
        <v>482096.79232704767</v>
      </c>
      <c r="N470" s="224">
        <f t="shared" si="28"/>
        <v>4.420569171269717E-2</v>
      </c>
      <c r="O470" s="224">
        <f t="shared" si="29"/>
        <v>0.34253651803418483</v>
      </c>
      <c r="Q470" s="224"/>
      <c r="R470" s="224"/>
      <c r="S470" s="429"/>
      <c r="Z470" s="362"/>
      <c r="AA470" s="421"/>
      <c r="AB470" s="362"/>
      <c r="AC470" s="362"/>
      <c r="AD470" s="362"/>
      <c r="AE470" s="362"/>
      <c r="AF470" s="362"/>
      <c r="AG470" s="362"/>
      <c r="AH470" s="362"/>
      <c r="AI470" s="393"/>
      <c r="AJ470" s="393"/>
      <c r="AK470" s="362"/>
      <c r="AL470" s="362"/>
      <c r="AM470" s="362"/>
      <c r="AN470" s="362"/>
      <c r="AO470" s="362"/>
      <c r="AP470" s="362"/>
      <c r="AQ470" s="362"/>
      <c r="AR470" s="362"/>
    </row>
    <row r="471" spans="1:44" ht="12.75" customHeight="1" x14ac:dyDescent="0.15">
      <c r="A471" s="431"/>
      <c r="B471" s="393"/>
      <c r="C471" s="428"/>
      <c r="D471" s="428">
        <v>525001.36139828945</v>
      </c>
      <c r="E471" s="224">
        <v>131987.62005518735</v>
      </c>
      <c r="F471" s="224">
        <v>4.1557916000735631</v>
      </c>
      <c r="G471" s="224">
        <v>3.9224188703626481</v>
      </c>
      <c r="H471" s="224">
        <v>2.3332678629923089</v>
      </c>
      <c r="I471" s="224">
        <v>1.8873727760644492</v>
      </c>
      <c r="J471" s="224"/>
      <c r="M471" s="224">
        <f t="shared" si="27"/>
        <v>393013.74134310207</v>
      </c>
      <c r="N471" s="224">
        <f t="shared" si="28"/>
        <v>0.23337272971091494</v>
      </c>
      <c r="O471" s="224">
        <f t="shared" si="29"/>
        <v>0.44589508692785973</v>
      </c>
      <c r="Q471" s="224"/>
      <c r="R471" s="224"/>
      <c r="S471" s="429"/>
      <c r="Z471" s="362"/>
      <c r="AA471" s="421"/>
      <c r="AB471" s="362"/>
      <c r="AC471" s="362"/>
      <c r="AD471" s="362"/>
      <c r="AE471" s="362"/>
      <c r="AF471" s="362"/>
      <c r="AG471" s="362"/>
      <c r="AH471" s="362"/>
      <c r="AI471" s="393"/>
      <c r="AJ471" s="393"/>
      <c r="AK471" s="362"/>
      <c r="AL471" s="362"/>
      <c r="AM471" s="362"/>
      <c r="AN471" s="362"/>
      <c r="AO471" s="362"/>
      <c r="AP471" s="362"/>
      <c r="AQ471" s="362"/>
      <c r="AR471" s="362"/>
    </row>
    <row r="472" spans="1:44" ht="12.75" customHeight="1" x14ac:dyDescent="0.15">
      <c r="A472" s="431"/>
      <c r="B472" s="393"/>
      <c r="C472" s="428"/>
      <c r="D472" s="428">
        <v>478079.41385347163</v>
      </c>
      <c r="E472" s="224">
        <v>114070.255651535</v>
      </c>
      <c r="F472" s="224">
        <v>4.4952611296835947</v>
      </c>
      <c r="G472" s="224">
        <v>3.8681669452426113</v>
      </c>
      <c r="H472" s="224">
        <v>2.4746450027274021</v>
      </c>
      <c r="I472" s="224">
        <v>2.0729090203882525</v>
      </c>
      <c r="J472" s="224"/>
      <c r="M472" s="224">
        <f t="shared" si="27"/>
        <v>364009.15820193663</v>
      </c>
      <c r="N472" s="224">
        <f t="shared" si="28"/>
        <v>0.62709418444098342</v>
      </c>
      <c r="O472" s="224">
        <f t="shared" si="29"/>
        <v>0.40173598233914953</v>
      </c>
      <c r="Q472" s="224"/>
      <c r="R472" s="224"/>
      <c r="S472" s="429"/>
      <c r="Z472" s="362"/>
      <c r="AA472" s="421"/>
      <c r="AB472" s="362"/>
      <c r="AC472" s="362"/>
      <c r="AD472" s="362"/>
      <c r="AE472" s="362"/>
      <c r="AF472" s="362"/>
      <c r="AG472" s="362"/>
      <c r="AH472" s="362"/>
      <c r="AI472" s="393"/>
      <c r="AJ472" s="393"/>
      <c r="AK472" s="362"/>
      <c r="AL472" s="362"/>
      <c r="AM472" s="362"/>
      <c r="AN472" s="362"/>
      <c r="AO472" s="362"/>
      <c r="AP472" s="362"/>
      <c r="AQ472" s="362"/>
      <c r="AR472" s="362"/>
    </row>
    <row r="473" spans="1:44" ht="12.75" customHeight="1" x14ac:dyDescent="0.15">
      <c r="A473" s="431"/>
      <c r="B473" s="393"/>
      <c r="C473" s="428"/>
      <c r="D473" s="428">
        <v>592749.96942661237</v>
      </c>
      <c r="E473" s="224">
        <v>157247.19580386198</v>
      </c>
      <c r="F473" s="224">
        <v>4.2042865576521224</v>
      </c>
      <c r="G473" s="224">
        <v>3.8508755672342154</v>
      </c>
      <c r="H473" s="224">
        <v>2.5377167755073855</v>
      </c>
      <c r="I473" s="224">
        <v>2.1485386426895126</v>
      </c>
      <c r="J473" s="224"/>
      <c r="M473" s="224">
        <f t="shared" si="27"/>
        <v>435502.77362275042</v>
      </c>
      <c r="N473" s="224">
        <f t="shared" si="28"/>
        <v>0.35341099041790702</v>
      </c>
      <c r="O473" s="224">
        <f t="shared" si="29"/>
        <v>0.38917813281787295</v>
      </c>
      <c r="Q473" s="224"/>
      <c r="R473" s="224"/>
      <c r="S473" s="429"/>
      <c r="Z473" s="362"/>
      <c r="AA473" s="421"/>
      <c r="AB473" s="362"/>
      <c r="AC473" s="362"/>
      <c r="AD473" s="362"/>
      <c r="AE473" s="362"/>
      <c r="AF473" s="362"/>
      <c r="AG473" s="362"/>
      <c r="AH473" s="362"/>
      <c r="AI473" s="393"/>
      <c r="AJ473" s="393"/>
      <c r="AK473" s="362"/>
      <c r="AL473" s="362"/>
      <c r="AM473" s="362"/>
      <c r="AN473" s="362"/>
      <c r="AO473" s="362"/>
      <c r="AP473" s="362"/>
      <c r="AQ473" s="362"/>
      <c r="AR473" s="362"/>
    </row>
    <row r="474" spans="1:44" ht="12.75" customHeight="1" x14ac:dyDescent="0.15">
      <c r="A474" s="431"/>
      <c r="B474" s="393"/>
      <c r="C474" s="428"/>
      <c r="D474" s="428">
        <v>691235.68260809872</v>
      </c>
      <c r="E474" s="224">
        <v>183085.72343246991</v>
      </c>
      <c r="F474" s="224">
        <v>3.8785080210795169</v>
      </c>
      <c r="G474" s="224">
        <v>3.8966087301512089</v>
      </c>
      <c r="H474" s="224">
        <v>2.5603567132004335</v>
      </c>
      <c r="I474" s="224">
        <v>2.1173487815107346</v>
      </c>
      <c r="J474" s="224"/>
      <c r="M474" s="224">
        <f t="shared" si="27"/>
        <v>508149.95917562884</v>
      </c>
      <c r="N474" s="224">
        <f t="shared" si="28"/>
        <v>-1.8100709071692034E-2</v>
      </c>
      <c r="O474" s="224">
        <f t="shared" si="29"/>
        <v>0.44300793168969888</v>
      </c>
      <c r="Q474" s="224"/>
      <c r="R474" s="224"/>
      <c r="S474" s="429"/>
      <c r="Z474" s="362"/>
      <c r="AA474" s="421"/>
      <c r="AB474" s="362"/>
      <c r="AC474" s="362"/>
      <c r="AD474" s="362"/>
      <c r="AE474" s="362"/>
      <c r="AF474" s="362"/>
      <c r="AG474" s="362"/>
      <c r="AH474" s="362"/>
      <c r="AI474" s="393"/>
      <c r="AJ474" s="393"/>
      <c r="AK474" s="362"/>
      <c r="AL474" s="362"/>
      <c r="AM474" s="362"/>
      <c r="AN474" s="362"/>
      <c r="AO474" s="362"/>
      <c r="AP474" s="362"/>
      <c r="AQ474" s="362"/>
      <c r="AR474" s="362"/>
    </row>
    <row r="475" spans="1:44" ht="12.75" customHeight="1" x14ac:dyDescent="0.15">
      <c r="A475" s="431"/>
      <c r="B475" s="393"/>
      <c r="C475" s="428"/>
      <c r="D475" s="428">
        <v>561773.66282738128</v>
      </c>
      <c r="E475" s="224">
        <v>124193.68757106802</v>
      </c>
      <c r="F475" s="224">
        <v>3.9418557428825176</v>
      </c>
      <c r="G475" s="224">
        <v>4.1568305383015467</v>
      </c>
      <c r="H475" s="224">
        <v>2.4107703032697434</v>
      </c>
      <c r="I475" s="224">
        <v>2.3679447899381532</v>
      </c>
      <c r="J475" s="224"/>
      <c r="M475" s="224">
        <f t="shared" si="27"/>
        <v>437579.97525631328</v>
      </c>
      <c r="N475" s="224">
        <f t="shared" si="28"/>
        <v>-0.21497479541902909</v>
      </c>
      <c r="O475" s="224">
        <f t="shared" si="29"/>
        <v>4.2825513331590237E-2</v>
      </c>
      <c r="Q475" s="224"/>
      <c r="R475" s="224"/>
      <c r="S475" s="429"/>
      <c r="Z475" s="362"/>
      <c r="AA475" s="421"/>
      <c r="AB475" s="362"/>
      <c r="AC475" s="362"/>
      <c r="AD475" s="362"/>
      <c r="AE475" s="362"/>
      <c r="AF475" s="362"/>
      <c r="AG475" s="362"/>
      <c r="AH475" s="362"/>
      <c r="AI475" s="393"/>
      <c r="AJ475" s="393"/>
      <c r="AK475" s="362"/>
      <c r="AL475" s="362"/>
      <c r="AM475" s="362"/>
      <c r="AN475" s="362"/>
      <c r="AO475" s="362"/>
      <c r="AP475" s="362"/>
      <c r="AQ475" s="362"/>
      <c r="AR475" s="362"/>
    </row>
    <row r="476" spans="1:44" ht="12.75" customHeight="1" x14ac:dyDescent="0.15">
      <c r="A476" s="431"/>
      <c r="B476" s="393"/>
      <c r="C476" s="428"/>
      <c r="D476" s="428">
        <v>719277.00976447097</v>
      </c>
      <c r="E476" s="224">
        <v>151888.59210735076</v>
      </c>
      <c r="F476" s="224">
        <v>4.5449523144568289</v>
      </c>
      <c r="G476" s="224">
        <v>3.891961146631671</v>
      </c>
      <c r="H476" s="224">
        <v>2.7583803452866262</v>
      </c>
      <c r="I476" s="224">
        <v>2.1550974646234162</v>
      </c>
      <c r="J476" s="224"/>
      <c r="M476" s="224">
        <f t="shared" si="27"/>
        <v>567388.41765712015</v>
      </c>
      <c r="N476" s="224">
        <f t="shared" si="28"/>
        <v>0.65299116782515787</v>
      </c>
      <c r="O476" s="224">
        <f t="shared" si="29"/>
        <v>0.60328288066321001</v>
      </c>
      <c r="Q476" s="224"/>
      <c r="R476" s="224"/>
      <c r="S476" s="429"/>
      <c r="Z476" s="362"/>
      <c r="AA476" s="421"/>
      <c r="AB476" s="362"/>
      <c r="AC476" s="362"/>
      <c r="AD476" s="362"/>
      <c r="AE476" s="362"/>
      <c r="AF476" s="362"/>
      <c r="AG476" s="362"/>
      <c r="AH476" s="362"/>
      <c r="AI476" s="393"/>
      <c r="AJ476" s="393"/>
      <c r="AK476" s="362"/>
      <c r="AL476" s="362"/>
      <c r="AM476" s="362"/>
      <c r="AN476" s="362"/>
      <c r="AO476" s="362"/>
      <c r="AP476" s="362"/>
      <c r="AQ476" s="362"/>
      <c r="AR476" s="362"/>
    </row>
    <row r="477" spans="1:44" ht="12.75" customHeight="1" x14ac:dyDescent="0.15">
      <c r="A477" s="431"/>
      <c r="B477" s="393"/>
      <c r="C477" s="428"/>
      <c r="D477" s="428">
        <v>477484.9769609755</v>
      </c>
      <c r="E477" s="224">
        <v>121191.19294089622</v>
      </c>
      <c r="F477" s="224">
        <v>4.0529384404092772</v>
      </c>
      <c r="G477" s="224">
        <v>4.3092207538434018</v>
      </c>
      <c r="H477" s="224">
        <v>2.330634130396946</v>
      </c>
      <c r="I477" s="224">
        <v>2.286928392490418</v>
      </c>
      <c r="J477" s="224"/>
      <c r="M477" s="224">
        <f t="shared" si="27"/>
        <v>356293.7840200793</v>
      </c>
      <c r="N477" s="224">
        <f t="shared" si="28"/>
        <v>-0.25628231343412455</v>
      </c>
      <c r="O477" s="224">
        <f t="shared" si="29"/>
        <v>4.3705737906527986E-2</v>
      </c>
      <c r="Q477" s="224"/>
      <c r="R477" s="224"/>
      <c r="S477" s="429"/>
      <c r="Z477" s="362"/>
      <c r="AA477" s="421"/>
      <c r="AB477" s="362"/>
      <c r="AC477" s="362"/>
      <c r="AD477" s="362"/>
      <c r="AE477" s="362"/>
      <c r="AF477" s="362"/>
      <c r="AG477" s="362"/>
      <c r="AH477" s="362"/>
      <c r="AI477" s="393"/>
      <c r="AJ477" s="393"/>
      <c r="AK477" s="362"/>
      <c r="AL477" s="362"/>
      <c r="AM477" s="362"/>
      <c r="AN477" s="362"/>
      <c r="AO477" s="362"/>
      <c r="AP477" s="362"/>
      <c r="AQ477" s="362"/>
      <c r="AR477" s="362"/>
    </row>
    <row r="478" spans="1:44" ht="12.75" customHeight="1" x14ac:dyDescent="0.15">
      <c r="A478" s="431"/>
      <c r="B478" s="393"/>
      <c r="C478" s="428"/>
      <c r="D478" s="428">
        <v>618109.00189608231</v>
      </c>
      <c r="E478" s="224">
        <v>168333.24970764859</v>
      </c>
      <c r="F478" s="224">
        <v>4.2184692819472858</v>
      </c>
      <c r="G478" s="224">
        <v>3.9042620943804636</v>
      </c>
      <c r="H478" s="224">
        <v>2.6150401622713169</v>
      </c>
      <c r="I478" s="224">
        <v>2.4167101454300473</v>
      </c>
      <c r="J478" s="224"/>
      <c r="M478" s="224">
        <f t="shared" si="27"/>
        <v>449775.75218843372</v>
      </c>
      <c r="N478" s="224">
        <f t="shared" si="28"/>
        <v>0.3142071875668222</v>
      </c>
      <c r="O478" s="224">
        <f t="shared" si="29"/>
        <v>0.19833001684126961</v>
      </c>
      <c r="Q478" s="224"/>
      <c r="R478" s="224"/>
      <c r="S478" s="429"/>
      <c r="Z478" s="362"/>
      <c r="AA478" s="421"/>
      <c r="AB478" s="362"/>
      <c r="AC478" s="362"/>
      <c r="AD478" s="362"/>
      <c r="AE478" s="362"/>
      <c r="AF478" s="362"/>
      <c r="AG478" s="362"/>
      <c r="AH478" s="362"/>
      <c r="AI478" s="393"/>
      <c r="AJ478" s="393"/>
      <c r="AK478" s="362"/>
      <c r="AL478" s="362"/>
      <c r="AM478" s="362"/>
      <c r="AN478" s="362"/>
      <c r="AO478" s="362"/>
      <c r="AP478" s="362"/>
      <c r="AQ478" s="362"/>
      <c r="AR478" s="362"/>
    </row>
    <row r="479" spans="1:44" ht="12.75" customHeight="1" x14ac:dyDescent="0.15">
      <c r="A479" s="431"/>
      <c r="B479" s="393"/>
      <c r="C479" s="428"/>
      <c r="D479" s="428">
        <v>700964.49468069244</v>
      </c>
      <c r="E479" s="224">
        <v>181398.03157154028</v>
      </c>
      <c r="F479" s="224">
        <v>4.6189548002646772</v>
      </c>
      <c r="G479" s="224">
        <v>3.7061614597649482</v>
      </c>
      <c r="H479" s="224">
        <v>2.6421228037408069</v>
      </c>
      <c r="I479" s="224">
        <v>2.0181027554226705</v>
      </c>
      <c r="J479" s="224"/>
      <c r="M479" s="224">
        <f t="shared" si="27"/>
        <v>519566.46310915216</v>
      </c>
      <c r="N479" s="224">
        <f t="shared" si="28"/>
        <v>0.91279334049972904</v>
      </c>
      <c r="O479" s="224">
        <f t="shared" si="29"/>
        <v>0.6240200483181364</v>
      </c>
      <c r="Q479" s="224"/>
      <c r="R479" s="224"/>
      <c r="S479" s="429"/>
      <c r="Z479" s="362"/>
      <c r="AA479" s="421"/>
      <c r="AB479" s="362"/>
      <c r="AC479" s="362"/>
      <c r="AD479" s="362"/>
      <c r="AE479" s="362"/>
      <c r="AF479" s="362"/>
      <c r="AG479" s="362"/>
      <c r="AH479" s="362"/>
      <c r="AI479" s="393"/>
      <c r="AJ479" s="393"/>
      <c r="AK479" s="362"/>
      <c r="AL479" s="362"/>
      <c r="AM479" s="362"/>
      <c r="AN479" s="362"/>
      <c r="AO479" s="362"/>
      <c r="AP479" s="362"/>
      <c r="AQ479" s="362"/>
      <c r="AR479" s="362"/>
    </row>
    <row r="480" spans="1:44" ht="12.75" customHeight="1" x14ac:dyDescent="0.15">
      <c r="A480" s="431"/>
      <c r="B480" s="393"/>
      <c r="C480" s="428"/>
      <c r="D480" s="428">
        <v>767382.3820480929</v>
      </c>
      <c r="E480" s="224">
        <v>239784.03907987446</v>
      </c>
      <c r="F480" s="224">
        <v>4.6563863421594203</v>
      </c>
      <c r="G480" s="224">
        <v>3.3934282053290583</v>
      </c>
      <c r="H480" s="224">
        <v>2.4146111281008853</v>
      </c>
      <c r="I480" s="224">
        <v>1.7652737253990218</v>
      </c>
      <c r="J480" s="224"/>
      <c r="M480" s="224">
        <f t="shared" si="27"/>
        <v>527598.34296821849</v>
      </c>
      <c r="N480" s="224">
        <f t="shared" si="28"/>
        <v>1.262958136830362</v>
      </c>
      <c r="O480" s="224">
        <f t="shared" si="29"/>
        <v>0.64933740270186346</v>
      </c>
      <c r="Q480" s="224"/>
      <c r="R480" s="224"/>
      <c r="S480" s="429"/>
      <c r="Z480" s="362"/>
      <c r="AA480" s="421"/>
      <c r="AB480" s="362"/>
      <c r="AC480" s="362"/>
      <c r="AD480" s="362"/>
      <c r="AE480" s="362"/>
      <c r="AF480" s="362"/>
      <c r="AG480" s="362"/>
      <c r="AH480" s="362"/>
      <c r="AI480" s="393"/>
      <c r="AJ480" s="393"/>
      <c r="AK480" s="362"/>
      <c r="AL480" s="362"/>
      <c r="AM480" s="362"/>
      <c r="AN480" s="362"/>
      <c r="AO480" s="362"/>
      <c r="AP480" s="362"/>
      <c r="AQ480" s="362"/>
      <c r="AR480" s="362"/>
    </row>
    <row r="481" spans="1:44" ht="12.75" customHeight="1" x14ac:dyDescent="0.15">
      <c r="A481" s="431"/>
      <c r="B481" s="393"/>
      <c r="C481" s="428"/>
      <c r="D481" s="428">
        <v>636956.73049635335</v>
      </c>
      <c r="E481" s="224">
        <v>135659.95616063473</v>
      </c>
      <c r="F481" s="224">
        <v>4.3949971254735205</v>
      </c>
      <c r="G481" s="224">
        <v>3.1980965305066893</v>
      </c>
      <c r="H481" s="224">
        <v>2.6733843485000834</v>
      </c>
      <c r="I481" s="224">
        <v>1.8410654639526149</v>
      </c>
      <c r="J481" s="224"/>
      <c r="M481" s="224">
        <f t="shared" si="27"/>
        <v>501296.7743357186</v>
      </c>
      <c r="N481" s="224">
        <f t="shared" si="28"/>
        <v>1.1969005949668312</v>
      </c>
      <c r="O481" s="224">
        <f t="shared" si="29"/>
        <v>0.8323188845474685</v>
      </c>
      <c r="Q481" s="224"/>
      <c r="R481" s="224"/>
      <c r="S481" s="429"/>
      <c r="Z481" s="362"/>
      <c r="AA481" s="421"/>
      <c r="AB481" s="362"/>
      <c r="AC481" s="362"/>
      <c r="AD481" s="362"/>
      <c r="AE481" s="362"/>
      <c r="AF481" s="362"/>
      <c r="AG481" s="362"/>
      <c r="AH481" s="362"/>
      <c r="AI481" s="393"/>
      <c r="AJ481" s="393"/>
      <c r="AK481" s="362"/>
      <c r="AL481" s="362"/>
      <c r="AM481" s="362"/>
      <c r="AN481" s="362"/>
      <c r="AO481" s="362"/>
      <c r="AP481" s="362"/>
      <c r="AQ481" s="362"/>
      <c r="AR481" s="362"/>
    </row>
    <row r="482" spans="1:44" ht="12.75" customHeight="1" x14ac:dyDescent="0.15">
      <c r="A482" s="431"/>
      <c r="B482" s="393"/>
      <c r="C482" s="428"/>
      <c r="D482" s="428">
        <v>557220.0726770825</v>
      </c>
      <c r="E482" s="224">
        <v>139114.06012869682</v>
      </c>
      <c r="F482" s="224">
        <v>4.9405646561688883</v>
      </c>
      <c r="G482" s="224">
        <v>4.0741473916818585</v>
      </c>
      <c r="H482" s="224">
        <v>2.5148960594262886</v>
      </c>
      <c r="I482" s="224">
        <v>2.0910049937310426</v>
      </c>
      <c r="J482" s="224"/>
      <c r="M482" s="224">
        <f t="shared" si="27"/>
        <v>418106.01254838565</v>
      </c>
      <c r="N482" s="224">
        <f t="shared" si="28"/>
        <v>0.86641726448702983</v>
      </c>
      <c r="O482" s="224">
        <f t="shared" si="29"/>
        <v>0.42389106569524593</v>
      </c>
      <c r="Q482" s="224"/>
      <c r="R482" s="224"/>
      <c r="S482" s="429"/>
      <c r="Z482" s="362"/>
      <c r="AA482" s="421"/>
      <c r="AB482" s="362"/>
      <c r="AC482" s="362"/>
      <c r="AD482" s="362"/>
      <c r="AE482" s="362"/>
      <c r="AF482" s="362"/>
      <c r="AG482" s="362"/>
      <c r="AH482" s="362"/>
      <c r="AI482" s="393"/>
      <c r="AJ482" s="393"/>
      <c r="AK482" s="362"/>
      <c r="AL482" s="362"/>
      <c r="AM482" s="362"/>
      <c r="AN482" s="362"/>
      <c r="AO482" s="362"/>
      <c r="AP482" s="362"/>
      <c r="AQ482" s="362"/>
      <c r="AR482" s="362"/>
    </row>
    <row r="483" spans="1:44" ht="12.75" customHeight="1" x14ac:dyDescent="0.15">
      <c r="A483" s="431"/>
      <c r="B483" s="393"/>
      <c r="C483" s="428"/>
      <c r="D483" s="428">
        <v>629318.21730984165</v>
      </c>
      <c r="E483" s="224">
        <v>161928.2180191623</v>
      </c>
      <c r="F483" s="224">
        <v>4.3526853549536444</v>
      </c>
      <c r="G483" s="224">
        <v>3.6097782145042463</v>
      </c>
      <c r="H483" s="224">
        <v>2.8578374337901526</v>
      </c>
      <c r="I483" s="224">
        <v>1.9654074729602991</v>
      </c>
      <c r="J483" s="224"/>
      <c r="M483" s="224">
        <f t="shared" si="27"/>
        <v>467389.99929067935</v>
      </c>
      <c r="N483" s="224">
        <f t="shared" si="28"/>
        <v>0.7429071404493981</v>
      </c>
      <c r="O483" s="224">
        <f t="shared" si="29"/>
        <v>0.8924299608298536</v>
      </c>
      <c r="Q483" s="224"/>
      <c r="R483" s="224"/>
      <c r="S483" s="429"/>
      <c r="Z483" s="362"/>
      <c r="AA483" s="421"/>
      <c r="AB483" s="362"/>
      <c r="AC483" s="362"/>
      <c r="AD483" s="362"/>
      <c r="AE483" s="362"/>
      <c r="AF483" s="362"/>
      <c r="AG483" s="362"/>
      <c r="AH483" s="362"/>
      <c r="AI483" s="393"/>
      <c r="AJ483" s="393"/>
      <c r="AK483" s="362"/>
      <c r="AL483" s="362"/>
      <c r="AM483" s="362"/>
      <c r="AN483" s="362"/>
      <c r="AO483" s="362"/>
      <c r="AP483" s="362"/>
      <c r="AQ483" s="362"/>
      <c r="AR483" s="362"/>
    </row>
    <row r="484" spans="1:44" ht="12.75" customHeight="1" x14ac:dyDescent="0.15">
      <c r="A484" s="431"/>
      <c r="B484" s="393"/>
      <c r="C484" s="428"/>
      <c r="D484" s="428">
        <v>572711.39020826481</v>
      </c>
      <c r="E484" s="224">
        <v>131264.99773841246</v>
      </c>
      <c r="F484" s="224">
        <v>3.5502577500905486</v>
      </c>
      <c r="G484" s="224">
        <v>3.6095316153828922</v>
      </c>
      <c r="H484" s="224">
        <v>1.9010729978603416</v>
      </c>
      <c r="I484" s="224">
        <v>1.8910828817215812</v>
      </c>
      <c r="J484" s="224"/>
      <c r="M484" s="224">
        <f t="shared" si="27"/>
        <v>441446.39246985235</v>
      </c>
      <c r="N484" s="224">
        <f t="shared" si="28"/>
        <v>-5.9273865292343686E-2</v>
      </c>
      <c r="O484" s="224">
        <f t="shared" si="29"/>
        <v>9.9901161387603299E-3</v>
      </c>
      <c r="Q484" s="224"/>
      <c r="R484" s="224"/>
      <c r="S484" s="429"/>
      <c r="Z484" s="362"/>
      <c r="AA484" s="421"/>
      <c r="AB484" s="362"/>
      <c r="AC484" s="362"/>
      <c r="AD484" s="362"/>
      <c r="AE484" s="362"/>
      <c r="AF484" s="362"/>
      <c r="AG484" s="362"/>
      <c r="AH484" s="362"/>
      <c r="AI484" s="393"/>
      <c r="AJ484" s="393"/>
      <c r="AK484" s="362"/>
      <c r="AL484" s="362"/>
      <c r="AM484" s="362"/>
      <c r="AN484" s="362"/>
      <c r="AO484" s="362"/>
      <c r="AP484" s="362"/>
      <c r="AQ484" s="362"/>
      <c r="AR484" s="362"/>
    </row>
    <row r="485" spans="1:44" ht="12.75" customHeight="1" x14ac:dyDescent="0.15">
      <c r="A485" s="431"/>
      <c r="B485" s="393"/>
      <c r="C485" s="428"/>
      <c r="D485" s="428">
        <v>612751.77426639677</v>
      </c>
      <c r="E485" s="224">
        <v>159751.04083773174</v>
      </c>
      <c r="F485" s="224">
        <v>4.6572957892571676</v>
      </c>
      <c r="G485" s="224">
        <v>4.4592768861225585</v>
      </c>
      <c r="H485" s="224">
        <v>2.540135892157624</v>
      </c>
      <c r="I485" s="224">
        <v>2.3211106419377114</v>
      </c>
      <c r="J485" s="224"/>
      <c r="M485" s="224">
        <f t="shared" si="27"/>
        <v>453000.73342866503</v>
      </c>
      <c r="N485" s="224">
        <f t="shared" si="28"/>
        <v>0.19801890313460913</v>
      </c>
      <c r="O485" s="224">
        <f t="shared" si="29"/>
        <v>0.21902525021991259</v>
      </c>
      <c r="Q485" s="224"/>
      <c r="R485" s="224"/>
      <c r="S485" s="429"/>
      <c r="Z485" s="362"/>
      <c r="AA485" s="421"/>
      <c r="AB485" s="362"/>
      <c r="AC485" s="362"/>
      <c r="AD485" s="362"/>
      <c r="AE485" s="362"/>
      <c r="AF485" s="362"/>
      <c r="AG485" s="362"/>
      <c r="AH485" s="362"/>
      <c r="AI485" s="393"/>
      <c r="AJ485" s="393"/>
      <c r="AK485" s="362"/>
      <c r="AL485" s="362"/>
      <c r="AM485" s="362"/>
      <c r="AN485" s="362"/>
      <c r="AO485" s="362"/>
      <c r="AP485" s="362"/>
      <c r="AQ485" s="362"/>
      <c r="AR485" s="362"/>
    </row>
    <row r="486" spans="1:44" ht="12.75" customHeight="1" x14ac:dyDescent="0.15">
      <c r="A486" s="431"/>
      <c r="B486" s="393"/>
      <c r="C486" s="428"/>
      <c r="D486" s="428">
        <v>570164.3713340289</v>
      </c>
      <c r="E486" s="224">
        <v>172588.10451210543</v>
      </c>
      <c r="F486" s="224">
        <v>4.2974931393551179</v>
      </c>
      <c r="G486" s="224">
        <v>4.188393205497853</v>
      </c>
      <c r="H486" s="224">
        <v>2.6769145272982326</v>
      </c>
      <c r="I486" s="224">
        <v>2.6276799608467649</v>
      </c>
      <c r="J486" s="224"/>
      <c r="M486" s="224">
        <f t="shared" si="27"/>
        <v>397576.26682192343</v>
      </c>
      <c r="N486" s="224">
        <f t="shared" si="28"/>
        <v>0.10909993385726491</v>
      </c>
      <c r="O486" s="224">
        <f t="shared" si="29"/>
        <v>4.9234566451467732E-2</v>
      </c>
      <c r="Q486" s="224"/>
      <c r="R486" s="224"/>
      <c r="S486" s="429"/>
      <c r="Z486" s="362"/>
      <c r="AA486" s="421"/>
      <c r="AB486" s="362"/>
      <c r="AC486" s="362"/>
      <c r="AD486" s="362"/>
      <c r="AE486" s="362"/>
      <c r="AF486" s="362"/>
      <c r="AG486" s="362"/>
      <c r="AH486" s="362"/>
      <c r="AI486" s="393"/>
      <c r="AJ486" s="393"/>
      <c r="AK486" s="362"/>
      <c r="AL486" s="362"/>
      <c r="AM486" s="362"/>
      <c r="AN486" s="362"/>
      <c r="AO486" s="362"/>
      <c r="AP486" s="362"/>
      <c r="AQ486" s="362"/>
      <c r="AR486" s="362"/>
    </row>
    <row r="487" spans="1:44" ht="12.75" customHeight="1" x14ac:dyDescent="0.15">
      <c r="A487" s="431"/>
      <c r="B487" s="393"/>
      <c r="C487" s="428"/>
      <c r="D487" s="428">
        <v>553137.07430245914</v>
      </c>
      <c r="E487" s="224">
        <v>126123.18156391346</v>
      </c>
      <c r="F487" s="224">
        <v>4.2001127980775026</v>
      </c>
      <c r="G487" s="224">
        <v>3.6074138414030243</v>
      </c>
      <c r="H487" s="224">
        <v>2.2627871685844081</v>
      </c>
      <c r="I487" s="224">
        <v>1.9927987165319285</v>
      </c>
      <c r="J487" s="224"/>
      <c r="M487" s="224">
        <f t="shared" si="27"/>
        <v>427013.89273854566</v>
      </c>
      <c r="N487" s="224">
        <f t="shared" si="28"/>
        <v>0.59269895667447825</v>
      </c>
      <c r="O487" s="224">
        <f t="shared" si="29"/>
        <v>0.26998845205247957</v>
      </c>
      <c r="Q487" s="224"/>
      <c r="R487" s="224"/>
      <c r="S487" s="429"/>
      <c r="Z487" s="362"/>
      <c r="AA487" s="421"/>
      <c r="AB487" s="362"/>
      <c r="AC487" s="362"/>
      <c r="AD487" s="362"/>
      <c r="AE487" s="362"/>
      <c r="AF487" s="362"/>
      <c r="AG487" s="362"/>
      <c r="AH487" s="362"/>
      <c r="AI487" s="393"/>
      <c r="AJ487" s="393"/>
      <c r="AK487" s="362"/>
      <c r="AL487" s="362"/>
      <c r="AM487" s="362"/>
      <c r="AN487" s="362"/>
      <c r="AO487" s="362"/>
      <c r="AP487" s="362"/>
      <c r="AQ487" s="362"/>
      <c r="AR487" s="362"/>
    </row>
    <row r="488" spans="1:44" ht="12.75" customHeight="1" x14ac:dyDescent="0.15">
      <c r="A488" s="431"/>
      <c r="B488" s="393"/>
      <c r="C488" s="428"/>
      <c r="D488" s="428">
        <v>700459.78433266876</v>
      </c>
      <c r="E488" s="224">
        <v>130172.26687086042</v>
      </c>
      <c r="F488" s="224">
        <v>4.7872915502932498</v>
      </c>
      <c r="G488" s="224">
        <v>3.5321301539888061</v>
      </c>
      <c r="H488" s="224">
        <v>3.1179677581396814</v>
      </c>
      <c r="I488" s="224">
        <v>2.1192651841035075</v>
      </c>
      <c r="J488" s="224"/>
      <c r="M488" s="224">
        <f t="shared" si="27"/>
        <v>570287.5174618084</v>
      </c>
      <c r="N488" s="224">
        <f t="shared" si="28"/>
        <v>1.2551613963044437</v>
      </c>
      <c r="O488" s="224">
        <f t="shared" si="29"/>
        <v>0.99870257403617391</v>
      </c>
      <c r="Q488" s="224"/>
      <c r="R488" s="224"/>
      <c r="S488" s="429"/>
      <c r="Z488" s="362"/>
      <c r="AA488" s="421"/>
      <c r="AB488" s="362"/>
      <c r="AC488" s="362"/>
      <c r="AD488" s="362"/>
      <c r="AE488" s="362"/>
      <c r="AF488" s="362"/>
      <c r="AG488" s="362"/>
      <c r="AH488" s="362"/>
      <c r="AI488" s="393"/>
      <c r="AJ488" s="393"/>
      <c r="AK488" s="362"/>
      <c r="AL488" s="362"/>
      <c r="AM488" s="362"/>
      <c r="AN488" s="362"/>
      <c r="AO488" s="362"/>
      <c r="AP488" s="362"/>
      <c r="AQ488" s="362"/>
      <c r="AR488" s="362"/>
    </row>
    <row r="489" spans="1:44" ht="12.75" customHeight="1" x14ac:dyDescent="0.15">
      <c r="A489" s="431"/>
      <c r="B489" s="393"/>
      <c r="C489" s="428"/>
      <c r="D489" s="428">
        <v>537932.21444492426</v>
      </c>
      <c r="E489" s="224">
        <v>166206.80609751568</v>
      </c>
      <c r="F489" s="224">
        <v>3.8232026567315427</v>
      </c>
      <c r="G489" s="224">
        <v>3.9345529443291145</v>
      </c>
      <c r="H489" s="224">
        <v>2.3833601262557291</v>
      </c>
      <c r="I489" s="224">
        <v>2.20991849237828</v>
      </c>
      <c r="J489" s="224"/>
      <c r="M489" s="224">
        <f t="shared" si="27"/>
        <v>371725.40834740858</v>
      </c>
      <c r="N489" s="224">
        <f t="shared" si="28"/>
        <v>-0.11135028759757182</v>
      </c>
      <c r="O489" s="224">
        <f t="shared" si="29"/>
        <v>0.17344163387744915</v>
      </c>
      <c r="Q489" s="224"/>
      <c r="R489" s="224"/>
      <c r="S489" s="429"/>
      <c r="Z489" s="362"/>
      <c r="AA489" s="421"/>
      <c r="AB489" s="362"/>
      <c r="AC489" s="362"/>
      <c r="AD489" s="362"/>
      <c r="AE489" s="362"/>
      <c r="AF489" s="362"/>
      <c r="AG489" s="362"/>
      <c r="AH489" s="362"/>
      <c r="AI489" s="393"/>
      <c r="AJ489" s="393"/>
      <c r="AK489" s="362"/>
      <c r="AL489" s="362"/>
      <c r="AM489" s="362"/>
      <c r="AN489" s="362"/>
      <c r="AO489" s="362"/>
      <c r="AP489" s="362"/>
      <c r="AQ489" s="362"/>
      <c r="AR489" s="362"/>
    </row>
    <row r="490" spans="1:44" ht="12.75" customHeight="1" x14ac:dyDescent="0.15">
      <c r="A490" s="431"/>
      <c r="B490" s="393"/>
      <c r="C490" s="428"/>
      <c r="D490" s="428">
        <v>606847.5939608122</v>
      </c>
      <c r="E490" s="224">
        <v>129408.51808727709</v>
      </c>
      <c r="F490" s="224">
        <v>4.3772227119008962</v>
      </c>
      <c r="G490" s="224">
        <v>4.0314469395780286</v>
      </c>
      <c r="H490" s="224">
        <v>2.4285987179160893</v>
      </c>
      <c r="I490" s="224">
        <v>2.1005707423308801</v>
      </c>
      <c r="J490" s="224"/>
      <c r="M490" s="224">
        <f t="shared" si="27"/>
        <v>477439.07587353513</v>
      </c>
      <c r="N490" s="224">
        <f t="shared" si="28"/>
        <v>0.3457757723228676</v>
      </c>
      <c r="O490" s="224">
        <f t="shared" si="29"/>
        <v>0.32802797558520913</v>
      </c>
      <c r="Q490" s="224"/>
      <c r="R490" s="224"/>
      <c r="S490" s="429"/>
      <c r="Z490" s="362"/>
      <c r="AA490" s="421"/>
      <c r="AB490" s="362"/>
      <c r="AC490" s="362"/>
      <c r="AD490" s="362"/>
      <c r="AE490" s="362"/>
      <c r="AF490" s="362"/>
      <c r="AG490" s="362"/>
      <c r="AH490" s="362"/>
      <c r="AI490" s="393"/>
      <c r="AJ490" s="393"/>
      <c r="AK490" s="362"/>
      <c r="AL490" s="362"/>
      <c r="AM490" s="362"/>
      <c r="AN490" s="362"/>
      <c r="AO490" s="362"/>
      <c r="AP490" s="362"/>
      <c r="AQ490" s="362"/>
      <c r="AR490" s="362"/>
    </row>
    <row r="491" spans="1:44" ht="12.75" customHeight="1" x14ac:dyDescent="0.15">
      <c r="A491" s="431"/>
      <c r="B491" s="393"/>
      <c r="C491" s="428"/>
      <c r="D491" s="428">
        <v>609980.2070105311</v>
      </c>
      <c r="E491" s="224">
        <v>120725.17362759903</v>
      </c>
      <c r="F491" s="224">
        <v>4.0953048485675092</v>
      </c>
      <c r="G491" s="224">
        <v>4.1189561756739277</v>
      </c>
      <c r="H491" s="224">
        <v>2.6282964910283404</v>
      </c>
      <c r="I491" s="224">
        <v>2.4554497288051302</v>
      </c>
      <c r="J491" s="224"/>
      <c r="M491" s="224">
        <f t="shared" si="27"/>
        <v>489255.03338293207</v>
      </c>
      <c r="N491" s="224">
        <f t="shared" si="28"/>
        <v>-2.3651327106418485E-2</v>
      </c>
      <c r="O491" s="224">
        <f t="shared" si="29"/>
        <v>0.17284676222321016</v>
      </c>
      <c r="Q491" s="224"/>
      <c r="R491" s="224"/>
      <c r="S491" s="429"/>
      <c r="Z491" s="362"/>
      <c r="AA491" s="421"/>
      <c r="AB491" s="362"/>
      <c r="AC491" s="362"/>
      <c r="AD491" s="362"/>
      <c r="AE491" s="362"/>
      <c r="AF491" s="362"/>
      <c r="AG491" s="362"/>
      <c r="AH491" s="362"/>
      <c r="AI491" s="393"/>
      <c r="AJ491" s="393"/>
      <c r="AK491" s="362"/>
      <c r="AL491" s="362"/>
      <c r="AM491" s="362"/>
      <c r="AN491" s="362"/>
      <c r="AO491" s="362"/>
      <c r="AP491" s="362"/>
      <c r="AQ491" s="362"/>
      <c r="AR491" s="362"/>
    </row>
    <row r="492" spans="1:44" ht="12.75" customHeight="1" x14ac:dyDescent="0.15">
      <c r="A492" s="431"/>
      <c r="B492" s="393"/>
      <c r="C492" s="428"/>
      <c r="D492" s="428">
        <v>542252.58063001314</v>
      </c>
      <c r="E492" s="224">
        <v>130390.41813087511</v>
      </c>
      <c r="F492" s="224">
        <v>5.0864988883654041</v>
      </c>
      <c r="G492" s="224">
        <v>3.9449408923969558</v>
      </c>
      <c r="H492" s="224">
        <v>2.7740006925090266</v>
      </c>
      <c r="I492" s="224">
        <v>2.0878468444293174</v>
      </c>
      <c r="J492" s="224"/>
      <c r="M492" s="224">
        <f t="shared" si="27"/>
        <v>411862.16249913804</v>
      </c>
      <c r="N492" s="224">
        <f t="shared" si="28"/>
        <v>1.1415579959684483</v>
      </c>
      <c r="O492" s="224">
        <f t="shared" si="29"/>
        <v>0.68615384807970914</v>
      </c>
      <c r="Q492" s="224"/>
      <c r="R492" s="224"/>
      <c r="S492" s="429"/>
      <c r="Z492" s="362"/>
      <c r="AA492" s="421"/>
      <c r="AB492" s="362"/>
      <c r="AC492" s="362"/>
      <c r="AD492" s="362"/>
      <c r="AE492" s="362"/>
      <c r="AF492" s="362"/>
      <c r="AG492" s="362"/>
      <c r="AH492" s="362"/>
      <c r="AI492" s="393"/>
      <c r="AJ492" s="393"/>
      <c r="AK492" s="362"/>
      <c r="AL492" s="362"/>
      <c r="AM492" s="362"/>
      <c r="AN492" s="362"/>
      <c r="AO492" s="362"/>
      <c r="AP492" s="362"/>
      <c r="AQ492" s="362"/>
      <c r="AR492" s="362"/>
    </row>
    <row r="493" spans="1:44" ht="12.75" customHeight="1" x14ac:dyDescent="0.15">
      <c r="A493" s="431"/>
      <c r="B493" s="393"/>
      <c r="C493" s="428"/>
      <c r="D493" s="428">
        <v>566656.60590225982</v>
      </c>
      <c r="E493" s="224">
        <v>146743.26547787475</v>
      </c>
      <c r="F493" s="224">
        <v>4.3580820106203966</v>
      </c>
      <c r="G493" s="224">
        <v>4.0865128387805942</v>
      </c>
      <c r="H493" s="224">
        <v>2.7407761576698015</v>
      </c>
      <c r="I493" s="224">
        <v>2.2675031893393793</v>
      </c>
      <c r="J493" s="224"/>
      <c r="M493" s="224">
        <f t="shared" si="27"/>
        <v>419913.34042438504</v>
      </c>
      <c r="N493" s="224">
        <f t="shared" si="28"/>
        <v>0.27156917183980234</v>
      </c>
      <c r="O493" s="224">
        <f t="shared" si="29"/>
        <v>0.47327296833042221</v>
      </c>
      <c r="Q493" s="224"/>
      <c r="R493" s="224"/>
      <c r="S493" s="429"/>
      <c r="Z493" s="362"/>
      <c r="AA493" s="421"/>
      <c r="AB493" s="362"/>
      <c r="AC493" s="362"/>
      <c r="AD493" s="362"/>
      <c r="AE493" s="362"/>
      <c r="AF493" s="362"/>
      <c r="AG493" s="362"/>
      <c r="AH493" s="362"/>
      <c r="AI493" s="393"/>
      <c r="AJ493" s="393"/>
      <c r="AK493" s="362"/>
      <c r="AL493" s="362"/>
      <c r="AM493" s="362"/>
      <c r="AN493" s="362"/>
      <c r="AO493" s="362"/>
      <c r="AP493" s="362"/>
      <c r="AQ493" s="362"/>
      <c r="AR493" s="362"/>
    </row>
    <row r="494" spans="1:44" ht="12.75" customHeight="1" x14ac:dyDescent="0.15">
      <c r="A494" s="431"/>
      <c r="B494" s="393"/>
      <c r="C494" s="428"/>
      <c r="D494" s="428">
        <v>641134.60742404859</v>
      </c>
      <c r="E494" s="224">
        <v>140553.91386064215</v>
      </c>
      <c r="F494" s="224">
        <v>4.7293114733557546</v>
      </c>
      <c r="G494" s="224">
        <v>3.5138214766782832</v>
      </c>
      <c r="H494" s="224">
        <v>2.9244957562548759</v>
      </c>
      <c r="I494" s="224">
        <v>2.115025256262336</v>
      </c>
      <c r="J494" s="224"/>
      <c r="M494" s="224">
        <f t="shared" si="27"/>
        <v>500580.69356340647</v>
      </c>
      <c r="N494" s="224">
        <f t="shared" si="28"/>
        <v>1.2154899966774715</v>
      </c>
      <c r="O494" s="224">
        <f t="shared" si="29"/>
        <v>0.80947049999253995</v>
      </c>
      <c r="Q494" s="224"/>
      <c r="R494" s="224"/>
      <c r="S494" s="429"/>
      <c r="Z494" s="362"/>
      <c r="AA494" s="421"/>
      <c r="AB494" s="362"/>
      <c r="AC494" s="362"/>
      <c r="AD494" s="362"/>
      <c r="AE494" s="362"/>
      <c r="AF494" s="362"/>
      <c r="AG494" s="362"/>
      <c r="AH494" s="362"/>
      <c r="AI494" s="393"/>
      <c r="AJ494" s="393"/>
      <c r="AK494" s="362"/>
      <c r="AL494" s="362"/>
      <c r="AM494" s="362"/>
      <c r="AN494" s="362"/>
      <c r="AO494" s="362"/>
      <c r="AP494" s="362"/>
      <c r="AQ494" s="362"/>
      <c r="AR494" s="362"/>
    </row>
    <row r="495" spans="1:44" ht="12.75" customHeight="1" x14ac:dyDescent="0.15">
      <c r="A495" s="431"/>
      <c r="B495" s="393"/>
      <c r="C495" s="428"/>
      <c r="D495" s="428">
        <v>597107.7123012119</v>
      </c>
      <c r="E495" s="224">
        <v>223486.0416743129</v>
      </c>
      <c r="F495" s="224">
        <v>4.1649520564961167</v>
      </c>
      <c r="G495" s="224">
        <v>3.1440153546511787</v>
      </c>
      <c r="H495" s="224">
        <v>2.5415443063351186</v>
      </c>
      <c r="I495" s="224">
        <v>2.0263825523493781</v>
      </c>
      <c r="J495" s="224"/>
      <c r="M495" s="224">
        <f t="shared" si="27"/>
        <v>373621.67062689899</v>
      </c>
      <c r="N495" s="224">
        <f t="shared" si="28"/>
        <v>1.020936701844938</v>
      </c>
      <c r="O495" s="224">
        <f t="shared" si="29"/>
        <v>0.51516175398574049</v>
      </c>
      <c r="Q495" s="224"/>
      <c r="R495" s="224"/>
      <c r="S495" s="429"/>
      <c r="Z495" s="362"/>
      <c r="AA495" s="421"/>
      <c r="AB495" s="362"/>
      <c r="AC495" s="362"/>
      <c r="AD495" s="362"/>
      <c r="AE495" s="362"/>
      <c r="AF495" s="362"/>
      <c r="AG495" s="362"/>
      <c r="AH495" s="362"/>
      <c r="AI495" s="393"/>
      <c r="AJ495" s="393"/>
      <c r="AK495" s="362"/>
      <c r="AL495" s="362"/>
      <c r="AM495" s="362"/>
      <c r="AN495" s="362"/>
      <c r="AO495" s="362"/>
      <c r="AP495" s="362"/>
      <c r="AQ495" s="362"/>
      <c r="AR495" s="362"/>
    </row>
    <row r="496" spans="1:44" ht="12.75" customHeight="1" x14ac:dyDescent="0.15">
      <c r="A496" s="431"/>
      <c r="B496" s="393"/>
      <c r="C496" s="428"/>
      <c r="D496" s="428">
        <v>572747.59405976371</v>
      </c>
      <c r="E496" s="224">
        <v>168837.8214130617</v>
      </c>
      <c r="F496" s="224">
        <v>4.5871912808069757</v>
      </c>
      <c r="G496" s="224">
        <v>4.4086861246606226</v>
      </c>
      <c r="H496" s="224">
        <v>2.823765663538635</v>
      </c>
      <c r="I496" s="224">
        <v>2.6831733335732619</v>
      </c>
      <c r="J496" s="224"/>
      <c r="M496" s="224">
        <f t="shared" si="27"/>
        <v>403909.77264670201</v>
      </c>
      <c r="N496" s="224">
        <f t="shared" si="28"/>
        <v>0.17850515614635309</v>
      </c>
      <c r="O496" s="224">
        <f t="shared" si="29"/>
        <v>0.14059232996537308</v>
      </c>
      <c r="Q496" s="224"/>
      <c r="R496" s="224"/>
      <c r="S496" s="429"/>
      <c r="Z496" s="362"/>
      <c r="AA496" s="421"/>
      <c r="AB496" s="362"/>
      <c r="AC496" s="362"/>
      <c r="AD496" s="362"/>
      <c r="AE496" s="362"/>
      <c r="AF496" s="362"/>
      <c r="AG496" s="362"/>
      <c r="AH496" s="362"/>
      <c r="AI496" s="393"/>
      <c r="AJ496" s="393"/>
      <c r="AK496" s="362"/>
      <c r="AL496" s="362"/>
      <c r="AM496" s="362"/>
      <c r="AN496" s="362"/>
      <c r="AO496" s="362"/>
      <c r="AP496" s="362"/>
      <c r="AQ496" s="362"/>
      <c r="AR496" s="362"/>
    </row>
    <row r="497" spans="1:44" ht="12.75" customHeight="1" x14ac:dyDescent="0.15">
      <c r="A497" s="431"/>
      <c r="B497" s="393"/>
      <c r="C497" s="428"/>
      <c r="D497" s="428">
        <v>550381.02652852307</v>
      </c>
      <c r="E497" s="224">
        <v>177768.50559527444</v>
      </c>
      <c r="F497" s="224">
        <v>4.3206122897994756</v>
      </c>
      <c r="G497" s="224">
        <v>4.3154594416857899</v>
      </c>
      <c r="H497" s="224">
        <v>1.9948303537338143</v>
      </c>
      <c r="I497" s="224">
        <v>1.8599835112281897</v>
      </c>
      <c r="J497" s="224"/>
      <c r="M497" s="224">
        <f t="shared" si="27"/>
        <v>372612.52093324863</v>
      </c>
      <c r="N497" s="224">
        <f t="shared" si="28"/>
        <v>5.1528481136857707E-3</v>
      </c>
      <c r="O497" s="224">
        <f t="shared" si="29"/>
        <v>0.13484684250562462</v>
      </c>
      <c r="Q497" s="224"/>
      <c r="R497" s="224"/>
      <c r="S497" s="429"/>
      <c r="Z497" s="362"/>
      <c r="AA497" s="421"/>
      <c r="AB497" s="362"/>
      <c r="AC497" s="362"/>
      <c r="AD497" s="362"/>
      <c r="AE497" s="362"/>
      <c r="AF497" s="362"/>
      <c r="AG497" s="362"/>
      <c r="AH497" s="362"/>
      <c r="AI497" s="393"/>
      <c r="AJ497" s="393"/>
      <c r="AK497" s="362"/>
      <c r="AL497" s="362"/>
      <c r="AM497" s="362"/>
      <c r="AN497" s="362"/>
      <c r="AO497" s="362"/>
      <c r="AP497" s="362"/>
      <c r="AQ497" s="362"/>
      <c r="AR497" s="362"/>
    </row>
    <row r="498" spans="1:44" ht="12.75" customHeight="1" x14ac:dyDescent="0.15">
      <c r="A498" s="431"/>
      <c r="B498" s="393"/>
      <c r="C498" s="428"/>
      <c r="D498" s="428">
        <v>548865.55956816941</v>
      </c>
      <c r="E498" s="224">
        <v>176636.47338406037</v>
      </c>
      <c r="F498" s="224">
        <v>4.3535156267074449</v>
      </c>
      <c r="G498" s="224">
        <v>4.241793571152308</v>
      </c>
      <c r="H498" s="224">
        <v>2.2972050844178455</v>
      </c>
      <c r="I498" s="224">
        <v>2.1644477297928986</v>
      </c>
      <c r="J498" s="224"/>
      <c r="M498" s="224">
        <f t="shared" si="27"/>
        <v>372229.08618410904</v>
      </c>
      <c r="N498" s="224">
        <f t="shared" si="28"/>
        <v>0.11172205555513681</v>
      </c>
      <c r="O498" s="224">
        <f t="shared" si="29"/>
        <v>0.13275735462494698</v>
      </c>
      <c r="Q498" s="224"/>
      <c r="R498" s="224"/>
      <c r="S498" s="429"/>
      <c r="Z498" s="362"/>
      <c r="AA498" s="421"/>
      <c r="AB498" s="362"/>
      <c r="AC498" s="362"/>
      <c r="AD498" s="362"/>
      <c r="AE498" s="362"/>
      <c r="AF498" s="362"/>
      <c r="AG498" s="362"/>
      <c r="AH498" s="362"/>
      <c r="AI498" s="393"/>
      <c r="AJ498" s="393"/>
      <c r="AK498" s="362"/>
      <c r="AL498" s="362"/>
      <c r="AM498" s="362"/>
      <c r="AN498" s="362"/>
      <c r="AO498" s="362"/>
      <c r="AP498" s="362"/>
      <c r="AQ498" s="362"/>
      <c r="AR498" s="362"/>
    </row>
    <row r="499" spans="1:44" ht="12.75" customHeight="1" x14ac:dyDescent="0.15">
      <c r="A499" s="431"/>
      <c r="B499" s="393"/>
      <c r="C499" s="428"/>
      <c r="D499" s="428">
        <v>551688.17829351639</v>
      </c>
      <c r="E499" s="224">
        <v>188661.29077840471</v>
      </c>
      <c r="F499" s="224">
        <v>4.0914280004124324</v>
      </c>
      <c r="G499" s="224">
        <v>3.736846520115086</v>
      </c>
      <c r="H499" s="224">
        <v>2.6296752416925004</v>
      </c>
      <c r="I499" s="224">
        <v>2.2268395048507976</v>
      </c>
      <c r="J499" s="224"/>
      <c r="M499" s="224">
        <f t="shared" si="27"/>
        <v>363026.88751511171</v>
      </c>
      <c r="N499" s="224">
        <f t="shared" si="28"/>
        <v>0.35458148029734637</v>
      </c>
      <c r="O499" s="224">
        <f t="shared" si="29"/>
        <v>0.40283573684170282</v>
      </c>
      <c r="Q499" s="224"/>
      <c r="R499" s="224"/>
      <c r="S499" s="429"/>
      <c r="Z499" s="362"/>
      <c r="AA499" s="421"/>
      <c r="AB499" s="362"/>
      <c r="AC499" s="362"/>
      <c r="AD499" s="362"/>
      <c r="AE499" s="362"/>
      <c r="AF499" s="362"/>
      <c r="AG499" s="362"/>
      <c r="AH499" s="362"/>
      <c r="AI499" s="393"/>
      <c r="AJ499" s="393"/>
      <c r="AK499" s="362"/>
      <c r="AL499" s="362"/>
      <c r="AM499" s="362"/>
      <c r="AN499" s="362"/>
      <c r="AO499" s="362"/>
      <c r="AP499" s="362"/>
      <c r="AQ499" s="362"/>
      <c r="AR499" s="362"/>
    </row>
    <row r="500" spans="1:44" ht="12.75" customHeight="1" x14ac:dyDescent="0.15">
      <c r="A500" s="431"/>
      <c r="B500" s="393"/>
      <c r="C500" s="428"/>
      <c r="D500" s="428">
        <v>693490.01728016045</v>
      </c>
      <c r="E500" s="224">
        <v>300267.44515382906</v>
      </c>
      <c r="F500" s="224">
        <v>4.199385218427965</v>
      </c>
      <c r="G500" s="224">
        <v>4.200989351189679</v>
      </c>
      <c r="H500" s="224">
        <v>2.580724589615468</v>
      </c>
      <c r="I500" s="224">
        <v>2.5104041229396596</v>
      </c>
      <c r="J500" s="224"/>
      <c r="M500" s="224">
        <f t="shared" si="27"/>
        <v>393222.57212633139</v>
      </c>
      <c r="N500" s="224">
        <f t="shared" si="28"/>
        <v>-1.6041327617140055E-3</v>
      </c>
      <c r="O500" s="224">
        <f t="shared" si="29"/>
        <v>7.032046667580838E-2</v>
      </c>
      <c r="Q500" s="224"/>
      <c r="R500" s="224"/>
      <c r="S500" s="429"/>
      <c r="Z500" s="362"/>
      <c r="AA500" s="421"/>
      <c r="AB500" s="362"/>
      <c r="AC500" s="362"/>
      <c r="AD500" s="362"/>
      <c r="AE500" s="362"/>
      <c r="AF500" s="362"/>
      <c r="AG500" s="362"/>
      <c r="AH500" s="362"/>
      <c r="AI500" s="393"/>
      <c r="AJ500" s="393"/>
      <c r="AK500" s="362"/>
      <c r="AL500" s="362"/>
      <c r="AM500" s="362"/>
      <c r="AN500" s="362"/>
      <c r="AO500" s="362"/>
      <c r="AP500" s="362"/>
      <c r="AQ500" s="362"/>
      <c r="AR500" s="362"/>
    </row>
    <row r="501" spans="1:44" ht="12.75" customHeight="1" x14ac:dyDescent="0.15">
      <c r="A501" s="431"/>
      <c r="B501" s="393"/>
      <c r="C501" s="428"/>
      <c r="D501" s="428">
        <v>572083.13133733848</v>
      </c>
      <c r="E501" s="224">
        <v>116725.65754720464</v>
      </c>
      <c r="F501" s="224">
        <v>4.7136235118848182</v>
      </c>
      <c r="G501" s="224">
        <v>4.3517251435658153</v>
      </c>
      <c r="H501" s="224">
        <v>3.1222187848070191</v>
      </c>
      <c r="I501" s="224">
        <v>2.5495975257604782</v>
      </c>
      <c r="J501" s="224"/>
      <c r="M501" s="224">
        <f t="shared" si="27"/>
        <v>455357.47379013384</v>
      </c>
      <c r="N501" s="224">
        <f t="shared" si="28"/>
        <v>0.36189836831900291</v>
      </c>
      <c r="O501" s="224">
        <f t="shared" si="29"/>
        <v>0.57262125904654093</v>
      </c>
      <c r="Q501" s="224"/>
      <c r="R501" s="224"/>
      <c r="S501" s="429"/>
      <c r="Z501" s="362"/>
      <c r="AA501" s="421"/>
      <c r="AB501" s="362"/>
      <c r="AC501" s="362"/>
      <c r="AD501" s="362"/>
      <c r="AE501" s="362"/>
      <c r="AF501" s="362"/>
      <c r="AG501" s="362"/>
      <c r="AH501" s="362"/>
      <c r="AI501" s="393"/>
      <c r="AJ501" s="393"/>
      <c r="AK501" s="362"/>
      <c r="AL501" s="362"/>
      <c r="AM501" s="362"/>
      <c r="AN501" s="362"/>
      <c r="AO501" s="362"/>
      <c r="AP501" s="362"/>
      <c r="AQ501" s="362"/>
      <c r="AR501" s="362"/>
    </row>
    <row r="502" spans="1:44" ht="12.75" customHeight="1" x14ac:dyDescent="0.15">
      <c r="A502" s="431"/>
      <c r="B502" s="393"/>
      <c r="C502" s="428"/>
      <c r="D502" s="428">
        <v>549182.64111360093</v>
      </c>
      <c r="E502" s="224">
        <v>116023.65948336986</v>
      </c>
      <c r="F502" s="224">
        <v>4.4588007550639386</v>
      </c>
      <c r="G502" s="224">
        <v>3.9702300272223394</v>
      </c>
      <c r="H502" s="224">
        <v>2.6045182446510617</v>
      </c>
      <c r="I502" s="224">
        <v>2.1361005763038667</v>
      </c>
      <c r="J502" s="224"/>
      <c r="M502" s="224">
        <f t="shared" si="27"/>
        <v>433158.98163023108</v>
      </c>
      <c r="N502" s="224">
        <f t="shared" si="28"/>
        <v>0.48857072784159916</v>
      </c>
      <c r="O502" s="224">
        <f t="shared" si="29"/>
        <v>0.468417668347195</v>
      </c>
      <c r="Q502" s="224"/>
      <c r="R502" s="224"/>
      <c r="S502" s="429"/>
      <c r="Z502" s="362"/>
      <c r="AA502" s="421"/>
      <c r="AB502" s="362"/>
      <c r="AC502" s="362"/>
      <c r="AD502" s="362"/>
      <c r="AE502" s="362"/>
      <c r="AF502" s="362"/>
      <c r="AG502" s="362"/>
      <c r="AH502" s="362"/>
      <c r="AI502" s="393"/>
      <c r="AJ502" s="393"/>
      <c r="AK502" s="362"/>
      <c r="AL502" s="362"/>
      <c r="AM502" s="362"/>
      <c r="AN502" s="362"/>
      <c r="AO502" s="362"/>
      <c r="AP502" s="362"/>
      <c r="AQ502" s="362"/>
      <c r="AR502" s="362"/>
    </row>
    <row r="503" spans="1:44" ht="12.75" customHeight="1" x14ac:dyDescent="0.15">
      <c r="A503" s="431"/>
      <c r="B503" s="393"/>
      <c r="C503" s="428"/>
      <c r="D503" s="428">
        <v>591357.46912211494</v>
      </c>
      <c r="E503" s="224">
        <v>157487.02839063367</v>
      </c>
      <c r="F503" s="224">
        <v>4.9545905917624191</v>
      </c>
      <c r="G503" s="224">
        <v>4.1341152639030225</v>
      </c>
      <c r="H503" s="224">
        <v>2.4317054665948223</v>
      </c>
      <c r="I503" s="224">
        <v>1.8525565653990836</v>
      </c>
      <c r="J503" s="224"/>
      <c r="M503" s="224">
        <f t="shared" si="27"/>
        <v>433870.4407314813</v>
      </c>
      <c r="N503" s="224">
        <f t="shared" si="28"/>
        <v>0.82047532785939659</v>
      </c>
      <c r="O503" s="224">
        <f t="shared" si="29"/>
        <v>0.5791489011957387</v>
      </c>
      <c r="Q503" s="224"/>
      <c r="R503" s="224"/>
      <c r="S503" s="429"/>
      <c r="Z503" s="362"/>
      <c r="AA503" s="421"/>
      <c r="AB503" s="362"/>
      <c r="AC503" s="362"/>
      <c r="AD503" s="362"/>
      <c r="AE503" s="362"/>
      <c r="AF503" s="362"/>
      <c r="AG503" s="362"/>
      <c r="AH503" s="362"/>
      <c r="AI503" s="393"/>
      <c r="AJ503" s="393"/>
      <c r="AK503" s="362"/>
      <c r="AL503" s="362"/>
      <c r="AM503" s="362"/>
      <c r="AN503" s="362"/>
      <c r="AO503" s="362"/>
      <c r="AP503" s="362"/>
      <c r="AQ503" s="362"/>
      <c r="AR503" s="362"/>
    </row>
    <row r="504" spans="1:44" ht="12.75" customHeight="1" x14ac:dyDescent="0.15">
      <c r="A504" s="431"/>
      <c r="B504" s="393"/>
      <c r="C504" s="428"/>
      <c r="D504" s="428">
        <v>616873.63190761267</v>
      </c>
      <c r="E504" s="224">
        <v>178468.67671811354</v>
      </c>
      <c r="F504" s="224">
        <v>4.1872529866665698</v>
      </c>
      <c r="G504" s="224">
        <v>3.8984303473280404</v>
      </c>
      <c r="H504" s="224">
        <v>2.263753427993016</v>
      </c>
      <c r="I504" s="224">
        <v>1.8873304936939461</v>
      </c>
      <c r="J504" s="224"/>
      <c r="M504" s="224">
        <f t="shared" si="27"/>
        <v>438404.95518949913</v>
      </c>
      <c r="N504" s="224">
        <f t="shared" si="28"/>
        <v>0.28882263933852936</v>
      </c>
      <c r="O504" s="224">
        <f t="shared" si="29"/>
        <v>0.37642293429906992</v>
      </c>
      <c r="Q504" s="224"/>
      <c r="R504" s="224"/>
      <c r="S504" s="429"/>
      <c r="Z504" s="362"/>
      <c r="AA504" s="421"/>
      <c r="AB504" s="362"/>
      <c r="AC504" s="362"/>
      <c r="AD504" s="362"/>
      <c r="AE504" s="362"/>
      <c r="AF504" s="362"/>
      <c r="AG504" s="362"/>
      <c r="AH504" s="362"/>
      <c r="AI504" s="393"/>
      <c r="AJ504" s="393"/>
      <c r="AK504" s="362"/>
      <c r="AL504" s="362"/>
      <c r="AM504" s="362"/>
      <c r="AN504" s="362"/>
      <c r="AO504" s="362"/>
      <c r="AP504" s="362"/>
      <c r="AQ504" s="362"/>
      <c r="AR504" s="362"/>
    </row>
    <row r="505" spans="1:44" ht="12.75" customHeight="1" x14ac:dyDescent="0.15">
      <c r="A505" s="431"/>
      <c r="B505" s="393"/>
      <c r="C505" s="428"/>
      <c r="D505" s="428">
        <v>600366.56209707493</v>
      </c>
      <c r="E505" s="224">
        <v>144899.22887687641</v>
      </c>
      <c r="F505" s="224">
        <v>4.5073966722611418</v>
      </c>
      <c r="G505" s="224">
        <v>3.3803376722650107</v>
      </c>
      <c r="H505" s="224">
        <v>2.6300195516104687</v>
      </c>
      <c r="I505" s="224">
        <v>2.0181541991787184</v>
      </c>
      <c r="J505" s="224"/>
      <c r="M505" s="224">
        <f t="shared" si="27"/>
        <v>455467.33322019852</v>
      </c>
      <c r="N505" s="224">
        <f t="shared" si="28"/>
        <v>1.1270589999961311</v>
      </c>
      <c r="O505" s="224">
        <f t="shared" si="29"/>
        <v>0.61186535243175033</v>
      </c>
      <c r="Q505" s="224"/>
      <c r="R505" s="224"/>
      <c r="S505" s="429"/>
      <c r="Z505" s="362"/>
      <c r="AA505" s="421"/>
      <c r="AB505" s="362"/>
      <c r="AC505" s="362"/>
      <c r="AD505" s="362"/>
      <c r="AE505" s="362"/>
      <c r="AF505" s="362"/>
      <c r="AG505" s="362"/>
      <c r="AH505" s="362"/>
      <c r="AI505" s="393"/>
      <c r="AJ505" s="393"/>
      <c r="AK505" s="362"/>
      <c r="AL505" s="362"/>
      <c r="AM505" s="362"/>
      <c r="AN505" s="362"/>
      <c r="AO505" s="362"/>
      <c r="AP505" s="362"/>
      <c r="AQ505" s="362"/>
      <c r="AR505" s="362"/>
    </row>
    <row r="506" spans="1:44" ht="12.75" customHeight="1" x14ac:dyDescent="0.15">
      <c r="A506" s="431"/>
      <c r="B506" s="393"/>
      <c r="C506" s="428"/>
      <c r="D506" s="428">
        <v>668989.08143050666</v>
      </c>
      <c r="E506" s="224">
        <v>149839.16241328034</v>
      </c>
      <c r="F506" s="224">
        <v>3.9996464100708069</v>
      </c>
      <c r="G506" s="224">
        <v>3.7322997782349843</v>
      </c>
      <c r="H506" s="224">
        <v>2.6045958421126199</v>
      </c>
      <c r="I506" s="224">
        <v>2.1866052433485597</v>
      </c>
      <c r="J506" s="224"/>
      <c r="M506" s="224">
        <f t="shared" si="27"/>
        <v>519149.91901722632</v>
      </c>
      <c r="N506" s="224">
        <f t="shared" si="28"/>
        <v>0.26734663183582263</v>
      </c>
      <c r="O506" s="224">
        <f t="shared" si="29"/>
        <v>0.41799059876406019</v>
      </c>
      <c r="Q506" s="224"/>
      <c r="R506" s="224"/>
      <c r="S506" s="429"/>
      <c r="Z506" s="362"/>
      <c r="AA506" s="421"/>
      <c r="AB506" s="362"/>
      <c r="AC506" s="362"/>
      <c r="AD506" s="362"/>
      <c r="AE506" s="362"/>
      <c r="AF506" s="362"/>
      <c r="AG506" s="362"/>
      <c r="AH506" s="362"/>
      <c r="AI506" s="393"/>
      <c r="AJ506" s="393"/>
      <c r="AK506" s="362"/>
      <c r="AL506" s="362"/>
      <c r="AM506" s="362"/>
      <c r="AN506" s="362"/>
      <c r="AO506" s="362"/>
      <c r="AP506" s="362"/>
      <c r="AQ506" s="362"/>
      <c r="AR506" s="362"/>
    </row>
    <row r="507" spans="1:44" ht="12.75" customHeight="1" x14ac:dyDescent="0.15">
      <c r="A507" s="431"/>
      <c r="B507" s="393"/>
      <c r="C507" s="428"/>
      <c r="D507" s="428">
        <v>450435.82593826001</v>
      </c>
      <c r="E507" s="224">
        <v>117568.66347322137</v>
      </c>
      <c r="F507" s="224">
        <v>4.7347213942681687</v>
      </c>
      <c r="G507" s="224">
        <v>4.4204019743950775</v>
      </c>
      <c r="H507" s="224">
        <v>2.6252043988636897</v>
      </c>
      <c r="I507" s="224">
        <v>2.4886073663567827</v>
      </c>
      <c r="J507" s="224"/>
      <c r="M507" s="224">
        <f t="shared" si="27"/>
        <v>332867.16246503865</v>
      </c>
      <c r="N507" s="224">
        <f t="shared" si="28"/>
        <v>0.3143194198730912</v>
      </c>
      <c r="O507" s="224">
        <f t="shared" si="29"/>
        <v>0.13659703250690702</v>
      </c>
      <c r="Q507" s="224"/>
      <c r="R507" s="224"/>
      <c r="S507" s="429"/>
      <c r="Z507" s="362"/>
      <c r="AA507" s="421"/>
      <c r="AB507" s="362"/>
      <c r="AC507" s="362"/>
      <c r="AD507" s="362"/>
      <c r="AE507" s="362"/>
      <c r="AF507" s="362"/>
      <c r="AG507" s="362"/>
      <c r="AH507" s="362"/>
      <c r="AI507" s="393"/>
      <c r="AJ507" s="393"/>
      <c r="AK507" s="362"/>
      <c r="AL507" s="362"/>
      <c r="AM507" s="362"/>
      <c r="AN507" s="362"/>
      <c r="AO507" s="362"/>
      <c r="AP507" s="362"/>
      <c r="AQ507" s="362"/>
      <c r="AR507" s="362"/>
    </row>
    <row r="508" spans="1:44" ht="12.75" customHeight="1" x14ac:dyDescent="0.15">
      <c r="A508" s="431"/>
      <c r="B508" s="393"/>
      <c r="C508" s="428"/>
      <c r="D508" s="428">
        <v>629051.89875645086</v>
      </c>
      <c r="E508" s="224">
        <v>162211.79795759849</v>
      </c>
      <c r="F508" s="224">
        <v>4.5338816832311517</v>
      </c>
      <c r="G508" s="224">
        <v>3.6532348475305145</v>
      </c>
      <c r="H508" s="224">
        <v>2.9193363208293133</v>
      </c>
      <c r="I508" s="224">
        <v>2.3386319218921132</v>
      </c>
      <c r="J508" s="224"/>
      <c r="M508" s="224">
        <f t="shared" si="27"/>
        <v>466840.10079885239</v>
      </c>
      <c r="N508" s="224">
        <f t="shared" si="28"/>
        <v>0.88064683570063718</v>
      </c>
      <c r="O508" s="224">
        <f t="shared" si="29"/>
        <v>0.58070439893720005</v>
      </c>
      <c r="Q508" s="224"/>
      <c r="R508" s="224"/>
      <c r="S508" s="429"/>
      <c r="Z508" s="362"/>
      <c r="AA508" s="421"/>
      <c r="AB508" s="362"/>
      <c r="AC508" s="362"/>
      <c r="AD508" s="362"/>
      <c r="AE508" s="362"/>
      <c r="AF508" s="362"/>
      <c r="AG508" s="362"/>
      <c r="AH508" s="362"/>
      <c r="AI508" s="393"/>
      <c r="AJ508" s="393"/>
      <c r="AK508" s="362"/>
      <c r="AL508" s="362"/>
      <c r="AM508" s="362"/>
      <c r="AN508" s="362"/>
      <c r="AO508" s="362"/>
      <c r="AP508" s="362"/>
      <c r="AQ508" s="362"/>
      <c r="AR508" s="362"/>
    </row>
    <row r="509" spans="1:44" ht="12.75" customHeight="1" x14ac:dyDescent="0.15">
      <c r="A509" s="431"/>
      <c r="B509" s="393"/>
      <c r="C509" s="428"/>
      <c r="D509" s="428">
        <v>635451.76988108817</v>
      </c>
      <c r="E509" s="224">
        <v>143428.38121565743</v>
      </c>
      <c r="F509" s="224">
        <v>4.8333237232136952</v>
      </c>
      <c r="G509" s="224">
        <v>3.6998778057305408</v>
      </c>
      <c r="H509" s="224">
        <v>2.9567184231317687</v>
      </c>
      <c r="I509" s="224">
        <v>2.2371129506447551</v>
      </c>
      <c r="J509" s="224"/>
      <c r="M509" s="224">
        <f t="shared" si="27"/>
        <v>492023.38866543071</v>
      </c>
      <c r="N509" s="224">
        <f t="shared" si="28"/>
        <v>1.1334459174831544</v>
      </c>
      <c r="O509" s="224">
        <f t="shared" si="29"/>
        <v>0.71960547248701356</v>
      </c>
      <c r="Q509" s="224"/>
      <c r="R509" s="224"/>
      <c r="S509" s="429"/>
      <c r="Z509" s="362"/>
      <c r="AA509" s="421"/>
      <c r="AB509" s="362"/>
      <c r="AC509" s="362"/>
      <c r="AD509" s="362"/>
      <c r="AE509" s="362"/>
      <c r="AF509" s="362"/>
      <c r="AG509" s="362"/>
      <c r="AH509" s="362"/>
      <c r="AI509" s="393"/>
      <c r="AJ509" s="393"/>
      <c r="AK509" s="362"/>
      <c r="AL509" s="362"/>
      <c r="AM509" s="362"/>
      <c r="AN509" s="362"/>
      <c r="AO509" s="362"/>
      <c r="AP509" s="362"/>
      <c r="AQ509" s="362"/>
      <c r="AR509" s="362"/>
    </row>
    <row r="510" spans="1:44" ht="12.75" customHeight="1" x14ac:dyDescent="0.15">
      <c r="A510" s="431"/>
      <c r="B510" s="393"/>
      <c r="C510" s="428"/>
      <c r="D510" s="428">
        <v>562367.30826482933</v>
      </c>
      <c r="E510" s="224">
        <v>138830.19929291846</v>
      </c>
      <c r="F510" s="224">
        <v>4.0824115067917477</v>
      </c>
      <c r="G510" s="224">
        <v>3.6084586309707083</v>
      </c>
      <c r="H510" s="224">
        <v>2.2067234034241152</v>
      </c>
      <c r="I510" s="224">
        <v>1.9283232163254684</v>
      </c>
      <c r="J510" s="224"/>
      <c r="M510" s="224">
        <f t="shared" si="27"/>
        <v>423537.1089719109</v>
      </c>
      <c r="N510" s="224">
        <f t="shared" si="28"/>
        <v>0.4739528758210394</v>
      </c>
      <c r="O510" s="224">
        <f t="shared" si="29"/>
        <v>0.27840018709864678</v>
      </c>
      <c r="Q510" s="224"/>
      <c r="R510" s="224"/>
      <c r="S510" s="429"/>
      <c r="Z510" s="362"/>
      <c r="AA510" s="421"/>
      <c r="AB510" s="362"/>
      <c r="AC510" s="362"/>
      <c r="AD510" s="362"/>
      <c r="AE510" s="362"/>
      <c r="AF510" s="362"/>
      <c r="AG510" s="362"/>
      <c r="AH510" s="362"/>
      <c r="AI510" s="393"/>
      <c r="AJ510" s="393"/>
      <c r="AK510" s="362"/>
      <c r="AL510" s="362"/>
      <c r="AM510" s="362"/>
      <c r="AN510" s="362"/>
      <c r="AO510" s="362"/>
      <c r="AP510" s="362"/>
      <c r="AQ510" s="362"/>
      <c r="AR510" s="362"/>
    </row>
    <row r="511" spans="1:44" ht="12.75" customHeight="1" x14ac:dyDescent="0.15">
      <c r="A511" s="431"/>
      <c r="B511" s="393"/>
      <c r="C511" s="428"/>
      <c r="D511" s="428">
        <v>565934.63375971979</v>
      </c>
      <c r="E511" s="224">
        <v>147638.65753230039</v>
      </c>
      <c r="F511" s="224">
        <v>4.3037064807946352</v>
      </c>
      <c r="G511" s="224">
        <v>4.2988786211278995</v>
      </c>
      <c r="H511" s="224">
        <v>2.5179385962536727</v>
      </c>
      <c r="I511" s="224">
        <v>2.5064466192188291</v>
      </c>
      <c r="J511" s="224"/>
      <c r="M511" s="224">
        <f t="shared" si="27"/>
        <v>418295.97622741939</v>
      </c>
      <c r="N511" s="224">
        <f t="shared" si="28"/>
        <v>4.8278596667357121E-3</v>
      </c>
      <c r="O511" s="224">
        <f t="shared" si="29"/>
        <v>1.1491977034843615E-2</v>
      </c>
      <c r="Q511" s="224"/>
      <c r="R511" s="224"/>
      <c r="S511" s="429"/>
      <c r="Z511" s="362"/>
      <c r="AA511" s="421"/>
      <c r="AB511" s="362"/>
      <c r="AC511" s="362"/>
      <c r="AD511" s="362"/>
      <c r="AE511" s="362"/>
      <c r="AF511" s="362"/>
      <c r="AG511" s="362"/>
      <c r="AH511" s="362"/>
      <c r="AI511" s="393"/>
      <c r="AJ511" s="393"/>
      <c r="AK511" s="362"/>
      <c r="AL511" s="362"/>
      <c r="AM511" s="362"/>
      <c r="AN511" s="362"/>
      <c r="AO511" s="362"/>
      <c r="AP511" s="362"/>
      <c r="AQ511" s="362"/>
      <c r="AR511" s="362"/>
    </row>
    <row r="512" spans="1:44" ht="12.75" customHeight="1" x14ac:dyDescent="0.15">
      <c r="A512" s="431"/>
      <c r="B512" s="393"/>
      <c r="C512" s="428"/>
      <c r="D512" s="428">
        <v>508122.48751788173</v>
      </c>
      <c r="E512" s="224">
        <v>108143.66276055729</v>
      </c>
      <c r="F512" s="224">
        <v>4.3633525157120694</v>
      </c>
      <c r="G512" s="224">
        <v>4.2774964040055377</v>
      </c>
      <c r="H512" s="224">
        <v>2.4260469416249042</v>
      </c>
      <c r="I512" s="224">
        <v>2.2389058534504223</v>
      </c>
      <c r="J512" s="224"/>
      <c r="M512" s="224">
        <f t="shared" si="27"/>
        <v>399978.82475732442</v>
      </c>
      <c r="N512" s="224">
        <f t="shared" si="28"/>
        <v>8.5856111706531735E-2</v>
      </c>
      <c r="O512" s="224">
        <f t="shared" si="29"/>
        <v>0.18714108817448194</v>
      </c>
      <c r="Q512" s="224"/>
      <c r="R512" s="224"/>
      <c r="S512" s="429"/>
      <c r="Z512" s="362"/>
      <c r="AA512" s="421"/>
      <c r="AB512" s="362"/>
      <c r="AC512" s="362"/>
      <c r="AD512" s="362"/>
      <c r="AE512" s="362"/>
      <c r="AF512" s="362"/>
      <c r="AG512" s="362"/>
      <c r="AH512" s="362"/>
      <c r="AI512" s="393"/>
      <c r="AJ512" s="393"/>
      <c r="AK512" s="362"/>
      <c r="AL512" s="362"/>
      <c r="AM512" s="362"/>
      <c r="AN512" s="362"/>
      <c r="AO512" s="362"/>
      <c r="AP512" s="362"/>
      <c r="AQ512" s="362"/>
      <c r="AR512" s="362"/>
    </row>
    <row r="513" spans="1:44" ht="12.75" customHeight="1" x14ac:dyDescent="0.15">
      <c r="A513" s="431"/>
      <c r="B513" s="393"/>
      <c r="C513" s="428"/>
      <c r="D513" s="428">
        <v>576056.76445187232</v>
      </c>
      <c r="E513" s="224">
        <v>148597.81734462443</v>
      </c>
      <c r="F513" s="224">
        <v>4.3614416194801509</v>
      </c>
      <c r="G513" s="224">
        <v>3.8277530978166507</v>
      </c>
      <c r="H513" s="224">
        <v>2.6629083931595701</v>
      </c>
      <c r="I513" s="224">
        <v>2.2477302153798013</v>
      </c>
      <c r="J513" s="224"/>
      <c r="M513" s="224">
        <f t="shared" si="27"/>
        <v>427458.94710724789</v>
      </c>
      <c r="N513" s="224">
        <f t="shared" si="28"/>
        <v>0.53368852166350012</v>
      </c>
      <c r="O513" s="224">
        <f t="shared" si="29"/>
        <v>0.41517817777976873</v>
      </c>
      <c r="Q513" s="224"/>
      <c r="R513" s="224"/>
      <c r="S513" s="429"/>
      <c r="Z513" s="362"/>
      <c r="AA513" s="421"/>
      <c r="AB513" s="362"/>
      <c r="AC513" s="362"/>
      <c r="AD513" s="362"/>
      <c r="AE513" s="362"/>
      <c r="AF513" s="362"/>
      <c r="AG513" s="362"/>
      <c r="AH513" s="362"/>
      <c r="AI513" s="393"/>
      <c r="AJ513" s="393"/>
      <c r="AK513" s="362"/>
      <c r="AL513" s="362"/>
      <c r="AM513" s="362"/>
      <c r="AN513" s="362"/>
      <c r="AO513" s="362"/>
      <c r="AP513" s="362"/>
      <c r="AQ513" s="362"/>
      <c r="AR513" s="362"/>
    </row>
    <row r="514" spans="1:44" ht="12.75" customHeight="1" x14ac:dyDescent="0.15">
      <c r="A514" s="431"/>
      <c r="B514" s="393"/>
      <c r="C514" s="428"/>
      <c r="D514" s="428">
        <v>652166.88999768475</v>
      </c>
      <c r="E514" s="224">
        <v>160065.14939645678</v>
      </c>
      <c r="F514" s="224">
        <v>3.7107128234838647</v>
      </c>
      <c r="G514" s="224">
        <v>3.5309287322877565</v>
      </c>
      <c r="H514" s="224">
        <v>2.4753062429889989</v>
      </c>
      <c r="I514" s="224">
        <v>2.0120301449589122</v>
      </c>
      <c r="J514" s="224"/>
      <c r="M514" s="224">
        <f t="shared" si="27"/>
        <v>492101.74060122797</v>
      </c>
      <c r="N514" s="224">
        <f t="shared" si="28"/>
        <v>0.17978409119610816</v>
      </c>
      <c r="O514" s="224">
        <f t="shared" si="29"/>
        <v>0.46327609803008674</v>
      </c>
      <c r="Q514" s="224"/>
      <c r="R514" s="224"/>
      <c r="S514" s="429"/>
      <c r="Z514" s="362"/>
      <c r="AA514" s="421"/>
      <c r="AB514" s="362"/>
      <c r="AC514" s="362"/>
      <c r="AD514" s="362"/>
      <c r="AE514" s="362"/>
      <c r="AF514" s="362"/>
      <c r="AG514" s="362"/>
      <c r="AH514" s="362"/>
      <c r="AI514" s="393"/>
      <c r="AJ514" s="393"/>
      <c r="AK514" s="362"/>
      <c r="AL514" s="362"/>
      <c r="AM514" s="362"/>
      <c r="AN514" s="362"/>
      <c r="AO514" s="362"/>
      <c r="AP514" s="362"/>
      <c r="AQ514" s="362"/>
      <c r="AR514" s="362"/>
    </row>
    <row r="515" spans="1:44" ht="12.75" customHeight="1" x14ac:dyDescent="0.15">
      <c r="A515" s="431"/>
      <c r="B515" s="393"/>
      <c r="C515" s="428"/>
      <c r="D515" s="428">
        <v>593551.29632873076</v>
      </c>
      <c r="E515" s="224">
        <v>146165.18030223815</v>
      </c>
      <c r="F515" s="224">
        <v>4.4496859958377373</v>
      </c>
      <c r="G515" s="224">
        <v>3.7615519397713237</v>
      </c>
      <c r="H515" s="224">
        <v>2.6988864750539139</v>
      </c>
      <c r="I515" s="224">
        <v>1.9816371558961083</v>
      </c>
      <c r="J515" s="224"/>
      <c r="M515" s="224">
        <f t="shared" si="27"/>
        <v>447386.11602649261</v>
      </c>
      <c r="N515" s="224">
        <f t="shared" si="28"/>
        <v>0.68813405606641354</v>
      </c>
      <c r="O515" s="224">
        <f t="shared" si="29"/>
        <v>0.71724931915780554</v>
      </c>
      <c r="Q515" s="224"/>
      <c r="R515" s="224"/>
      <c r="S515" s="429"/>
      <c r="Z515" s="362"/>
      <c r="AA515" s="421"/>
      <c r="AB515" s="362"/>
      <c r="AC515" s="362"/>
      <c r="AD515" s="362"/>
      <c r="AE515" s="362"/>
      <c r="AF515" s="362"/>
      <c r="AG515" s="362"/>
      <c r="AH515" s="362"/>
      <c r="AI515" s="393"/>
      <c r="AJ515" s="393"/>
      <c r="AK515" s="362"/>
      <c r="AL515" s="362"/>
      <c r="AM515" s="362"/>
      <c r="AN515" s="362"/>
      <c r="AO515" s="362"/>
      <c r="AP515" s="362"/>
      <c r="AQ515" s="362"/>
      <c r="AR515" s="362"/>
    </row>
    <row r="516" spans="1:44" ht="12.75" customHeight="1" x14ac:dyDescent="0.15">
      <c r="A516" s="431"/>
      <c r="B516" s="393"/>
      <c r="C516" s="428"/>
      <c r="D516" s="428">
        <v>686610.46742929379</v>
      </c>
      <c r="E516" s="224">
        <v>183261.29108220126</v>
      </c>
      <c r="F516" s="224">
        <v>4.2556437805561265</v>
      </c>
      <c r="G516" s="224">
        <v>4.1287022836565814</v>
      </c>
      <c r="H516" s="224">
        <v>2.5027692171327702</v>
      </c>
      <c r="I516" s="224">
        <v>2.0912714400516923</v>
      </c>
      <c r="J516" s="224"/>
      <c r="M516" s="224">
        <f t="shared" si="27"/>
        <v>503349.17634709249</v>
      </c>
      <c r="N516" s="224">
        <f t="shared" si="28"/>
        <v>0.12694149689954504</v>
      </c>
      <c r="O516" s="224">
        <f t="shared" si="29"/>
        <v>0.41149777708107793</v>
      </c>
      <c r="Q516" s="224"/>
      <c r="R516" s="224"/>
      <c r="S516" s="429"/>
      <c r="Z516" s="362"/>
      <c r="AA516" s="421"/>
      <c r="AB516" s="362"/>
      <c r="AC516" s="362"/>
      <c r="AD516" s="362"/>
      <c r="AE516" s="362"/>
      <c r="AF516" s="362"/>
      <c r="AG516" s="362"/>
      <c r="AH516" s="362"/>
      <c r="AI516" s="393"/>
      <c r="AJ516" s="393"/>
      <c r="AK516" s="362"/>
      <c r="AL516" s="362"/>
      <c r="AM516" s="362"/>
      <c r="AN516" s="362"/>
      <c r="AO516" s="362"/>
      <c r="AP516" s="362"/>
      <c r="AQ516" s="362"/>
      <c r="AR516" s="362"/>
    </row>
    <row r="517" spans="1:44" ht="12.75" customHeight="1" x14ac:dyDescent="0.15">
      <c r="A517" s="431"/>
      <c r="B517" s="393"/>
      <c r="C517" s="428"/>
      <c r="D517" s="428">
        <v>654757.61113412515</v>
      </c>
      <c r="E517" s="224">
        <v>175010.56746370319</v>
      </c>
      <c r="F517" s="224">
        <v>4.1615318296809152</v>
      </c>
      <c r="G517" s="224">
        <v>4.3313544273809148</v>
      </c>
      <c r="H517" s="224">
        <v>2.764256372605808</v>
      </c>
      <c r="I517" s="224">
        <v>2.4700720452741423</v>
      </c>
      <c r="J517" s="224"/>
      <c r="M517" s="224">
        <f t="shared" si="27"/>
        <v>479747.04367042193</v>
      </c>
      <c r="N517" s="224">
        <f t="shared" si="28"/>
        <v>-0.16982259769999963</v>
      </c>
      <c r="O517" s="224">
        <f t="shared" si="29"/>
        <v>0.29418432733166577</v>
      </c>
      <c r="Q517" s="224"/>
      <c r="R517" s="224"/>
      <c r="S517" s="429"/>
      <c r="Z517" s="362"/>
      <c r="AA517" s="421"/>
      <c r="AB517" s="362"/>
      <c r="AC517" s="362"/>
      <c r="AD517" s="362"/>
      <c r="AE517" s="362"/>
      <c r="AF517" s="362"/>
      <c r="AG517" s="362"/>
      <c r="AH517" s="362"/>
      <c r="AI517" s="393"/>
      <c r="AJ517" s="393"/>
      <c r="AK517" s="362"/>
      <c r="AL517" s="362"/>
      <c r="AM517" s="362"/>
      <c r="AN517" s="362"/>
      <c r="AO517" s="362"/>
      <c r="AP517" s="362"/>
      <c r="AQ517" s="362"/>
      <c r="AR517" s="362"/>
    </row>
    <row r="518" spans="1:44" ht="12.75" customHeight="1" x14ac:dyDescent="0.15">
      <c r="A518" s="431"/>
      <c r="B518" s="393"/>
      <c r="C518" s="428"/>
      <c r="D518" s="428">
        <v>736815.24507920642</v>
      </c>
      <c r="E518" s="224">
        <v>212124.93134997418</v>
      </c>
      <c r="F518" s="224">
        <v>4.1048454557549672</v>
      </c>
      <c r="G518" s="224">
        <v>3.7943471100447383</v>
      </c>
      <c r="H518" s="224">
        <v>2.9828632358401257</v>
      </c>
      <c r="I518" s="224">
        <v>2.3881605619509392</v>
      </c>
      <c r="J518" s="224"/>
      <c r="M518" s="224">
        <f t="shared" si="27"/>
        <v>524690.31372923218</v>
      </c>
      <c r="N518" s="224">
        <f t="shared" si="28"/>
        <v>0.31049834571022883</v>
      </c>
      <c r="O518" s="224">
        <f t="shared" si="29"/>
        <v>0.59470267388918652</v>
      </c>
      <c r="Q518" s="224"/>
      <c r="R518" s="224"/>
      <c r="S518" s="429"/>
      <c r="Z518" s="362"/>
      <c r="AA518" s="421"/>
      <c r="AB518" s="362"/>
      <c r="AC518" s="362"/>
      <c r="AD518" s="362"/>
      <c r="AE518" s="362"/>
      <c r="AF518" s="362"/>
      <c r="AG518" s="362"/>
      <c r="AH518" s="362"/>
      <c r="AI518" s="393"/>
      <c r="AJ518" s="393"/>
      <c r="AK518" s="362"/>
      <c r="AL518" s="362"/>
      <c r="AM518" s="362"/>
      <c r="AN518" s="362"/>
      <c r="AO518" s="362"/>
      <c r="AP518" s="362"/>
      <c r="AQ518" s="362"/>
      <c r="AR518" s="362"/>
    </row>
    <row r="519" spans="1:44" ht="12.75" customHeight="1" x14ac:dyDescent="0.15">
      <c r="A519" s="431"/>
      <c r="B519" s="393"/>
      <c r="C519" s="428"/>
      <c r="D519" s="428">
        <v>604174.08454463235</v>
      </c>
      <c r="E519" s="224">
        <v>109920.76210066602</v>
      </c>
      <c r="F519" s="224">
        <v>4.7227557466234353</v>
      </c>
      <c r="G519" s="224">
        <v>3.6907996918516672</v>
      </c>
      <c r="H519" s="224">
        <v>2.6402044574710346</v>
      </c>
      <c r="I519" s="224">
        <v>1.9712390846473316</v>
      </c>
      <c r="J519" s="224"/>
      <c r="M519" s="224">
        <f t="shared" si="27"/>
        <v>494253.32244396635</v>
      </c>
      <c r="N519" s="224">
        <f t="shared" si="28"/>
        <v>1.0319560547717681</v>
      </c>
      <c r="O519" s="224">
        <f t="shared" si="29"/>
        <v>0.66896537282370305</v>
      </c>
      <c r="Q519" s="224"/>
      <c r="R519" s="224"/>
      <c r="S519" s="429"/>
      <c r="Z519" s="362"/>
      <c r="AA519" s="421"/>
      <c r="AB519" s="362"/>
      <c r="AC519" s="362"/>
      <c r="AD519" s="362"/>
      <c r="AE519" s="362"/>
      <c r="AF519" s="362"/>
      <c r="AG519" s="362"/>
      <c r="AH519" s="362"/>
      <c r="AI519" s="393"/>
      <c r="AJ519" s="393"/>
      <c r="AK519" s="362"/>
      <c r="AL519" s="362"/>
      <c r="AM519" s="362"/>
      <c r="AN519" s="362"/>
      <c r="AO519" s="362"/>
      <c r="AP519" s="362"/>
      <c r="AQ519" s="362"/>
      <c r="AR519" s="362"/>
    </row>
    <row r="520" spans="1:44" ht="12.75" customHeight="1" x14ac:dyDescent="0.15">
      <c r="A520" s="431"/>
      <c r="B520" s="393"/>
      <c r="C520" s="428"/>
      <c r="D520" s="428">
        <v>660668.35325359262</v>
      </c>
      <c r="E520" s="224">
        <v>207162.65221924687</v>
      </c>
      <c r="F520" s="224">
        <v>4.1349051217174342</v>
      </c>
      <c r="G520" s="224">
        <v>4.4726848735394222</v>
      </c>
      <c r="H520" s="224">
        <v>2.0809156433145564</v>
      </c>
      <c r="I520" s="224">
        <v>2.057636259023238</v>
      </c>
      <c r="J520" s="224"/>
      <c r="M520" s="224">
        <f t="shared" si="27"/>
        <v>453505.70103434578</v>
      </c>
      <c r="N520" s="224">
        <f t="shared" si="28"/>
        <v>-0.33777975182198805</v>
      </c>
      <c r="O520" s="224">
        <f t="shared" si="29"/>
        <v>2.3279384291318372E-2</v>
      </c>
      <c r="Q520" s="224"/>
      <c r="R520" s="224"/>
      <c r="S520" s="429"/>
      <c r="Z520" s="362"/>
      <c r="AA520" s="421"/>
      <c r="AB520" s="362"/>
      <c r="AC520" s="362"/>
      <c r="AD520" s="362"/>
      <c r="AE520" s="362"/>
      <c r="AF520" s="362"/>
      <c r="AG520" s="362"/>
      <c r="AH520" s="362"/>
      <c r="AI520" s="393"/>
      <c r="AJ520" s="393"/>
      <c r="AK520" s="362"/>
      <c r="AL520" s="362"/>
      <c r="AM520" s="362"/>
      <c r="AN520" s="362"/>
      <c r="AO520" s="362"/>
      <c r="AP520" s="362"/>
      <c r="AQ520" s="362"/>
      <c r="AR520" s="362"/>
    </row>
    <row r="521" spans="1:44" ht="12.75" customHeight="1" x14ac:dyDescent="0.15">
      <c r="A521" s="431"/>
      <c r="B521" s="393"/>
      <c r="C521" s="428"/>
      <c r="D521" s="428">
        <v>614097.25909647159</v>
      </c>
      <c r="E521" s="224">
        <v>151264.57976172934</v>
      </c>
      <c r="F521" s="224">
        <v>4.5421621493690951</v>
      </c>
      <c r="G521" s="224">
        <v>3.8132976166117909</v>
      </c>
      <c r="H521" s="224">
        <v>2.6637022940019786</v>
      </c>
      <c r="I521" s="224">
        <v>2.0615662462619873</v>
      </c>
      <c r="J521" s="224"/>
      <c r="M521" s="224">
        <f t="shared" si="27"/>
        <v>462832.67933474225</v>
      </c>
      <c r="N521" s="224">
        <f t="shared" si="28"/>
        <v>0.72886453275730423</v>
      </c>
      <c r="O521" s="224">
        <f t="shared" si="29"/>
        <v>0.6021360477399913</v>
      </c>
      <c r="Q521" s="224"/>
      <c r="R521" s="224"/>
      <c r="S521" s="429"/>
      <c r="Z521" s="362"/>
      <c r="AA521" s="421"/>
      <c r="AB521" s="362"/>
      <c r="AC521" s="362"/>
      <c r="AD521" s="362"/>
      <c r="AE521" s="362"/>
      <c r="AF521" s="362"/>
      <c r="AG521" s="362"/>
      <c r="AH521" s="362"/>
      <c r="AI521" s="393"/>
      <c r="AJ521" s="393"/>
      <c r="AK521" s="362"/>
      <c r="AL521" s="362"/>
      <c r="AM521" s="362"/>
      <c r="AN521" s="362"/>
      <c r="AO521" s="362"/>
      <c r="AP521" s="362"/>
      <c r="AQ521" s="362"/>
      <c r="AR521" s="362"/>
    </row>
    <row r="522" spans="1:44" ht="12.75" customHeight="1" x14ac:dyDescent="0.15">
      <c r="A522" s="431"/>
      <c r="B522" s="393"/>
      <c r="C522" s="428"/>
      <c r="D522" s="428">
        <v>553957.10633336159</v>
      </c>
      <c r="E522" s="224">
        <v>124664.62193128961</v>
      </c>
      <c r="F522" s="224">
        <v>4.1991865718748844</v>
      </c>
      <c r="G522" s="224">
        <v>3.6744187114778959</v>
      </c>
      <c r="H522" s="224">
        <v>2.4982789579626177</v>
      </c>
      <c r="I522" s="224">
        <v>2.0874676026640557</v>
      </c>
      <c r="J522" s="224"/>
      <c r="M522" s="224">
        <f t="shared" si="27"/>
        <v>429292.48440207198</v>
      </c>
      <c r="N522" s="224">
        <f t="shared" si="28"/>
        <v>0.52476786039698853</v>
      </c>
      <c r="O522" s="224">
        <f t="shared" si="29"/>
        <v>0.41081135529856194</v>
      </c>
      <c r="Q522" s="224"/>
      <c r="R522" s="224"/>
      <c r="S522" s="429"/>
      <c r="Z522" s="362"/>
      <c r="AA522" s="421"/>
      <c r="AB522" s="362"/>
      <c r="AC522" s="362"/>
      <c r="AD522" s="362"/>
      <c r="AE522" s="362"/>
      <c r="AF522" s="362"/>
      <c r="AG522" s="362"/>
      <c r="AH522" s="362"/>
      <c r="AI522" s="393"/>
      <c r="AJ522" s="393"/>
      <c r="AK522" s="362"/>
      <c r="AL522" s="362"/>
      <c r="AM522" s="362"/>
      <c r="AN522" s="362"/>
      <c r="AO522" s="362"/>
      <c r="AP522" s="362"/>
      <c r="AQ522" s="362"/>
      <c r="AR522" s="362"/>
    </row>
    <row r="523" spans="1:44" ht="12.75" customHeight="1" x14ac:dyDescent="0.15">
      <c r="A523" s="431"/>
      <c r="B523" s="393"/>
      <c r="C523" s="428"/>
      <c r="D523" s="428">
        <v>485280.75849045266</v>
      </c>
      <c r="E523" s="224">
        <v>128824.36960734372</v>
      </c>
      <c r="F523" s="224">
        <v>3.5704066276638446</v>
      </c>
      <c r="G523" s="224">
        <v>4.0459572234226995</v>
      </c>
      <c r="H523" s="224">
        <v>2.2285240711074215</v>
      </c>
      <c r="I523" s="224">
        <v>2.5154613352077515</v>
      </c>
      <c r="J523" s="224"/>
      <c r="M523" s="224">
        <f t="shared" si="27"/>
        <v>356456.38888310897</v>
      </c>
      <c r="N523" s="224">
        <f t="shared" si="28"/>
        <v>-0.47555059575885483</v>
      </c>
      <c r="O523" s="224">
        <f t="shared" si="29"/>
        <v>-0.28693726410033005</v>
      </c>
      <c r="Q523" s="224"/>
      <c r="R523" s="224"/>
      <c r="S523" s="429"/>
      <c r="Z523" s="362"/>
      <c r="AA523" s="421"/>
      <c r="AB523" s="362"/>
      <c r="AC523" s="362"/>
      <c r="AD523" s="362"/>
      <c r="AE523" s="362"/>
      <c r="AF523" s="362"/>
      <c r="AG523" s="362"/>
      <c r="AH523" s="362"/>
      <c r="AI523" s="393"/>
      <c r="AJ523" s="393"/>
      <c r="AK523" s="362"/>
      <c r="AL523" s="362"/>
      <c r="AM523" s="362"/>
      <c r="AN523" s="362"/>
      <c r="AO523" s="362"/>
      <c r="AP523" s="362"/>
      <c r="AQ523" s="362"/>
      <c r="AR523" s="362"/>
    </row>
    <row r="524" spans="1:44" ht="12.75" customHeight="1" x14ac:dyDescent="0.15">
      <c r="A524" s="431"/>
      <c r="B524" s="393"/>
      <c r="C524" s="428"/>
      <c r="D524" s="428">
        <v>559861.28282854334</v>
      </c>
      <c r="E524" s="224">
        <v>121492.02770931165</v>
      </c>
      <c r="F524" s="224">
        <v>4.047498334676483</v>
      </c>
      <c r="G524" s="224">
        <v>4.1850662629885456</v>
      </c>
      <c r="H524" s="224">
        <v>2.6819042967360347</v>
      </c>
      <c r="I524" s="224">
        <v>2.5622246435015552</v>
      </c>
      <c r="J524" s="224"/>
      <c r="M524" s="224">
        <f t="shared" si="27"/>
        <v>438369.2551192317</v>
      </c>
      <c r="N524" s="224">
        <f t="shared" si="28"/>
        <v>-0.13756792831206255</v>
      </c>
      <c r="O524" s="224">
        <f t="shared" si="29"/>
        <v>0.11967965323447949</v>
      </c>
      <c r="Q524" s="224"/>
      <c r="R524" s="224"/>
      <c r="S524" s="429"/>
      <c r="Z524" s="362"/>
      <c r="AA524" s="421"/>
      <c r="AB524" s="362"/>
      <c r="AC524" s="362"/>
      <c r="AD524" s="362"/>
      <c r="AE524" s="362"/>
      <c r="AF524" s="362"/>
      <c r="AG524" s="362"/>
      <c r="AH524" s="362"/>
      <c r="AI524" s="393"/>
      <c r="AJ524" s="393"/>
      <c r="AK524" s="362"/>
      <c r="AL524" s="362"/>
      <c r="AM524" s="362"/>
      <c r="AN524" s="362"/>
      <c r="AO524" s="362"/>
      <c r="AP524" s="362"/>
      <c r="AQ524" s="362"/>
      <c r="AR524" s="362"/>
    </row>
    <row r="525" spans="1:44" ht="12.75" customHeight="1" x14ac:dyDescent="0.15">
      <c r="A525" s="431"/>
      <c r="B525" s="393"/>
      <c r="C525" s="428"/>
      <c r="D525" s="428">
        <v>619034.75790771632</v>
      </c>
      <c r="E525" s="224">
        <v>169693.23289922933</v>
      </c>
      <c r="F525" s="224">
        <v>4.4747447653545569</v>
      </c>
      <c r="G525" s="224">
        <v>4.4908881341248916</v>
      </c>
      <c r="H525" s="224">
        <v>2.6058509177078899</v>
      </c>
      <c r="I525" s="224">
        <v>2.5412958178540674</v>
      </c>
      <c r="J525" s="224"/>
      <c r="M525" s="224">
        <f t="shared" si="27"/>
        <v>449341.52500848699</v>
      </c>
      <c r="N525" s="224">
        <f t="shared" si="28"/>
        <v>-1.6143368770334732E-2</v>
      </c>
      <c r="O525" s="224">
        <f t="shared" si="29"/>
        <v>6.4555099853822462E-2</v>
      </c>
      <c r="Q525" s="224"/>
      <c r="R525" s="224"/>
      <c r="S525" s="429"/>
      <c r="Z525" s="362"/>
      <c r="AA525" s="421"/>
      <c r="AB525" s="362"/>
      <c r="AC525" s="362"/>
      <c r="AD525" s="362"/>
      <c r="AE525" s="362"/>
      <c r="AF525" s="362"/>
      <c r="AG525" s="362"/>
      <c r="AH525" s="362"/>
      <c r="AI525" s="393"/>
      <c r="AJ525" s="393"/>
      <c r="AK525" s="362"/>
      <c r="AL525" s="362"/>
      <c r="AM525" s="362"/>
      <c r="AN525" s="362"/>
      <c r="AO525" s="362"/>
      <c r="AP525" s="362"/>
      <c r="AQ525" s="362"/>
      <c r="AR525" s="362"/>
    </row>
    <row r="526" spans="1:44" ht="12.75" customHeight="1" x14ac:dyDescent="0.15">
      <c r="A526" s="431"/>
      <c r="B526" s="393"/>
      <c r="C526" s="428"/>
      <c r="D526" s="428">
        <v>613199.09711531992</v>
      </c>
      <c r="E526" s="224">
        <v>147126.49799424593</v>
      </c>
      <c r="F526" s="224">
        <v>5.3408789807689336</v>
      </c>
      <c r="G526" s="224">
        <v>3.4885290962211282</v>
      </c>
      <c r="H526" s="224">
        <v>2.9232016079101193</v>
      </c>
      <c r="I526" s="224">
        <v>1.9012409331486617</v>
      </c>
      <c r="J526" s="224"/>
      <c r="M526" s="224">
        <f t="shared" si="27"/>
        <v>466072.59912107396</v>
      </c>
      <c r="N526" s="224">
        <f t="shared" si="28"/>
        <v>1.8523498845478055</v>
      </c>
      <c r="O526" s="224">
        <f t="shared" si="29"/>
        <v>1.0219606747614576</v>
      </c>
      <c r="Q526" s="224"/>
      <c r="R526" s="224"/>
      <c r="S526" s="429"/>
      <c r="Z526" s="362"/>
      <c r="AA526" s="421"/>
      <c r="AB526" s="362"/>
      <c r="AC526" s="362"/>
      <c r="AD526" s="362"/>
      <c r="AE526" s="362"/>
      <c r="AF526" s="362"/>
      <c r="AG526" s="362"/>
      <c r="AH526" s="362"/>
      <c r="AI526" s="393"/>
      <c r="AJ526" s="393"/>
      <c r="AK526" s="362"/>
      <c r="AL526" s="362"/>
      <c r="AM526" s="362"/>
      <c r="AN526" s="362"/>
      <c r="AO526" s="362"/>
      <c r="AP526" s="362"/>
      <c r="AQ526" s="362"/>
      <c r="AR526" s="362"/>
    </row>
    <row r="527" spans="1:44" ht="12.75" customHeight="1" x14ac:dyDescent="0.15">
      <c r="A527" s="431"/>
      <c r="B527" s="393"/>
      <c r="C527" s="428"/>
      <c r="D527" s="428">
        <v>642656.22598409373</v>
      </c>
      <c r="E527" s="224">
        <v>121212.22660016284</v>
      </c>
      <c r="F527" s="224">
        <v>5.0277036218411855</v>
      </c>
      <c r="G527" s="224">
        <v>3.7180171706387268</v>
      </c>
      <c r="H527" s="224">
        <v>2.8784804067461507</v>
      </c>
      <c r="I527" s="224">
        <v>1.9022862087988668</v>
      </c>
      <c r="J527" s="224"/>
      <c r="M527" s="224">
        <f t="shared" si="27"/>
        <v>521443.99938393087</v>
      </c>
      <c r="N527" s="224">
        <f t="shared" si="28"/>
        <v>1.3096864512024586</v>
      </c>
      <c r="O527" s="224">
        <f t="shared" si="29"/>
        <v>0.9761941979472839</v>
      </c>
      <c r="Q527" s="224"/>
      <c r="R527" s="224"/>
      <c r="S527" s="429"/>
      <c r="Z527" s="362"/>
      <c r="AA527" s="421"/>
      <c r="AB527" s="362"/>
      <c r="AC527" s="362"/>
      <c r="AD527" s="362"/>
      <c r="AE527" s="362"/>
      <c r="AF527" s="362"/>
      <c r="AG527" s="362"/>
      <c r="AH527" s="362"/>
      <c r="AI527" s="393"/>
      <c r="AJ527" s="393"/>
      <c r="AK527" s="362"/>
      <c r="AL527" s="362"/>
      <c r="AM527" s="362"/>
      <c r="AN527" s="362"/>
      <c r="AO527" s="362"/>
      <c r="AP527" s="362"/>
      <c r="AQ527" s="362"/>
      <c r="AR527" s="362"/>
    </row>
    <row r="528" spans="1:44" ht="12.75" customHeight="1" x14ac:dyDescent="0.15">
      <c r="A528" s="431"/>
      <c r="B528" s="393"/>
      <c r="C528" s="428"/>
      <c r="D528" s="428">
        <v>637276.91115862352</v>
      </c>
      <c r="E528" s="224">
        <v>160436.39787669163</v>
      </c>
      <c r="F528" s="224">
        <v>4.3220061570326136</v>
      </c>
      <c r="G528" s="224">
        <v>3.4878477197312407</v>
      </c>
      <c r="H528" s="224">
        <v>2.6826334229153814</v>
      </c>
      <c r="I528" s="224">
        <v>1.9062667048680326</v>
      </c>
      <c r="J528" s="224"/>
      <c r="M528" s="224">
        <f t="shared" si="27"/>
        <v>476840.51328193187</v>
      </c>
      <c r="N528" s="224">
        <f t="shared" si="28"/>
        <v>0.83415843730137285</v>
      </c>
      <c r="O528" s="224">
        <f t="shared" si="29"/>
        <v>0.7763667180473488</v>
      </c>
      <c r="Q528" s="224"/>
      <c r="R528" s="224"/>
      <c r="S528" s="429"/>
      <c r="Z528" s="362"/>
      <c r="AA528" s="421"/>
      <c r="AB528" s="362"/>
      <c r="AC528" s="362"/>
      <c r="AD528" s="362"/>
      <c r="AE528" s="362"/>
      <c r="AF528" s="362"/>
      <c r="AG528" s="362"/>
      <c r="AH528" s="362"/>
      <c r="AI528" s="393"/>
      <c r="AJ528" s="393"/>
      <c r="AK528" s="362"/>
      <c r="AL528" s="362"/>
      <c r="AM528" s="362"/>
      <c r="AN528" s="362"/>
      <c r="AO528" s="362"/>
      <c r="AP528" s="362"/>
      <c r="AQ528" s="362"/>
      <c r="AR528" s="362"/>
    </row>
    <row r="529" spans="1:44" ht="12.75" customHeight="1" x14ac:dyDescent="0.15">
      <c r="A529" s="431"/>
      <c r="B529" s="393"/>
      <c r="C529" s="428"/>
      <c r="D529" s="428">
        <v>777591.43656088458</v>
      </c>
      <c r="E529" s="224">
        <v>203446.7633114343</v>
      </c>
      <c r="F529" s="224">
        <v>5.0865972981384653</v>
      </c>
      <c r="G529" s="224">
        <v>4.1794992051323741</v>
      </c>
      <c r="H529" s="224">
        <v>3.2788159411843778</v>
      </c>
      <c r="I529" s="224">
        <v>2.508318883931933</v>
      </c>
      <c r="J529" s="224"/>
      <c r="M529" s="224">
        <f t="shared" si="27"/>
        <v>574144.67324945028</v>
      </c>
      <c r="N529" s="224">
        <f t="shared" si="28"/>
        <v>0.90709809300609123</v>
      </c>
      <c r="O529" s="224">
        <f t="shared" si="29"/>
        <v>0.77049705725244477</v>
      </c>
      <c r="Q529" s="224"/>
      <c r="R529" s="224"/>
      <c r="S529" s="429"/>
      <c r="Z529" s="362"/>
      <c r="AA529" s="421"/>
      <c r="AB529" s="362"/>
      <c r="AC529" s="362"/>
      <c r="AD529" s="362"/>
      <c r="AE529" s="362"/>
      <c r="AF529" s="362"/>
      <c r="AG529" s="362"/>
      <c r="AH529" s="362"/>
      <c r="AI529" s="393"/>
      <c r="AJ529" s="393"/>
      <c r="AK529" s="362"/>
      <c r="AL529" s="362"/>
      <c r="AM529" s="362"/>
      <c r="AN529" s="362"/>
      <c r="AO529" s="362"/>
      <c r="AP529" s="362"/>
      <c r="AQ529" s="362"/>
      <c r="AR529" s="362"/>
    </row>
    <row r="530" spans="1:44" ht="12.75" customHeight="1" x14ac:dyDescent="0.15">
      <c r="A530" s="431"/>
      <c r="B530" s="393"/>
      <c r="C530" s="428"/>
      <c r="D530" s="428">
        <v>641454.63979691523</v>
      </c>
      <c r="E530" s="224">
        <v>127337.58732215709</v>
      </c>
      <c r="F530" s="224">
        <v>4.6184580343311996</v>
      </c>
      <c r="G530" s="224">
        <v>3.654563060031871</v>
      </c>
      <c r="H530" s="224">
        <v>2.8894128774808641</v>
      </c>
      <c r="I530" s="224">
        <v>2.1942967585500162</v>
      </c>
      <c r="J530" s="224"/>
      <c r="M530" s="224">
        <f t="shared" ref="M530:M593" si="30">+D530-E530</f>
        <v>514117.05247475812</v>
      </c>
      <c r="N530" s="224">
        <f t="shared" ref="N530:N593" si="31">+F530-G530</f>
        <v>0.96389497429932858</v>
      </c>
      <c r="O530" s="224">
        <f t="shared" ref="O530:O593" si="32">+H530-I530</f>
        <v>0.6951161189308479</v>
      </c>
      <c r="Q530" s="224"/>
      <c r="R530" s="224"/>
      <c r="S530" s="429"/>
      <c r="Z530" s="362"/>
      <c r="AA530" s="421"/>
      <c r="AB530" s="362"/>
      <c r="AC530" s="362"/>
      <c r="AD530" s="362"/>
      <c r="AE530" s="362"/>
      <c r="AF530" s="362"/>
      <c r="AG530" s="362"/>
      <c r="AH530" s="362"/>
      <c r="AI530" s="393"/>
      <c r="AJ530" s="393"/>
      <c r="AK530" s="362"/>
      <c r="AL530" s="362"/>
      <c r="AM530" s="362"/>
      <c r="AN530" s="362"/>
      <c r="AO530" s="362"/>
      <c r="AP530" s="362"/>
      <c r="AQ530" s="362"/>
      <c r="AR530" s="362"/>
    </row>
    <row r="531" spans="1:44" ht="12.75" customHeight="1" x14ac:dyDescent="0.15">
      <c r="A531" s="431"/>
      <c r="B531" s="393"/>
      <c r="C531" s="428"/>
      <c r="D531" s="428">
        <v>704053.58686950803</v>
      </c>
      <c r="E531" s="224">
        <v>163762.19728346099</v>
      </c>
      <c r="F531" s="224">
        <v>4.6895814358751871</v>
      </c>
      <c r="G531" s="224">
        <v>3.997685103066654</v>
      </c>
      <c r="H531" s="224">
        <v>3.0943682924123728</v>
      </c>
      <c r="I531" s="224">
        <v>2.3149644734111114</v>
      </c>
      <c r="J531" s="224"/>
      <c r="M531" s="224">
        <f t="shared" si="30"/>
        <v>540291.38958604704</v>
      </c>
      <c r="N531" s="224">
        <f t="shared" si="31"/>
        <v>0.69189633280853302</v>
      </c>
      <c r="O531" s="224">
        <f t="shared" si="32"/>
        <v>0.77940381900126132</v>
      </c>
      <c r="Q531" s="224"/>
      <c r="R531" s="224"/>
      <c r="S531" s="429"/>
      <c r="Z531" s="362"/>
      <c r="AA531" s="421"/>
      <c r="AB531" s="362"/>
      <c r="AC531" s="362"/>
      <c r="AD531" s="362"/>
      <c r="AE531" s="362"/>
      <c r="AF531" s="362"/>
      <c r="AG531" s="362"/>
      <c r="AH531" s="362"/>
      <c r="AI531" s="393"/>
      <c r="AJ531" s="393"/>
      <c r="AK531" s="362"/>
      <c r="AL531" s="362"/>
      <c r="AM531" s="362"/>
      <c r="AN531" s="362"/>
      <c r="AO531" s="362"/>
      <c r="AP531" s="362"/>
      <c r="AQ531" s="362"/>
      <c r="AR531" s="362"/>
    </row>
    <row r="532" spans="1:44" ht="12.75" customHeight="1" x14ac:dyDescent="0.15">
      <c r="A532" s="431"/>
      <c r="B532" s="393"/>
      <c r="C532" s="428"/>
      <c r="D532" s="428">
        <v>564038.27333255461</v>
      </c>
      <c r="E532" s="224">
        <v>119796.4267125476</v>
      </c>
      <c r="F532" s="224">
        <v>4.2393783068184199</v>
      </c>
      <c r="G532" s="224">
        <v>3.424302466499034</v>
      </c>
      <c r="H532" s="224">
        <v>2.5360901965835447</v>
      </c>
      <c r="I532" s="224">
        <v>1.8235432378322496</v>
      </c>
      <c r="J532" s="224"/>
      <c r="M532" s="224">
        <f t="shared" si="30"/>
        <v>444241.84662000701</v>
      </c>
      <c r="N532" s="224">
        <f t="shared" si="31"/>
        <v>0.81507584031938585</v>
      </c>
      <c r="O532" s="224">
        <f t="shared" si="32"/>
        <v>0.71254695875129515</v>
      </c>
      <c r="Q532" s="224"/>
      <c r="R532" s="224"/>
      <c r="S532" s="429"/>
      <c r="Z532" s="362"/>
      <c r="AA532" s="421"/>
      <c r="AB532" s="362"/>
      <c r="AC532" s="362"/>
      <c r="AD532" s="362"/>
      <c r="AE532" s="362"/>
      <c r="AF532" s="362"/>
      <c r="AG532" s="362"/>
      <c r="AH532" s="362"/>
      <c r="AI532" s="393"/>
      <c r="AJ532" s="393"/>
      <c r="AK532" s="362"/>
      <c r="AL532" s="362"/>
      <c r="AM532" s="362"/>
      <c r="AN532" s="362"/>
      <c r="AO532" s="362"/>
      <c r="AP532" s="362"/>
      <c r="AQ532" s="362"/>
      <c r="AR532" s="362"/>
    </row>
    <row r="533" spans="1:44" ht="12.75" customHeight="1" x14ac:dyDescent="0.15">
      <c r="A533" s="431"/>
      <c r="B533" s="393"/>
      <c r="C533" s="428"/>
      <c r="D533" s="428">
        <v>728103.73166240111</v>
      </c>
      <c r="E533" s="224">
        <v>131538.6146132448</v>
      </c>
      <c r="F533" s="224">
        <v>4.6862694849108522</v>
      </c>
      <c r="G533" s="224">
        <v>4.1554674678665533</v>
      </c>
      <c r="H533" s="224">
        <v>2.6722313711781864</v>
      </c>
      <c r="I533" s="224">
        <v>2.1121558430348926</v>
      </c>
      <c r="J533" s="224"/>
      <c r="M533" s="224">
        <f t="shared" si="30"/>
        <v>596565.11704915634</v>
      </c>
      <c r="N533" s="224">
        <f t="shared" si="31"/>
        <v>0.53080201704429886</v>
      </c>
      <c r="O533" s="224">
        <f t="shared" si="32"/>
        <v>0.56007552814329387</v>
      </c>
      <c r="Q533" s="224"/>
      <c r="R533" s="224"/>
      <c r="S533" s="429"/>
      <c r="Z533" s="362"/>
      <c r="AA533" s="421"/>
      <c r="AB533" s="362"/>
      <c r="AC533" s="362"/>
      <c r="AD533" s="362"/>
      <c r="AE533" s="362"/>
      <c r="AF533" s="362"/>
      <c r="AG533" s="362"/>
      <c r="AH533" s="362"/>
      <c r="AI533" s="393"/>
      <c r="AJ533" s="393"/>
      <c r="AK533" s="362"/>
      <c r="AL533" s="362"/>
      <c r="AM533" s="362"/>
      <c r="AN533" s="362"/>
      <c r="AO533" s="362"/>
      <c r="AP533" s="362"/>
      <c r="AQ533" s="362"/>
      <c r="AR533" s="362"/>
    </row>
    <row r="534" spans="1:44" ht="12.75" customHeight="1" x14ac:dyDescent="0.15">
      <c r="A534" s="431"/>
      <c r="B534" s="393"/>
      <c r="C534" s="428"/>
      <c r="D534" s="428">
        <v>606065.16082262003</v>
      </c>
      <c r="E534" s="224">
        <v>121517.4972605787</v>
      </c>
      <c r="F534" s="224">
        <v>4.4616131379548412</v>
      </c>
      <c r="G534" s="224">
        <v>3.8865086388856347</v>
      </c>
      <c r="H534" s="224">
        <v>2.4742460009242029</v>
      </c>
      <c r="I534" s="224">
        <v>2.0266988887230126</v>
      </c>
      <c r="J534" s="224"/>
      <c r="M534" s="224">
        <f t="shared" si="30"/>
        <v>484547.66356204136</v>
      </c>
      <c r="N534" s="224">
        <f t="shared" si="31"/>
        <v>0.57510449906920647</v>
      </c>
      <c r="O534" s="224">
        <f t="shared" si="32"/>
        <v>0.44754711220119026</v>
      </c>
      <c r="Q534" s="224"/>
      <c r="R534" s="224"/>
      <c r="S534" s="429"/>
      <c r="Z534" s="362"/>
      <c r="AA534" s="421"/>
      <c r="AB534" s="362"/>
      <c r="AC534" s="362"/>
      <c r="AD534" s="362"/>
      <c r="AE534" s="362"/>
      <c r="AF534" s="362"/>
      <c r="AG534" s="362"/>
      <c r="AH534" s="362"/>
      <c r="AI534" s="393"/>
      <c r="AJ534" s="393"/>
      <c r="AK534" s="362"/>
      <c r="AL534" s="362"/>
      <c r="AM534" s="362"/>
      <c r="AN534" s="362"/>
      <c r="AO534" s="362"/>
      <c r="AP534" s="362"/>
      <c r="AQ534" s="362"/>
      <c r="AR534" s="362"/>
    </row>
    <row r="535" spans="1:44" ht="12.75" customHeight="1" x14ac:dyDescent="0.15">
      <c r="A535" s="431"/>
      <c r="B535" s="393"/>
      <c r="C535" s="428"/>
      <c r="D535" s="428">
        <v>527951.33135971799</v>
      </c>
      <c r="E535" s="224">
        <v>137925.29074112687</v>
      </c>
      <c r="F535" s="224">
        <v>4.4293736506536625</v>
      </c>
      <c r="G535" s="224">
        <v>3.2621468944939527</v>
      </c>
      <c r="H535" s="224">
        <v>2.4695644474103418</v>
      </c>
      <c r="I535" s="224">
        <v>1.8789542147130822</v>
      </c>
      <c r="J535" s="224"/>
      <c r="M535" s="224">
        <f t="shared" si="30"/>
        <v>390026.04061859113</v>
      </c>
      <c r="N535" s="224">
        <f t="shared" si="31"/>
        <v>1.1672267561597098</v>
      </c>
      <c r="O535" s="224">
        <f t="shared" si="32"/>
        <v>0.59061023269725954</v>
      </c>
      <c r="Q535" s="224"/>
      <c r="R535" s="224"/>
      <c r="S535" s="429"/>
      <c r="Z535" s="362"/>
      <c r="AA535" s="421"/>
      <c r="AB535" s="362"/>
      <c r="AC535" s="362"/>
      <c r="AD535" s="362"/>
      <c r="AE535" s="362"/>
      <c r="AF535" s="362"/>
      <c r="AG535" s="362"/>
      <c r="AH535" s="362"/>
      <c r="AI535" s="393"/>
      <c r="AJ535" s="393"/>
      <c r="AK535" s="362"/>
      <c r="AL535" s="362"/>
      <c r="AM535" s="362"/>
      <c r="AN535" s="362"/>
      <c r="AO535" s="362"/>
      <c r="AP535" s="362"/>
      <c r="AQ535" s="362"/>
      <c r="AR535" s="362"/>
    </row>
    <row r="536" spans="1:44" ht="12.75" customHeight="1" x14ac:dyDescent="0.15">
      <c r="A536" s="431"/>
      <c r="B536" s="393"/>
      <c r="C536" s="428"/>
      <c r="D536" s="428">
        <v>558742.81049096677</v>
      </c>
      <c r="E536" s="224">
        <v>125915.34263080843</v>
      </c>
      <c r="F536" s="224">
        <v>4.3117042411279787</v>
      </c>
      <c r="G536" s="224">
        <v>3.5656767313289746</v>
      </c>
      <c r="H536" s="224">
        <v>2.5530142206887305</v>
      </c>
      <c r="I536" s="224">
        <v>1.9589346906467711</v>
      </c>
      <c r="J536" s="224"/>
      <c r="M536" s="224">
        <f t="shared" si="30"/>
        <v>432827.46786015836</v>
      </c>
      <c r="N536" s="224">
        <f t="shared" si="31"/>
        <v>0.74602750979900412</v>
      </c>
      <c r="O536" s="224">
        <f t="shared" si="32"/>
        <v>0.59407953004195946</v>
      </c>
      <c r="Q536" s="224"/>
      <c r="R536" s="224"/>
      <c r="S536" s="429"/>
      <c r="Z536" s="362"/>
      <c r="AA536" s="421"/>
      <c r="AB536" s="362"/>
      <c r="AC536" s="362"/>
      <c r="AD536" s="362"/>
      <c r="AE536" s="362"/>
      <c r="AF536" s="362"/>
      <c r="AG536" s="362"/>
      <c r="AH536" s="362"/>
      <c r="AI536" s="393"/>
      <c r="AJ536" s="393"/>
      <c r="AK536" s="362"/>
      <c r="AL536" s="362"/>
      <c r="AM536" s="362"/>
      <c r="AN536" s="362"/>
      <c r="AO536" s="362"/>
      <c r="AP536" s="362"/>
      <c r="AQ536" s="362"/>
      <c r="AR536" s="362"/>
    </row>
    <row r="537" spans="1:44" ht="12.75" customHeight="1" x14ac:dyDescent="0.15">
      <c r="A537" s="431"/>
      <c r="B537" s="393"/>
      <c r="C537" s="428"/>
      <c r="D537" s="428">
        <v>510732.5667999686</v>
      </c>
      <c r="E537" s="224">
        <v>160524.42668865144</v>
      </c>
      <c r="F537" s="224">
        <v>3.7995631651253641</v>
      </c>
      <c r="G537" s="224">
        <v>4.1266641490999314</v>
      </c>
      <c r="H537" s="224">
        <v>2.3971692580739647</v>
      </c>
      <c r="I537" s="224">
        <v>2.3839525657739857</v>
      </c>
      <c r="J537" s="224"/>
      <c r="M537" s="224">
        <f t="shared" si="30"/>
        <v>350208.14011131716</v>
      </c>
      <c r="N537" s="224">
        <f t="shared" si="31"/>
        <v>-0.32710098397456733</v>
      </c>
      <c r="O537" s="224">
        <f t="shared" si="32"/>
        <v>1.3216692299979016E-2</v>
      </c>
      <c r="Q537" s="224"/>
      <c r="R537" s="224"/>
      <c r="S537" s="429"/>
      <c r="Z537" s="362"/>
      <c r="AA537" s="421"/>
      <c r="AB537" s="362"/>
      <c r="AC537" s="362"/>
      <c r="AD537" s="362"/>
      <c r="AE537" s="362"/>
      <c r="AF537" s="362"/>
      <c r="AG537" s="362"/>
      <c r="AH537" s="362"/>
      <c r="AI537" s="393"/>
      <c r="AJ537" s="393"/>
      <c r="AK537" s="362"/>
      <c r="AL537" s="362"/>
      <c r="AM537" s="362"/>
      <c r="AN537" s="362"/>
      <c r="AO537" s="362"/>
      <c r="AP537" s="362"/>
      <c r="AQ537" s="362"/>
      <c r="AR537" s="362"/>
    </row>
    <row r="538" spans="1:44" ht="12.75" customHeight="1" x14ac:dyDescent="0.15">
      <c r="A538" s="431"/>
      <c r="B538" s="393"/>
      <c r="C538" s="428"/>
      <c r="D538" s="428">
        <v>643389.14659922011</v>
      </c>
      <c r="E538" s="224">
        <v>171589.83362833428</v>
      </c>
      <c r="F538" s="224">
        <v>5.1690502494554567</v>
      </c>
      <c r="G538" s="224">
        <v>3.9570159221435506</v>
      </c>
      <c r="H538" s="224">
        <v>3.135756679464627</v>
      </c>
      <c r="I538" s="224">
        <v>2.2390315618954983</v>
      </c>
      <c r="J538" s="224"/>
      <c r="M538" s="224">
        <f t="shared" si="30"/>
        <v>471799.31297088583</v>
      </c>
      <c r="N538" s="224">
        <f t="shared" si="31"/>
        <v>1.2120343273119061</v>
      </c>
      <c r="O538" s="224">
        <f t="shared" si="32"/>
        <v>0.89672511756912865</v>
      </c>
      <c r="Q538" s="224"/>
      <c r="R538" s="224"/>
      <c r="S538" s="429"/>
      <c r="Z538" s="362"/>
      <c r="AA538" s="421"/>
      <c r="AB538" s="362"/>
      <c r="AC538" s="362"/>
      <c r="AD538" s="362"/>
      <c r="AE538" s="362"/>
      <c r="AF538" s="362"/>
      <c r="AG538" s="362"/>
      <c r="AH538" s="362"/>
      <c r="AI538" s="393"/>
      <c r="AJ538" s="393"/>
      <c r="AK538" s="362"/>
      <c r="AL538" s="362"/>
      <c r="AM538" s="362"/>
      <c r="AN538" s="362"/>
      <c r="AO538" s="362"/>
      <c r="AP538" s="362"/>
      <c r="AQ538" s="362"/>
      <c r="AR538" s="362"/>
    </row>
    <row r="539" spans="1:44" ht="12.75" customHeight="1" x14ac:dyDescent="0.15">
      <c r="A539" s="431"/>
      <c r="B539" s="393"/>
      <c r="C539" s="428"/>
      <c r="D539" s="428">
        <v>468477.3139083194</v>
      </c>
      <c r="E539" s="224">
        <v>119388.60530999405</v>
      </c>
      <c r="F539" s="224">
        <v>4.1277726826967864</v>
      </c>
      <c r="G539" s="224">
        <v>3.4224184138333138</v>
      </c>
      <c r="H539" s="224">
        <v>1.9462319337749139</v>
      </c>
      <c r="I539" s="224">
        <v>1.6173178602541263</v>
      </c>
      <c r="J539" s="224"/>
      <c r="M539" s="224">
        <f t="shared" si="30"/>
        <v>349088.70859832538</v>
      </c>
      <c r="N539" s="224">
        <f t="shared" si="31"/>
        <v>0.70535426886347263</v>
      </c>
      <c r="O539" s="224">
        <f t="shared" si="32"/>
        <v>0.32891407352078761</v>
      </c>
      <c r="Q539" s="224"/>
      <c r="R539" s="224"/>
      <c r="S539" s="429"/>
      <c r="Z539" s="362"/>
      <c r="AA539" s="421"/>
      <c r="AB539" s="362"/>
      <c r="AC539" s="362"/>
      <c r="AD539" s="362"/>
      <c r="AE539" s="362"/>
      <c r="AF539" s="362"/>
      <c r="AG539" s="362"/>
      <c r="AH539" s="362"/>
      <c r="AI539" s="393"/>
      <c r="AJ539" s="393"/>
      <c r="AK539" s="362"/>
      <c r="AL539" s="362"/>
      <c r="AM539" s="362"/>
      <c r="AN539" s="362"/>
      <c r="AO539" s="362"/>
      <c r="AP539" s="362"/>
      <c r="AQ539" s="362"/>
      <c r="AR539" s="362"/>
    </row>
    <row r="540" spans="1:44" ht="12.75" customHeight="1" x14ac:dyDescent="0.15">
      <c r="A540" s="431"/>
      <c r="B540" s="393"/>
      <c r="C540" s="428"/>
      <c r="D540" s="428">
        <v>518631.48362334422</v>
      </c>
      <c r="E540" s="224">
        <v>94421.047787824267</v>
      </c>
      <c r="F540" s="224">
        <v>4.0813150149460089</v>
      </c>
      <c r="G540" s="224">
        <v>3.6933000650748786</v>
      </c>
      <c r="H540" s="224">
        <v>2.232319956694147</v>
      </c>
      <c r="I540" s="224">
        <v>1.8808293162705949</v>
      </c>
      <c r="J540" s="224"/>
      <c r="M540" s="224">
        <f t="shared" si="30"/>
        <v>424210.43583551992</v>
      </c>
      <c r="N540" s="224">
        <f t="shared" si="31"/>
        <v>0.38801494987113028</v>
      </c>
      <c r="O540" s="224">
        <f t="shared" si="32"/>
        <v>0.35149064042355205</v>
      </c>
      <c r="Q540" s="224"/>
      <c r="R540" s="224"/>
      <c r="S540" s="429"/>
      <c r="Z540" s="362"/>
      <c r="AA540" s="421"/>
      <c r="AB540" s="362"/>
      <c r="AC540" s="362"/>
      <c r="AD540" s="362"/>
      <c r="AE540" s="362"/>
      <c r="AF540" s="362"/>
      <c r="AG540" s="362"/>
      <c r="AH540" s="362"/>
      <c r="AI540" s="393"/>
      <c r="AJ540" s="393"/>
      <c r="AK540" s="362"/>
      <c r="AL540" s="362"/>
      <c r="AM540" s="362"/>
      <c r="AN540" s="362"/>
      <c r="AO540" s="362"/>
      <c r="AP540" s="362"/>
      <c r="AQ540" s="362"/>
      <c r="AR540" s="362"/>
    </row>
    <row r="541" spans="1:44" ht="12.75" customHeight="1" x14ac:dyDescent="0.15">
      <c r="A541" s="431"/>
      <c r="B541" s="393"/>
      <c r="C541" s="428"/>
      <c r="D541" s="428">
        <v>707726.69048850366</v>
      </c>
      <c r="E541" s="224">
        <v>221099.71490486991</v>
      </c>
      <c r="F541" s="224">
        <v>4.4934912938254516</v>
      </c>
      <c r="G541" s="224">
        <v>3.7031070809265758</v>
      </c>
      <c r="H541" s="224">
        <v>2.7854940859701802</v>
      </c>
      <c r="I541" s="224">
        <v>2.0366041987321837</v>
      </c>
      <c r="J541" s="224"/>
      <c r="M541" s="224">
        <f t="shared" si="30"/>
        <v>486626.97558363376</v>
      </c>
      <c r="N541" s="224">
        <f t="shared" si="31"/>
        <v>0.79038421289887584</v>
      </c>
      <c r="O541" s="224">
        <f t="shared" si="32"/>
        <v>0.74888988723799654</v>
      </c>
      <c r="Q541" s="224"/>
      <c r="R541" s="224"/>
      <c r="S541" s="429"/>
      <c r="Z541" s="362"/>
      <c r="AA541" s="421"/>
      <c r="AB541" s="362"/>
      <c r="AC541" s="362"/>
      <c r="AD541" s="362"/>
      <c r="AE541" s="362"/>
      <c r="AF541" s="362"/>
      <c r="AG541" s="362"/>
      <c r="AH541" s="362"/>
      <c r="AI541" s="393"/>
      <c r="AJ541" s="393"/>
      <c r="AK541" s="362"/>
      <c r="AL541" s="362"/>
      <c r="AM541" s="362"/>
      <c r="AN541" s="362"/>
      <c r="AO541" s="362"/>
      <c r="AP541" s="362"/>
      <c r="AQ541" s="362"/>
      <c r="AR541" s="362"/>
    </row>
    <row r="542" spans="1:44" ht="12.75" customHeight="1" x14ac:dyDescent="0.15">
      <c r="A542" s="431"/>
      <c r="B542" s="393"/>
      <c r="C542" s="428"/>
      <c r="D542" s="428">
        <v>780411.25111686776</v>
      </c>
      <c r="E542" s="224">
        <v>224125.8215101884</v>
      </c>
      <c r="F542" s="224">
        <v>4.086254338159427</v>
      </c>
      <c r="G542" s="224">
        <v>3.6091973824950894</v>
      </c>
      <c r="H542" s="224">
        <v>2.8849093685733411</v>
      </c>
      <c r="I542" s="224">
        <v>2.3324403242795544</v>
      </c>
      <c r="J542" s="224"/>
      <c r="M542" s="224">
        <f t="shared" si="30"/>
        <v>556285.42960667936</v>
      </c>
      <c r="N542" s="224">
        <f t="shared" si="31"/>
        <v>0.47705695566433759</v>
      </c>
      <c r="O542" s="224">
        <f t="shared" si="32"/>
        <v>0.55246904429378674</v>
      </c>
      <c r="Q542" s="224"/>
      <c r="R542" s="224"/>
      <c r="S542" s="429"/>
      <c r="Z542" s="362"/>
      <c r="AA542" s="421"/>
      <c r="AB542" s="362"/>
      <c r="AC542" s="362"/>
      <c r="AD542" s="362"/>
      <c r="AE542" s="362"/>
      <c r="AF542" s="362"/>
      <c r="AG542" s="362"/>
      <c r="AH542" s="362"/>
      <c r="AI542" s="393"/>
      <c r="AJ542" s="393"/>
      <c r="AK542" s="362"/>
      <c r="AL542" s="362"/>
      <c r="AM542" s="362"/>
      <c r="AN542" s="362"/>
      <c r="AO542" s="362"/>
      <c r="AP542" s="362"/>
      <c r="AQ542" s="362"/>
      <c r="AR542" s="362"/>
    </row>
    <row r="543" spans="1:44" ht="12.75" customHeight="1" x14ac:dyDescent="0.15">
      <c r="A543" s="431"/>
      <c r="B543" s="393"/>
      <c r="C543" s="428"/>
      <c r="D543" s="428">
        <v>532616.80886359583</v>
      </c>
      <c r="E543" s="224">
        <v>116330.7068869549</v>
      </c>
      <c r="F543" s="224">
        <v>5.2177698008455602</v>
      </c>
      <c r="G543" s="224">
        <v>4.4041230306870531</v>
      </c>
      <c r="H543" s="224">
        <v>2.7344431619468925</v>
      </c>
      <c r="I543" s="224">
        <v>2.2846912843908953</v>
      </c>
      <c r="J543" s="224"/>
      <c r="M543" s="224">
        <f t="shared" si="30"/>
        <v>416286.10197664093</v>
      </c>
      <c r="N543" s="224">
        <f t="shared" si="31"/>
        <v>0.81364677015850706</v>
      </c>
      <c r="O543" s="224">
        <f t="shared" si="32"/>
        <v>0.44975187755599721</v>
      </c>
      <c r="Q543" s="224"/>
      <c r="R543" s="224"/>
      <c r="S543" s="429"/>
      <c r="Z543" s="362"/>
      <c r="AA543" s="421"/>
      <c r="AB543" s="362"/>
      <c r="AC543" s="362"/>
      <c r="AD543" s="362"/>
      <c r="AE543" s="362"/>
      <c r="AF543" s="362"/>
      <c r="AG543" s="362"/>
      <c r="AH543" s="362"/>
      <c r="AI543" s="393"/>
      <c r="AJ543" s="393"/>
      <c r="AK543" s="362"/>
      <c r="AL543" s="362"/>
      <c r="AM543" s="362"/>
      <c r="AN543" s="362"/>
      <c r="AO543" s="362"/>
      <c r="AP543" s="362"/>
      <c r="AQ543" s="362"/>
      <c r="AR543" s="362"/>
    </row>
    <row r="544" spans="1:44" ht="12.75" customHeight="1" x14ac:dyDescent="0.15">
      <c r="A544" s="431"/>
      <c r="B544" s="393"/>
      <c r="C544" s="428"/>
      <c r="D544" s="428">
        <v>607515.71525415941</v>
      </c>
      <c r="E544" s="224">
        <v>147841.34775023855</v>
      </c>
      <c r="F544" s="224">
        <v>4.2025774754418084</v>
      </c>
      <c r="G544" s="224">
        <v>3.8807275432695443</v>
      </c>
      <c r="H544" s="224">
        <v>2.4158346072786356</v>
      </c>
      <c r="I544" s="224">
        <v>2.0317971061209783</v>
      </c>
      <c r="J544" s="224"/>
      <c r="M544" s="224">
        <f t="shared" si="30"/>
        <v>459674.36750392086</v>
      </c>
      <c r="N544" s="224">
        <f t="shared" si="31"/>
        <v>0.3218499321722641</v>
      </c>
      <c r="O544" s="224">
        <f t="shared" si="32"/>
        <v>0.38403750115765733</v>
      </c>
      <c r="Q544" s="224"/>
      <c r="R544" s="224"/>
      <c r="S544" s="429"/>
      <c r="Z544" s="362"/>
      <c r="AA544" s="421"/>
      <c r="AB544" s="362"/>
      <c r="AC544" s="362"/>
      <c r="AD544" s="362"/>
      <c r="AE544" s="362"/>
      <c r="AF544" s="362"/>
      <c r="AG544" s="362"/>
      <c r="AH544" s="362"/>
      <c r="AI544" s="393"/>
      <c r="AJ544" s="393"/>
      <c r="AK544" s="362"/>
      <c r="AL544" s="362"/>
      <c r="AM544" s="362"/>
      <c r="AN544" s="362"/>
      <c r="AO544" s="362"/>
      <c r="AP544" s="362"/>
      <c r="AQ544" s="362"/>
      <c r="AR544" s="362"/>
    </row>
    <row r="545" spans="1:44" ht="12.75" customHeight="1" x14ac:dyDescent="0.15">
      <c r="A545" s="431"/>
      <c r="B545" s="393"/>
      <c r="C545" s="428"/>
      <c r="D545" s="428">
        <v>700004.20442360034</v>
      </c>
      <c r="E545" s="224">
        <v>192011.34376447441</v>
      </c>
      <c r="F545" s="224">
        <v>4.0636638944614001</v>
      </c>
      <c r="G545" s="224">
        <v>3.8883126378485118</v>
      </c>
      <c r="H545" s="224">
        <v>2.2689970371257364</v>
      </c>
      <c r="I545" s="224">
        <v>2.0302170119775602</v>
      </c>
      <c r="J545" s="224"/>
      <c r="M545" s="224">
        <f t="shared" si="30"/>
        <v>507992.86065912596</v>
      </c>
      <c r="N545" s="224">
        <f t="shared" si="31"/>
        <v>0.17535125661288831</v>
      </c>
      <c r="O545" s="224">
        <f t="shared" si="32"/>
        <v>0.2387800251481762</v>
      </c>
      <c r="Q545" s="224"/>
      <c r="R545" s="224"/>
      <c r="S545" s="429"/>
      <c r="Z545" s="362"/>
      <c r="AA545" s="421"/>
      <c r="AB545" s="362"/>
      <c r="AC545" s="362"/>
      <c r="AD545" s="362"/>
      <c r="AE545" s="362"/>
      <c r="AF545" s="362"/>
      <c r="AG545" s="362"/>
      <c r="AH545" s="362"/>
      <c r="AI545" s="393"/>
      <c r="AJ545" s="393"/>
      <c r="AK545" s="362"/>
      <c r="AL545" s="362"/>
      <c r="AM545" s="362"/>
      <c r="AN545" s="362"/>
      <c r="AO545" s="362"/>
      <c r="AP545" s="362"/>
      <c r="AQ545" s="362"/>
      <c r="AR545" s="362"/>
    </row>
    <row r="546" spans="1:44" ht="12.75" customHeight="1" x14ac:dyDescent="0.15">
      <c r="A546" s="431"/>
      <c r="B546" s="393"/>
      <c r="C546" s="428"/>
      <c r="D546" s="428">
        <v>444544.2207637176</v>
      </c>
      <c r="E546" s="224">
        <v>145087.10241295971</v>
      </c>
      <c r="F546" s="224">
        <v>4.0310743604876054</v>
      </c>
      <c r="G546" s="224">
        <v>4.0097855188406397</v>
      </c>
      <c r="H546" s="224">
        <v>2.0544456632095276</v>
      </c>
      <c r="I546" s="224">
        <v>2.0742863472669084</v>
      </c>
      <c r="J546" s="224"/>
      <c r="M546" s="224">
        <f t="shared" si="30"/>
        <v>299457.11835075787</v>
      </c>
      <c r="N546" s="224">
        <f t="shared" si="31"/>
        <v>2.1288841646965651E-2</v>
      </c>
      <c r="O546" s="224">
        <f t="shared" si="32"/>
        <v>-1.984068405738082E-2</v>
      </c>
      <c r="Q546" s="224"/>
      <c r="R546" s="224"/>
      <c r="S546" s="429"/>
      <c r="Z546" s="362"/>
      <c r="AA546" s="421"/>
      <c r="AB546" s="362"/>
      <c r="AC546" s="362"/>
      <c r="AD546" s="362"/>
      <c r="AE546" s="362"/>
      <c r="AF546" s="362"/>
      <c r="AG546" s="362"/>
      <c r="AH546" s="362"/>
      <c r="AI546" s="393"/>
      <c r="AJ546" s="393"/>
      <c r="AK546" s="362"/>
      <c r="AL546" s="362"/>
      <c r="AM546" s="362"/>
      <c r="AN546" s="362"/>
      <c r="AO546" s="362"/>
      <c r="AP546" s="362"/>
      <c r="AQ546" s="362"/>
      <c r="AR546" s="362"/>
    </row>
    <row r="547" spans="1:44" ht="12.75" customHeight="1" x14ac:dyDescent="0.15">
      <c r="A547" s="431"/>
      <c r="B547" s="393"/>
      <c r="C547" s="428"/>
      <c r="D547" s="428">
        <v>669246.83467023761</v>
      </c>
      <c r="E547" s="224">
        <v>130091.08155206116</v>
      </c>
      <c r="F547" s="224">
        <v>4.1803988842005566</v>
      </c>
      <c r="G547" s="224">
        <v>4.3166105166889244</v>
      </c>
      <c r="H547" s="224">
        <v>2.6703957440746446</v>
      </c>
      <c r="I547" s="224">
        <v>2.5487152658171119</v>
      </c>
      <c r="J547" s="224"/>
      <c r="M547" s="224">
        <f t="shared" si="30"/>
        <v>539155.75311817648</v>
      </c>
      <c r="N547" s="224">
        <f t="shared" si="31"/>
        <v>-0.13621163248836776</v>
      </c>
      <c r="O547" s="224">
        <f t="shared" si="32"/>
        <v>0.1216804782575327</v>
      </c>
      <c r="Q547" s="224"/>
      <c r="R547" s="224"/>
      <c r="S547" s="429"/>
      <c r="Z547" s="362"/>
      <c r="AA547" s="421"/>
      <c r="AB547" s="362"/>
      <c r="AC547" s="362"/>
      <c r="AD547" s="362"/>
      <c r="AE547" s="362"/>
      <c r="AF547" s="362"/>
      <c r="AG547" s="362"/>
      <c r="AH547" s="362"/>
      <c r="AI547" s="393"/>
      <c r="AJ547" s="393"/>
      <c r="AK547" s="362"/>
      <c r="AL547" s="362"/>
      <c r="AM547" s="362"/>
      <c r="AN547" s="362"/>
      <c r="AO547" s="362"/>
      <c r="AP547" s="362"/>
      <c r="AQ547" s="362"/>
      <c r="AR547" s="362"/>
    </row>
    <row r="548" spans="1:44" ht="12.75" customHeight="1" x14ac:dyDescent="0.15">
      <c r="A548" s="431"/>
      <c r="B548" s="393"/>
      <c r="C548" s="428"/>
      <c r="D548" s="428">
        <v>690798.96027990908</v>
      </c>
      <c r="E548" s="224">
        <v>161520.0518712473</v>
      </c>
      <c r="F548" s="224">
        <v>3.9886079757518473</v>
      </c>
      <c r="G548" s="224">
        <v>4.0088889169167548</v>
      </c>
      <c r="H548" s="224">
        <v>2.6903031792239567</v>
      </c>
      <c r="I548" s="224">
        <v>2.3710651729426133</v>
      </c>
      <c r="J548" s="224"/>
      <c r="M548" s="224">
        <f t="shared" si="30"/>
        <v>529278.90840866184</v>
      </c>
      <c r="N548" s="224">
        <f t="shared" si="31"/>
        <v>-2.0280941164907418E-2</v>
      </c>
      <c r="O548" s="224">
        <f t="shared" si="32"/>
        <v>0.31923800628134336</v>
      </c>
      <c r="Q548" s="224"/>
      <c r="R548" s="224"/>
      <c r="S548" s="429"/>
      <c r="Z548" s="362"/>
      <c r="AA548" s="421"/>
      <c r="AB548" s="362"/>
      <c r="AC548" s="362"/>
      <c r="AD548" s="362"/>
      <c r="AE548" s="362"/>
      <c r="AF548" s="362"/>
      <c r="AG548" s="362"/>
      <c r="AH548" s="362"/>
      <c r="AI548" s="393"/>
      <c r="AJ548" s="393"/>
      <c r="AK548" s="362"/>
      <c r="AL548" s="362"/>
      <c r="AM548" s="362"/>
      <c r="AN548" s="362"/>
      <c r="AO548" s="362"/>
      <c r="AP548" s="362"/>
      <c r="AQ548" s="362"/>
      <c r="AR548" s="362"/>
    </row>
    <row r="549" spans="1:44" ht="12.75" customHeight="1" x14ac:dyDescent="0.15">
      <c r="A549" s="431"/>
      <c r="B549" s="393"/>
      <c r="C549" s="428"/>
      <c r="D549" s="428">
        <v>452200.09288026404</v>
      </c>
      <c r="E549" s="224">
        <v>85295.823465776819</v>
      </c>
      <c r="F549" s="224">
        <v>4.0495681871273392</v>
      </c>
      <c r="G549" s="224">
        <v>3.8112063831940159</v>
      </c>
      <c r="H549" s="224">
        <v>2.282919470918241</v>
      </c>
      <c r="I549" s="224">
        <v>2.0710660958609064</v>
      </c>
      <c r="J549" s="224"/>
      <c r="M549" s="224">
        <f t="shared" si="30"/>
        <v>366904.26941448724</v>
      </c>
      <c r="N549" s="224">
        <f t="shared" si="31"/>
        <v>0.23836180393332329</v>
      </c>
      <c r="O549" s="224">
        <f t="shared" si="32"/>
        <v>0.21185337505733459</v>
      </c>
      <c r="Q549" s="224"/>
      <c r="R549" s="224"/>
      <c r="S549" s="429"/>
      <c r="Z549" s="362"/>
      <c r="AA549" s="421"/>
      <c r="AB549" s="362"/>
      <c r="AC549" s="362"/>
      <c r="AD549" s="362"/>
      <c r="AE549" s="362"/>
      <c r="AF549" s="362"/>
      <c r="AG549" s="362"/>
      <c r="AH549" s="362"/>
      <c r="AI549" s="393"/>
      <c r="AJ549" s="393"/>
      <c r="AK549" s="362"/>
      <c r="AL549" s="362"/>
      <c r="AM549" s="362"/>
      <c r="AN549" s="362"/>
      <c r="AO549" s="362"/>
      <c r="AP549" s="362"/>
      <c r="AQ549" s="362"/>
      <c r="AR549" s="362"/>
    </row>
    <row r="550" spans="1:44" ht="12.75" customHeight="1" x14ac:dyDescent="0.15">
      <c r="A550" s="431"/>
      <c r="B550" s="393"/>
      <c r="C550" s="428"/>
      <c r="D550" s="428">
        <v>791137.67596597073</v>
      </c>
      <c r="E550" s="224">
        <v>363915.12875046901</v>
      </c>
      <c r="F550" s="224">
        <v>4.3270941990833487</v>
      </c>
      <c r="G550" s="224">
        <v>4.2149313673549065</v>
      </c>
      <c r="H550" s="224">
        <v>2.5948982071600941</v>
      </c>
      <c r="I550" s="224">
        <v>2.2510904682225865</v>
      </c>
      <c r="J550" s="224"/>
      <c r="M550" s="224">
        <f t="shared" si="30"/>
        <v>427222.54721550172</v>
      </c>
      <c r="N550" s="224">
        <f t="shared" si="31"/>
        <v>0.11216283172844221</v>
      </c>
      <c r="O550" s="224">
        <f t="shared" si="32"/>
        <v>0.3438077389375076</v>
      </c>
      <c r="Q550" s="224"/>
      <c r="R550" s="224"/>
      <c r="S550" s="429"/>
      <c r="Z550" s="362"/>
      <c r="AA550" s="421"/>
      <c r="AB550" s="362"/>
      <c r="AC550" s="362"/>
      <c r="AD550" s="362"/>
      <c r="AE550" s="362"/>
      <c r="AF550" s="362"/>
      <c r="AG550" s="362"/>
      <c r="AH550" s="362"/>
      <c r="AI550" s="393"/>
      <c r="AJ550" s="393"/>
      <c r="AK550" s="362"/>
      <c r="AL550" s="362"/>
      <c r="AM550" s="362"/>
      <c r="AN550" s="362"/>
      <c r="AO550" s="362"/>
      <c r="AP550" s="362"/>
      <c r="AQ550" s="362"/>
      <c r="AR550" s="362"/>
    </row>
    <row r="551" spans="1:44" ht="12.75" customHeight="1" x14ac:dyDescent="0.15">
      <c r="A551" s="431"/>
      <c r="B551" s="393"/>
      <c r="C551" s="428"/>
      <c r="D551" s="428">
        <v>571008.19846296078</v>
      </c>
      <c r="E551" s="224">
        <v>126845.05807890033</v>
      </c>
      <c r="F551" s="224">
        <v>4.2107425627304362</v>
      </c>
      <c r="G551" s="224">
        <v>4.0924018842081926</v>
      </c>
      <c r="H551" s="224">
        <v>2.4763964516000918</v>
      </c>
      <c r="I551" s="224">
        <v>2.1193102098353114</v>
      </c>
      <c r="J551" s="224"/>
      <c r="M551" s="224">
        <f t="shared" si="30"/>
        <v>444163.14038406045</v>
      </c>
      <c r="N551" s="224">
        <f t="shared" si="31"/>
        <v>0.11834067852224361</v>
      </c>
      <c r="O551" s="224">
        <f t="shared" si="32"/>
        <v>0.35708624176478043</v>
      </c>
      <c r="Q551" s="224"/>
      <c r="R551" s="224"/>
      <c r="S551" s="429"/>
      <c r="Z551" s="362"/>
      <c r="AA551" s="421"/>
      <c r="AB551" s="362"/>
      <c r="AC551" s="362"/>
      <c r="AD551" s="362"/>
      <c r="AE551" s="362"/>
      <c r="AF551" s="362"/>
      <c r="AG551" s="362"/>
      <c r="AH551" s="362"/>
      <c r="AI551" s="393"/>
      <c r="AJ551" s="393"/>
      <c r="AK551" s="362"/>
      <c r="AL551" s="362"/>
      <c r="AM551" s="362"/>
      <c r="AN551" s="362"/>
      <c r="AO551" s="362"/>
      <c r="AP551" s="362"/>
      <c r="AQ551" s="362"/>
      <c r="AR551" s="362"/>
    </row>
    <row r="552" spans="1:44" ht="12.75" customHeight="1" x14ac:dyDescent="0.15">
      <c r="A552" s="431"/>
      <c r="B552" s="393"/>
      <c r="C552" s="428"/>
      <c r="D552" s="428">
        <v>599799.3374219751</v>
      </c>
      <c r="E552" s="224">
        <v>114615.333757545</v>
      </c>
      <c r="F552" s="224">
        <v>4.7000797160260372</v>
      </c>
      <c r="G552" s="224">
        <v>3.9654614511142818</v>
      </c>
      <c r="H552" s="224">
        <v>2.5716407949521627</v>
      </c>
      <c r="I552" s="224">
        <v>1.9339269911186563</v>
      </c>
      <c r="J552" s="224"/>
      <c r="M552" s="224">
        <f t="shared" si="30"/>
        <v>485184.00366443011</v>
      </c>
      <c r="N552" s="224">
        <f t="shared" si="31"/>
        <v>0.73461826491175541</v>
      </c>
      <c r="O552" s="224">
        <f t="shared" si="32"/>
        <v>0.6377138038335064</v>
      </c>
      <c r="Q552" s="224"/>
      <c r="R552" s="224"/>
      <c r="S552" s="429"/>
      <c r="Z552" s="362"/>
      <c r="AA552" s="421"/>
      <c r="AB552" s="362"/>
      <c r="AC552" s="362"/>
      <c r="AD552" s="362"/>
      <c r="AE552" s="362"/>
      <c r="AF552" s="362"/>
      <c r="AG552" s="362"/>
      <c r="AH552" s="362"/>
      <c r="AI552" s="393"/>
      <c r="AJ552" s="393"/>
      <c r="AK552" s="362"/>
      <c r="AL552" s="362"/>
      <c r="AM552" s="362"/>
      <c r="AN552" s="362"/>
      <c r="AO552" s="362"/>
      <c r="AP552" s="362"/>
      <c r="AQ552" s="362"/>
      <c r="AR552" s="362"/>
    </row>
    <row r="553" spans="1:44" ht="12.75" customHeight="1" x14ac:dyDescent="0.15">
      <c r="A553" s="431"/>
      <c r="B553" s="393"/>
      <c r="C553" s="428"/>
      <c r="D553" s="428">
        <v>643698.83160342812</v>
      </c>
      <c r="E553" s="224">
        <v>186249.08409629524</v>
      </c>
      <c r="F553" s="224">
        <v>4.6522519659382775</v>
      </c>
      <c r="G553" s="224">
        <v>4.3396410521328104</v>
      </c>
      <c r="H553" s="224">
        <v>3.1539784247688054</v>
      </c>
      <c r="I553" s="224">
        <v>2.5392476811447278</v>
      </c>
      <c r="J553" s="224"/>
      <c r="M553" s="224">
        <f t="shared" si="30"/>
        <v>457449.74750713288</v>
      </c>
      <c r="N553" s="224">
        <f t="shared" si="31"/>
        <v>0.31261091380546713</v>
      </c>
      <c r="O553" s="224">
        <f t="shared" si="32"/>
        <v>0.61473074362407765</v>
      </c>
      <c r="Q553" s="224"/>
      <c r="R553" s="224"/>
      <c r="S553" s="429"/>
      <c r="Z553" s="362"/>
      <c r="AA553" s="421"/>
      <c r="AB553" s="362"/>
      <c r="AC553" s="362"/>
      <c r="AD553" s="362"/>
      <c r="AE553" s="362"/>
      <c r="AF553" s="362"/>
      <c r="AG553" s="362"/>
      <c r="AH553" s="362"/>
      <c r="AI553" s="393"/>
      <c r="AJ553" s="393"/>
      <c r="AK553" s="362"/>
      <c r="AL553" s="362"/>
      <c r="AM553" s="362"/>
      <c r="AN553" s="362"/>
      <c r="AO553" s="362"/>
      <c r="AP553" s="362"/>
      <c r="AQ553" s="362"/>
      <c r="AR553" s="362"/>
    </row>
    <row r="554" spans="1:44" ht="12.75" customHeight="1" x14ac:dyDescent="0.15">
      <c r="A554" s="431"/>
      <c r="B554" s="393"/>
      <c r="C554" s="428"/>
      <c r="D554" s="428">
        <v>495714.62773821701</v>
      </c>
      <c r="E554" s="224">
        <v>142915.46071990114</v>
      </c>
      <c r="F554" s="224">
        <v>4.0726787174299908</v>
      </c>
      <c r="G554" s="224">
        <v>3.7317330536274884</v>
      </c>
      <c r="H554" s="224">
        <v>2.5847738161742844</v>
      </c>
      <c r="I554" s="224">
        <v>2.3485241917250512</v>
      </c>
      <c r="J554" s="224"/>
      <c r="M554" s="224">
        <f t="shared" si="30"/>
        <v>352799.16701831587</v>
      </c>
      <c r="N554" s="224">
        <f t="shared" si="31"/>
        <v>0.34094566380250235</v>
      </c>
      <c r="O554" s="224">
        <f t="shared" si="32"/>
        <v>0.23624962444923314</v>
      </c>
      <c r="Q554" s="224"/>
      <c r="R554" s="224"/>
      <c r="S554" s="429"/>
      <c r="Z554" s="362"/>
      <c r="AA554" s="421"/>
      <c r="AB554" s="362"/>
      <c r="AC554" s="362"/>
      <c r="AD554" s="362"/>
      <c r="AE554" s="362"/>
      <c r="AF554" s="362"/>
      <c r="AG554" s="362"/>
      <c r="AH554" s="362"/>
      <c r="AI554" s="393"/>
      <c r="AJ554" s="393"/>
      <c r="AK554" s="362"/>
      <c r="AL554" s="362"/>
      <c r="AM554" s="362"/>
      <c r="AN554" s="362"/>
      <c r="AO554" s="362"/>
      <c r="AP554" s="362"/>
      <c r="AQ554" s="362"/>
      <c r="AR554" s="362"/>
    </row>
    <row r="555" spans="1:44" ht="12.75" customHeight="1" x14ac:dyDescent="0.15">
      <c r="A555" s="431"/>
      <c r="B555" s="393"/>
      <c r="C555" s="428"/>
      <c r="D555" s="428">
        <v>670533.3128867693</v>
      </c>
      <c r="E555" s="224">
        <v>131878.68314790269</v>
      </c>
      <c r="F555" s="224">
        <v>5.1842912922459572</v>
      </c>
      <c r="G555" s="224">
        <v>3.8918836911046468</v>
      </c>
      <c r="H555" s="224">
        <v>3.4140785568640055</v>
      </c>
      <c r="I555" s="224">
        <v>2.4273089234925496</v>
      </c>
      <c r="J555" s="224"/>
      <c r="M555" s="224">
        <f t="shared" si="30"/>
        <v>538654.62973886658</v>
      </c>
      <c r="N555" s="224">
        <f t="shared" si="31"/>
        <v>1.2924076011413104</v>
      </c>
      <c r="O555" s="224">
        <f t="shared" si="32"/>
        <v>0.98676963337145596</v>
      </c>
      <c r="Q555" s="224"/>
      <c r="R555" s="224"/>
      <c r="S555" s="429"/>
      <c r="Z555" s="362"/>
      <c r="AA555" s="421"/>
      <c r="AB555" s="362"/>
      <c r="AC555" s="362"/>
      <c r="AD555" s="362"/>
      <c r="AE555" s="362"/>
      <c r="AF555" s="362"/>
      <c r="AG555" s="362"/>
      <c r="AH555" s="362"/>
      <c r="AI555" s="393"/>
      <c r="AJ555" s="393"/>
      <c r="AK555" s="362"/>
      <c r="AL555" s="362"/>
      <c r="AM555" s="362"/>
      <c r="AN555" s="362"/>
      <c r="AO555" s="362"/>
      <c r="AP555" s="362"/>
      <c r="AQ555" s="362"/>
      <c r="AR555" s="362"/>
    </row>
    <row r="556" spans="1:44" ht="12.75" customHeight="1" x14ac:dyDescent="0.15">
      <c r="A556" s="431"/>
      <c r="B556" s="393"/>
      <c r="C556" s="428"/>
      <c r="D556" s="428">
        <v>713841.29183179291</v>
      </c>
      <c r="E556" s="224">
        <v>229245.67144329252</v>
      </c>
      <c r="F556" s="224">
        <v>3.4763356807745902</v>
      </c>
      <c r="G556" s="224">
        <v>3.7239771118742322</v>
      </c>
      <c r="H556" s="224">
        <v>2.2501938752778488</v>
      </c>
      <c r="I556" s="224">
        <v>2.0013320728062238</v>
      </c>
      <c r="J556" s="224"/>
      <c r="M556" s="224">
        <f t="shared" si="30"/>
        <v>484595.62038850039</v>
      </c>
      <c r="N556" s="224">
        <f t="shared" si="31"/>
        <v>-0.24764143109964198</v>
      </c>
      <c r="O556" s="224">
        <f t="shared" si="32"/>
        <v>0.24886180247162493</v>
      </c>
      <c r="Q556" s="224"/>
      <c r="R556" s="224"/>
      <c r="S556" s="429"/>
      <c r="Z556" s="362"/>
      <c r="AA556" s="421"/>
      <c r="AB556" s="362"/>
      <c r="AC556" s="362"/>
      <c r="AD556" s="362"/>
      <c r="AE556" s="362"/>
      <c r="AF556" s="362"/>
      <c r="AG556" s="362"/>
      <c r="AH556" s="362"/>
      <c r="AI556" s="393"/>
      <c r="AJ556" s="393"/>
      <c r="AK556" s="362"/>
      <c r="AL556" s="362"/>
      <c r="AM556" s="362"/>
      <c r="AN556" s="362"/>
      <c r="AO556" s="362"/>
      <c r="AP556" s="362"/>
      <c r="AQ556" s="362"/>
      <c r="AR556" s="362"/>
    </row>
    <row r="557" spans="1:44" ht="12.75" customHeight="1" x14ac:dyDescent="0.15">
      <c r="A557" s="431"/>
      <c r="B557" s="393"/>
      <c r="C557" s="428"/>
      <c r="D557" s="428">
        <v>615018.7553462151</v>
      </c>
      <c r="E557" s="224">
        <v>176759.43013921025</v>
      </c>
      <c r="F557" s="224">
        <v>4.6663730214547492</v>
      </c>
      <c r="G557" s="224">
        <v>4.2735229962339254</v>
      </c>
      <c r="H557" s="224">
        <v>2.6043604006318963</v>
      </c>
      <c r="I557" s="224">
        <v>2.2943794492543939</v>
      </c>
      <c r="J557" s="224"/>
      <c r="M557" s="224">
        <f t="shared" si="30"/>
        <v>438259.32520700485</v>
      </c>
      <c r="N557" s="224">
        <f t="shared" si="31"/>
        <v>0.3928500252208238</v>
      </c>
      <c r="O557" s="224">
        <f t="shared" si="32"/>
        <v>0.30998095137750248</v>
      </c>
      <c r="Q557" s="224"/>
      <c r="R557" s="224"/>
      <c r="S557" s="429"/>
      <c r="Z557" s="362"/>
      <c r="AA557" s="421"/>
      <c r="AB557" s="362"/>
      <c r="AC557" s="362"/>
      <c r="AD557" s="362"/>
      <c r="AE557" s="362"/>
      <c r="AF557" s="362"/>
      <c r="AG557" s="362"/>
      <c r="AH557" s="362"/>
      <c r="AI557" s="393"/>
      <c r="AJ557" s="393"/>
      <c r="AK557" s="362"/>
      <c r="AL557" s="362"/>
      <c r="AM557" s="362"/>
      <c r="AN557" s="362"/>
      <c r="AO557" s="362"/>
      <c r="AP557" s="362"/>
      <c r="AQ557" s="362"/>
      <c r="AR557" s="362"/>
    </row>
    <row r="558" spans="1:44" ht="12.75" customHeight="1" x14ac:dyDescent="0.15">
      <c r="A558" s="431"/>
      <c r="B558" s="393"/>
      <c r="C558" s="428"/>
      <c r="D558" s="428">
        <v>562831.37284667022</v>
      </c>
      <c r="E558" s="224">
        <v>119127.08720988684</v>
      </c>
      <c r="F558" s="224">
        <v>4.6295931087572564</v>
      </c>
      <c r="G558" s="224">
        <v>4.1833636055966767</v>
      </c>
      <c r="H558" s="224">
        <v>2.968479373453742</v>
      </c>
      <c r="I558" s="224">
        <v>2.3485151302842069</v>
      </c>
      <c r="J558" s="224"/>
      <c r="M558" s="224">
        <f t="shared" si="30"/>
        <v>443704.28563678334</v>
      </c>
      <c r="N558" s="224">
        <f t="shared" si="31"/>
        <v>0.44622950316057963</v>
      </c>
      <c r="O558" s="224">
        <f t="shared" si="32"/>
        <v>0.61996424316953513</v>
      </c>
      <c r="Q558" s="224"/>
      <c r="R558" s="224"/>
      <c r="S558" s="429"/>
      <c r="Z558" s="362"/>
      <c r="AA558" s="421"/>
      <c r="AB558" s="362"/>
      <c r="AC558" s="362"/>
      <c r="AD558" s="362"/>
      <c r="AE558" s="362"/>
      <c r="AF558" s="362"/>
      <c r="AG558" s="362"/>
      <c r="AH558" s="362"/>
      <c r="AI558" s="393"/>
      <c r="AJ558" s="393"/>
      <c r="AK558" s="362"/>
      <c r="AL558" s="362"/>
      <c r="AM558" s="362"/>
      <c r="AN558" s="362"/>
      <c r="AO558" s="362"/>
      <c r="AP558" s="362"/>
      <c r="AQ558" s="362"/>
      <c r="AR558" s="362"/>
    </row>
    <row r="559" spans="1:44" ht="12.75" customHeight="1" x14ac:dyDescent="0.15">
      <c r="A559" s="431"/>
      <c r="B559" s="393"/>
      <c r="C559" s="428"/>
      <c r="D559" s="428">
        <v>694014.69307584886</v>
      </c>
      <c r="E559" s="224">
        <v>141465.94078537237</v>
      </c>
      <c r="F559" s="224">
        <v>4.4801392870384893</v>
      </c>
      <c r="G559" s="224">
        <v>3.4649298123840788</v>
      </c>
      <c r="H559" s="224">
        <v>3.026775781497244</v>
      </c>
      <c r="I559" s="224">
        <v>2.0817206328366873</v>
      </c>
      <c r="J559" s="224"/>
      <c r="M559" s="224">
        <f t="shared" si="30"/>
        <v>552548.75229047646</v>
      </c>
      <c r="N559" s="224">
        <f t="shared" si="31"/>
        <v>1.0152094746544105</v>
      </c>
      <c r="O559" s="224">
        <f t="shared" si="32"/>
        <v>0.94505514866055673</v>
      </c>
      <c r="Q559" s="224"/>
      <c r="R559" s="224"/>
      <c r="S559" s="429"/>
      <c r="Z559" s="362"/>
      <c r="AA559" s="421"/>
      <c r="AB559" s="362"/>
      <c r="AC559" s="362"/>
      <c r="AD559" s="362"/>
      <c r="AE559" s="362"/>
      <c r="AF559" s="362"/>
      <c r="AG559" s="362"/>
      <c r="AH559" s="362"/>
      <c r="AI559" s="393"/>
      <c r="AJ559" s="393"/>
      <c r="AK559" s="362"/>
      <c r="AL559" s="362"/>
      <c r="AM559" s="362"/>
      <c r="AN559" s="362"/>
      <c r="AO559" s="362"/>
      <c r="AP559" s="362"/>
      <c r="AQ559" s="362"/>
      <c r="AR559" s="362"/>
    </row>
    <row r="560" spans="1:44" ht="12.75" customHeight="1" x14ac:dyDescent="0.15">
      <c r="A560" s="431"/>
      <c r="B560" s="393"/>
      <c r="C560" s="428"/>
      <c r="D560" s="428">
        <v>709254.48424990056</v>
      </c>
      <c r="E560" s="224">
        <v>171992.63952272179</v>
      </c>
      <c r="F560" s="224">
        <v>4.5507921566266125</v>
      </c>
      <c r="G560" s="224">
        <v>4.3064234922982569</v>
      </c>
      <c r="H560" s="224">
        <v>2.8871808004613535</v>
      </c>
      <c r="I560" s="224">
        <v>2.487610655076558</v>
      </c>
      <c r="J560" s="224"/>
      <c r="M560" s="224">
        <f t="shared" si="30"/>
        <v>537261.8447271788</v>
      </c>
      <c r="N560" s="224">
        <f t="shared" si="31"/>
        <v>0.24436866432835558</v>
      </c>
      <c r="O560" s="224">
        <f t="shared" si="32"/>
        <v>0.39957014538479552</v>
      </c>
      <c r="Q560" s="224"/>
      <c r="R560" s="224"/>
      <c r="S560" s="429"/>
      <c r="Z560" s="362"/>
      <c r="AA560" s="421"/>
      <c r="AB560" s="362"/>
      <c r="AC560" s="362"/>
      <c r="AD560" s="362"/>
      <c r="AE560" s="362"/>
      <c r="AF560" s="362"/>
      <c r="AG560" s="362"/>
      <c r="AH560" s="362"/>
      <c r="AI560" s="393"/>
      <c r="AJ560" s="393"/>
      <c r="AK560" s="362"/>
      <c r="AL560" s="362"/>
      <c r="AM560" s="362"/>
      <c r="AN560" s="362"/>
      <c r="AO560" s="362"/>
      <c r="AP560" s="362"/>
      <c r="AQ560" s="362"/>
      <c r="AR560" s="362"/>
    </row>
    <row r="561" spans="1:44" ht="12.75" customHeight="1" x14ac:dyDescent="0.15">
      <c r="A561" s="431"/>
      <c r="B561" s="393"/>
      <c r="C561" s="428"/>
      <c r="D561" s="428">
        <v>598200.52338246547</v>
      </c>
      <c r="E561" s="224">
        <v>215234.33701319827</v>
      </c>
      <c r="F561" s="224">
        <v>5.3964297043599032</v>
      </c>
      <c r="G561" s="224">
        <v>4.0399516378090059</v>
      </c>
      <c r="H561" s="224">
        <v>2.8603064425277465</v>
      </c>
      <c r="I561" s="224">
        <v>2.1655152351445155</v>
      </c>
      <c r="J561" s="224"/>
      <c r="M561" s="224">
        <f t="shared" si="30"/>
        <v>382966.18636926718</v>
      </c>
      <c r="N561" s="224">
        <f t="shared" si="31"/>
        <v>1.3564780665508973</v>
      </c>
      <c r="O561" s="224">
        <f t="shared" si="32"/>
        <v>0.69479120738323097</v>
      </c>
      <c r="Q561" s="224"/>
      <c r="R561" s="224"/>
      <c r="S561" s="429"/>
      <c r="Z561" s="362"/>
      <c r="AA561" s="421"/>
      <c r="AB561" s="362"/>
      <c r="AC561" s="362"/>
      <c r="AD561" s="362"/>
      <c r="AE561" s="362"/>
      <c r="AF561" s="362"/>
      <c r="AG561" s="362"/>
      <c r="AH561" s="362"/>
      <c r="AI561" s="393"/>
      <c r="AJ561" s="393"/>
      <c r="AK561" s="362"/>
      <c r="AL561" s="362"/>
      <c r="AM561" s="362"/>
      <c r="AN561" s="362"/>
      <c r="AO561" s="362"/>
      <c r="AP561" s="362"/>
      <c r="AQ561" s="362"/>
      <c r="AR561" s="362"/>
    </row>
    <row r="562" spans="1:44" ht="12.75" customHeight="1" x14ac:dyDescent="0.15">
      <c r="A562" s="431"/>
      <c r="B562" s="393"/>
      <c r="C562" s="428"/>
      <c r="D562" s="428">
        <v>571168.29794043326</v>
      </c>
      <c r="E562" s="224">
        <v>116459.18580340533</v>
      </c>
      <c r="F562" s="224">
        <v>4.5167090012430844</v>
      </c>
      <c r="G562" s="224">
        <v>4.2608895847115731</v>
      </c>
      <c r="H562" s="224">
        <v>2.6815356710427722</v>
      </c>
      <c r="I562" s="224">
        <v>2.4808588576806314</v>
      </c>
      <c r="J562" s="224"/>
      <c r="M562" s="224">
        <f t="shared" si="30"/>
        <v>454709.1121370279</v>
      </c>
      <c r="N562" s="224">
        <f t="shared" si="31"/>
        <v>0.2558194165315113</v>
      </c>
      <c r="O562" s="224">
        <f t="shared" si="32"/>
        <v>0.20067681336214083</v>
      </c>
      <c r="Q562" s="224"/>
      <c r="R562" s="224"/>
      <c r="S562" s="429"/>
      <c r="Z562" s="362"/>
      <c r="AA562" s="421"/>
      <c r="AB562" s="362"/>
      <c r="AC562" s="362"/>
      <c r="AD562" s="362"/>
      <c r="AE562" s="362"/>
      <c r="AF562" s="362"/>
      <c r="AG562" s="362"/>
      <c r="AH562" s="362"/>
      <c r="AI562" s="393"/>
      <c r="AJ562" s="393"/>
      <c r="AK562" s="362"/>
      <c r="AL562" s="362"/>
      <c r="AM562" s="362"/>
      <c r="AN562" s="362"/>
      <c r="AO562" s="362"/>
      <c r="AP562" s="362"/>
      <c r="AQ562" s="362"/>
      <c r="AR562" s="362"/>
    </row>
    <row r="563" spans="1:44" ht="12.75" customHeight="1" x14ac:dyDescent="0.15">
      <c r="A563" s="431"/>
      <c r="B563" s="393"/>
      <c r="C563" s="428"/>
      <c r="D563" s="428">
        <v>633590.54614460515</v>
      </c>
      <c r="E563" s="224">
        <v>135934.67934902737</v>
      </c>
      <c r="F563" s="224">
        <v>4.0451288435447701</v>
      </c>
      <c r="G563" s="224">
        <v>3.2072234405275606</v>
      </c>
      <c r="H563" s="224">
        <v>2.3850251440343477</v>
      </c>
      <c r="I563" s="224">
        <v>1.7474863420639459</v>
      </c>
      <c r="J563" s="224"/>
      <c r="M563" s="224">
        <f t="shared" si="30"/>
        <v>497655.86679557781</v>
      </c>
      <c r="N563" s="224">
        <f t="shared" si="31"/>
        <v>0.8379054030172095</v>
      </c>
      <c r="O563" s="224">
        <f t="shared" si="32"/>
        <v>0.6375388019704018</v>
      </c>
      <c r="Q563" s="224"/>
      <c r="R563" s="224"/>
      <c r="S563" s="429"/>
      <c r="Z563" s="362"/>
      <c r="AA563" s="421"/>
      <c r="AB563" s="362"/>
      <c r="AC563" s="362"/>
      <c r="AD563" s="362"/>
      <c r="AE563" s="362"/>
      <c r="AF563" s="362"/>
      <c r="AG563" s="362"/>
      <c r="AH563" s="362"/>
      <c r="AI563" s="393"/>
      <c r="AJ563" s="393"/>
      <c r="AK563" s="362"/>
      <c r="AL563" s="362"/>
      <c r="AM563" s="362"/>
      <c r="AN563" s="362"/>
      <c r="AO563" s="362"/>
      <c r="AP563" s="362"/>
      <c r="AQ563" s="362"/>
      <c r="AR563" s="362"/>
    </row>
    <row r="564" spans="1:44" ht="12.75" customHeight="1" x14ac:dyDescent="0.15">
      <c r="A564" s="431"/>
      <c r="B564" s="393"/>
      <c r="C564" s="428"/>
      <c r="D564" s="428">
        <v>653049.81989991257</v>
      </c>
      <c r="E564" s="224">
        <v>122554.81548354652</v>
      </c>
      <c r="F564" s="224">
        <v>4.1707449430364747</v>
      </c>
      <c r="G564" s="224">
        <v>3.258691200303911</v>
      </c>
      <c r="H564" s="224">
        <v>2.7828350380960201</v>
      </c>
      <c r="I564" s="224">
        <v>2.0282730417448871</v>
      </c>
      <c r="J564" s="224"/>
      <c r="M564" s="224">
        <f t="shared" si="30"/>
        <v>530495.00441636611</v>
      </c>
      <c r="N564" s="224">
        <f t="shared" si="31"/>
        <v>0.91205374273256368</v>
      </c>
      <c r="O564" s="224">
        <f t="shared" si="32"/>
        <v>0.75456199635113297</v>
      </c>
      <c r="Q564" s="224"/>
      <c r="R564" s="224"/>
      <c r="S564" s="429"/>
      <c r="Z564" s="362"/>
      <c r="AA564" s="421"/>
      <c r="AB564" s="362"/>
      <c r="AC564" s="362"/>
      <c r="AD564" s="362"/>
      <c r="AE564" s="362"/>
      <c r="AF564" s="362"/>
      <c r="AG564" s="362"/>
      <c r="AH564" s="362"/>
      <c r="AI564" s="393"/>
      <c r="AJ564" s="393"/>
      <c r="AK564" s="362"/>
      <c r="AL564" s="362"/>
      <c r="AM564" s="362"/>
      <c r="AN564" s="362"/>
      <c r="AO564" s="362"/>
      <c r="AP564" s="362"/>
      <c r="AQ564" s="362"/>
      <c r="AR564" s="362"/>
    </row>
    <row r="565" spans="1:44" ht="12.75" customHeight="1" x14ac:dyDescent="0.15">
      <c r="A565" s="431"/>
      <c r="B565" s="393"/>
      <c r="C565" s="428"/>
      <c r="D565" s="428">
        <v>698778.62126713479</v>
      </c>
      <c r="E565" s="224">
        <v>144418.834088812</v>
      </c>
      <c r="F565" s="224">
        <v>4.0393460454440682</v>
      </c>
      <c r="G565" s="224">
        <v>3.2899085756811739</v>
      </c>
      <c r="H565" s="224">
        <v>2.5200740611511825</v>
      </c>
      <c r="I565" s="224">
        <v>1.8038534078465442</v>
      </c>
      <c r="J565" s="224"/>
      <c r="M565" s="224">
        <f t="shared" si="30"/>
        <v>554359.78717832279</v>
      </c>
      <c r="N565" s="224">
        <f t="shared" si="31"/>
        <v>0.74943746976289427</v>
      </c>
      <c r="O565" s="224">
        <f t="shared" si="32"/>
        <v>0.71622065330463824</v>
      </c>
      <c r="Q565" s="224"/>
      <c r="R565" s="224"/>
      <c r="S565" s="429"/>
      <c r="Z565" s="362"/>
      <c r="AA565" s="421"/>
      <c r="AB565" s="362"/>
      <c r="AC565" s="362"/>
      <c r="AD565" s="362"/>
      <c r="AE565" s="362"/>
      <c r="AF565" s="362"/>
      <c r="AG565" s="362"/>
      <c r="AH565" s="362"/>
      <c r="AI565" s="393"/>
      <c r="AJ565" s="393"/>
      <c r="AK565" s="362"/>
      <c r="AL565" s="362"/>
      <c r="AM565" s="362"/>
      <c r="AN565" s="362"/>
      <c r="AO565" s="362"/>
      <c r="AP565" s="362"/>
      <c r="AQ565" s="362"/>
      <c r="AR565" s="362"/>
    </row>
    <row r="566" spans="1:44" ht="12.75" customHeight="1" x14ac:dyDescent="0.15">
      <c r="A566" s="431"/>
      <c r="B566" s="393"/>
      <c r="C566" s="428"/>
      <c r="D566" s="428">
        <v>556741.3159735417</v>
      </c>
      <c r="E566" s="224">
        <v>138349.01321114253</v>
      </c>
      <c r="F566" s="224">
        <v>4.1557882579491388</v>
      </c>
      <c r="G566" s="224">
        <v>4.2475688756665777</v>
      </c>
      <c r="H566" s="224">
        <v>2.5231053095146181</v>
      </c>
      <c r="I566" s="224">
        <v>2.3533569380000334</v>
      </c>
      <c r="J566" s="224"/>
      <c r="M566" s="224">
        <f t="shared" si="30"/>
        <v>418392.30276239919</v>
      </c>
      <c r="N566" s="224">
        <f t="shared" si="31"/>
        <v>-9.178061771743895E-2</v>
      </c>
      <c r="O566" s="224">
        <f t="shared" si="32"/>
        <v>0.16974837151458466</v>
      </c>
      <c r="Q566" s="224"/>
      <c r="R566" s="224"/>
      <c r="S566" s="429"/>
      <c r="Z566" s="362"/>
      <c r="AA566" s="421"/>
      <c r="AB566" s="362"/>
      <c r="AC566" s="362"/>
      <c r="AD566" s="362"/>
      <c r="AE566" s="362"/>
      <c r="AF566" s="362"/>
      <c r="AG566" s="362"/>
      <c r="AH566" s="362"/>
      <c r="AI566" s="393"/>
      <c r="AJ566" s="393"/>
      <c r="AK566" s="362"/>
      <c r="AL566" s="362"/>
      <c r="AM566" s="362"/>
      <c r="AN566" s="362"/>
      <c r="AO566" s="362"/>
      <c r="AP566" s="362"/>
      <c r="AQ566" s="362"/>
      <c r="AR566" s="362"/>
    </row>
    <row r="567" spans="1:44" ht="12.75" customHeight="1" x14ac:dyDescent="0.15">
      <c r="A567" s="431"/>
      <c r="B567" s="393"/>
      <c r="C567" s="428"/>
      <c r="D567" s="428">
        <v>727027.14164666901</v>
      </c>
      <c r="E567" s="224">
        <v>152197.18632571108</v>
      </c>
      <c r="F567" s="224">
        <v>4.3556592675695747</v>
      </c>
      <c r="G567" s="224">
        <v>3.7953168915601854</v>
      </c>
      <c r="H567" s="224">
        <v>2.9919284902224499</v>
      </c>
      <c r="I567" s="224">
        <v>2.3931383867562701</v>
      </c>
      <c r="J567" s="224"/>
      <c r="M567" s="224">
        <f t="shared" si="30"/>
        <v>574829.95532095793</v>
      </c>
      <c r="N567" s="224">
        <f t="shared" si="31"/>
        <v>0.5603423760093893</v>
      </c>
      <c r="O567" s="224">
        <f t="shared" si="32"/>
        <v>0.59879010346617978</v>
      </c>
      <c r="Q567" s="224"/>
      <c r="R567" s="224"/>
      <c r="S567" s="429"/>
      <c r="Z567" s="362"/>
      <c r="AA567" s="421"/>
      <c r="AB567" s="362"/>
      <c r="AC567" s="362"/>
      <c r="AD567" s="362"/>
      <c r="AE567" s="362"/>
      <c r="AF567" s="362"/>
      <c r="AG567" s="362"/>
      <c r="AH567" s="362"/>
      <c r="AI567" s="393"/>
      <c r="AJ567" s="393"/>
      <c r="AK567" s="362"/>
      <c r="AL567" s="362"/>
      <c r="AM567" s="362"/>
      <c r="AN567" s="362"/>
      <c r="AO567" s="362"/>
      <c r="AP567" s="362"/>
      <c r="AQ567" s="362"/>
      <c r="AR567" s="362"/>
    </row>
    <row r="568" spans="1:44" ht="12.75" customHeight="1" x14ac:dyDescent="0.15">
      <c r="A568" s="431"/>
      <c r="B568" s="393"/>
      <c r="C568" s="428"/>
      <c r="D568" s="428">
        <v>450385.55236510315</v>
      </c>
      <c r="E568" s="224">
        <v>98186.517510762555</v>
      </c>
      <c r="F568" s="224">
        <v>4.1181375967208531</v>
      </c>
      <c r="G568" s="224">
        <v>3.4854887336486859</v>
      </c>
      <c r="H568" s="224">
        <v>2.3614073710910048</v>
      </c>
      <c r="I568" s="224">
        <v>2.0276670049452572</v>
      </c>
      <c r="J568" s="224"/>
      <c r="M568" s="224">
        <f t="shared" si="30"/>
        <v>352199.0348543406</v>
      </c>
      <c r="N568" s="224">
        <f t="shared" si="31"/>
        <v>0.63264886307216717</v>
      </c>
      <c r="O568" s="224">
        <f t="shared" si="32"/>
        <v>0.33374036614574765</v>
      </c>
      <c r="Q568" s="224"/>
      <c r="R568" s="224"/>
      <c r="S568" s="429"/>
      <c r="Z568" s="362"/>
      <c r="AA568" s="421"/>
      <c r="AB568" s="362"/>
      <c r="AC568" s="362"/>
      <c r="AD568" s="362"/>
      <c r="AE568" s="362"/>
      <c r="AF568" s="362"/>
      <c r="AG568" s="362"/>
      <c r="AH568" s="362"/>
      <c r="AI568" s="393"/>
      <c r="AJ568" s="393"/>
      <c r="AK568" s="362"/>
      <c r="AL568" s="362"/>
      <c r="AM568" s="362"/>
      <c r="AN568" s="362"/>
      <c r="AO568" s="362"/>
      <c r="AP568" s="362"/>
      <c r="AQ568" s="362"/>
      <c r="AR568" s="362"/>
    </row>
    <row r="569" spans="1:44" ht="12.75" customHeight="1" x14ac:dyDescent="0.15">
      <c r="A569" s="431"/>
      <c r="B569" s="393"/>
      <c r="C569" s="428"/>
      <c r="D569" s="428">
        <v>804000.51614181721</v>
      </c>
      <c r="E569" s="224">
        <v>159111.98780565729</v>
      </c>
      <c r="F569" s="224">
        <v>5.3508833614492453</v>
      </c>
      <c r="G569" s="224">
        <v>3.8423007480930638</v>
      </c>
      <c r="H569" s="224">
        <v>3.2813631319365362</v>
      </c>
      <c r="I569" s="224">
        <v>2.0676111647463569</v>
      </c>
      <c r="J569" s="224"/>
      <c r="M569" s="224">
        <f t="shared" si="30"/>
        <v>644888.52833615988</v>
      </c>
      <c r="N569" s="224">
        <f t="shared" si="31"/>
        <v>1.5085826133561815</v>
      </c>
      <c r="O569" s="224">
        <f t="shared" si="32"/>
        <v>1.2137519671901793</v>
      </c>
      <c r="Q569" s="224"/>
      <c r="R569" s="224"/>
      <c r="S569" s="429"/>
      <c r="Z569" s="362"/>
      <c r="AA569" s="421"/>
      <c r="AB569" s="362"/>
      <c r="AC569" s="362"/>
      <c r="AD569" s="362"/>
      <c r="AE569" s="362"/>
      <c r="AF569" s="362"/>
      <c r="AG569" s="362"/>
      <c r="AH569" s="362"/>
      <c r="AI569" s="393"/>
      <c r="AJ569" s="393"/>
      <c r="AK569" s="362"/>
      <c r="AL569" s="362"/>
      <c r="AM569" s="362"/>
      <c r="AN569" s="362"/>
      <c r="AO569" s="362"/>
      <c r="AP569" s="362"/>
      <c r="AQ569" s="362"/>
      <c r="AR569" s="362"/>
    </row>
    <row r="570" spans="1:44" ht="12.75" customHeight="1" x14ac:dyDescent="0.15">
      <c r="A570" s="431"/>
      <c r="B570" s="393"/>
      <c r="C570" s="428"/>
      <c r="D570" s="428">
        <v>491197.3586758679</v>
      </c>
      <c r="E570" s="224">
        <v>105272.08562721402</v>
      </c>
      <c r="F570" s="224">
        <v>3.9679459060564457</v>
      </c>
      <c r="G570" s="224">
        <v>3.8477298665882507</v>
      </c>
      <c r="H570" s="224">
        <v>2.1958984270302415</v>
      </c>
      <c r="I570" s="224">
        <v>2.1663654812662059</v>
      </c>
      <c r="J570" s="224"/>
      <c r="M570" s="224">
        <f t="shared" si="30"/>
        <v>385925.27304865385</v>
      </c>
      <c r="N570" s="224">
        <f t="shared" si="31"/>
        <v>0.12021603946819504</v>
      </c>
      <c r="O570" s="224">
        <f t="shared" si="32"/>
        <v>2.9532945764035645E-2</v>
      </c>
      <c r="Q570" s="224"/>
      <c r="R570" s="224"/>
      <c r="S570" s="429"/>
      <c r="Z570" s="362"/>
      <c r="AA570" s="421"/>
      <c r="AB570" s="362"/>
      <c r="AC570" s="362"/>
      <c r="AD570" s="362"/>
      <c r="AE570" s="362"/>
      <c r="AF570" s="362"/>
      <c r="AG570" s="362"/>
      <c r="AH570" s="362"/>
      <c r="AI570" s="393"/>
      <c r="AJ570" s="393"/>
      <c r="AK570" s="362"/>
      <c r="AL570" s="362"/>
      <c r="AM570" s="362"/>
      <c r="AN570" s="362"/>
      <c r="AO570" s="362"/>
      <c r="AP570" s="362"/>
      <c r="AQ570" s="362"/>
      <c r="AR570" s="362"/>
    </row>
    <row r="571" spans="1:44" ht="12.75" customHeight="1" x14ac:dyDescent="0.15">
      <c r="A571" s="431"/>
      <c r="B571" s="393"/>
      <c r="C571" s="428"/>
      <c r="D571" s="428">
        <v>579396.34103427734</v>
      </c>
      <c r="E571" s="224">
        <v>161169.39200189334</v>
      </c>
      <c r="F571" s="224">
        <v>3.8962015344300984</v>
      </c>
      <c r="G571" s="224">
        <v>4.1274454314497628</v>
      </c>
      <c r="H571" s="224">
        <v>2.3029307505006131</v>
      </c>
      <c r="I571" s="224">
        <v>2.1996631969703833</v>
      </c>
      <c r="J571" s="224"/>
      <c r="M571" s="224">
        <f t="shared" si="30"/>
        <v>418226.94903238397</v>
      </c>
      <c r="N571" s="224">
        <f t="shared" si="31"/>
        <v>-0.23124389701966441</v>
      </c>
      <c r="O571" s="224">
        <f t="shared" si="32"/>
        <v>0.10326755353022987</v>
      </c>
      <c r="Q571" s="224"/>
      <c r="R571" s="224"/>
      <c r="S571" s="429"/>
      <c r="Z571" s="362"/>
      <c r="AA571" s="421"/>
      <c r="AB571" s="362"/>
      <c r="AC571" s="362"/>
      <c r="AD571" s="362"/>
      <c r="AE571" s="362"/>
      <c r="AF571" s="362"/>
      <c r="AG571" s="362"/>
      <c r="AH571" s="362"/>
      <c r="AI571" s="393"/>
      <c r="AJ571" s="393"/>
      <c r="AK571" s="362"/>
      <c r="AL571" s="362"/>
      <c r="AM571" s="362"/>
      <c r="AN571" s="362"/>
      <c r="AO571" s="362"/>
      <c r="AP571" s="362"/>
      <c r="AQ571" s="362"/>
      <c r="AR571" s="362"/>
    </row>
    <row r="572" spans="1:44" ht="12.75" customHeight="1" x14ac:dyDescent="0.15">
      <c r="A572" s="431"/>
      <c r="B572" s="393"/>
      <c r="C572" s="428"/>
      <c r="D572" s="428">
        <v>692235.48139750352</v>
      </c>
      <c r="E572" s="224">
        <v>141409.15823163226</v>
      </c>
      <c r="F572" s="224">
        <v>4.7232648496226473</v>
      </c>
      <c r="G572" s="224">
        <v>3.6615497363936393</v>
      </c>
      <c r="H572" s="224">
        <v>2.8240355272692574</v>
      </c>
      <c r="I572" s="224">
        <v>1.9271013585985279</v>
      </c>
      <c r="J572" s="224"/>
      <c r="M572" s="224">
        <f t="shared" si="30"/>
        <v>550826.3231658712</v>
      </c>
      <c r="N572" s="224">
        <f t="shared" si="31"/>
        <v>1.0617151132290079</v>
      </c>
      <c r="O572" s="224">
        <f t="shared" si="32"/>
        <v>0.8969341686707295</v>
      </c>
      <c r="Q572" s="224"/>
      <c r="R572" s="224"/>
      <c r="S572" s="429"/>
      <c r="Z572" s="362"/>
      <c r="AA572" s="421"/>
      <c r="AB572" s="362"/>
      <c r="AC572" s="362"/>
      <c r="AD572" s="362"/>
      <c r="AE572" s="362"/>
      <c r="AF572" s="362"/>
      <c r="AG572" s="362"/>
      <c r="AH572" s="362"/>
      <c r="AI572" s="393"/>
      <c r="AJ572" s="393"/>
      <c r="AK572" s="362"/>
      <c r="AL572" s="362"/>
      <c r="AM572" s="362"/>
      <c r="AN572" s="362"/>
      <c r="AO572" s="362"/>
      <c r="AP572" s="362"/>
      <c r="AQ572" s="362"/>
      <c r="AR572" s="362"/>
    </row>
    <row r="573" spans="1:44" ht="12.75" customHeight="1" x14ac:dyDescent="0.15">
      <c r="A573" s="431"/>
      <c r="B573" s="393"/>
      <c r="C573" s="428"/>
      <c r="D573" s="428">
        <v>692754.32572465891</v>
      </c>
      <c r="E573" s="224">
        <v>161069.25434480974</v>
      </c>
      <c r="F573" s="224">
        <v>4.2331968169573688</v>
      </c>
      <c r="G573" s="224">
        <v>3.5629956541259902</v>
      </c>
      <c r="H573" s="224">
        <v>2.5035713216503619</v>
      </c>
      <c r="I573" s="224">
        <v>1.9639925209719262</v>
      </c>
      <c r="J573" s="224"/>
      <c r="M573" s="224">
        <f t="shared" si="30"/>
        <v>531685.07137984922</v>
      </c>
      <c r="N573" s="224">
        <f t="shared" si="31"/>
        <v>0.67020116283137865</v>
      </c>
      <c r="O573" s="224">
        <f t="shared" si="32"/>
        <v>0.53957880067843567</v>
      </c>
      <c r="Q573" s="224"/>
      <c r="R573" s="224"/>
      <c r="S573" s="429"/>
      <c r="Z573" s="362"/>
      <c r="AA573" s="421"/>
      <c r="AB573" s="362"/>
      <c r="AC573" s="362"/>
      <c r="AD573" s="362"/>
      <c r="AE573" s="362"/>
      <c r="AF573" s="362"/>
      <c r="AG573" s="362"/>
      <c r="AH573" s="362"/>
      <c r="AI573" s="393"/>
      <c r="AJ573" s="393"/>
      <c r="AK573" s="362"/>
      <c r="AL573" s="362"/>
      <c r="AM573" s="362"/>
      <c r="AN573" s="362"/>
      <c r="AO573" s="362"/>
      <c r="AP573" s="362"/>
      <c r="AQ573" s="362"/>
      <c r="AR573" s="362"/>
    </row>
    <row r="574" spans="1:44" ht="12.75" customHeight="1" x14ac:dyDescent="0.15">
      <c r="A574" s="431"/>
      <c r="B574" s="393"/>
      <c r="C574" s="428"/>
      <c r="D574" s="428">
        <v>669359.96024735237</v>
      </c>
      <c r="E574" s="224">
        <v>109808.81511990943</v>
      </c>
      <c r="F574" s="224">
        <v>4.1249404817357416</v>
      </c>
      <c r="G574" s="224">
        <v>3.5559518896019138</v>
      </c>
      <c r="H574" s="224">
        <v>2.9655969602926349</v>
      </c>
      <c r="I574" s="224">
        <v>2.3758868799502588</v>
      </c>
      <c r="J574" s="224"/>
      <c r="M574" s="224">
        <f t="shared" si="30"/>
        <v>559551.1451274429</v>
      </c>
      <c r="N574" s="224">
        <f t="shared" si="31"/>
        <v>0.5689885921338278</v>
      </c>
      <c r="O574" s="224">
        <f t="shared" si="32"/>
        <v>0.58971008034237604</v>
      </c>
      <c r="Q574" s="224"/>
      <c r="R574" s="224"/>
      <c r="S574" s="429"/>
      <c r="Z574" s="362"/>
      <c r="AA574" s="421"/>
      <c r="AB574" s="362"/>
      <c r="AC574" s="362"/>
      <c r="AD574" s="362"/>
      <c r="AE574" s="362"/>
      <c r="AF574" s="362"/>
      <c r="AG574" s="362"/>
      <c r="AH574" s="362"/>
      <c r="AI574" s="393"/>
      <c r="AJ574" s="393"/>
      <c r="AK574" s="362"/>
      <c r="AL574" s="362"/>
      <c r="AM574" s="362"/>
      <c r="AN574" s="362"/>
      <c r="AO574" s="362"/>
      <c r="AP574" s="362"/>
      <c r="AQ574" s="362"/>
      <c r="AR574" s="362"/>
    </row>
    <row r="575" spans="1:44" ht="12.75" customHeight="1" x14ac:dyDescent="0.15">
      <c r="A575" s="431"/>
      <c r="B575" s="393"/>
      <c r="C575" s="428"/>
      <c r="D575" s="428">
        <v>542587.55159485922</v>
      </c>
      <c r="E575" s="224">
        <v>111637.21833142624</v>
      </c>
      <c r="F575" s="224">
        <v>4.1386224541310126</v>
      </c>
      <c r="G575" s="224">
        <v>3.9445077470216074</v>
      </c>
      <c r="H575" s="224">
        <v>2.085486117982938</v>
      </c>
      <c r="I575" s="224">
        <v>1.9058505034292146</v>
      </c>
      <c r="J575" s="224"/>
      <c r="M575" s="224">
        <f t="shared" si="30"/>
        <v>430950.33326343296</v>
      </c>
      <c r="N575" s="224">
        <f t="shared" si="31"/>
        <v>0.19411470710940515</v>
      </c>
      <c r="O575" s="224">
        <f t="shared" si="32"/>
        <v>0.17963561455372345</v>
      </c>
      <c r="Q575" s="224"/>
      <c r="R575" s="224"/>
      <c r="S575" s="429"/>
      <c r="Z575" s="362"/>
      <c r="AA575" s="421"/>
      <c r="AB575" s="362"/>
      <c r="AC575" s="362"/>
      <c r="AD575" s="362"/>
      <c r="AE575" s="362"/>
      <c r="AF575" s="362"/>
      <c r="AG575" s="362"/>
      <c r="AH575" s="362"/>
      <c r="AI575" s="393"/>
      <c r="AJ575" s="393"/>
      <c r="AK575" s="362"/>
      <c r="AL575" s="362"/>
      <c r="AM575" s="362"/>
      <c r="AN575" s="362"/>
      <c r="AO575" s="362"/>
      <c r="AP575" s="362"/>
      <c r="AQ575" s="362"/>
      <c r="AR575" s="362"/>
    </row>
    <row r="576" spans="1:44" ht="12.75" customHeight="1" x14ac:dyDescent="0.15">
      <c r="A576" s="431"/>
      <c r="B576" s="393"/>
      <c r="C576" s="428"/>
      <c r="D576" s="428">
        <v>555625.30540996045</v>
      </c>
      <c r="E576" s="224">
        <v>138271.25147352327</v>
      </c>
      <c r="F576" s="224">
        <v>3.9545009499882493</v>
      </c>
      <c r="G576" s="224">
        <v>3.6023640050283934</v>
      </c>
      <c r="H576" s="224">
        <v>2.3737438240573705</v>
      </c>
      <c r="I576" s="224">
        <v>1.9026780601845479</v>
      </c>
      <c r="J576" s="224"/>
      <c r="M576" s="224">
        <f t="shared" si="30"/>
        <v>417354.05393643718</v>
      </c>
      <c r="N576" s="224">
        <f t="shared" si="31"/>
        <v>0.35213694495985592</v>
      </c>
      <c r="O576" s="224">
        <f t="shared" si="32"/>
        <v>0.47106576387282262</v>
      </c>
      <c r="Q576" s="224"/>
      <c r="R576" s="224"/>
      <c r="S576" s="429"/>
      <c r="Z576" s="362"/>
      <c r="AA576" s="421"/>
      <c r="AB576" s="362"/>
      <c r="AC576" s="362"/>
      <c r="AD576" s="362"/>
      <c r="AE576" s="362"/>
      <c r="AF576" s="362"/>
      <c r="AG576" s="362"/>
      <c r="AH576" s="362"/>
      <c r="AI576" s="393"/>
      <c r="AJ576" s="393"/>
      <c r="AK576" s="362"/>
      <c r="AL576" s="362"/>
      <c r="AM576" s="362"/>
      <c r="AN576" s="362"/>
      <c r="AO576" s="362"/>
      <c r="AP576" s="362"/>
      <c r="AQ576" s="362"/>
      <c r="AR576" s="362"/>
    </row>
    <row r="577" spans="1:44" ht="12.75" customHeight="1" x14ac:dyDescent="0.15">
      <c r="A577" s="431"/>
      <c r="B577" s="393"/>
      <c r="C577" s="428"/>
      <c r="D577" s="428">
        <v>616336.15548146237</v>
      </c>
      <c r="E577" s="224">
        <v>159012.46323156502</v>
      </c>
      <c r="F577" s="224">
        <v>4.7019596747678625</v>
      </c>
      <c r="G577" s="224">
        <v>4.1203745274088179</v>
      </c>
      <c r="H577" s="224">
        <v>2.7793479716831531</v>
      </c>
      <c r="I577" s="224">
        <v>2.2850680124978804</v>
      </c>
      <c r="J577" s="224"/>
      <c r="M577" s="224">
        <f t="shared" si="30"/>
        <v>457323.69224989734</v>
      </c>
      <c r="N577" s="224">
        <f t="shared" si="31"/>
        <v>0.58158514735904454</v>
      </c>
      <c r="O577" s="224">
        <f t="shared" si="32"/>
        <v>0.49427995918527268</v>
      </c>
      <c r="Q577" s="224"/>
      <c r="R577" s="224"/>
      <c r="S577" s="429"/>
      <c r="Z577" s="362"/>
      <c r="AA577" s="421"/>
      <c r="AB577" s="362"/>
      <c r="AC577" s="362"/>
      <c r="AD577" s="362"/>
      <c r="AE577" s="362"/>
      <c r="AF577" s="362"/>
      <c r="AG577" s="362"/>
      <c r="AH577" s="362"/>
      <c r="AI577" s="393"/>
      <c r="AJ577" s="393"/>
      <c r="AK577" s="362"/>
      <c r="AL577" s="362"/>
      <c r="AM577" s="362"/>
      <c r="AN577" s="362"/>
      <c r="AO577" s="362"/>
      <c r="AP577" s="362"/>
      <c r="AQ577" s="362"/>
      <c r="AR577" s="362"/>
    </row>
    <row r="578" spans="1:44" ht="12.75" customHeight="1" x14ac:dyDescent="0.15">
      <c r="A578" s="431"/>
      <c r="B578" s="393"/>
      <c r="C578" s="428"/>
      <c r="D578" s="428">
        <v>593314.37170276302</v>
      </c>
      <c r="E578" s="224">
        <v>144211.53749521641</v>
      </c>
      <c r="F578" s="224">
        <v>4.4330613625312276</v>
      </c>
      <c r="G578" s="224">
        <v>3.9500257807260781</v>
      </c>
      <c r="H578" s="224">
        <v>3.0638536537058223</v>
      </c>
      <c r="I578" s="224">
        <v>2.5938350345077654</v>
      </c>
      <c r="J578" s="224"/>
      <c r="M578" s="224">
        <f t="shared" si="30"/>
        <v>449102.83420754661</v>
      </c>
      <c r="N578" s="224">
        <f t="shared" si="31"/>
        <v>0.48303558180514949</v>
      </c>
      <c r="O578" s="224">
        <f t="shared" si="32"/>
        <v>0.47001861919805688</v>
      </c>
      <c r="Q578" s="224"/>
      <c r="R578" s="224"/>
      <c r="S578" s="429"/>
      <c r="Z578" s="362"/>
      <c r="AA578" s="421"/>
      <c r="AB578" s="362"/>
      <c r="AC578" s="362"/>
      <c r="AD578" s="362"/>
      <c r="AE578" s="362"/>
      <c r="AF578" s="362"/>
      <c r="AG578" s="362"/>
      <c r="AH578" s="362"/>
      <c r="AI578" s="393"/>
      <c r="AJ578" s="393"/>
      <c r="AK578" s="362"/>
      <c r="AL578" s="362"/>
      <c r="AM578" s="362"/>
      <c r="AN578" s="362"/>
      <c r="AO578" s="362"/>
      <c r="AP578" s="362"/>
      <c r="AQ578" s="362"/>
      <c r="AR578" s="362"/>
    </row>
    <row r="579" spans="1:44" ht="12.75" customHeight="1" x14ac:dyDescent="0.15">
      <c r="A579" s="431"/>
      <c r="B579" s="393"/>
      <c r="C579" s="428"/>
      <c r="D579" s="428">
        <v>662193.07946736901</v>
      </c>
      <c r="E579" s="224">
        <v>174341.19479454396</v>
      </c>
      <c r="F579" s="224">
        <v>4.5877991344099085</v>
      </c>
      <c r="G579" s="224">
        <v>3.7403456823557852</v>
      </c>
      <c r="H579" s="224">
        <v>2.7727428203926778</v>
      </c>
      <c r="I579" s="224">
        <v>2.0921615689786313</v>
      </c>
      <c r="J579" s="224"/>
      <c r="M579" s="224">
        <f t="shared" si="30"/>
        <v>487851.88467282505</v>
      </c>
      <c r="N579" s="224">
        <f t="shared" si="31"/>
        <v>0.84745345205412326</v>
      </c>
      <c r="O579" s="224">
        <f t="shared" si="32"/>
        <v>0.68058125141404657</v>
      </c>
      <c r="Q579" s="224"/>
      <c r="R579" s="224"/>
      <c r="S579" s="429"/>
      <c r="Z579" s="362"/>
      <c r="AA579" s="421"/>
      <c r="AB579" s="362"/>
      <c r="AC579" s="362"/>
      <c r="AD579" s="362"/>
      <c r="AE579" s="362"/>
      <c r="AF579" s="362"/>
      <c r="AG579" s="362"/>
      <c r="AH579" s="362"/>
      <c r="AI579" s="393"/>
      <c r="AJ579" s="393"/>
      <c r="AK579" s="362"/>
      <c r="AL579" s="362"/>
      <c r="AM579" s="362"/>
      <c r="AN579" s="362"/>
      <c r="AO579" s="362"/>
      <c r="AP579" s="362"/>
      <c r="AQ579" s="362"/>
      <c r="AR579" s="362"/>
    </row>
    <row r="580" spans="1:44" ht="12.75" customHeight="1" x14ac:dyDescent="0.15">
      <c r="A580" s="431"/>
      <c r="B580" s="393"/>
      <c r="C580" s="428"/>
      <c r="D580" s="428">
        <v>726219.31542600156</v>
      </c>
      <c r="E580" s="224">
        <v>117182.4339581377</v>
      </c>
      <c r="F580" s="224">
        <v>4.123837665831549</v>
      </c>
      <c r="G580" s="224">
        <v>3.4922996260516714</v>
      </c>
      <c r="H580" s="224">
        <v>2.8252703439357036</v>
      </c>
      <c r="I580" s="224">
        <v>2.1212061443380277</v>
      </c>
      <c r="J580" s="224"/>
      <c r="M580" s="224">
        <f t="shared" si="30"/>
        <v>609036.88146786392</v>
      </c>
      <c r="N580" s="224">
        <f t="shared" si="31"/>
        <v>0.63153803977987755</v>
      </c>
      <c r="O580" s="224">
        <f t="shared" si="32"/>
        <v>0.70406419959767597</v>
      </c>
      <c r="Q580" s="224"/>
      <c r="R580" s="224"/>
      <c r="S580" s="429"/>
      <c r="Z580" s="362"/>
      <c r="AA580" s="421"/>
      <c r="AB580" s="362"/>
      <c r="AC580" s="362"/>
      <c r="AD580" s="362"/>
      <c r="AE580" s="362"/>
      <c r="AF580" s="362"/>
      <c r="AG580" s="362"/>
      <c r="AH580" s="362"/>
      <c r="AI580" s="393"/>
      <c r="AJ580" s="393"/>
      <c r="AK580" s="362"/>
      <c r="AL580" s="362"/>
      <c r="AM580" s="362"/>
      <c r="AN580" s="362"/>
      <c r="AO580" s="362"/>
      <c r="AP580" s="362"/>
      <c r="AQ580" s="362"/>
      <c r="AR580" s="362"/>
    </row>
    <row r="581" spans="1:44" ht="12.75" customHeight="1" x14ac:dyDescent="0.15">
      <c r="A581" s="431"/>
      <c r="B581" s="393"/>
      <c r="C581" s="428"/>
      <c r="D581" s="428">
        <v>596540.89897145855</v>
      </c>
      <c r="E581" s="224">
        <v>159028.61652713758</v>
      </c>
      <c r="F581" s="224">
        <v>4.3165587635394687</v>
      </c>
      <c r="G581" s="224">
        <v>4.2054448860923097</v>
      </c>
      <c r="H581" s="224">
        <v>2.4449367057553042</v>
      </c>
      <c r="I581" s="224">
        <v>2.2171426567864887</v>
      </c>
      <c r="J581" s="224"/>
      <c r="M581" s="224">
        <f t="shared" si="30"/>
        <v>437512.28244432097</v>
      </c>
      <c r="N581" s="224">
        <f t="shared" si="31"/>
        <v>0.11111387744715895</v>
      </c>
      <c r="O581" s="224">
        <f t="shared" si="32"/>
        <v>0.2277940489688155</v>
      </c>
      <c r="Q581" s="224"/>
      <c r="R581" s="224"/>
      <c r="S581" s="429"/>
      <c r="Z581" s="362"/>
      <c r="AA581" s="421"/>
      <c r="AB581" s="362"/>
      <c r="AC581" s="362"/>
      <c r="AD581" s="362"/>
      <c r="AE581" s="362"/>
      <c r="AF581" s="362"/>
      <c r="AG581" s="362"/>
      <c r="AH581" s="362"/>
      <c r="AI581" s="393"/>
      <c r="AJ581" s="393"/>
      <c r="AK581" s="362"/>
      <c r="AL581" s="362"/>
      <c r="AM581" s="362"/>
      <c r="AN581" s="362"/>
      <c r="AO581" s="362"/>
      <c r="AP581" s="362"/>
      <c r="AQ581" s="362"/>
      <c r="AR581" s="362"/>
    </row>
    <row r="582" spans="1:44" ht="12.75" customHeight="1" x14ac:dyDescent="0.15">
      <c r="A582" s="431"/>
      <c r="B582" s="393"/>
      <c r="C582" s="428"/>
      <c r="D582" s="428">
        <v>598028.92195681832</v>
      </c>
      <c r="E582" s="224">
        <v>135929.62661966952</v>
      </c>
      <c r="F582" s="224">
        <v>4.5909533420541742</v>
      </c>
      <c r="G582" s="224">
        <v>4.1570057642017195</v>
      </c>
      <c r="H582" s="224">
        <v>2.9709641176226098</v>
      </c>
      <c r="I582" s="224">
        <v>2.2799091029768785</v>
      </c>
      <c r="J582" s="224"/>
      <c r="M582" s="224">
        <f t="shared" si="30"/>
        <v>462099.29533714883</v>
      </c>
      <c r="N582" s="224">
        <f t="shared" si="31"/>
        <v>0.43394757785245464</v>
      </c>
      <c r="O582" s="224">
        <f t="shared" si="32"/>
        <v>0.69105501464573127</v>
      </c>
      <c r="Q582" s="224"/>
      <c r="R582" s="224"/>
      <c r="S582" s="429"/>
      <c r="Z582" s="362"/>
      <c r="AA582" s="421"/>
      <c r="AB582" s="362"/>
      <c r="AC582" s="362"/>
      <c r="AD582" s="362"/>
      <c r="AE582" s="362"/>
      <c r="AF582" s="362"/>
      <c r="AG582" s="362"/>
      <c r="AH582" s="362"/>
      <c r="AI582" s="393"/>
      <c r="AJ582" s="393"/>
      <c r="AK582" s="362"/>
      <c r="AL582" s="362"/>
      <c r="AM582" s="362"/>
      <c r="AN582" s="362"/>
      <c r="AO582" s="362"/>
      <c r="AP582" s="362"/>
      <c r="AQ582" s="362"/>
      <c r="AR582" s="362"/>
    </row>
    <row r="583" spans="1:44" ht="12.75" customHeight="1" x14ac:dyDescent="0.15">
      <c r="A583" s="431"/>
      <c r="B583" s="393"/>
      <c r="C583" s="428"/>
      <c r="D583" s="428">
        <v>568056.03094521537</v>
      </c>
      <c r="E583" s="224">
        <v>121901.20155661728</v>
      </c>
      <c r="F583" s="224">
        <v>4.6223516009418866</v>
      </c>
      <c r="G583" s="224">
        <v>4.2549803403021658</v>
      </c>
      <c r="H583" s="224">
        <v>2.8857489919304999</v>
      </c>
      <c r="I583" s="224">
        <v>2.4431831566894511</v>
      </c>
      <c r="J583" s="224"/>
      <c r="M583" s="224">
        <f t="shared" si="30"/>
        <v>446154.8293885981</v>
      </c>
      <c r="N583" s="224">
        <f t="shared" si="31"/>
        <v>0.36737126063972081</v>
      </c>
      <c r="O583" s="224">
        <f t="shared" si="32"/>
        <v>0.44256583524104887</v>
      </c>
      <c r="Q583" s="224"/>
      <c r="R583" s="224"/>
      <c r="S583" s="429"/>
      <c r="Z583" s="362"/>
      <c r="AA583" s="421"/>
      <c r="AB583" s="362"/>
      <c r="AC583" s="362"/>
      <c r="AD583" s="362"/>
      <c r="AE583" s="362"/>
      <c r="AF583" s="362"/>
      <c r="AG583" s="362"/>
      <c r="AH583" s="362"/>
      <c r="AI583" s="393"/>
      <c r="AJ583" s="393"/>
      <c r="AK583" s="362"/>
      <c r="AL583" s="362"/>
      <c r="AM583" s="362"/>
      <c r="AN583" s="362"/>
      <c r="AO583" s="362"/>
      <c r="AP583" s="362"/>
      <c r="AQ583" s="362"/>
      <c r="AR583" s="362"/>
    </row>
    <row r="584" spans="1:44" ht="12.75" customHeight="1" x14ac:dyDescent="0.15">
      <c r="A584" s="431"/>
      <c r="B584" s="393"/>
      <c r="C584" s="428"/>
      <c r="D584" s="428">
        <v>700099.09947149653</v>
      </c>
      <c r="E584" s="224">
        <v>131445.48044934002</v>
      </c>
      <c r="F584" s="224">
        <v>4.4333425457353135</v>
      </c>
      <c r="G584" s="224">
        <v>3.2974105383119392</v>
      </c>
      <c r="H584" s="224">
        <v>2.4218827783902217</v>
      </c>
      <c r="I584" s="224">
        <v>1.6190466115144075</v>
      </c>
      <c r="J584" s="224"/>
      <c r="M584" s="224">
        <f t="shared" si="30"/>
        <v>568653.61902215658</v>
      </c>
      <c r="N584" s="224">
        <f t="shared" si="31"/>
        <v>1.1359320074233743</v>
      </c>
      <c r="O584" s="224">
        <f t="shared" si="32"/>
        <v>0.80283616687581416</v>
      </c>
      <c r="Q584" s="224"/>
      <c r="R584" s="224"/>
      <c r="S584" s="429"/>
      <c r="Z584" s="362"/>
      <c r="AA584" s="421"/>
      <c r="AB584" s="362"/>
      <c r="AC584" s="362"/>
      <c r="AD584" s="362"/>
      <c r="AE584" s="362"/>
      <c r="AF584" s="362"/>
      <c r="AG584" s="362"/>
      <c r="AH584" s="362"/>
      <c r="AI584" s="393"/>
      <c r="AJ584" s="393"/>
      <c r="AK584" s="362"/>
      <c r="AL584" s="362"/>
      <c r="AM584" s="362"/>
      <c r="AN584" s="362"/>
      <c r="AO584" s="362"/>
      <c r="AP584" s="362"/>
      <c r="AQ584" s="362"/>
      <c r="AR584" s="362"/>
    </row>
    <row r="585" spans="1:44" ht="12.75" customHeight="1" x14ac:dyDescent="0.15">
      <c r="A585" s="431"/>
      <c r="B585" s="393"/>
      <c r="C585" s="428"/>
      <c r="D585" s="428">
        <v>561658.13404897985</v>
      </c>
      <c r="E585" s="224">
        <v>170263.03956806444</v>
      </c>
      <c r="F585" s="224">
        <v>5.1040447561168092</v>
      </c>
      <c r="G585" s="224">
        <v>4.0754521311254903</v>
      </c>
      <c r="H585" s="224">
        <v>2.7783747622238382</v>
      </c>
      <c r="I585" s="224">
        <v>2.2451198629664932</v>
      </c>
      <c r="J585" s="224"/>
      <c r="M585" s="224">
        <f t="shared" si="30"/>
        <v>391395.0944809154</v>
      </c>
      <c r="N585" s="224">
        <f t="shared" si="31"/>
        <v>1.0285926249913189</v>
      </c>
      <c r="O585" s="224">
        <f t="shared" si="32"/>
        <v>0.53325489925734493</v>
      </c>
      <c r="Q585" s="224"/>
      <c r="R585" s="224"/>
      <c r="S585" s="429"/>
      <c r="Z585" s="362"/>
      <c r="AA585" s="421"/>
      <c r="AB585" s="362"/>
      <c r="AC585" s="362"/>
      <c r="AD585" s="362"/>
      <c r="AE585" s="362"/>
      <c r="AF585" s="362"/>
      <c r="AG585" s="362"/>
      <c r="AH585" s="362"/>
      <c r="AI585" s="393"/>
      <c r="AJ585" s="393"/>
      <c r="AK585" s="362"/>
      <c r="AL585" s="362"/>
      <c r="AM585" s="362"/>
      <c r="AN585" s="362"/>
      <c r="AO585" s="362"/>
      <c r="AP585" s="362"/>
      <c r="AQ585" s="362"/>
      <c r="AR585" s="362"/>
    </row>
    <row r="586" spans="1:44" ht="12.75" customHeight="1" x14ac:dyDescent="0.15">
      <c r="A586" s="431"/>
      <c r="B586" s="393"/>
      <c r="C586" s="428"/>
      <c r="D586" s="428">
        <v>664481.28258541436</v>
      </c>
      <c r="E586" s="224">
        <v>144129.19072343796</v>
      </c>
      <c r="F586" s="224">
        <v>4.2901411408037378</v>
      </c>
      <c r="G586" s="224">
        <v>4.1709300023964131</v>
      </c>
      <c r="H586" s="224">
        <v>2.9617747942020087</v>
      </c>
      <c r="I586" s="224">
        <v>2.6221226921261436</v>
      </c>
      <c r="J586" s="224"/>
      <c r="M586" s="224">
        <f t="shared" si="30"/>
        <v>520352.09186197643</v>
      </c>
      <c r="N586" s="224">
        <f t="shared" si="31"/>
        <v>0.11921113840732467</v>
      </c>
      <c r="O586" s="224">
        <f t="shared" si="32"/>
        <v>0.33965210207586516</v>
      </c>
      <c r="Q586" s="224"/>
      <c r="R586" s="224"/>
      <c r="S586" s="429"/>
      <c r="Z586" s="362"/>
      <c r="AA586" s="421"/>
      <c r="AB586" s="362"/>
      <c r="AC586" s="362"/>
      <c r="AD586" s="362"/>
      <c r="AE586" s="362"/>
      <c r="AF586" s="362"/>
      <c r="AG586" s="362"/>
      <c r="AH586" s="362"/>
      <c r="AI586" s="393"/>
      <c r="AJ586" s="393"/>
      <c r="AK586" s="362"/>
      <c r="AL586" s="362"/>
      <c r="AM586" s="362"/>
      <c r="AN586" s="362"/>
      <c r="AO586" s="362"/>
      <c r="AP586" s="362"/>
      <c r="AQ586" s="362"/>
      <c r="AR586" s="362"/>
    </row>
    <row r="587" spans="1:44" ht="12.75" customHeight="1" x14ac:dyDescent="0.15">
      <c r="A587" s="431"/>
      <c r="B587" s="393"/>
      <c r="C587" s="428"/>
      <c r="D587" s="428">
        <v>678964.49317515362</v>
      </c>
      <c r="E587" s="224">
        <v>143300.15619768421</v>
      </c>
      <c r="F587" s="224">
        <v>4.6811133741064186</v>
      </c>
      <c r="G587" s="224">
        <v>3.3121693856198351</v>
      </c>
      <c r="H587" s="224">
        <v>2.9090573312514905</v>
      </c>
      <c r="I587" s="224">
        <v>1.9444676790587139</v>
      </c>
      <c r="J587" s="224"/>
      <c r="M587" s="224">
        <f t="shared" si="30"/>
        <v>535664.33697746939</v>
      </c>
      <c r="N587" s="224">
        <f t="shared" si="31"/>
        <v>1.3689439884865835</v>
      </c>
      <c r="O587" s="224">
        <f t="shared" si="32"/>
        <v>0.96458965219277659</v>
      </c>
      <c r="Q587" s="224"/>
      <c r="R587" s="224"/>
      <c r="S587" s="429"/>
      <c r="Z587" s="362"/>
      <c r="AA587" s="421"/>
      <c r="AB587" s="362"/>
      <c r="AC587" s="362"/>
      <c r="AD587" s="362"/>
      <c r="AE587" s="362"/>
      <c r="AF587" s="362"/>
      <c r="AG587" s="362"/>
      <c r="AH587" s="362"/>
      <c r="AI587" s="393"/>
      <c r="AJ587" s="393"/>
      <c r="AK587" s="362"/>
      <c r="AL587" s="362"/>
      <c r="AM587" s="362"/>
      <c r="AN587" s="362"/>
      <c r="AO587" s="362"/>
      <c r="AP587" s="362"/>
      <c r="AQ587" s="362"/>
      <c r="AR587" s="362"/>
    </row>
    <row r="588" spans="1:44" ht="12.75" customHeight="1" x14ac:dyDescent="0.15">
      <c r="A588" s="431"/>
      <c r="B588" s="393"/>
      <c r="C588" s="428"/>
      <c r="D588" s="428">
        <v>616296.76009517279</v>
      </c>
      <c r="E588" s="224">
        <v>168587.96508365095</v>
      </c>
      <c r="F588" s="224">
        <v>4.2316701363949196</v>
      </c>
      <c r="G588" s="224">
        <v>3.9618736958883329</v>
      </c>
      <c r="H588" s="224">
        <v>2.5715192493032832</v>
      </c>
      <c r="I588" s="224">
        <v>2.2682629404532948</v>
      </c>
      <c r="J588" s="224"/>
      <c r="M588" s="224">
        <f t="shared" si="30"/>
        <v>447708.79501152184</v>
      </c>
      <c r="N588" s="224">
        <f t="shared" si="31"/>
        <v>0.26979644050658669</v>
      </c>
      <c r="O588" s="224">
        <f t="shared" si="32"/>
        <v>0.30325630884998844</v>
      </c>
      <c r="Q588" s="224"/>
      <c r="R588" s="224"/>
      <c r="S588" s="429"/>
      <c r="Z588" s="362"/>
      <c r="AA588" s="421"/>
      <c r="AB588" s="362"/>
      <c r="AC588" s="362"/>
      <c r="AD588" s="362"/>
      <c r="AE588" s="362"/>
      <c r="AF588" s="362"/>
      <c r="AG588" s="362"/>
      <c r="AH588" s="362"/>
      <c r="AI588" s="393"/>
      <c r="AJ588" s="393"/>
      <c r="AK588" s="362"/>
      <c r="AL588" s="362"/>
      <c r="AM588" s="362"/>
      <c r="AN588" s="362"/>
      <c r="AO588" s="362"/>
      <c r="AP588" s="362"/>
      <c r="AQ588" s="362"/>
      <c r="AR588" s="362"/>
    </row>
    <row r="589" spans="1:44" ht="12.75" customHeight="1" x14ac:dyDescent="0.15">
      <c r="A589" s="431"/>
      <c r="B589" s="393"/>
      <c r="C589" s="428"/>
      <c r="D589" s="428">
        <v>659201.35727874201</v>
      </c>
      <c r="E589" s="224">
        <v>129707.61080331951</v>
      </c>
      <c r="F589" s="224">
        <v>3.6977978647169834</v>
      </c>
      <c r="G589" s="224">
        <v>3.4183461425212678</v>
      </c>
      <c r="H589" s="224">
        <v>2.1284977639672027</v>
      </c>
      <c r="I589" s="224">
        <v>1.8781558260653148</v>
      </c>
      <c r="J589" s="224"/>
      <c r="M589" s="224">
        <f t="shared" si="30"/>
        <v>529493.74647542252</v>
      </c>
      <c r="N589" s="224">
        <f t="shared" si="31"/>
        <v>0.27945172219571557</v>
      </c>
      <c r="O589" s="224">
        <f t="shared" si="32"/>
        <v>0.25034193790188786</v>
      </c>
      <c r="Q589" s="224"/>
      <c r="R589" s="224"/>
      <c r="S589" s="429"/>
      <c r="Z589" s="362"/>
      <c r="AA589" s="421"/>
      <c r="AB589" s="362"/>
      <c r="AC589" s="362"/>
      <c r="AD589" s="362"/>
      <c r="AE589" s="362"/>
      <c r="AF589" s="362"/>
      <c r="AG589" s="362"/>
      <c r="AH589" s="362"/>
      <c r="AI589" s="393"/>
      <c r="AJ589" s="393"/>
      <c r="AK589" s="362"/>
      <c r="AL589" s="362"/>
      <c r="AM589" s="362"/>
      <c r="AN589" s="362"/>
      <c r="AO589" s="362"/>
      <c r="AP589" s="362"/>
      <c r="AQ589" s="362"/>
      <c r="AR589" s="362"/>
    </row>
    <row r="590" spans="1:44" ht="12.75" customHeight="1" x14ac:dyDescent="0.15">
      <c r="A590" s="431"/>
      <c r="B590" s="393"/>
      <c r="C590" s="428"/>
      <c r="D590" s="428">
        <v>751453.76027524157</v>
      </c>
      <c r="E590" s="224">
        <v>203580.56866604328</v>
      </c>
      <c r="F590" s="224">
        <v>4.4070045742059962</v>
      </c>
      <c r="G590" s="224">
        <v>3.4759606241842733</v>
      </c>
      <c r="H590" s="224">
        <v>3.0840622251128718</v>
      </c>
      <c r="I590" s="224">
        <v>2.1661396265201902</v>
      </c>
      <c r="J590" s="224"/>
      <c r="M590" s="224">
        <f t="shared" si="30"/>
        <v>547873.19160919823</v>
      </c>
      <c r="N590" s="224">
        <f t="shared" si="31"/>
        <v>0.93104395002172291</v>
      </c>
      <c r="O590" s="224">
        <f t="shared" si="32"/>
        <v>0.91792259859268155</v>
      </c>
      <c r="Q590" s="224"/>
      <c r="R590" s="224"/>
      <c r="S590" s="429"/>
      <c r="Z590" s="362"/>
      <c r="AA590" s="421"/>
      <c r="AB590" s="362"/>
      <c r="AC590" s="362"/>
      <c r="AD590" s="362"/>
      <c r="AE590" s="362"/>
      <c r="AF590" s="362"/>
      <c r="AG590" s="362"/>
      <c r="AH590" s="362"/>
      <c r="AI590" s="393"/>
      <c r="AJ590" s="393"/>
      <c r="AK590" s="362"/>
      <c r="AL590" s="362"/>
      <c r="AM590" s="362"/>
      <c r="AN590" s="362"/>
      <c r="AO590" s="362"/>
      <c r="AP590" s="362"/>
      <c r="AQ590" s="362"/>
      <c r="AR590" s="362"/>
    </row>
    <row r="591" spans="1:44" ht="12.75" customHeight="1" x14ac:dyDescent="0.15">
      <c r="A591" s="431"/>
      <c r="B591" s="393"/>
      <c r="C591" s="428"/>
      <c r="D591" s="428">
        <v>526349.57955211925</v>
      </c>
      <c r="E591" s="224">
        <v>142061.19218072057</v>
      </c>
      <c r="F591" s="224">
        <v>4.0501394140572033</v>
      </c>
      <c r="G591" s="224">
        <v>3.6309202300662515</v>
      </c>
      <c r="H591" s="224">
        <v>2.4215974601980639</v>
      </c>
      <c r="I591" s="224">
        <v>1.9735728192557489</v>
      </c>
      <c r="J591" s="224"/>
      <c r="M591" s="224">
        <f t="shared" si="30"/>
        <v>384288.38737139868</v>
      </c>
      <c r="N591" s="224">
        <f t="shared" si="31"/>
        <v>0.41921918399095182</v>
      </c>
      <c r="O591" s="224">
        <f t="shared" si="32"/>
        <v>0.44802464094231498</v>
      </c>
      <c r="Q591" s="224"/>
      <c r="R591" s="224"/>
      <c r="S591" s="429"/>
      <c r="Z591" s="362"/>
      <c r="AA591" s="421"/>
      <c r="AB591" s="362"/>
      <c r="AC591" s="362"/>
      <c r="AD591" s="362"/>
      <c r="AE591" s="362"/>
      <c r="AF591" s="362"/>
      <c r="AG591" s="362"/>
      <c r="AH591" s="362"/>
      <c r="AI591" s="393"/>
      <c r="AJ591" s="393"/>
      <c r="AK591" s="362"/>
      <c r="AL591" s="362"/>
      <c r="AM591" s="362"/>
      <c r="AN591" s="362"/>
      <c r="AO591" s="362"/>
      <c r="AP591" s="362"/>
      <c r="AQ591" s="362"/>
      <c r="AR591" s="362"/>
    </row>
    <row r="592" spans="1:44" ht="12.75" customHeight="1" x14ac:dyDescent="0.15">
      <c r="A592" s="431"/>
      <c r="B592" s="393"/>
      <c r="C592" s="428"/>
      <c r="D592" s="428">
        <v>545928.22861189197</v>
      </c>
      <c r="E592" s="224">
        <v>136691.74820322116</v>
      </c>
      <c r="F592" s="224">
        <v>4.3786684428937015</v>
      </c>
      <c r="G592" s="224">
        <v>3.5575076579441398</v>
      </c>
      <c r="H592" s="224">
        <v>2.4532302049431576</v>
      </c>
      <c r="I592" s="224">
        <v>1.8506015906405264</v>
      </c>
      <c r="J592" s="224"/>
      <c r="M592" s="224">
        <f t="shared" si="30"/>
        <v>409236.48040867085</v>
      </c>
      <c r="N592" s="224">
        <f t="shared" si="31"/>
        <v>0.82116078494956168</v>
      </c>
      <c r="O592" s="224">
        <f t="shared" si="32"/>
        <v>0.60262861430263115</v>
      </c>
      <c r="Q592" s="224"/>
      <c r="R592" s="224"/>
      <c r="S592" s="429"/>
      <c r="Z592" s="362"/>
      <c r="AA592" s="421"/>
      <c r="AB592" s="362"/>
      <c r="AC592" s="362"/>
      <c r="AD592" s="362"/>
      <c r="AE592" s="362"/>
      <c r="AF592" s="362"/>
      <c r="AG592" s="362"/>
      <c r="AH592" s="362"/>
      <c r="AI592" s="393"/>
      <c r="AJ592" s="393"/>
      <c r="AK592" s="362"/>
      <c r="AL592" s="362"/>
      <c r="AM592" s="362"/>
      <c r="AN592" s="362"/>
      <c r="AO592" s="362"/>
      <c r="AP592" s="362"/>
      <c r="AQ592" s="362"/>
      <c r="AR592" s="362"/>
    </row>
    <row r="593" spans="1:44" ht="12.75" customHeight="1" x14ac:dyDescent="0.15">
      <c r="A593" s="431"/>
      <c r="B593" s="393"/>
      <c r="C593" s="428"/>
      <c r="D593" s="428">
        <v>672851.23349829693</v>
      </c>
      <c r="E593" s="224">
        <v>181958.17207459637</v>
      </c>
      <c r="F593" s="224">
        <v>4.8454411681484313</v>
      </c>
      <c r="G593" s="224">
        <v>3.8889977873278125</v>
      </c>
      <c r="H593" s="224">
        <v>2.9456537174140642</v>
      </c>
      <c r="I593" s="224">
        <v>2.2753184829489195</v>
      </c>
      <c r="J593" s="224"/>
      <c r="M593" s="224">
        <f t="shared" si="30"/>
        <v>490893.06142370054</v>
      </c>
      <c r="N593" s="224">
        <f t="shared" si="31"/>
        <v>0.95644338082061875</v>
      </c>
      <c r="O593" s="224">
        <f t="shared" si="32"/>
        <v>0.67033523446514476</v>
      </c>
      <c r="Q593" s="224"/>
      <c r="R593" s="224"/>
      <c r="S593" s="429"/>
      <c r="Z593" s="362"/>
      <c r="AA593" s="421"/>
      <c r="AB593" s="362"/>
      <c r="AC593" s="362"/>
      <c r="AD593" s="362"/>
      <c r="AE593" s="362"/>
      <c r="AF593" s="362"/>
      <c r="AG593" s="362"/>
      <c r="AH593" s="362"/>
      <c r="AI593" s="393"/>
      <c r="AJ593" s="393"/>
      <c r="AK593" s="362"/>
      <c r="AL593" s="362"/>
      <c r="AM593" s="362"/>
      <c r="AN593" s="362"/>
      <c r="AO593" s="362"/>
      <c r="AP593" s="362"/>
      <c r="AQ593" s="362"/>
      <c r="AR593" s="362"/>
    </row>
    <row r="594" spans="1:44" ht="12.75" customHeight="1" x14ac:dyDescent="0.15">
      <c r="A594" s="431"/>
      <c r="B594" s="393"/>
      <c r="C594" s="428"/>
      <c r="D594" s="428">
        <v>530679.38156644756</v>
      </c>
      <c r="E594" s="224">
        <v>137493.24091878906</v>
      </c>
      <c r="F594" s="224">
        <v>4.3866678542883646</v>
      </c>
      <c r="G594" s="224">
        <v>3.9674528144909376</v>
      </c>
      <c r="H594" s="224">
        <v>2.4902622721445273</v>
      </c>
      <c r="I594" s="224">
        <v>2.1262319755787988</v>
      </c>
      <c r="J594" s="224"/>
      <c r="M594" s="224">
        <f t="shared" ref="M594:M657" si="33">+D594-E594</f>
        <v>393186.1406476585</v>
      </c>
      <c r="N594" s="224">
        <f t="shared" ref="N594:N657" si="34">+F594-G594</f>
        <v>0.41921503979742702</v>
      </c>
      <c r="O594" s="224">
        <f t="shared" ref="O594:O657" si="35">+H594-I594</f>
        <v>0.3640302965657285</v>
      </c>
      <c r="Q594" s="224"/>
      <c r="R594" s="224"/>
      <c r="S594" s="429"/>
      <c r="Z594" s="362"/>
      <c r="AA594" s="421"/>
      <c r="AB594" s="362"/>
      <c r="AC594" s="362"/>
      <c r="AD594" s="362"/>
      <c r="AE594" s="362"/>
      <c r="AF594" s="362"/>
      <c r="AG594" s="362"/>
      <c r="AH594" s="362"/>
      <c r="AI594" s="393"/>
      <c r="AJ594" s="393"/>
      <c r="AK594" s="362"/>
      <c r="AL594" s="362"/>
      <c r="AM594" s="362"/>
      <c r="AN594" s="362"/>
      <c r="AO594" s="362"/>
      <c r="AP594" s="362"/>
      <c r="AQ594" s="362"/>
      <c r="AR594" s="362"/>
    </row>
    <row r="595" spans="1:44" ht="12.75" customHeight="1" x14ac:dyDescent="0.15">
      <c r="A595" s="431"/>
      <c r="B595" s="393"/>
      <c r="C595" s="428"/>
      <c r="D595" s="428">
        <v>523023.17880163103</v>
      </c>
      <c r="E595" s="224">
        <v>129553.41216847369</v>
      </c>
      <c r="F595" s="224">
        <v>4.0588172876628965</v>
      </c>
      <c r="G595" s="224">
        <v>3.6627661785752146</v>
      </c>
      <c r="H595" s="224">
        <v>2.2739666239098106</v>
      </c>
      <c r="I595" s="224">
        <v>1.8823953126187469</v>
      </c>
      <c r="J595" s="224"/>
      <c r="M595" s="224">
        <f t="shared" si="33"/>
        <v>393469.76663315733</v>
      </c>
      <c r="N595" s="224">
        <f t="shared" si="34"/>
        <v>0.39605110908768193</v>
      </c>
      <c r="O595" s="224">
        <f t="shared" si="35"/>
        <v>0.39157131129106371</v>
      </c>
      <c r="Q595" s="224"/>
      <c r="R595" s="224"/>
      <c r="S595" s="429"/>
      <c r="Z595" s="362"/>
      <c r="AA595" s="421"/>
      <c r="AB595" s="362"/>
      <c r="AC595" s="362"/>
      <c r="AD595" s="362"/>
      <c r="AE595" s="362"/>
      <c r="AF595" s="362"/>
      <c r="AG595" s="362"/>
      <c r="AH595" s="362"/>
      <c r="AI595" s="393"/>
      <c r="AJ595" s="393"/>
      <c r="AK595" s="362"/>
      <c r="AL595" s="362"/>
      <c r="AM595" s="362"/>
      <c r="AN595" s="362"/>
      <c r="AO595" s="362"/>
      <c r="AP595" s="362"/>
      <c r="AQ595" s="362"/>
      <c r="AR595" s="362"/>
    </row>
    <row r="596" spans="1:44" ht="12.75" customHeight="1" x14ac:dyDescent="0.15">
      <c r="A596" s="431"/>
      <c r="B596" s="393"/>
      <c r="C596" s="428"/>
      <c r="D596" s="428">
        <v>565813.32398381678</v>
      </c>
      <c r="E596" s="224">
        <v>130009.43658885547</v>
      </c>
      <c r="F596" s="224">
        <v>4.7178707641255322</v>
      </c>
      <c r="G596" s="224">
        <v>4.2428905912236248</v>
      </c>
      <c r="H596" s="224">
        <v>2.4866599892960668</v>
      </c>
      <c r="I596" s="224">
        <v>2.1795065300188767</v>
      </c>
      <c r="J596" s="224"/>
      <c r="M596" s="224">
        <f t="shared" si="33"/>
        <v>435803.88739496132</v>
      </c>
      <c r="N596" s="224">
        <f t="shared" si="34"/>
        <v>0.47498017290190742</v>
      </c>
      <c r="O596" s="224">
        <f t="shared" si="35"/>
        <v>0.30715345927719007</v>
      </c>
      <c r="Q596" s="224"/>
      <c r="R596" s="224"/>
      <c r="S596" s="429"/>
      <c r="Z596" s="362"/>
      <c r="AA596" s="421"/>
      <c r="AB596" s="362"/>
      <c r="AC596" s="362"/>
      <c r="AD596" s="362"/>
      <c r="AE596" s="362"/>
      <c r="AF596" s="362"/>
      <c r="AG596" s="362"/>
      <c r="AH596" s="362"/>
      <c r="AI596" s="393"/>
      <c r="AJ596" s="393"/>
      <c r="AK596" s="362"/>
      <c r="AL596" s="362"/>
      <c r="AM596" s="362"/>
      <c r="AN596" s="362"/>
      <c r="AO596" s="362"/>
      <c r="AP596" s="362"/>
      <c r="AQ596" s="362"/>
      <c r="AR596" s="362"/>
    </row>
    <row r="597" spans="1:44" ht="12.75" customHeight="1" x14ac:dyDescent="0.15">
      <c r="A597" s="431"/>
      <c r="B597" s="393"/>
      <c r="C597" s="428"/>
      <c r="D597" s="428">
        <v>616489.67937708471</v>
      </c>
      <c r="E597" s="224">
        <v>164081.67729188671</v>
      </c>
      <c r="F597" s="224">
        <v>4.8083511695675902</v>
      </c>
      <c r="G597" s="224">
        <v>3.6890587866261315</v>
      </c>
      <c r="H597" s="224">
        <v>2.7304442082748803</v>
      </c>
      <c r="I597" s="224">
        <v>2.0495942778383509</v>
      </c>
      <c r="J597" s="224"/>
      <c r="M597" s="224">
        <f t="shared" si="33"/>
        <v>452408.00208519801</v>
      </c>
      <c r="N597" s="224">
        <f t="shared" si="34"/>
        <v>1.1192923829414587</v>
      </c>
      <c r="O597" s="224">
        <f t="shared" si="35"/>
        <v>0.68084993043652942</v>
      </c>
      <c r="Q597" s="224"/>
      <c r="R597" s="224"/>
      <c r="S597" s="429"/>
      <c r="Z597" s="362"/>
      <c r="AA597" s="421"/>
      <c r="AB597" s="362"/>
      <c r="AC597" s="362"/>
      <c r="AD597" s="362"/>
      <c r="AE597" s="362"/>
      <c r="AF597" s="362"/>
      <c r="AG597" s="362"/>
      <c r="AH597" s="362"/>
      <c r="AI597" s="393"/>
      <c r="AJ597" s="393"/>
      <c r="AK597" s="362"/>
      <c r="AL597" s="362"/>
      <c r="AM597" s="362"/>
      <c r="AN597" s="362"/>
      <c r="AO597" s="362"/>
      <c r="AP597" s="362"/>
      <c r="AQ597" s="362"/>
      <c r="AR597" s="362"/>
    </row>
    <row r="598" spans="1:44" ht="12.75" customHeight="1" x14ac:dyDescent="0.15">
      <c r="A598" s="431"/>
      <c r="B598" s="393"/>
      <c r="C598" s="428"/>
      <c r="D598" s="428">
        <v>668707.93462163012</v>
      </c>
      <c r="E598" s="224">
        <v>196886.56052237301</v>
      </c>
      <c r="F598" s="224">
        <v>4.4671387906119833</v>
      </c>
      <c r="G598" s="224">
        <v>4.2367595838166041</v>
      </c>
      <c r="H598" s="224">
        <v>2.45095353971573</v>
      </c>
      <c r="I598" s="224">
        <v>2.1660197687029377</v>
      </c>
      <c r="J598" s="224"/>
      <c r="M598" s="224">
        <f t="shared" si="33"/>
        <v>471821.37409925711</v>
      </c>
      <c r="N598" s="224">
        <f t="shared" si="34"/>
        <v>0.23037920679537915</v>
      </c>
      <c r="O598" s="224">
        <f t="shared" si="35"/>
        <v>0.28493377101279238</v>
      </c>
      <c r="Q598" s="224"/>
      <c r="R598" s="224"/>
      <c r="S598" s="429"/>
      <c r="Z598" s="362"/>
      <c r="AA598" s="421"/>
      <c r="AB598" s="362"/>
      <c r="AC598" s="362"/>
      <c r="AD598" s="362"/>
      <c r="AE598" s="362"/>
      <c r="AF598" s="362"/>
      <c r="AG598" s="362"/>
      <c r="AH598" s="362"/>
      <c r="AI598" s="393"/>
      <c r="AJ598" s="393"/>
      <c r="AK598" s="362"/>
      <c r="AL598" s="362"/>
      <c r="AM598" s="362"/>
      <c r="AN598" s="362"/>
      <c r="AO598" s="362"/>
      <c r="AP598" s="362"/>
      <c r="AQ598" s="362"/>
      <c r="AR598" s="362"/>
    </row>
    <row r="599" spans="1:44" ht="12.75" customHeight="1" x14ac:dyDescent="0.15">
      <c r="A599" s="431"/>
      <c r="B599" s="393"/>
      <c r="C599" s="428"/>
      <c r="D599" s="428">
        <v>614455.62626490009</v>
      </c>
      <c r="E599" s="224">
        <v>172175.12490688328</v>
      </c>
      <c r="F599" s="224">
        <v>4.5793147932489155</v>
      </c>
      <c r="G599" s="224">
        <v>4.2437514705603148</v>
      </c>
      <c r="H599" s="224">
        <v>2.3589373488633134</v>
      </c>
      <c r="I599" s="224">
        <v>2.1034983423872298</v>
      </c>
      <c r="J599" s="224"/>
      <c r="M599" s="224">
        <f t="shared" si="33"/>
        <v>442280.5013580168</v>
      </c>
      <c r="N599" s="224">
        <f t="shared" si="34"/>
        <v>0.33556332268860078</v>
      </c>
      <c r="O599" s="224">
        <f t="shared" si="35"/>
        <v>0.25543900647608364</v>
      </c>
      <c r="Q599" s="224"/>
      <c r="R599" s="224"/>
      <c r="S599" s="429"/>
      <c r="Z599" s="362"/>
      <c r="AA599" s="421"/>
      <c r="AB599" s="362"/>
      <c r="AC599" s="362"/>
      <c r="AD599" s="362"/>
      <c r="AE599" s="362"/>
      <c r="AF599" s="362"/>
      <c r="AG599" s="362"/>
      <c r="AH599" s="362"/>
      <c r="AI599" s="393"/>
      <c r="AJ599" s="393"/>
      <c r="AK599" s="362"/>
      <c r="AL599" s="362"/>
      <c r="AM599" s="362"/>
      <c r="AN599" s="362"/>
      <c r="AO599" s="362"/>
      <c r="AP599" s="362"/>
      <c r="AQ599" s="362"/>
      <c r="AR599" s="362"/>
    </row>
    <row r="600" spans="1:44" ht="12.75" customHeight="1" x14ac:dyDescent="0.15">
      <c r="A600" s="431"/>
      <c r="B600" s="393"/>
      <c r="C600" s="428"/>
      <c r="D600" s="428">
        <v>592997.46393276472</v>
      </c>
      <c r="E600" s="224">
        <v>224333.98180664139</v>
      </c>
      <c r="F600" s="224">
        <v>4.2331808533904054</v>
      </c>
      <c r="G600" s="224">
        <v>4.3949543296724709</v>
      </c>
      <c r="H600" s="224">
        <v>2.4456852353367013</v>
      </c>
      <c r="I600" s="224">
        <v>2.3809449287078452</v>
      </c>
      <c r="J600" s="224"/>
      <c r="M600" s="224">
        <f t="shared" si="33"/>
        <v>368663.48212612333</v>
      </c>
      <c r="N600" s="224">
        <f t="shared" si="34"/>
        <v>-0.16177347628206551</v>
      </c>
      <c r="O600" s="224">
        <f t="shared" si="35"/>
        <v>6.4740306628856104E-2</v>
      </c>
      <c r="Q600" s="224"/>
      <c r="R600" s="224"/>
      <c r="S600" s="429"/>
      <c r="Z600" s="362"/>
      <c r="AA600" s="421"/>
      <c r="AB600" s="362"/>
      <c r="AC600" s="362"/>
      <c r="AD600" s="362"/>
      <c r="AE600" s="362"/>
      <c r="AF600" s="362"/>
      <c r="AG600" s="362"/>
      <c r="AH600" s="362"/>
      <c r="AI600" s="393"/>
      <c r="AJ600" s="393"/>
      <c r="AK600" s="362"/>
      <c r="AL600" s="362"/>
      <c r="AM600" s="362"/>
      <c r="AN600" s="362"/>
      <c r="AO600" s="362"/>
      <c r="AP600" s="362"/>
      <c r="AQ600" s="362"/>
      <c r="AR600" s="362"/>
    </row>
    <row r="601" spans="1:44" ht="12.75" customHeight="1" x14ac:dyDescent="0.15">
      <c r="A601" s="431"/>
      <c r="B601" s="393"/>
      <c r="C601" s="428"/>
      <c r="D601" s="428">
        <v>613339.07584281301</v>
      </c>
      <c r="E601" s="224">
        <v>188996.18803328407</v>
      </c>
      <c r="F601" s="224">
        <v>4.362660255091936</v>
      </c>
      <c r="G601" s="224">
        <v>3.4477960831771104</v>
      </c>
      <c r="H601" s="224">
        <v>2.4802991492865756</v>
      </c>
      <c r="I601" s="224">
        <v>1.8696057937599737</v>
      </c>
      <c r="J601" s="224"/>
      <c r="M601" s="224">
        <f t="shared" si="33"/>
        <v>424342.88780952897</v>
      </c>
      <c r="N601" s="224">
        <f t="shared" si="34"/>
        <v>0.91486417191482561</v>
      </c>
      <c r="O601" s="224">
        <f t="shared" si="35"/>
        <v>0.61069335552660187</v>
      </c>
      <c r="Q601" s="224"/>
      <c r="R601" s="224"/>
      <c r="S601" s="429"/>
      <c r="Z601" s="362"/>
      <c r="AA601" s="421"/>
      <c r="AB601" s="362"/>
      <c r="AC601" s="362"/>
      <c r="AD601" s="362"/>
      <c r="AE601" s="362"/>
      <c r="AF601" s="362"/>
      <c r="AG601" s="362"/>
      <c r="AH601" s="362"/>
      <c r="AI601" s="393"/>
      <c r="AJ601" s="393"/>
      <c r="AK601" s="362"/>
      <c r="AL601" s="362"/>
      <c r="AM601" s="362"/>
      <c r="AN601" s="362"/>
      <c r="AO601" s="362"/>
      <c r="AP601" s="362"/>
      <c r="AQ601" s="362"/>
      <c r="AR601" s="362"/>
    </row>
    <row r="602" spans="1:44" ht="12.75" customHeight="1" x14ac:dyDescent="0.15">
      <c r="A602" s="431"/>
      <c r="B602" s="393"/>
      <c r="C602" s="428"/>
      <c r="D602" s="428">
        <v>580035.35939264786</v>
      </c>
      <c r="E602" s="224">
        <v>127049.26254831869</v>
      </c>
      <c r="F602" s="224">
        <v>4.2170666819425806</v>
      </c>
      <c r="G602" s="224">
        <v>4.0076265902898331</v>
      </c>
      <c r="H602" s="224">
        <v>2.5404673712424128</v>
      </c>
      <c r="I602" s="224">
        <v>2.2205352397449962</v>
      </c>
      <c r="J602" s="224"/>
      <c r="M602" s="224">
        <f t="shared" si="33"/>
        <v>452986.09684432915</v>
      </c>
      <c r="N602" s="224">
        <f t="shared" si="34"/>
        <v>0.20944009165274746</v>
      </c>
      <c r="O602" s="224">
        <f t="shared" si="35"/>
        <v>0.31993213149741662</v>
      </c>
      <c r="Q602" s="224"/>
      <c r="R602" s="224"/>
      <c r="S602" s="429"/>
      <c r="Z602" s="362"/>
      <c r="AA602" s="421"/>
      <c r="AB602" s="362"/>
      <c r="AC602" s="362"/>
      <c r="AD602" s="362"/>
      <c r="AE602" s="362"/>
      <c r="AF602" s="362"/>
      <c r="AG602" s="362"/>
      <c r="AH602" s="362"/>
      <c r="AI602" s="393"/>
      <c r="AJ602" s="393"/>
      <c r="AK602" s="362"/>
      <c r="AL602" s="362"/>
      <c r="AM602" s="362"/>
      <c r="AN602" s="362"/>
      <c r="AO602" s="362"/>
      <c r="AP602" s="362"/>
      <c r="AQ602" s="362"/>
      <c r="AR602" s="362"/>
    </row>
    <row r="603" spans="1:44" ht="12.75" customHeight="1" x14ac:dyDescent="0.15">
      <c r="A603" s="431"/>
      <c r="B603" s="393"/>
      <c r="C603" s="428"/>
      <c r="D603" s="428">
        <v>653946.66600314423</v>
      </c>
      <c r="E603" s="224">
        <v>242355.70797970303</v>
      </c>
      <c r="F603" s="224">
        <v>3.5896260835999945</v>
      </c>
      <c r="G603" s="224">
        <v>3.8193103879567798</v>
      </c>
      <c r="H603" s="224">
        <v>2.3067349782297231</v>
      </c>
      <c r="I603" s="224">
        <v>2.189164669168326</v>
      </c>
      <c r="J603" s="224"/>
      <c r="M603" s="224">
        <f t="shared" si="33"/>
        <v>411590.9580234412</v>
      </c>
      <c r="N603" s="224">
        <f t="shared" si="34"/>
        <v>-0.22968430435678533</v>
      </c>
      <c r="O603" s="224">
        <f t="shared" si="35"/>
        <v>0.11757030906139709</v>
      </c>
      <c r="Q603" s="224"/>
      <c r="R603" s="224"/>
      <c r="S603" s="429"/>
      <c r="Z603" s="362"/>
      <c r="AA603" s="421"/>
      <c r="AB603" s="362"/>
      <c r="AC603" s="362"/>
      <c r="AD603" s="362"/>
      <c r="AE603" s="362"/>
      <c r="AF603" s="362"/>
      <c r="AG603" s="362"/>
      <c r="AH603" s="362"/>
      <c r="AI603" s="393"/>
      <c r="AJ603" s="393"/>
      <c r="AK603" s="362"/>
      <c r="AL603" s="362"/>
      <c r="AM603" s="362"/>
      <c r="AN603" s="362"/>
      <c r="AO603" s="362"/>
      <c r="AP603" s="362"/>
      <c r="AQ603" s="362"/>
      <c r="AR603" s="362"/>
    </row>
    <row r="604" spans="1:44" ht="12.75" customHeight="1" x14ac:dyDescent="0.15">
      <c r="A604" s="431"/>
      <c r="B604" s="393"/>
      <c r="C604" s="428"/>
      <c r="D604" s="428">
        <v>753903.03319579107</v>
      </c>
      <c r="E604" s="224">
        <v>162581.14181119713</v>
      </c>
      <c r="F604" s="224">
        <v>4.9382540616972355</v>
      </c>
      <c r="G604" s="224">
        <v>3.888741726296534</v>
      </c>
      <c r="H604" s="224">
        <v>2.7001648718206517</v>
      </c>
      <c r="I604" s="224">
        <v>1.9920255633303956</v>
      </c>
      <c r="J604" s="224"/>
      <c r="M604" s="224">
        <f t="shared" si="33"/>
        <v>591321.89138459391</v>
      </c>
      <c r="N604" s="224">
        <f t="shared" si="34"/>
        <v>1.0495123354007014</v>
      </c>
      <c r="O604" s="224">
        <f t="shared" si="35"/>
        <v>0.70813930849025608</v>
      </c>
      <c r="Q604" s="224"/>
      <c r="R604" s="224"/>
      <c r="S604" s="429"/>
      <c r="Z604" s="362"/>
      <c r="AA604" s="421"/>
      <c r="AB604" s="362"/>
      <c r="AC604" s="362"/>
      <c r="AD604" s="362"/>
      <c r="AE604" s="362"/>
      <c r="AF604" s="362"/>
      <c r="AG604" s="362"/>
      <c r="AH604" s="362"/>
      <c r="AI604" s="393"/>
      <c r="AJ604" s="393"/>
      <c r="AK604" s="362"/>
      <c r="AL604" s="362"/>
      <c r="AM604" s="362"/>
      <c r="AN604" s="362"/>
      <c r="AO604" s="362"/>
      <c r="AP604" s="362"/>
      <c r="AQ604" s="362"/>
      <c r="AR604" s="362"/>
    </row>
    <row r="605" spans="1:44" ht="12.75" customHeight="1" x14ac:dyDescent="0.15">
      <c r="A605" s="431"/>
      <c r="B605" s="393"/>
      <c r="C605" s="428"/>
      <c r="D605" s="428">
        <v>632931.59741912689</v>
      </c>
      <c r="E605" s="224">
        <v>148641.62729387541</v>
      </c>
      <c r="F605" s="224">
        <v>4.1161385945240569</v>
      </c>
      <c r="G605" s="224">
        <v>3.5096817124975073</v>
      </c>
      <c r="H605" s="224">
        <v>2.7221473500985587</v>
      </c>
      <c r="I605" s="224">
        <v>2.1773312921208765</v>
      </c>
      <c r="J605" s="224"/>
      <c r="M605" s="224">
        <f t="shared" si="33"/>
        <v>484289.97012525145</v>
      </c>
      <c r="N605" s="224">
        <f t="shared" si="34"/>
        <v>0.60645688202654968</v>
      </c>
      <c r="O605" s="224">
        <f t="shared" si="35"/>
        <v>0.54481605797768218</v>
      </c>
      <c r="Q605" s="224"/>
      <c r="R605" s="224"/>
      <c r="S605" s="429"/>
      <c r="Z605" s="362"/>
      <c r="AA605" s="421"/>
      <c r="AB605" s="362"/>
      <c r="AC605" s="362"/>
      <c r="AD605" s="362"/>
      <c r="AE605" s="362"/>
      <c r="AF605" s="362"/>
      <c r="AG605" s="362"/>
      <c r="AH605" s="362"/>
      <c r="AI605" s="393"/>
      <c r="AJ605" s="393"/>
      <c r="AK605" s="362"/>
      <c r="AL605" s="362"/>
      <c r="AM605" s="362"/>
      <c r="AN605" s="362"/>
      <c r="AO605" s="362"/>
      <c r="AP605" s="362"/>
      <c r="AQ605" s="362"/>
      <c r="AR605" s="362"/>
    </row>
    <row r="606" spans="1:44" ht="12.75" customHeight="1" x14ac:dyDescent="0.15">
      <c r="A606" s="431"/>
      <c r="B606" s="393"/>
      <c r="C606" s="428"/>
      <c r="D606" s="428">
        <v>439654.98613366758</v>
      </c>
      <c r="E606" s="224">
        <v>101393.37603141567</v>
      </c>
      <c r="F606" s="224">
        <v>3.9589592671824838</v>
      </c>
      <c r="G606" s="224">
        <v>3.3571083327106028</v>
      </c>
      <c r="H606" s="224">
        <v>2.2137425150932688</v>
      </c>
      <c r="I606" s="224">
        <v>1.8557059864581138</v>
      </c>
      <c r="J606" s="224"/>
      <c r="M606" s="224">
        <f t="shared" si="33"/>
        <v>338261.61010225193</v>
      </c>
      <c r="N606" s="224">
        <f t="shared" si="34"/>
        <v>0.60185093447188098</v>
      </c>
      <c r="O606" s="224">
        <f t="shared" si="35"/>
        <v>0.358036528635155</v>
      </c>
      <c r="Q606" s="224"/>
      <c r="R606" s="224"/>
      <c r="S606" s="429"/>
      <c r="Z606" s="362"/>
      <c r="AA606" s="421"/>
      <c r="AB606" s="362"/>
      <c r="AC606" s="362"/>
      <c r="AD606" s="362"/>
      <c r="AE606" s="362"/>
      <c r="AF606" s="362"/>
      <c r="AG606" s="362"/>
      <c r="AH606" s="362"/>
      <c r="AI606" s="393"/>
      <c r="AJ606" s="393"/>
      <c r="AK606" s="362"/>
      <c r="AL606" s="362"/>
      <c r="AM606" s="362"/>
      <c r="AN606" s="362"/>
      <c r="AO606" s="362"/>
      <c r="AP606" s="362"/>
      <c r="AQ606" s="362"/>
      <c r="AR606" s="362"/>
    </row>
    <row r="607" spans="1:44" ht="12.75" customHeight="1" x14ac:dyDescent="0.15">
      <c r="A607" s="431"/>
      <c r="B607" s="393"/>
      <c r="C607" s="428"/>
      <c r="D607" s="428">
        <v>559420.21776164428</v>
      </c>
      <c r="E607" s="224">
        <v>149242.67195096251</v>
      </c>
      <c r="F607" s="224">
        <v>4.327809556064679</v>
      </c>
      <c r="G607" s="224">
        <v>4.1082704549058375</v>
      </c>
      <c r="H607" s="224">
        <v>2.5697818240976655</v>
      </c>
      <c r="I607" s="224">
        <v>2.4818369929208979</v>
      </c>
      <c r="J607" s="224"/>
      <c r="M607" s="224">
        <f t="shared" si="33"/>
        <v>410177.54581068177</v>
      </c>
      <c r="N607" s="224">
        <f t="shared" si="34"/>
        <v>0.21953910115884145</v>
      </c>
      <c r="O607" s="224">
        <f t="shared" si="35"/>
        <v>8.7944831176767657E-2</v>
      </c>
      <c r="Q607" s="224"/>
      <c r="R607" s="224"/>
      <c r="S607" s="429"/>
      <c r="Z607" s="362"/>
      <c r="AA607" s="421"/>
      <c r="AB607" s="362"/>
      <c r="AC607" s="362"/>
      <c r="AD607" s="362"/>
      <c r="AE607" s="362"/>
      <c r="AF607" s="362"/>
      <c r="AG607" s="362"/>
      <c r="AH607" s="362"/>
      <c r="AI607" s="393"/>
      <c r="AJ607" s="393"/>
      <c r="AK607" s="362"/>
      <c r="AL607" s="362"/>
      <c r="AM607" s="362"/>
      <c r="AN607" s="362"/>
      <c r="AO607" s="362"/>
      <c r="AP607" s="362"/>
      <c r="AQ607" s="362"/>
      <c r="AR607" s="362"/>
    </row>
    <row r="608" spans="1:44" ht="12.75" customHeight="1" x14ac:dyDescent="0.15">
      <c r="A608" s="431"/>
      <c r="B608" s="393"/>
      <c r="C608" s="428"/>
      <c r="D608" s="428">
        <v>552740.79880631354</v>
      </c>
      <c r="E608" s="224">
        <v>134032.95400668733</v>
      </c>
      <c r="F608" s="224">
        <v>4.217548137581467</v>
      </c>
      <c r="G608" s="224">
        <v>3.7336072539642324</v>
      </c>
      <c r="H608" s="224">
        <v>2.803062924933942</v>
      </c>
      <c r="I608" s="224">
        <v>2.1923418760426996</v>
      </c>
      <c r="J608" s="224"/>
      <c r="M608" s="224">
        <f t="shared" si="33"/>
        <v>418707.84479962621</v>
      </c>
      <c r="N608" s="224">
        <f t="shared" si="34"/>
        <v>0.48394088361723453</v>
      </c>
      <c r="O608" s="224">
        <f t="shared" si="35"/>
        <v>0.61072104889124246</v>
      </c>
      <c r="Q608" s="224"/>
      <c r="R608" s="224"/>
      <c r="S608" s="429"/>
      <c r="Z608" s="362"/>
      <c r="AA608" s="421"/>
      <c r="AB608" s="362"/>
      <c r="AC608" s="362"/>
      <c r="AD608" s="362"/>
      <c r="AE608" s="362"/>
      <c r="AF608" s="362"/>
      <c r="AG608" s="362"/>
      <c r="AH608" s="362"/>
      <c r="AI608" s="393"/>
      <c r="AJ608" s="393"/>
      <c r="AK608" s="362"/>
      <c r="AL608" s="362"/>
      <c r="AM608" s="362"/>
      <c r="AN608" s="362"/>
      <c r="AO608" s="362"/>
      <c r="AP608" s="362"/>
      <c r="AQ608" s="362"/>
      <c r="AR608" s="362"/>
    </row>
    <row r="609" spans="1:44" ht="12.75" customHeight="1" x14ac:dyDescent="0.15">
      <c r="A609" s="431"/>
      <c r="B609" s="393"/>
      <c r="C609" s="428"/>
      <c r="D609" s="428">
        <v>619601.66812809615</v>
      </c>
      <c r="E609" s="224">
        <v>187040.84605662763</v>
      </c>
      <c r="F609" s="224">
        <v>3.4560692052830233</v>
      </c>
      <c r="G609" s="224">
        <v>4.3495435728902434</v>
      </c>
      <c r="H609" s="224">
        <v>2.3251629212646598</v>
      </c>
      <c r="I609" s="224">
        <v>2.4605857477517472</v>
      </c>
      <c r="J609" s="224"/>
      <c r="M609" s="224">
        <f t="shared" si="33"/>
        <v>432560.82207146852</v>
      </c>
      <c r="N609" s="224">
        <f t="shared" si="34"/>
        <v>-0.8934743676072201</v>
      </c>
      <c r="O609" s="224">
        <f t="shared" si="35"/>
        <v>-0.13542282648708737</v>
      </c>
      <c r="Q609" s="224"/>
      <c r="R609" s="224"/>
      <c r="S609" s="429"/>
      <c r="Z609" s="362"/>
      <c r="AA609" s="421"/>
      <c r="AB609" s="362"/>
      <c r="AC609" s="362"/>
      <c r="AD609" s="362"/>
      <c r="AE609" s="362"/>
      <c r="AF609" s="362"/>
      <c r="AG609" s="362"/>
      <c r="AH609" s="362"/>
      <c r="AI609" s="393"/>
      <c r="AJ609" s="393"/>
      <c r="AK609" s="362"/>
      <c r="AL609" s="362"/>
      <c r="AM609" s="362"/>
      <c r="AN609" s="362"/>
      <c r="AO609" s="362"/>
      <c r="AP609" s="362"/>
      <c r="AQ609" s="362"/>
      <c r="AR609" s="362"/>
    </row>
    <row r="610" spans="1:44" ht="12.75" customHeight="1" x14ac:dyDescent="0.15">
      <c r="A610" s="431"/>
      <c r="B610" s="393"/>
      <c r="C610" s="428"/>
      <c r="D610" s="428">
        <v>699469.01126262418</v>
      </c>
      <c r="E610" s="224">
        <v>190519.36380349161</v>
      </c>
      <c r="F610" s="224">
        <v>4.1270230191023183</v>
      </c>
      <c r="G610" s="224">
        <v>4.1708798970507779</v>
      </c>
      <c r="H610" s="224">
        <v>2.4447891260727275</v>
      </c>
      <c r="I610" s="224">
        <v>2.0866619045115833</v>
      </c>
      <c r="J610" s="224"/>
      <c r="M610" s="224">
        <f t="shared" si="33"/>
        <v>508949.6474591326</v>
      </c>
      <c r="N610" s="224">
        <f t="shared" si="34"/>
        <v>-4.3856877948459605E-2</v>
      </c>
      <c r="O610" s="224">
        <f t="shared" si="35"/>
        <v>0.35812722156114418</v>
      </c>
      <c r="Q610" s="224"/>
      <c r="R610" s="224"/>
      <c r="S610" s="429"/>
      <c r="Z610" s="362"/>
      <c r="AA610" s="421"/>
      <c r="AB610" s="362"/>
      <c r="AC610" s="362"/>
      <c r="AD610" s="362"/>
      <c r="AE610" s="362"/>
      <c r="AF610" s="362"/>
      <c r="AG610" s="362"/>
      <c r="AH610" s="362"/>
      <c r="AI610" s="393"/>
      <c r="AJ610" s="393"/>
      <c r="AK610" s="362"/>
      <c r="AL610" s="362"/>
      <c r="AM610" s="362"/>
      <c r="AN610" s="362"/>
      <c r="AO610" s="362"/>
      <c r="AP610" s="362"/>
      <c r="AQ610" s="362"/>
      <c r="AR610" s="362"/>
    </row>
    <row r="611" spans="1:44" ht="12.75" customHeight="1" x14ac:dyDescent="0.15">
      <c r="A611" s="431"/>
      <c r="B611" s="393"/>
      <c r="C611" s="428"/>
      <c r="D611" s="428">
        <v>644442.29891169874</v>
      </c>
      <c r="E611" s="224">
        <v>163177.9180266344</v>
      </c>
      <c r="F611" s="224">
        <v>4.3162167702409358</v>
      </c>
      <c r="G611" s="224">
        <v>3.8661228567942323</v>
      </c>
      <c r="H611" s="224">
        <v>2.5836739596395009</v>
      </c>
      <c r="I611" s="224">
        <v>2.0090580890794532</v>
      </c>
      <c r="J611" s="224"/>
      <c r="M611" s="224">
        <f t="shared" si="33"/>
        <v>481264.38088506437</v>
      </c>
      <c r="N611" s="224">
        <f t="shared" si="34"/>
        <v>0.45009391344670346</v>
      </c>
      <c r="O611" s="224">
        <f t="shared" si="35"/>
        <v>0.5746158705600477</v>
      </c>
      <c r="Q611" s="224"/>
      <c r="R611" s="224"/>
      <c r="S611" s="429"/>
      <c r="Z611" s="362"/>
      <c r="AA611" s="421"/>
      <c r="AB611" s="362"/>
      <c r="AC611" s="362"/>
      <c r="AD611" s="362"/>
      <c r="AE611" s="362"/>
      <c r="AF611" s="362"/>
      <c r="AG611" s="362"/>
      <c r="AH611" s="362"/>
      <c r="AI611" s="393"/>
      <c r="AJ611" s="393"/>
      <c r="AK611" s="362"/>
      <c r="AL611" s="362"/>
      <c r="AM611" s="362"/>
      <c r="AN611" s="362"/>
      <c r="AO611" s="362"/>
      <c r="AP611" s="362"/>
      <c r="AQ611" s="362"/>
      <c r="AR611" s="362"/>
    </row>
    <row r="612" spans="1:44" ht="12.75" customHeight="1" x14ac:dyDescent="0.15">
      <c r="A612" s="431"/>
      <c r="B612" s="393"/>
      <c r="C612" s="428"/>
      <c r="D612" s="428">
        <v>658928.81425223337</v>
      </c>
      <c r="E612" s="224">
        <v>218492.97477360402</v>
      </c>
      <c r="F612" s="224">
        <v>4.6366215713301289</v>
      </c>
      <c r="G612" s="224">
        <v>3.9836576105211212</v>
      </c>
      <c r="H612" s="224">
        <v>2.504273699951054</v>
      </c>
      <c r="I612" s="224">
        <v>2.0506790350522133</v>
      </c>
      <c r="J612" s="224"/>
      <c r="M612" s="224">
        <f t="shared" si="33"/>
        <v>440435.83947862935</v>
      </c>
      <c r="N612" s="224">
        <f t="shared" si="34"/>
        <v>0.65296396080900765</v>
      </c>
      <c r="O612" s="224">
        <f t="shared" si="35"/>
        <v>0.4535946648988407</v>
      </c>
      <c r="Q612" s="224"/>
      <c r="R612" s="224"/>
      <c r="S612" s="429"/>
      <c r="Z612" s="362"/>
      <c r="AA612" s="421"/>
      <c r="AB612" s="362"/>
      <c r="AC612" s="362"/>
      <c r="AD612" s="362"/>
      <c r="AE612" s="362"/>
      <c r="AF612" s="362"/>
      <c r="AG612" s="362"/>
      <c r="AH612" s="362"/>
      <c r="AI612" s="393"/>
      <c r="AJ612" s="393"/>
      <c r="AK612" s="362"/>
      <c r="AL612" s="362"/>
      <c r="AM612" s="362"/>
      <c r="AN612" s="362"/>
      <c r="AO612" s="362"/>
      <c r="AP612" s="362"/>
      <c r="AQ612" s="362"/>
      <c r="AR612" s="362"/>
    </row>
    <row r="613" spans="1:44" ht="12.75" customHeight="1" x14ac:dyDescent="0.15">
      <c r="A613" s="431"/>
      <c r="B613" s="393"/>
      <c r="C613" s="428"/>
      <c r="D613" s="428">
        <v>611021.84002502402</v>
      </c>
      <c r="E613" s="224">
        <v>159202.6069491044</v>
      </c>
      <c r="F613" s="224">
        <v>4.2156696190820062</v>
      </c>
      <c r="G613" s="224">
        <v>4.0072315166205694</v>
      </c>
      <c r="H613" s="224">
        <v>2.5124510992815208</v>
      </c>
      <c r="I613" s="224">
        <v>2.3100638119344321</v>
      </c>
      <c r="J613" s="224"/>
      <c r="M613" s="224">
        <f t="shared" si="33"/>
        <v>451819.23307591962</v>
      </c>
      <c r="N613" s="224">
        <f t="shared" si="34"/>
        <v>0.20843810246143679</v>
      </c>
      <c r="O613" s="224">
        <f t="shared" si="35"/>
        <v>0.20238728734708866</v>
      </c>
      <c r="Q613" s="224"/>
      <c r="R613" s="224"/>
      <c r="S613" s="429"/>
      <c r="Z613" s="362"/>
      <c r="AA613" s="421"/>
      <c r="AB613" s="362"/>
      <c r="AC613" s="362"/>
      <c r="AD613" s="362"/>
      <c r="AE613" s="362"/>
      <c r="AF613" s="362"/>
      <c r="AG613" s="362"/>
      <c r="AH613" s="362"/>
      <c r="AI613" s="393"/>
      <c r="AJ613" s="393"/>
      <c r="AK613" s="362"/>
      <c r="AL613" s="362"/>
      <c r="AM613" s="362"/>
      <c r="AN613" s="362"/>
      <c r="AO613" s="362"/>
      <c r="AP613" s="362"/>
      <c r="AQ613" s="362"/>
      <c r="AR613" s="362"/>
    </row>
    <row r="614" spans="1:44" ht="12.75" customHeight="1" x14ac:dyDescent="0.15">
      <c r="A614" s="431"/>
      <c r="B614" s="393"/>
      <c r="C614" s="428"/>
      <c r="D614" s="428">
        <v>513588.69229053764</v>
      </c>
      <c r="E614" s="224">
        <v>113893.81991251116</v>
      </c>
      <c r="F614" s="224">
        <v>3.9480512892569055</v>
      </c>
      <c r="G614" s="224">
        <v>3.8256905457844566</v>
      </c>
      <c r="H614" s="224">
        <v>2.3282295644048734</v>
      </c>
      <c r="I614" s="224">
        <v>2.2138582327886986</v>
      </c>
      <c r="J614" s="224"/>
      <c r="M614" s="224">
        <f t="shared" si="33"/>
        <v>399694.87237802648</v>
      </c>
      <c r="N614" s="224">
        <f t="shared" si="34"/>
        <v>0.12236074347244896</v>
      </c>
      <c r="O614" s="224">
        <f t="shared" si="35"/>
        <v>0.11437133161617474</v>
      </c>
      <c r="Q614" s="224"/>
      <c r="R614" s="224"/>
      <c r="S614" s="429"/>
      <c r="Z614" s="362"/>
      <c r="AA614" s="421"/>
      <c r="AB614" s="362"/>
      <c r="AC614" s="362"/>
      <c r="AD614" s="362"/>
      <c r="AE614" s="362"/>
      <c r="AF614" s="362"/>
      <c r="AG614" s="362"/>
      <c r="AH614" s="362"/>
      <c r="AI614" s="393"/>
      <c r="AJ614" s="393"/>
      <c r="AK614" s="362"/>
      <c r="AL614" s="362"/>
      <c r="AM614" s="362"/>
      <c r="AN614" s="362"/>
      <c r="AO614" s="362"/>
      <c r="AP614" s="362"/>
      <c r="AQ614" s="362"/>
      <c r="AR614" s="362"/>
    </row>
    <row r="615" spans="1:44" ht="12.75" customHeight="1" x14ac:dyDescent="0.15">
      <c r="A615" s="431"/>
      <c r="B615" s="393"/>
      <c r="C615" s="428"/>
      <c r="D615" s="428">
        <v>575621.15659485559</v>
      </c>
      <c r="E615" s="224">
        <v>128550.93767452241</v>
      </c>
      <c r="F615" s="224">
        <v>4.5580482324932765</v>
      </c>
      <c r="G615" s="224">
        <v>4.0926924125681827</v>
      </c>
      <c r="H615" s="224">
        <v>2.6302310842888672</v>
      </c>
      <c r="I615" s="224">
        <v>2.2686835151587132</v>
      </c>
      <c r="J615" s="224"/>
      <c r="M615" s="224">
        <f t="shared" si="33"/>
        <v>447070.21892033319</v>
      </c>
      <c r="N615" s="224">
        <f t="shared" si="34"/>
        <v>0.46535581992509378</v>
      </c>
      <c r="O615" s="224">
        <f t="shared" si="35"/>
        <v>0.36154756913015396</v>
      </c>
      <c r="Q615" s="224"/>
      <c r="R615" s="224"/>
      <c r="S615" s="429"/>
      <c r="Z615" s="362"/>
      <c r="AA615" s="421"/>
      <c r="AB615" s="362"/>
      <c r="AC615" s="362"/>
      <c r="AD615" s="362"/>
      <c r="AE615" s="362"/>
      <c r="AF615" s="362"/>
      <c r="AG615" s="362"/>
      <c r="AH615" s="362"/>
      <c r="AI615" s="393"/>
      <c r="AJ615" s="393"/>
      <c r="AK615" s="362"/>
      <c r="AL615" s="362"/>
      <c r="AM615" s="362"/>
      <c r="AN615" s="362"/>
      <c r="AO615" s="362"/>
      <c r="AP615" s="362"/>
      <c r="AQ615" s="362"/>
      <c r="AR615" s="362"/>
    </row>
    <row r="616" spans="1:44" ht="12.75" customHeight="1" x14ac:dyDescent="0.15">
      <c r="A616" s="431"/>
      <c r="B616" s="393"/>
      <c r="C616" s="428"/>
      <c r="D616" s="428">
        <v>682058.0122266023</v>
      </c>
      <c r="E616" s="224">
        <v>137290.32220929628</v>
      </c>
      <c r="F616" s="224">
        <v>4.4349093046633969</v>
      </c>
      <c r="G616" s="224">
        <v>3.8621993052381542</v>
      </c>
      <c r="H616" s="224">
        <v>3.317653986860527</v>
      </c>
      <c r="I616" s="224">
        <v>2.6603533766572283</v>
      </c>
      <c r="J616" s="224"/>
      <c r="M616" s="224">
        <f t="shared" si="33"/>
        <v>544767.69001730601</v>
      </c>
      <c r="N616" s="224">
        <f t="shared" si="34"/>
        <v>0.5727099994252427</v>
      </c>
      <c r="O616" s="224">
        <f t="shared" si="35"/>
        <v>0.65730061020329877</v>
      </c>
      <c r="Q616" s="224"/>
      <c r="R616" s="224"/>
      <c r="S616" s="429"/>
      <c r="Z616" s="362"/>
      <c r="AA616" s="421"/>
      <c r="AB616" s="362"/>
      <c r="AC616" s="362"/>
      <c r="AD616" s="362"/>
      <c r="AE616" s="362"/>
      <c r="AF616" s="362"/>
      <c r="AG616" s="362"/>
      <c r="AH616" s="362"/>
      <c r="AI616" s="393"/>
      <c r="AJ616" s="393"/>
      <c r="AK616" s="362"/>
      <c r="AL616" s="362"/>
      <c r="AM616" s="362"/>
      <c r="AN616" s="362"/>
      <c r="AO616" s="362"/>
      <c r="AP616" s="362"/>
      <c r="AQ616" s="362"/>
      <c r="AR616" s="362"/>
    </row>
    <row r="617" spans="1:44" ht="12.75" customHeight="1" x14ac:dyDescent="0.15">
      <c r="A617" s="431"/>
      <c r="B617" s="393"/>
      <c r="C617" s="428"/>
      <c r="D617" s="428">
        <v>624106.08541891677</v>
      </c>
      <c r="E617" s="224">
        <v>118559.67018927707</v>
      </c>
      <c r="F617" s="224">
        <v>4.561524417615769</v>
      </c>
      <c r="G617" s="224">
        <v>3.884981741958272</v>
      </c>
      <c r="H617" s="224">
        <v>2.7760294917649571</v>
      </c>
      <c r="I617" s="224">
        <v>2.2345053831457746</v>
      </c>
      <c r="J617" s="224"/>
      <c r="M617" s="224">
        <f t="shared" si="33"/>
        <v>505546.41522963974</v>
      </c>
      <c r="N617" s="224">
        <f t="shared" si="34"/>
        <v>0.67654267565749704</v>
      </c>
      <c r="O617" s="224">
        <f t="shared" si="35"/>
        <v>0.54152410861918243</v>
      </c>
      <c r="Q617" s="224"/>
      <c r="R617" s="224"/>
      <c r="S617" s="429"/>
      <c r="Z617" s="362"/>
      <c r="AA617" s="421"/>
      <c r="AB617" s="362"/>
      <c r="AC617" s="362"/>
      <c r="AD617" s="362"/>
      <c r="AE617" s="362"/>
      <c r="AF617" s="362"/>
      <c r="AG617" s="362"/>
      <c r="AH617" s="362"/>
      <c r="AI617" s="393"/>
      <c r="AJ617" s="393"/>
      <c r="AK617" s="362"/>
      <c r="AL617" s="362"/>
      <c r="AM617" s="362"/>
      <c r="AN617" s="362"/>
      <c r="AO617" s="362"/>
      <c r="AP617" s="362"/>
      <c r="AQ617" s="362"/>
      <c r="AR617" s="362"/>
    </row>
    <row r="618" spans="1:44" ht="12.75" customHeight="1" x14ac:dyDescent="0.15">
      <c r="A618" s="431"/>
      <c r="B618" s="393"/>
      <c r="C618" s="428"/>
      <c r="D618" s="428">
        <v>729212.01341091457</v>
      </c>
      <c r="E618" s="224">
        <v>239861.07915678015</v>
      </c>
      <c r="F618" s="224">
        <v>4.55617580685227</v>
      </c>
      <c r="G618" s="224">
        <v>3.9443207846377035</v>
      </c>
      <c r="H618" s="224">
        <v>2.6363602700639159</v>
      </c>
      <c r="I618" s="224">
        <v>2.0483979889924413</v>
      </c>
      <c r="J618" s="224"/>
      <c r="M618" s="224">
        <f t="shared" si="33"/>
        <v>489350.93425413442</v>
      </c>
      <c r="N618" s="224">
        <f t="shared" si="34"/>
        <v>0.61185502221456645</v>
      </c>
      <c r="O618" s="224">
        <f t="shared" si="35"/>
        <v>0.58796228107147464</v>
      </c>
      <c r="Q618" s="224"/>
      <c r="R618" s="224"/>
      <c r="S618" s="429"/>
      <c r="Z618" s="362"/>
      <c r="AA618" s="421"/>
      <c r="AB618" s="362"/>
      <c r="AC618" s="362"/>
      <c r="AD618" s="362"/>
      <c r="AE618" s="362"/>
      <c r="AF618" s="362"/>
      <c r="AG618" s="362"/>
      <c r="AH618" s="362"/>
      <c r="AI618" s="393"/>
      <c r="AJ618" s="393"/>
      <c r="AK618" s="362"/>
      <c r="AL618" s="362"/>
      <c r="AM618" s="362"/>
      <c r="AN618" s="362"/>
      <c r="AO618" s="362"/>
      <c r="AP618" s="362"/>
      <c r="AQ618" s="362"/>
      <c r="AR618" s="362"/>
    </row>
    <row r="619" spans="1:44" ht="12.75" customHeight="1" x14ac:dyDescent="0.15">
      <c r="A619" s="431"/>
      <c r="B619" s="393"/>
      <c r="C619" s="428"/>
      <c r="D619" s="428">
        <v>648606.48200551327</v>
      </c>
      <c r="E619" s="224">
        <v>144760.6630063256</v>
      </c>
      <c r="F619" s="224">
        <v>4.6608986563666495</v>
      </c>
      <c r="G619" s="224">
        <v>4.0373841879426706</v>
      </c>
      <c r="H619" s="224">
        <v>2.8812355318857712</v>
      </c>
      <c r="I619" s="224">
        <v>2.2190795411774471</v>
      </c>
      <c r="J619" s="224"/>
      <c r="M619" s="224">
        <f t="shared" si="33"/>
        <v>503845.81899918767</v>
      </c>
      <c r="N619" s="224">
        <f t="shared" si="34"/>
        <v>0.62351446842397884</v>
      </c>
      <c r="O619" s="224">
        <f t="shared" si="35"/>
        <v>0.66215599070832409</v>
      </c>
      <c r="Q619" s="224"/>
      <c r="R619" s="224"/>
      <c r="S619" s="429"/>
      <c r="Z619" s="362"/>
      <c r="AA619" s="421"/>
      <c r="AB619" s="362"/>
      <c r="AC619" s="362"/>
      <c r="AD619" s="362"/>
      <c r="AE619" s="362"/>
      <c r="AF619" s="362"/>
      <c r="AG619" s="362"/>
      <c r="AH619" s="362"/>
      <c r="AI619" s="393"/>
      <c r="AJ619" s="393"/>
      <c r="AK619" s="362"/>
      <c r="AL619" s="362"/>
      <c r="AM619" s="362"/>
      <c r="AN619" s="362"/>
      <c r="AO619" s="362"/>
      <c r="AP619" s="362"/>
      <c r="AQ619" s="362"/>
      <c r="AR619" s="362"/>
    </row>
    <row r="620" spans="1:44" ht="12.75" customHeight="1" x14ac:dyDescent="0.15">
      <c r="A620" s="431"/>
      <c r="B620" s="393"/>
      <c r="C620" s="428"/>
      <c r="D620" s="428">
        <v>594185.60215136572</v>
      </c>
      <c r="E620" s="224">
        <v>134892.27747055833</v>
      </c>
      <c r="F620" s="224">
        <v>3.9987728154772251</v>
      </c>
      <c r="G620" s="224">
        <v>3.3634984666541898</v>
      </c>
      <c r="H620" s="224">
        <v>2.5636828332332326</v>
      </c>
      <c r="I620" s="224">
        <v>2.074349351671569</v>
      </c>
      <c r="J620" s="224"/>
      <c r="M620" s="224">
        <f t="shared" si="33"/>
        <v>459293.32468080742</v>
      </c>
      <c r="N620" s="224">
        <f t="shared" si="34"/>
        <v>0.63527434882303524</v>
      </c>
      <c r="O620" s="224">
        <f t="shared" si="35"/>
        <v>0.48933348156166367</v>
      </c>
      <c r="Q620" s="224"/>
      <c r="R620" s="224"/>
      <c r="S620" s="429"/>
      <c r="Z620" s="362"/>
      <c r="AA620" s="421"/>
      <c r="AB620" s="362"/>
      <c r="AC620" s="362"/>
      <c r="AD620" s="362"/>
      <c r="AE620" s="362"/>
      <c r="AF620" s="362"/>
      <c r="AG620" s="362"/>
      <c r="AH620" s="362"/>
      <c r="AI620" s="393"/>
      <c r="AJ620" s="393"/>
      <c r="AK620" s="362"/>
      <c r="AL620" s="362"/>
      <c r="AM620" s="362"/>
      <c r="AN620" s="362"/>
      <c r="AO620" s="362"/>
      <c r="AP620" s="362"/>
      <c r="AQ620" s="362"/>
      <c r="AR620" s="362"/>
    </row>
    <row r="621" spans="1:44" ht="12.75" customHeight="1" x14ac:dyDescent="0.15">
      <c r="A621" s="431"/>
      <c r="B621" s="393"/>
      <c r="C621" s="428"/>
      <c r="D621" s="428">
        <v>468446.19253806752</v>
      </c>
      <c r="E621" s="224">
        <v>107009.1203958121</v>
      </c>
      <c r="F621" s="224">
        <v>4.2548259254435159</v>
      </c>
      <c r="G621" s="224">
        <v>3.936653164578034</v>
      </c>
      <c r="H621" s="224">
        <v>2.6006345231247376</v>
      </c>
      <c r="I621" s="224">
        <v>2.3192666056093967</v>
      </c>
      <c r="J621" s="224"/>
      <c r="M621" s="224">
        <f t="shared" si="33"/>
        <v>361437.07214225543</v>
      </c>
      <c r="N621" s="224">
        <f t="shared" si="34"/>
        <v>0.31817276086548185</v>
      </c>
      <c r="O621" s="224">
        <f t="shared" si="35"/>
        <v>0.28136791751534096</v>
      </c>
      <c r="Q621" s="224"/>
      <c r="R621" s="224"/>
      <c r="S621" s="429"/>
      <c r="Z621" s="362"/>
      <c r="AA621" s="421"/>
      <c r="AB621" s="362"/>
      <c r="AC621" s="362"/>
      <c r="AD621" s="362"/>
      <c r="AE621" s="362"/>
      <c r="AF621" s="362"/>
      <c r="AG621" s="362"/>
      <c r="AH621" s="362"/>
      <c r="AI621" s="393"/>
      <c r="AJ621" s="393"/>
      <c r="AK621" s="362"/>
      <c r="AL621" s="362"/>
      <c r="AM621" s="362"/>
      <c r="AN621" s="362"/>
      <c r="AO621" s="362"/>
      <c r="AP621" s="362"/>
      <c r="AQ621" s="362"/>
      <c r="AR621" s="362"/>
    </row>
    <row r="622" spans="1:44" ht="12.75" customHeight="1" x14ac:dyDescent="0.15">
      <c r="A622" s="431"/>
      <c r="B622" s="393"/>
      <c r="C622" s="428"/>
      <c r="D622" s="428">
        <v>560898.05464917328</v>
      </c>
      <c r="E622" s="224">
        <v>122673.34632498218</v>
      </c>
      <c r="F622" s="224">
        <v>4.3701749133834298</v>
      </c>
      <c r="G622" s="224">
        <v>4.1541516409616221</v>
      </c>
      <c r="H622" s="224">
        <v>2.4624141732842704</v>
      </c>
      <c r="I622" s="224">
        <v>2.2451539846181467</v>
      </c>
      <c r="J622" s="224"/>
      <c r="M622" s="224">
        <f t="shared" si="33"/>
        <v>438224.7083241911</v>
      </c>
      <c r="N622" s="224">
        <f t="shared" si="34"/>
        <v>0.21602327242180763</v>
      </c>
      <c r="O622" s="224">
        <f t="shared" si="35"/>
        <v>0.21726018866612362</v>
      </c>
      <c r="Q622" s="224"/>
      <c r="R622" s="224"/>
      <c r="S622" s="429"/>
      <c r="Z622" s="362"/>
      <c r="AA622" s="421"/>
      <c r="AB622" s="362"/>
      <c r="AC622" s="362"/>
      <c r="AD622" s="362"/>
      <c r="AE622" s="362"/>
      <c r="AF622" s="362"/>
      <c r="AG622" s="362"/>
      <c r="AH622" s="362"/>
      <c r="AI622" s="393"/>
      <c r="AJ622" s="393"/>
      <c r="AK622" s="362"/>
      <c r="AL622" s="362"/>
      <c r="AM622" s="362"/>
      <c r="AN622" s="362"/>
      <c r="AO622" s="362"/>
      <c r="AP622" s="362"/>
      <c r="AQ622" s="362"/>
      <c r="AR622" s="362"/>
    </row>
    <row r="623" spans="1:44" ht="12.75" customHeight="1" x14ac:dyDescent="0.15">
      <c r="A623" s="431"/>
      <c r="B623" s="393"/>
      <c r="C623" s="428"/>
      <c r="D623" s="428">
        <v>704690.34155668842</v>
      </c>
      <c r="E623" s="224">
        <v>185080.87902258866</v>
      </c>
      <c r="F623" s="224">
        <v>4.664886341817958</v>
      </c>
      <c r="G623" s="224">
        <v>3.8441725005541367</v>
      </c>
      <c r="H623" s="224">
        <v>3.0125150482416836</v>
      </c>
      <c r="I623" s="224">
        <v>2.2985358099688611</v>
      </c>
      <c r="J623" s="224"/>
      <c r="M623" s="224">
        <f t="shared" si="33"/>
        <v>519609.46253409976</v>
      </c>
      <c r="N623" s="224">
        <f t="shared" si="34"/>
        <v>0.8207138412638213</v>
      </c>
      <c r="O623" s="224">
        <f t="shared" si="35"/>
        <v>0.7139792382728225</v>
      </c>
      <c r="Q623" s="224"/>
      <c r="R623" s="224"/>
      <c r="S623" s="429"/>
      <c r="Z623" s="362"/>
      <c r="AA623" s="421"/>
      <c r="AB623" s="362"/>
      <c r="AC623" s="362"/>
      <c r="AD623" s="362"/>
      <c r="AE623" s="362"/>
      <c r="AF623" s="362"/>
      <c r="AG623" s="362"/>
      <c r="AH623" s="362"/>
      <c r="AI623" s="393"/>
      <c r="AJ623" s="393"/>
      <c r="AK623" s="362"/>
      <c r="AL623" s="362"/>
      <c r="AM623" s="362"/>
      <c r="AN623" s="362"/>
      <c r="AO623" s="362"/>
      <c r="AP623" s="362"/>
      <c r="AQ623" s="362"/>
      <c r="AR623" s="362"/>
    </row>
    <row r="624" spans="1:44" ht="12.75" customHeight="1" x14ac:dyDescent="0.15">
      <c r="A624" s="431"/>
      <c r="B624" s="393"/>
      <c r="C624" s="428"/>
      <c r="D624" s="428">
        <v>575906.63723928586</v>
      </c>
      <c r="E624" s="224">
        <v>175215.40426963815</v>
      </c>
      <c r="F624" s="224">
        <v>3.8657725852595624</v>
      </c>
      <c r="G624" s="224">
        <v>4.1179804197648497</v>
      </c>
      <c r="H624" s="224">
        <v>2.1708252421950371</v>
      </c>
      <c r="I624" s="224">
        <v>2.102179357990293</v>
      </c>
      <c r="J624" s="224"/>
      <c r="M624" s="224">
        <f t="shared" si="33"/>
        <v>400691.23296964774</v>
      </c>
      <c r="N624" s="224">
        <f t="shared" si="34"/>
        <v>-0.25220783450528739</v>
      </c>
      <c r="O624" s="224">
        <f t="shared" si="35"/>
        <v>6.8645884204744156E-2</v>
      </c>
      <c r="Q624" s="224"/>
      <c r="R624" s="224"/>
      <c r="S624" s="429"/>
      <c r="Z624" s="362"/>
      <c r="AA624" s="421"/>
      <c r="AB624" s="362"/>
      <c r="AC624" s="362"/>
      <c r="AD624" s="362"/>
      <c r="AE624" s="362"/>
      <c r="AF624" s="362"/>
      <c r="AG624" s="362"/>
      <c r="AH624" s="362"/>
      <c r="AI624" s="393"/>
      <c r="AJ624" s="393"/>
      <c r="AK624" s="362"/>
      <c r="AL624" s="362"/>
      <c r="AM624" s="362"/>
      <c r="AN624" s="362"/>
      <c r="AO624" s="362"/>
      <c r="AP624" s="362"/>
      <c r="AQ624" s="362"/>
      <c r="AR624" s="362"/>
    </row>
    <row r="625" spans="1:44" ht="12.75" customHeight="1" x14ac:dyDescent="0.15">
      <c r="A625" s="431"/>
      <c r="B625" s="393"/>
      <c r="C625" s="428"/>
      <c r="D625" s="428">
        <v>527171.49437386147</v>
      </c>
      <c r="E625" s="224">
        <v>129474.26596753903</v>
      </c>
      <c r="F625" s="224">
        <v>4.4045512933417177</v>
      </c>
      <c r="G625" s="224">
        <v>4.1094667684881427</v>
      </c>
      <c r="H625" s="224">
        <v>2.692954377147315</v>
      </c>
      <c r="I625" s="224">
        <v>2.3166723289020172</v>
      </c>
      <c r="J625" s="224"/>
      <c r="M625" s="224">
        <f t="shared" si="33"/>
        <v>397697.22840632242</v>
      </c>
      <c r="N625" s="224">
        <f t="shared" si="34"/>
        <v>0.29508452485357495</v>
      </c>
      <c r="O625" s="224">
        <f t="shared" si="35"/>
        <v>0.37628204824529776</v>
      </c>
      <c r="Q625" s="224"/>
      <c r="R625" s="224"/>
      <c r="S625" s="429"/>
      <c r="Z625" s="362"/>
      <c r="AA625" s="421"/>
      <c r="AB625" s="362"/>
      <c r="AC625" s="362"/>
      <c r="AD625" s="362"/>
      <c r="AE625" s="362"/>
      <c r="AF625" s="362"/>
      <c r="AG625" s="362"/>
      <c r="AH625" s="362"/>
      <c r="AI625" s="393"/>
      <c r="AJ625" s="393"/>
      <c r="AK625" s="362"/>
      <c r="AL625" s="362"/>
      <c r="AM625" s="362"/>
      <c r="AN625" s="362"/>
      <c r="AO625" s="362"/>
      <c r="AP625" s="362"/>
      <c r="AQ625" s="362"/>
      <c r="AR625" s="362"/>
    </row>
    <row r="626" spans="1:44" ht="12.75" customHeight="1" x14ac:dyDescent="0.15">
      <c r="A626" s="431"/>
      <c r="B626" s="393"/>
      <c r="C626" s="428"/>
      <c r="D626" s="428">
        <v>659258.24864548154</v>
      </c>
      <c r="E626" s="224">
        <v>111799.52512291502</v>
      </c>
      <c r="F626" s="224">
        <v>4.0091856789509439</v>
      </c>
      <c r="G626" s="224">
        <v>3.7774910812236828</v>
      </c>
      <c r="H626" s="224">
        <v>2.5609392007763851</v>
      </c>
      <c r="I626" s="224">
        <v>2.1602112501876776</v>
      </c>
      <c r="J626" s="224"/>
      <c r="M626" s="224">
        <f t="shared" si="33"/>
        <v>547458.72352256649</v>
      </c>
      <c r="N626" s="224">
        <f t="shared" si="34"/>
        <v>0.23169459772726109</v>
      </c>
      <c r="O626" s="224">
        <f t="shared" si="35"/>
        <v>0.40072795058870758</v>
      </c>
      <c r="Q626" s="224"/>
      <c r="R626" s="224"/>
      <c r="S626" s="429"/>
      <c r="Z626" s="362"/>
      <c r="AA626" s="421"/>
      <c r="AB626" s="362"/>
      <c r="AC626" s="362"/>
      <c r="AD626" s="362"/>
      <c r="AE626" s="362"/>
      <c r="AF626" s="362"/>
      <c r="AG626" s="362"/>
      <c r="AH626" s="362"/>
      <c r="AI626" s="393"/>
      <c r="AJ626" s="393"/>
      <c r="AK626" s="362"/>
      <c r="AL626" s="362"/>
      <c r="AM626" s="362"/>
      <c r="AN626" s="362"/>
      <c r="AO626" s="362"/>
      <c r="AP626" s="362"/>
      <c r="AQ626" s="362"/>
      <c r="AR626" s="362"/>
    </row>
    <row r="627" spans="1:44" ht="12.75" customHeight="1" x14ac:dyDescent="0.15">
      <c r="A627" s="431"/>
      <c r="B627" s="393"/>
      <c r="C627" s="428"/>
      <c r="D627" s="428">
        <v>603377.49733344093</v>
      </c>
      <c r="E627" s="224">
        <v>177140.83545066256</v>
      </c>
      <c r="F627" s="224">
        <v>4.5368735450466806</v>
      </c>
      <c r="G627" s="224">
        <v>4.0947255410022754</v>
      </c>
      <c r="H627" s="224">
        <v>2.7617796734230056</v>
      </c>
      <c r="I627" s="224">
        <v>2.3248038296352287</v>
      </c>
      <c r="J627" s="224"/>
      <c r="M627" s="224">
        <f t="shared" si="33"/>
        <v>426236.6618827784</v>
      </c>
      <c r="N627" s="224">
        <f t="shared" si="34"/>
        <v>0.44214800404440524</v>
      </c>
      <c r="O627" s="224">
        <f t="shared" si="35"/>
        <v>0.43697584378777687</v>
      </c>
      <c r="Q627" s="224"/>
      <c r="R627" s="224"/>
      <c r="S627" s="429"/>
      <c r="Z627" s="362"/>
      <c r="AA627" s="421"/>
      <c r="AB627" s="362"/>
      <c r="AC627" s="362"/>
      <c r="AD627" s="362"/>
      <c r="AE627" s="362"/>
      <c r="AF627" s="362"/>
      <c r="AG627" s="362"/>
      <c r="AH627" s="362"/>
      <c r="AI627" s="393"/>
      <c r="AJ627" s="393"/>
      <c r="AK627" s="362"/>
      <c r="AL627" s="362"/>
      <c r="AM627" s="362"/>
      <c r="AN627" s="362"/>
      <c r="AO627" s="362"/>
      <c r="AP627" s="362"/>
      <c r="AQ627" s="362"/>
      <c r="AR627" s="362"/>
    </row>
    <row r="628" spans="1:44" ht="12.75" customHeight="1" x14ac:dyDescent="0.15">
      <c r="A628" s="431"/>
      <c r="B628" s="393"/>
      <c r="C628" s="428"/>
      <c r="D628" s="428">
        <v>618232.47865982854</v>
      </c>
      <c r="E628" s="224">
        <v>200370.91428673393</v>
      </c>
      <c r="F628" s="224">
        <v>4.258789674458261</v>
      </c>
      <c r="G628" s="224">
        <v>3.5690838706687251</v>
      </c>
      <c r="H628" s="224">
        <v>2.5312108530691488</v>
      </c>
      <c r="I628" s="224">
        <v>2.0090578822183462</v>
      </c>
      <c r="J628" s="224"/>
      <c r="M628" s="224">
        <f t="shared" si="33"/>
        <v>417861.56437309459</v>
      </c>
      <c r="N628" s="224">
        <f t="shared" si="34"/>
        <v>0.68970580378953583</v>
      </c>
      <c r="O628" s="224">
        <f t="shared" si="35"/>
        <v>0.52215297085080259</v>
      </c>
      <c r="Q628" s="224"/>
      <c r="R628" s="224"/>
      <c r="S628" s="429"/>
      <c r="Z628" s="362"/>
      <c r="AA628" s="421"/>
      <c r="AB628" s="362"/>
      <c r="AC628" s="362"/>
      <c r="AD628" s="362"/>
      <c r="AE628" s="362"/>
      <c r="AF628" s="362"/>
      <c r="AG628" s="362"/>
      <c r="AH628" s="362"/>
      <c r="AI628" s="393"/>
      <c r="AJ628" s="393"/>
      <c r="AK628" s="362"/>
      <c r="AL628" s="362"/>
      <c r="AM628" s="362"/>
      <c r="AN628" s="362"/>
      <c r="AO628" s="362"/>
      <c r="AP628" s="362"/>
      <c r="AQ628" s="362"/>
      <c r="AR628" s="362"/>
    </row>
    <row r="629" spans="1:44" ht="12.75" customHeight="1" x14ac:dyDescent="0.15">
      <c r="A629" s="431"/>
      <c r="B629" s="393"/>
      <c r="C629" s="428"/>
      <c r="D629" s="428">
        <v>680086.26079738047</v>
      </c>
      <c r="E629" s="224">
        <v>179957.18841338603</v>
      </c>
      <c r="F629" s="224">
        <v>4.6557005198955634</v>
      </c>
      <c r="G629" s="224">
        <v>3.8437872368536277</v>
      </c>
      <c r="H629" s="224">
        <v>2.9657647108386511</v>
      </c>
      <c r="I629" s="224">
        <v>2.2466832886607686</v>
      </c>
      <c r="J629" s="224"/>
      <c r="M629" s="224">
        <f t="shared" si="33"/>
        <v>500129.07238399447</v>
      </c>
      <c r="N629" s="224">
        <f t="shared" si="34"/>
        <v>0.81191328304193577</v>
      </c>
      <c r="O629" s="224">
        <f t="shared" si="35"/>
        <v>0.71908142217788251</v>
      </c>
      <c r="Q629" s="224"/>
      <c r="R629" s="224"/>
      <c r="S629" s="429"/>
      <c r="Z629" s="362"/>
      <c r="AA629" s="421"/>
      <c r="AB629" s="362"/>
      <c r="AC629" s="362"/>
      <c r="AD629" s="362"/>
      <c r="AE629" s="362"/>
      <c r="AF629" s="362"/>
      <c r="AG629" s="362"/>
      <c r="AH629" s="362"/>
      <c r="AI629" s="393"/>
      <c r="AJ629" s="393"/>
      <c r="AK629" s="362"/>
      <c r="AL629" s="362"/>
      <c r="AM629" s="362"/>
      <c r="AN629" s="362"/>
      <c r="AO629" s="362"/>
      <c r="AP629" s="362"/>
      <c r="AQ629" s="362"/>
      <c r="AR629" s="362"/>
    </row>
    <row r="630" spans="1:44" ht="12.75" customHeight="1" x14ac:dyDescent="0.15">
      <c r="A630" s="431"/>
      <c r="B630" s="393"/>
      <c r="C630" s="428"/>
      <c r="D630" s="428">
        <v>614971.88321993675</v>
      </c>
      <c r="E630" s="224">
        <v>142911.8359536723</v>
      </c>
      <c r="F630" s="224">
        <v>4.5929724901484237</v>
      </c>
      <c r="G630" s="224">
        <v>3.6394976032032065</v>
      </c>
      <c r="H630" s="224">
        <v>2.5153715932414995</v>
      </c>
      <c r="I630" s="224">
        <v>1.9164260827028601</v>
      </c>
      <c r="J630" s="224"/>
      <c r="M630" s="224">
        <f t="shared" si="33"/>
        <v>472060.04726626445</v>
      </c>
      <c r="N630" s="224">
        <f t="shared" si="34"/>
        <v>0.9534748869452172</v>
      </c>
      <c r="O630" s="224">
        <f t="shared" si="35"/>
        <v>0.59894551053863943</v>
      </c>
      <c r="Q630" s="224"/>
      <c r="R630" s="224"/>
      <c r="S630" s="429"/>
      <c r="Z630" s="362"/>
      <c r="AA630" s="421"/>
      <c r="AB630" s="362"/>
      <c r="AC630" s="362"/>
      <c r="AD630" s="362"/>
      <c r="AE630" s="362"/>
      <c r="AF630" s="362"/>
      <c r="AG630" s="362"/>
      <c r="AH630" s="362"/>
      <c r="AI630" s="393"/>
      <c r="AJ630" s="393"/>
      <c r="AK630" s="362"/>
      <c r="AL630" s="362"/>
      <c r="AM630" s="362"/>
      <c r="AN630" s="362"/>
      <c r="AO630" s="362"/>
      <c r="AP630" s="362"/>
      <c r="AQ630" s="362"/>
      <c r="AR630" s="362"/>
    </row>
    <row r="631" spans="1:44" ht="12.75" customHeight="1" x14ac:dyDescent="0.15">
      <c r="A631" s="431"/>
      <c r="B631" s="393"/>
      <c r="C631" s="428"/>
      <c r="D631" s="428">
        <v>576859.22747208714</v>
      </c>
      <c r="E631" s="224">
        <v>187819.10830323721</v>
      </c>
      <c r="F631" s="224">
        <v>4.1803199067966643</v>
      </c>
      <c r="G631" s="224">
        <v>4.5521847797882709</v>
      </c>
      <c r="H631" s="224">
        <v>2.6386122659291762</v>
      </c>
      <c r="I631" s="224">
        <v>2.6398338548241194</v>
      </c>
      <c r="J631" s="224"/>
      <c r="M631" s="224">
        <f t="shared" si="33"/>
        <v>389040.11916884989</v>
      </c>
      <c r="N631" s="224">
        <f t="shared" si="34"/>
        <v>-0.37186487299160653</v>
      </c>
      <c r="O631" s="224">
        <f t="shared" si="35"/>
        <v>-1.2215888949431708E-3</v>
      </c>
      <c r="Q631" s="224"/>
      <c r="R631" s="224"/>
      <c r="S631" s="429"/>
      <c r="Z631" s="362"/>
      <c r="AA631" s="421"/>
      <c r="AB631" s="362"/>
      <c r="AC631" s="362"/>
      <c r="AD631" s="362"/>
      <c r="AE631" s="362"/>
      <c r="AF631" s="362"/>
      <c r="AG631" s="362"/>
      <c r="AH631" s="362"/>
      <c r="AI631" s="393"/>
      <c r="AJ631" s="393"/>
      <c r="AK631" s="362"/>
      <c r="AL631" s="362"/>
      <c r="AM631" s="362"/>
      <c r="AN631" s="362"/>
      <c r="AO631" s="362"/>
      <c r="AP631" s="362"/>
      <c r="AQ631" s="362"/>
      <c r="AR631" s="362"/>
    </row>
    <row r="632" spans="1:44" ht="12.75" customHeight="1" x14ac:dyDescent="0.15">
      <c r="A632" s="431"/>
      <c r="B632" s="393"/>
      <c r="C632" s="428"/>
      <c r="D632" s="428">
        <v>585259.96674722608</v>
      </c>
      <c r="E632" s="224">
        <v>159220.657851392</v>
      </c>
      <c r="F632" s="224">
        <v>4.8682401206464236</v>
      </c>
      <c r="G632" s="224">
        <v>3.9547295825825981</v>
      </c>
      <c r="H632" s="224">
        <v>2.8078239686942843</v>
      </c>
      <c r="I632" s="224">
        <v>2.256340756773572</v>
      </c>
      <c r="J632" s="224"/>
      <c r="M632" s="224">
        <f t="shared" si="33"/>
        <v>426039.30889583408</v>
      </c>
      <c r="N632" s="224">
        <f t="shared" si="34"/>
        <v>0.91351053806382554</v>
      </c>
      <c r="O632" s="224">
        <f t="shared" si="35"/>
        <v>0.55148321192071226</v>
      </c>
      <c r="Q632" s="224"/>
      <c r="R632" s="224"/>
      <c r="S632" s="429"/>
      <c r="Z632" s="362"/>
      <c r="AA632" s="421"/>
      <c r="AB632" s="362"/>
      <c r="AC632" s="362"/>
      <c r="AD632" s="362"/>
      <c r="AE632" s="362"/>
      <c r="AF632" s="362"/>
      <c r="AG632" s="362"/>
      <c r="AH632" s="362"/>
      <c r="AI632" s="393"/>
      <c r="AJ632" s="393"/>
      <c r="AK632" s="362"/>
      <c r="AL632" s="362"/>
      <c r="AM632" s="362"/>
      <c r="AN632" s="362"/>
      <c r="AO632" s="362"/>
      <c r="AP632" s="362"/>
      <c r="AQ632" s="362"/>
      <c r="AR632" s="362"/>
    </row>
    <row r="633" spans="1:44" ht="12.75" customHeight="1" x14ac:dyDescent="0.15">
      <c r="A633" s="431"/>
      <c r="B633" s="393"/>
      <c r="C633" s="428"/>
      <c r="D633" s="428">
        <v>587888.42320843693</v>
      </c>
      <c r="E633" s="224">
        <v>116749.5090057296</v>
      </c>
      <c r="F633" s="224">
        <v>4.9843698363850297</v>
      </c>
      <c r="G633" s="224">
        <v>3.6803728883792486</v>
      </c>
      <c r="H633" s="224">
        <v>3.1972552011874891</v>
      </c>
      <c r="I633" s="224">
        <v>2.1369423642764263</v>
      </c>
      <c r="J633" s="224"/>
      <c r="M633" s="224">
        <f t="shared" si="33"/>
        <v>471138.91420270735</v>
      </c>
      <c r="N633" s="224">
        <f t="shared" si="34"/>
        <v>1.3039969480057811</v>
      </c>
      <c r="O633" s="224">
        <f t="shared" si="35"/>
        <v>1.0603128369110628</v>
      </c>
      <c r="Q633" s="224"/>
      <c r="R633" s="224"/>
      <c r="S633" s="429"/>
      <c r="Z633" s="362"/>
      <c r="AA633" s="421"/>
      <c r="AB633" s="362"/>
      <c r="AC633" s="362"/>
      <c r="AD633" s="362"/>
      <c r="AE633" s="362"/>
      <c r="AF633" s="362"/>
      <c r="AG633" s="362"/>
      <c r="AH633" s="362"/>
      <c r="AI633" s="393"/>
      <c r="AJ633" s="393"/>
      <c r="AK633" s="362"/>
      <c r="AL633" s="362"/>
      <c r="AM633" s="362"/>
      <c r="AN633" s="362"/>
      <c r="AO633" s="362"/>
      <c r="AP633" s="362"/>
      <c r="AQ633" s="362"/>
      <c r="AR633" s="362"/>
    </row>
    <row r="634" spans="1:44" ht="12.75" customHeight="1" x14ac:dyDescent="0.15">
      <c r="A634" s="431"/>
      <c r="B634" s="393"/>
      <c r="C634" s="428"/>
      <c r="D634" s="428">
        <v>736493.74632612162</v>
      </c>
      <c r="E634" s="224">
        <v>140376.09539682139</v>
      </c>
      <c r="F634" s="224">
        <v>4.3730298687432656</v>
      </c>
      <c r="G634" s="224">
        <v>3.5892680789204108</v>
      </c>
      <c r="H634" s="224">
        <v>2.7638114350884351</v>
      </c>
      <c r="I634" s="224">
        <v>1.9716762068273899</v>
      </c>
      <c r="J634" s="224"/>
      <c r="M634" s="224">
        <f t="shared" si="33"/>
        <v>596117.65092930023</v>
      </c>
      <c r="N634" s="224">
        <f t="shared" si="34"/>
        <v>0.78376178982285483</v>
      </c>
      <c r="O634" s="224">
        <f t="shared" si="35"/>
        <v>0.79213522826104521</v>
      </c>
      <c r="Q634" s="224"/>
      <c r="R634" s="224"/>
      <c r="S634" s="429"/>
      <c r="Z634" s="362"/>
      <c r="AA634" s="421"/>
      <c r="AB634" s="362"/>
      <c r="AC634" s="362"/>
      <c r="AD634" s="362"/>
      <c r="AE634" s="362"/>
      <c r="AF634" s="362"/>
      <c r="AG634" s="362"/>
      <c r="AH634" s="362"/>
      <c r="AI634" s="393"/>
      <c r="AJ634" s="393"/>
      <c r="AK634" s="362"/>
      <c r="AL634" s="362"/>
      <c r="AM634" s="362"/>
      <c r="AN634" s="362"/>
      <c r="AO634" s="362"/>
      <c r="AP634" s="362"/>
      <c r="AQ634" s="362"/>
      <c r="AR634" s="362"/>
    </row>
    <row r="635" spans="1:44" ht="12.75" customHeight="1" x14ac:dyDescent="0.15">
      <c r="A635" s="431"/>
      <c r="B635" s="393"/>
      <c r="C635" s="428"/>
      <c r="D635" s="428">
        <v>493024.5841595435</v>
      </c>
      <c r="E635" s="224">
        <v>133999.86265806312</v>
      </c>
      <c r="F635" s="224">
        <v>4.413632976546932</v>
      </c>
      <c r="G635" s="224">
        <v>4.0502861391596783</v>
      </c>
      <c r="H635" s="224">
        <v>2.3567190879505993</v>
      </c>
      <c r="I635" s="224">
        <v>2.0682518875245246</v>
      </c>
      <c r="J635" s="224"/>
      <c r="M635" s="224">
        <f t="shared" si="33"/>
        <v>359024.72150148038</v>
      </c>
      <c r="N635" s="224">
        <f t="shared" si="34"/>
        <v>0.36334683738725371</v>
      </c>
      <c r="O635" s="224">
        <f t="shared" si="35"/>
        <v>0.28846720042607465</v>
      </c>
      <c r="Q635" s="224"/>
      <c r="R635" s="224"/>
      <c r="S635" s="429"/>
      <c r="Z635" s="362"/>
      <c r="AA635" s="421"/>
      <c r="AB635" s="362"/>
      <c r="AC635" s="362"/>
      <c r="AD635" s="362"/>
      <c r="AE635" s="362"/>
      <c r="AF635" s="362"/>
      <c r="AG635" s="362"/>
      <c r="AH635" s="362"/>
      <c r="AI635" s="393"/>
      <c r="AJ635" s="393"/>
      <c r="AK635" s="362"/>
      <c r="AL635" s="362"/>
      <c r="AM635" s="362"/>
      <c r="AN635" s="362"/>
      <c r="AO635" s="362"/>
      <c r="AP635" s="362"/>
      <c r="AQ635" s="362"/>
      <c r="AR635" s="362"/>
    </row>
    <row r="636" spans="1:44" ht="12.75" customHeight="1" x14ac:dyDescent="0.15">
      <c r="A636" s="431"/>
      <c r="B636" s="393"/>
      <c r="C636" s="428"/>
      <c r="D636" s="428">
        <v>583350.33096105489</v>
      </c>
      <c r="E636" s="224">
        <v>133836.41936395297</v>
      </c>
      <c r="F636" s="224">
        <v>4.2398269966241733</v>
      </c>
      <c r="G636" s="224">
        <v>3.6734421160078119</v>
      </c>
      <c r="H636" s="224">
        <v>2.7778387579471726</v>
      </c>
      <c r="I636" s="224">
        <v>2.2996544360716986</v>
      </c>
      <c r="J636" s="224"/>
      <c r="M636" s="224">
        <f t="shared" si="33"/>
        <v>449513.91159710195</v>
      </c>
      <c r="N636" s="224">
        <f t="shared" si="34"/>
        <v>0.56638488061636139</v>
      </c>
      <c r="O636" s="224">
        <f t="shared" si="35"/>
        <v>0.47818432187547399</v>
      </c>
      <c r="Q636" s="224"/>
      <c r="R636" s="224"/>
      <c r="S636" s="429"/>
      <c r="Z636" s="362"/>
      <c r="AA636" s="421"/>
      <c r="AB636" s="362"/>
      <c r="AC636" s="362"/>
      <c r="AD636" s="362"/>
      <c r="AE636" s="362"/>
      <c r="AF636" s="362"/>
      <c r="AG636" s="362"/>
      <c r="AH636" s="362"/>
      <c r="AI636" s="393"/>
      <c r="AJ636" s="393"/>
      <c r="AK636" s="362"/>
      <c r="AL636" s="362"/>
      <c r="AM636" s="362"/>
      <c r="AN636" s="362"/>
      <c r="AO636" s="362"/>
      <c r="AP636" s="362"/>
      <c r="AQ636" s="362"/>
      <c r="AR636" s="362"/>
    </row>
    <row r="637" spans="1:44" ht="12.75" customHeight="1" x14ac:dyDescent="0.15">
      <c r="A637" s="431"/>
      <c r="B637" s="393"/>
      <c r="C637" s="428"/>
      <c r="D637" s="428">
        <v>561505.6431161135</v>
      </c>
      <c r="E637" s="224">
        <v>137643.8867958539</v>
      </c>
      <c r="F637" s="224">
        <v>4.0944943874462538</v>
      </c>
      <c r="G637" s="224">
        <v>3.8455635665663279</v>
      </c>
      <c r="H637" s="224">
        <v>2.6584043673880013</v>
      </c>
      <c r="I637" s="224">
        <v>2.3644502122636251</v>
      </c>
      <c r="J637" s="224"/>
      <c r="M637" s="224">
        <f t="shared" si="33"/>
        <v>423861.75632025959</v>
      </c>
      <c r="N637" s="224">
        <f t="shared" si="34"/>
        <v>0.24893082087992591</v>
      </c>
      <c r="O637" s="224">
        <f t="shared" si="35"/>
        <v>0.29395415512437628</v>
      </c>
      <c r="Q637" s="224"/>
      <c r="R637" s="224"/>
      <c r="S637" s="429"/>
      <c r="Z637" s="362"/>
      <c r="AA637" s="421"/>
      <c r="AB637" s="362"/>
      <c r="AC637" s="362"/>
      <c r="AD637" s="362"/>
      <c r="AE637" s="362"/>
      <c r="AF637" s="362"/>
      <c r="AG637" s="362"/>
      <c r="AH637" s="362"/>
      <c r="AI637" s="393"/>
      <c r="AJ637" s="393"/>
      <c r="AK637" s="362"/>
      <c r="AL637" s="362"/>
      <c r="AM637" s="362"/>
      <c r="AN637" s="362"/>
      <c r="AO637" s="362"/>
      <c r="AP637" s="362"/>
      <c r="AQ637" s="362"/>
      <c r="AR637" s="362"/>
    </row>
    <row r="638" spans="1:44" ht="12.75" customHeight="1" x14ac:dyDescent="0.15">
      <c r="A638" s="431"/>
      <c r="B638" s="393"/>
      <c r="C638" s="428"/>
      <c r="D638" s="428">
        <v>488967.55170130602</v>
      </c>
      <c r="E638" s="224">
        <v>115159.54782888095</v>
      </c>
      <c r="F638" s="224">
        <v>4.8736837426934168</v>
      </c>
      <c r="G638" s="224">
        <v>3.85116265312702</v>
      </c>
      <c r="H638" s="224">
        <v>2.6904184765007755</v>
      </c>
      <c r="I638" s="224">
        <v>2.1922186721279058</v>
      </c>
      <c r="J638" s="224"/>
      <c r="M638" s="224">
        <f t="shared" si="33"/>
        <v>373808.00387242506</v>
      </c>
      <c r="N638" s="224">
        <f t="shared" si="34"/>
        <v>1.0225210895663968</v>
      </c>
      <c r="O638" s="224">
        <f t="shared" si="35"/>
        <v>0.4981998043728697</v>
      </c>
      <c r="Q638" s="224"/>
      <c r="R638" s="224"/>
      <c r="S638" s="429"/>
      <c r="Z638" s="362"/>
      <c r="AA638" s="421"/>
      <c r="AB638" s="362"/>
      <c r="AC638" s="362"/>
      <c r="AD638" s="362"/>
      <c r="AE638" s="362"/>
      <c r="AF638" s="362"/>
      <c r="AG638" s="362"/>
      <c r="AH638" s="362"/>
      <c r="AI638" s="393"/>
      <c r="AJ638" s="393"/>
      <c r="AK638" s="362"/>
      <c r="AL638" s="362"/>
      <c r="AM638" s="362"/>
      <c r="AN638" s="362"/>
      <c r="AO638" s="362"/>
      <c r="AP638" s="362"/>
      <c r="AQ638" s="362"/>
      <c r="AR638" s="362"/>
    </row>
    <row r="639" spans="1:44" ht="12.75" customHeight="1" x14ac:dyDescent="0.15">
      <c r="A639" s="431"/>
      <c r="B639" s="393"/>
      <c r="C639" s="428"/>
      <c r="D639" s="428">
        <v>649813.73829357477</v>
      </c>
      <c r="E639" s="224">
        <v>190199.20284281453</v>
      </c>
      <c r="F639" s="224">
        <v>4.9954161092335196</v>
      </c>
      <c r="G639" s="224">
        <v>3.9731927635340596</v>
      </c>
      <c r="H639" s="224">
        <v>3.1469903788978484</v>
      </c>
      <c r="I639" s="224">
        <v>2.3113518704389349</v>
      </c>
      <c r="J639" s="224"/>
      <c r="M639" s="224">
        <f t="shared" si="33"/>
        <v>459614.53545076028</v>
      </c>
      <c r="N639" s="224">
        <f t="shared" si="34"/>
        <v>1.0222233456994601</v>
      </c>
      <c r="O639" s="224">
        <f t="shared" si="35"/>
        <v>0.83563850845891352</v>
      </c>
      <c r="Q639" s="224"/>
      <c r="R639" s="224"/>
      <c r="S639" s="429"/>
      <c r="Z639" s="362"/>
      <c r="AA639" s="421"/>
      <c r="AB639" s="362"/>
      <c r="AC639" s="362"/>
      <c r="AD639" s="362"/>
      <c r="AE639" s="362"/>
      <c r="AF639" s="362"/>
      <c r="AG639" s="362"/>
      <c r="AH639" s="362"/>
      <c r="AI639" s="393"/>
      <c r="AJ639" s="393"/>
      <c r="AK639" s="362"/>
      <c r="AL639" s="362"/>
      <c r="AM639" s="362"/>
      <c r="AN639" s="362"/>
      <c r="AO639" s="362"/>
      <c r="AP639" s="362"/>
      <c r="AQ639" s="362"/>
      <c r="AR639" s="362"/>
    </row>
    <row r="640" spans="1:44" ht="12.75" customHeight="1" x14ac:dyDescent="0.15">
      <c r="A640" s="431"/>
      <c r="B640" s="393"/>
      <c r="C640" s="428"/>
      <c r="D640" s="428">
        <v>700419.89487547032</v>
      </c>
      <c r="E640" s="224">
        <v>185941.63047568875</v>
      </c>
      <c r="F640" s="224">
        <v>4.439083728544408</v>
      </c>
      <c r="G640" s="224">
        <v>3.5382377211120417</v>
      </c>
      <c r="H640" s="224">
        <v>3.0321139201381473</v>
      </c>
      <c r="I640" s="224">
        <v>2.1973423206574081</v>
      </c>
      <c r="J640" s="224"/>
      <c r="M640" s="224">
        <f t="shared" si="33"/>
        <v>514478.26439978159</v>
      </c>
      <c r="N640" s="224">
        <f t="shared" si="34"/>
        <v>0.90084600743236631</v>
      </c>
      <c r="O640" s="224">
        <f t="shared" si="35"/>
        <v>0.8347715994807392</v>
      </c>
      <c r="Q640" s="224"/>
      <c r="R640" s="224"/>
      <c r="S640" s="429"/>
      <c r="Z640" s="362"/>
      <c r="AA640" s="421"/>
      <c r="AB640" s="362"/>
      <c r="AC640" s="362"/>
      <c r="AD640" s="362"/>
      <c r="AE640" s="362"/>
      <c r="AF640" s="362"/>
      <c r="AG640" s="362"/>
      <c r="AH640" s="362"/>
      <c r="AI640" s="393"/>
      <c r="AJ640" s="393"/>
      <c r="AK640" s="362"/>
      <c r="AL640" s="362"/>
      <c r="AM640" s="362"/>
      <c r="AN640" s="362"/>
      <c r="AO640" s="362"/>
      <c r="AP640" s="362"/>
      <c r="AQ640" s="362"/>
      <c r="AR640" s="362"/>
    </row>
    <row r="641" spans="1:44" ht="12.75" customHeight="1" x14ac:dyDescent="0.15">
      <c r="A641" s="431"/>
      <c r="B641" s="393"/>
      <c r="C641" s="428"/>
      <c r="D641" s="428">
        <v>537369.73048217653</v>
      </c>
      <c r="E641" s="224">
        <v>157479.70732410206</v>
      </c>
      <c r="F641" s="224">
        <v>4.9234149923767729</v>
      </c>
      <c r="G641" s="224">
        <v>4.2149833581681628</v>
      </c>
      <c r="H641" s="224">
        <v>2.5074649415228265</v>
      </c>
      <c r="I641" s="224">
        <v>2.053447189613141</v>
      </c>
      <c r="J641" s="224"/>
      <c r="M641" s="224">
        <f t="shared" si="33"/>
        <v>379890.02315807447</v>
      </c>
      <c r="N641" s="224">
        <f t="shared" si="34"/>
        <v>0.70843163420861011</v>
      </c>
      <c r="O641" s="224">
        <f t="shared" si="35"/>
        <v>0.45401775190968552</v>
      </c>
      <c r="Q641" s="224"/>
      <c r="R641" s="224"/>
      <c r="S641" s="429"/>
      <c r="Z641" s="362"/>
      <c r="AA641" s="421"/>
      <c r="AB641" s="362"/>
      <c r="AC641" s="362"/>
      <c r="AD641" s="362"/>
      <c r="AE641" s="362"/>
      <c r="AF641" s="362"/>
      <c r="AG641" s="362"/>
      <c r="AH641" s="362"/>
      <c r="AI641" s="393"/>
      <c r="AJ641" s="393"/>
      <c r="AK641" s="362"/>
      <c r="AL641" s="362"/>
      <c r="AM641" s="362"/>
      <c r="AN641" s="362"/>
      <c r="AO641" s="362"/>
      <c r="AP641" s="362"/>
      <c r="AQ641" s="362"/>
      <c r="AR641" s="362"/>
    </row>
    <row r="642" spans="1:44" ht="12.75" customHeight="1" x14ac:dyDescent="0.15">
      <c r="A642" s="431"/>
      <c r="B642" s="393"/>
      <c r="C642" s="428"/>
      <c r="D642" s="428">
        <v>530096.00479937077</v>
      </c>
      <c r="E642" s="224">
        <v>160267.40712521755</v>
      </c>
      <c r="F642" s="224">
        <v>4.0874415563204547</v>
      </c>
      <c r="G642" s="224">
        <v>3.929506280865815</v>
      </c>
      <c r="H642" s="224">
        <v>2.6739200033670092</v>
      </c>
      <c r="I642" s="224">
        <v>2.5875794502524845</v>
      </c>
      <c r="J642" s="224"/>
      <c r="M642" s="224">
        <f t="shared" si="33"/>
        <v>369828.59767415322</v>
      </c>
      <c r="N642" s="224">
        <f t="shared" si="34"/>
        <v>0.1579352754546397</v>
      </c>
      <c r="O642" s="224">
        <f t="shared" si="35"/>
        <v>8.634055311452471E-2</v>
      </c>
      <c r="Q642" s="224"/>
      <c r="R642" s="224"/>
      <c r="S642" s="429"/>
      <c r="Z642" s="362"/>
      <c r="AA642" s="421"/>
      <c r="AB642" s="362"/>
      <c r="AC642" s="362"/>
      <c r="AD642" s="362"/>
      <c r="AE642" s="362"/>
      <c r="AF642" s="362"/>
      <c r="AG642" s="362"/>
      <c r="AH642" s="362"/>
      <c r="AI642" s="393"/>
      <c r="AJ642" s="393"/>
      <c r="AK642" s="362"/>
      <c r="AL642" s="362"/>
      <c r="AM642" s="362"/>
      <c r="AN642" s="362"/>
      <c r="AO642" s="362"/>
      <c r="AP642" s="362"/>
      <c r="AQ642" s="362"/>
      <c r="AR642" s="362"/>
    </row>
    <row r="643" spans="1:44" ht="12.75" customHeight="1" x14ac:dyDescent="0.15">
      <c r="A643" s="431"/>
      <c r="B643" s="393"/>
      <c r="C643" s="428"/>
      <c r="D643" s="428">
        <v>600408.31354553415</v>
      </c>
      <c r="E643" s="224">
        <v>193823.87611525482</v>
      </c>
      <c r="F643" s="224">
        <v>4.3134532443110887</v>
      </c>
      <c r="G643" s="224">
        <v>4.3361221592404338</v>
      </c>
      <c r="H643" s="224">
        <v>2.6920564925367358</v>
      </c>
      <c r="I643" s="224">
        <v>2.4181147404747692</v>
      </c>
      <c r="J643" s="224"/>
      <c r="M643" s="224">
        <f t="shared" si="33"/>
        <v>406584.43743027933</v>
      </c>
      <c r="N643" s="224">
        <f t="shared" si="34"/>
        <v>-2.2668914929345085E-2</v>
      </c>
      <c r="O643" s="224">
        <f t="shared" si="35"/>
        <v>0.27394175206196669</v>
      </c>
      <c r="Q643" s="224"/>
      <c r="R643" s="224"/>
      <c r="S643" s="429"/>
      <c r="Z643" s="362"/>
      <c r="AA643" s="421"/>
      <c r="AB643" s="362"/>
      <c r="AC643" s="362"/>
      <c r="AD643" s="362"/>
      <c r="AE643" s="362"/>
      <c r="AF643" s="362"/>
      <c r="AG643" s="362"/>
      <c r="AH643" s="362"/>
      <c r="AI643" s="393"/>
      <c r="AJ643" s="393"/>
      <c r="AK643" s="362"/>
      <c r="AL643" s="362"/>
      <c r="AM643" s="362"/>
      <c r="AN643" s="362"/>
      <c r="AO643" s="362"/>
      <c r="AP643" s="362"/>
      <c r="AQ643" s="362"/>
      <c r="AR643" s="362"/>
    </row>
    <row r="644" spans="1:44" ht="12.75" customHeight="1" x14ac:dyDescent="0.15">
      <c r="A644" s="431"/>
      <c r="B644" s="393"/>
      <c r="C644" s="428"/>
      <c r="D644" s="428">
        <v>546218.86980597535</v>
      </c>
      <c r="E644" s="224">
        <v>195654.43944275743</v>
      </c>
      <c r="F644" s="224">
        <v>3.9535476699840562</v>
      </c>
      <c r="G644" s="224">
        <v>4.1614720820111675</v>
      </c>
      <c r="H644" s="224">
        <v>2.3735413561120962</v>
      </c>
      <c r="I644" s="224">
        <v>2.2928183561283304</v>
      </c>
      <c r="J644" s="224"/>
      <c r="M644" s="224">
        <f t="shared" si="33"/>
        <v>350564.43036321795</v>
      </c>
      <c r="N644" s="224">
        <f t="shared" si="34"/>
        <v>-0.20792441202711132</v>
      </c>
      <c r="O644" s="224">
        <f t="shared" si="35"/>
        <v>8.0722999983765753E-2</v>
      </c>
      <c r="Q644" s="224"/>
      <c r="R644" s="224"/>
      <c r="S644" s="429"/>
      <c r="Z644" s="362"/>
      <c r="AA644" s="421"/>
      <c r="AB644" s="362"/>
      <c r="AC644" s="362"/>
      <c r="AD644" s="362"/>
      <c r="AE644" s="362"/>
      <c r="AF644" s="362"/>
      <c r="AG644" s="362"/>
      <c r="AH644" s="362"/>
      <c r="AI644" s="393"/>
      <c r="AJ644" s="393"/>
      <c r="AK644" s="362"/>
      <c r="AL644" s="362"/>
      <c r="AM644" s="362"/>
      <c r="AN644" s="362"/>
      <c r="AO644" s="362"/>
      <c r="AP644" s="362"/>
      <c r="AQ644" s="362"/>
      <c r="AR644" s="362"/>
    </row>
    <row r="645" spans="1:44" ht="12.75" customHeight="1" x14ac:dyDescent="0.15">
      <c r="A645" s="431"/>
      <c r="B645" s="393"/>
      <c r="C645" s="428"/>
      <c r="D645" s="428">
        <v>608943.50743320736</v>
      </c>
      <c r="E645" s="224">
        <v>160202.9958608381</v>
      </c>
      <c r="F645" s="224">
        <v>4.2320346332094543</v>
      </c>
      <c r="G645" s="224">
        <v>4.2102272056350696</v>
      </c>
      <c r="H645" s="224">
        <v>2.3840561097786859</v>
      </c>
      <c r="I645" s="224">
        <v>2.2078286044487223</v>
      </c>
      <c r="J645" s="224"/>
      <c r="M645" s="224">
        <f t="shared" si="33"/>
        <v>448740.51157236926</v>
      </c>
      <c r="N645" s="224">
        <f t="shared" si="34"/>
        <v>2.1807427574384697E-2</v>
      </c>
      <c r="O645" s="224">
        <f t="shared" si="35"/>
        <v>0.17622750532996356</v>
      </c>
      <c r="Q645" s="224"/>
      <c r="R645" s="224"/>
      <c r="S645" s="429"/>
      <c r="Z645" s="362"/>
      <c r="AA645" s="421"/>
      <c r="AB645" s="362"/>
      <c r="AC645" s="362"/>
      <c r="AD645" s="362"/>
      <c r="AE645" s="362"/>
      <c r="AF645" s="362"/>
      <c r="AG645" s="362"/>
      <c r="AH645" s="362"/>
      <c r="AI645" s="393"/>
      <c r="AJ645" s="393"/>
      <c r="AK645" s="362"/>
      <c r="AL645" s="362"/>
      <c r="AM645" s="362"/>
      <c r="AN645" s="362"/>
      <c r="AO645" s="362"/>
      <c r="AP645" s="362"/>
      <c r="AQ645" s="362"/>
      <c r="AR645" s="362"/>
    </row>
    <row r="646" spans="1:44" ht="12.75" customHeight="1" x14ac:dyDescent="0.15">
      <c r="A646" s="431"/>
      <c r="B646" s="393"/>
      <c r="C646" s="428"/>
      <c r="D646" s="428">
        <v>727400.99787655822</v>
      </c>
      <c r="E646" s="224">
        <v>124677.5660069288</v>
      </c>
      <c r="F646" s="224">
        <v>4.4266146119776879</v>
      </c>
      <c r="G646" s="224">
        <v>4.1543747570455762</v>
      </c>
      <c r="H646" s="224">
        <v>3.0015566435697454</v>
      </c>
      <c r="I646" s="224">
        <v>2.1897381975088135</v>
      </c>
      <c r="J646" s="224"/>
      <c r="M646" s="224">
        <f t="shared" si="33"/>
        <v>602723.43186962942</v>
      </c>
      <c r="N646" s="224">
        <f t="shared" si="34"/>
        <v>0.27223985493211167</v>
      </c>
      <c r="O646" s="224">
        <f t="shared" si="35"/>
        <v>0.8118184460609319</v>
      </c>
      <c r="Q646" s="224"/>
      <c r="R646" s="224"/>
      <c r="S646" s="429"/>
      <c r="Z646" s="362"/>
      <c r="AA646" s="421"/>
      <c r="AB646" s="362"/>
      <c r="AC646" s="362"/>
      <c r="AD646" s="362"/>
      <c r="AE646" s="362"/>
      <c r="AF646" s="362"/>
      <c r="AG646" s="362"/>
      <c r="AH646" s="362"/>
      <c r="AI646" s="393"/>
      <c r="AJ646" s="393"/>
      <c r="AK646" s="362"/>
      <c r="AL646" s="362"/>
      <c r="AM646" s="362"/>
      <c r="AN646" s="362"/>
      <c r="AO646" s="362"/>
      <c r="AP646" s="362"/>
      <c r="AQ646" s="362"/>
      <c r="AR646" s="362"/>
    </row>
    <row r="647" spans="1:44" ht="12.75" customHeight="1" x14ac:dyDescent="0.15">
      <c r="A647" s="431"/>
      <c r="B647" s="393"/>
      <c r="C647" s="428"/>
      <c r="D647" s="428">
        <v>604717.17016065086</v>
      </c>
      <c r="E647" s="224">
        <v>147269.78851710114</v>
      </c>
      <c r="F647" s="224">
        <v>4.1819894490953269</v>
      </c>
      <c r="G647" s="224">
        <v>3.6388984555422637</v>
      </c>
      <c r="H647" s="224">
        <v>2.7377865201030427</v>
      </c>
      <c r="I647" s="224">
        <v>2.3397435579640709</v>
      </c>
      <c r="J647" s="224"/>
      <c r="M647" s="224">
        <f t="shared" si="33"/>
        <v>457447.38164354971</v>
      </c>
      <c r="N647" s="224">
        <f t="shared" si="34"/>
        <v>0.54309099355306323</v>
      </c>
      <c r="O647" s="224">
        <f t="shared" si="35"/>
        <v>0.39804296213897183</v>
      </c>
      <c r="Q647" s="224"/>
      <c r="R647" s="224"/>
      <c r="S647" s="429"/>
      <c r="Z647" s="362"/>
      <c r="AA647" s="421"/>
      <c r="AB647" s="362"/>
      <c r="AC647" s="362"/>
      <c r="AD647" s="362"/>
      <c r="AE647" s="362"/>
      <c r="AF647" s="362"/>
      <c r="AG647" s="362"/>
      <c r="AH647" s="362"/>
      <c r="AI647" s="393"/>
      <c r="AJ647" s="393"/>
      <c r="AK647" s="362"/>
      <c r="AL647" s="362"/>
      <c r="AM647" s="362"/>
      <c r="AN647" s="362"/>
      <c r="AO647" s="362"/>
      <c r="AP647" s="362"/>
      <c r="AQ647" s="362"/>
      <c r="AR647" s="362"/>
    </row>
    <row r="648" spans="1:44" ht="12.75" customHeight="1" x14ac:dyDescent="0.15">
      <c r="A648" s="431"/>
      <c r="B648" s="393"/>
      <c r="C648" s="428"/>
      <c r="D648" s="428">
        <v>652036.69391379273</v>
      </c>
      <c r="E648" s="224">
        <v>148659.04454959696</v>
      </c>
      <c r="F648" s="224">
        <v>4.6135006108831567</v>
      </c>
      <c r="G648" s="224">
        <v>4.0385926469698639</v>
      </c>
      <c r="H648" s="224">
        <v>2.4412429296285736</v>
      </c>
      <c r="I648" s="224">
        <v>2.0172563227949234</v>
      </c>
      <c r="J648" s="224"/>
      <c r="M648" s="224">
        <f t="shared" si="33"/>
        <v>503377.64936419576</v>
      </c>
      <c r="N648" s="224">
        <f t="shared" si="34"/>
        <v>0.5749079639132928</v>
      </c>
      <c r="O648" s="224">
        <f t="shared" si="35"/>
        <v>0.42398660683365019</v>
      </c>
      <c r="Q648" s="224"/>
      <c r="R648" s="224"/>
      <c r="S648" s="429"/>
      <c r="Z648" s="362"/>
      <c r="AA648" s="421"/>
      <c r="AB648" s="362"/>
      <c r="AC648" s="362"/>
      <c r="AD648" s="362"/>
      <c r="AE648" s="362"/>
      <c r="AF648" s="362"/>
      <c r="AG648" s="362"/>
      <c r="AH648" s="362"/>
      <c r="AI648" s="393"/>
      <c r="AJ648" s="393"/>
      <c r="AK648" s="362"/>
      <c r="AL648" s="362"/>
      <c r="AM648" s="362"/>
      <c r="AN648" s="362"/>
      <c r="AO648" s="362"/>
      <c r="AP648" s="362"/>
      <c r="AQ648" s="362"/>
      <c r="AR648" s="362"/>
    </row>
    <row r="649" spans="1:44" ht="12.75" customHeight="1" x14ac:dyDescent="0.15">
      <c r="A649" s="431"/>
      <c r="B649" s="393"/>
      <c r="C649" s="428"/>
      <c r="D649" s="428">
        <v>572812.79773223447</v>
      </c>
      <c r="E649" s="224">
        <v>126193.16087447772</v>
      </c>
      <c r="F649" s="224">
        <v>3.8863633302824203</v>
      </c>
      <c r="G649" s="224">
        <v>3.6153497387916231</v>
      </c>
      <c r="H649" s="224">
        <v>2.0656907536912232</v>
      </c>
      <c r="I649" s="224">
        <v>1.8390250534924599</v>
      </c>
      <c r="J649" s="224"/>
      <c r="M649" s="224">
        <f t="shared" si="33"/>
        <v>446619.63685775676</v>
      </c>
      <c r="N649" s="224">
        <f t="shared" si="34"/>
        <v>0.27101359149079718</v>
      </c>
      <c r="O649" s="224">
        <f t="shared" si="35"/>
        <v>0.22666570019876331</v>
      </c>
      <c r="Q649" s="224"/>
      <c r="R649" s="224"/>
      <c r="S649" s="429"/>
      <c r="Z649" s="362"/>
      <c r="AA649" s="421"/>
      <c r="AB649" s="362"/>
      <c r="AC649" s="362"/>
      <c r="AD649" s="362"/>
      <c r="AE649" s="362"/>
      <c r="AF649" s="362"/>
      <c r="AG649" s="362"/>
      <c r="AH649" s="362"/>
      <c r="AI649" s="393"/>
      <c r="AJ649" s="393"/>
      <c r="AK649" s="362"/>
      <c r="AL649" s="362"/>
      <c r="AM649" s="362"/>
      <c r="AN649" s="362"/>
      <c r="AO649" s="362"/>
      <c r="AP649" s="362"/>
      <c r="AQ649" s="362"/>
      <c r="AR649" s="362"/>
    </row>
    <row r="650" spans="1:44" ht="12.75" customHeight="1" x14ac:dyDescent="0.15">
      <c r="A650" s="431"/>
      <c r="B650" s="393"/>
      <c r="C650" s="428"/>
      <c r="D650" s="428">
        <v>492678.03600075247</v>
      </c>
      <c r="E650" s="224">
        <v>104313.79351382871</v>
      </c>
      <c r="F650" s="224">
        <v>4.7283515081221239</v>
      </c>
      <c r="G650" s="224">
        <v>4.0493952410532819</v>
      </c>
      <c r="H650" s="224">
        <v>2.5039470808026234</v>
      </c>
      <c r="I650" s="224">
        <v>2.109530402316524</v>
      </c>
      <c r="J650" s="224"/>
      <c r="M650" s="224">
        <f t="shared" si="33"/>
        <v>388364.24248692376</v>
      </c>
      <c r="N650" s="224">
        <f t="shared" si="34"/>
        <v>0.67895626706884205</v>
      </c>
      <c r="O650" s="224">
        <f t="shared" si="35"/>
        <v>0.3944166784860994</v>
      </c>
      <c r="Q650" s="224"/>
      <c r="R650" s="224"/>
      <c r="S650" s="429"/>
      <c r="Z650" s="362"/>
      <c r="AA650" s="421"/>
      <c r="AB650" s="362"/>
      <c r="AC650" s="362"/>
      <c r="AD650" s="362"/>
      <c r="AE650" s="362"/>
      <c r="AF650" s="362"/>
      <c r="AG650" s="362"/>
      <c r="AH650" s="362"/>
      <c r="AI650" s="393"/>
      <c r="AJ650" s="393"/>
      <c r="AK650" s="362"/>
      <c r="AL650" s="362"/>
      <c r="AM650" s="362"/>
      <c r="AN650" s="362"/>
      <c r="AO650" s="362"/>
      <c r="AP650" s="362"/>
      <c r="AQ650" s="362"/>
      <c r="AR650" s="362"/>
    </row>
    <row r="651" spans="1:44" ht="12.75" customHeight="1" x14ac:dyDescent="0.15">
      <c r="A651" s="431"/>
      <c r="B651" s="393"/>
      <c r="C651" s="428"/>
      <c r="D651" s="428">
        <v>700319.8465425102</v>
      </c>
      <c r="E651" s="224">
        <v>133729.23854626506</v>
      </c>
      <c r="F651" s="224">
        <v>3.9018457791671266</v>
      </c>
      <c r="G651" s="224">
        <v>4.2182001625506782</v>
      </c>
      <c r="H651" s="224">
        <v>2.7913832499335389</v>
      </c>
      <c r="I651" s="224">
        <v>2.3848167313125961</v>
      </c>
      <c r="J651" s="224"/>
      <c r="M651" s="224">
        <f t="shared" si="33"/>
        <v>566590.60799624515</v>
      </c>
      <c r="N651" s="224">
        <f t="shared" si="34"/>
        <v>-0.3163543833835516</v>
      </c>
      <c r="O651" s="224">
        <f t="shared" si="35"/>
        <v>0.40656651862094284</v>
      </c>
      <c r="Q651" s="224"/>
      <c r="R651" s="224"/>
      <c r="S651" s="429"/>
      <c r="Z651" s="362"/>
      <c r="AA651" s="421"/>
      <c r="AB651" s="362"/>
      <c r="AC651" s="362"/>
      <c r="AD651" s="362"/>
      <c r="AE651" s="362"/>
      <c r="AF651" s="362"/>
      <c r="AG651" s="362"/>
      <c r="AH651" s="362"/>
      <c r="AI651" s="393"/>
      <c r="AJ651" s="393"/>
      <c r="AK651" s="362"/>
      <c r="AL651" s="362"/>
      <c r="AM651" s="362"/>
      <c r="AN651" s="362"/>
      <c r="AO651" s="362"/>
      <c r="AP651" s="362"/>
      <c r="AQ651" s="362"/>
      <c r="AR651" s="362"/>
    </row>
    <row r="652" spans="1:44" ht="12.75" customHeight="1" x14ac:dyDescent="0.15">
      <c r="A652" s="431"/>
      <c r="B652" s="393"/>
      <c r="C652" s="428"/>
      <c r="D652" s="428">
        <v>591679.45978886785</v>
      </c>
      <c r="E652" s="224">
        <v>174457.1726514613</v>
      </c>
      <c r="F652" s="224">
        <v>3.8977148050696875</v>
      </c>
      <c r="G652" s="224">
        <v>4.769656407629296</v>
      </c>
      <c r="H652" s="224">
        <v>2.6455521973530969</v>
      </c>
      <c r="I652" s="224">
        <v>2.9228794007489571</v>
      </c>
      <c r="J652" s="224"/>
      <c r="M652" s="224">
        <f t="shared" si="33"/>
        <v>417222.28713740653</v>
      </c>
      <c r="N652" s="224">
        <f t="shared" si="34"/>
        <v>-0.87194160255960851</v>
      </c>
      <c r="O652" s="224">
        <f t="shared" si="35"/>
        <v>-0.27732720339586026</v>
      </c>
      <c r="Q652" s="224"/>
      <c r="R652" s="224"/>
      <c r="S652" s="429"/>
      <c r="Z652" s="362"/>
      <c r="AA652" s="421"/>
      <c r="AB652" s="362"/>
      <c r="AC652" s="362"/>
      <c r="AD652" s="362"/>
      <c r="AE652" s="362"/>
      <c r="AF652" s="362"/>
      <c r="AG652" s="362"/>
      <c r="AH652" s="362"/>
      <c r="AI652" s="393"/>
      <c r="AJ652" s="393"/>
      <c r="AK652" s="362"/>
      <c r="AL652" s="362"/>
      <c r="AM652" s="362"/>
      <c r="AN652" s="362"/>
      <c r="AO652" s="362"/>
      <c r="AP652" s="362"/>
      <c r="AQ652" s="362"/>
      <c r="AR652" s="362"/>
    </row>
    <row r="653" spans="1:44" ht="12.75" customHeight="1" x14ac:dyDescent="0.15">
      <c r="A653" s="431"/>
      <c r="B653" s="393"/>
      <c r="C653" s="428"/>
      <c r="D653" s="428">
        <v>623918.13578737353</v>
      </c>
      <c r="E653" s="224">
        <v>123949.16358709992</v>
      </c>
      <c r="F653" s="224">
        <v>4.2410046114597471</v>
      </c>
      <c r="G653" s="224">
        <v>3.3871144419514669</v>
      </c>
      <c r="H653" s="224">
        <v>2.6948015600187141</v>
      </c>
      <c r="I653" s="224">
        <v>1.9594340003899255</v>
      </c>
      <c r="J653" s="224"/>
      <c r="M653" s="224">
        <f t="shared" si="33"/>
        <v>499968.97220027359</v>
      </c>
      <c r="N653" s="224">
        <f t="shared" si="34"/>
        <v>0.85389016950828012</v>
      </c>
      <c r="O653" s="224">
        <f t="shared" si="35"/>
        <v>0.73536755962878853</v>
      </c>
      <c r="Q653" s="224"/>
      <c r="R653" s="224"/>
      <c r="S653" s="429"/>
      <c r="Z653" s="362"/>
      <c r="AA653" s="421"/>
      <c r="AB653" s="362"/>
      <c r="AC653" s="362"/>
      <c r="AD653" s="362"/>
      <c r="AE653" s="362"/>
      <c r="AF653" s="362"/>
      <c r="AG653" s="362"/>
      <c r="AH653" s="362"/>
      <c r="AI653" s="393"/>
      <c r="AJ653" s="393"/>
      <c r="AK653" s="362"/>
      <c r="AL653" s="362"/>
      <c r="AM653" s="362"/>
      <c r="AN653" s="362"/>
      <c r="AO653" s="362"/>
      <c r="AP653" s="362"/>
      <c r="AQ653" s="362"/>
      <c r="AR653" s="362"/>
    </row>
    <row r="654" spans="1:44" ht="12.75" customHeight="1" x14ac:dyDescent="0.15">
      <c r="A654" s="431"/>
      <c r="B654" s="393"/>
      <c r="C654" s="428"/>
      <c r="D654" s="428">
        <v>587647.38888024096</v>
      </c>
      <c r="E654" s="224">
        <v>158992.83005219704</v>
      </c>
      <c r="F654" s="224">
        <v>4.5958328444911238</v>
      </c>
      <c r="G654" s="224">
        <v>3.6647762094579064</v>
      </c>
      <c r="H654" s="224">
        <v>2.5814390436298797</v>
      </c>
      <c r="I654" s="224">
        <v>2.051970571461168</v>
      </c>
      <c r="J654" s="224"/>
      <c r="M654" s="224">
        <f t="shared" si="33"/>
        <v>428654.55882804393</v>
      </c>
      <c r="N654" s="224">
        <f t="shared" si="34"/>
        <v>0.93105663503321745</v>
      </c>
      <c r="O654" s="224">
        <f t="shared" si="35"/>
        <v>0.52946847216871173</v>
      </c>
      <c r="Q654" s="224"/>
      <c r="R654" s="224"/>
      <c r="S654" s="429"/>
      <c r="Z654" s="362"/>
      <c r="AA654" s="421"/>
      <c r="AB654" s="362"/>
      <c r="AC654" s="362"/>
      <c r="AD654" s="362"/>
      <c r="AE654" s="362"/>
      <c r="AF654" s="362"/>
      <c r="AG654" s="362"/>
      <c r="AH654" s="362"/>
      <c r="AI654" s="393"/>
      <c r="AJ654" s="393"/>
      <c r="AK654" s="362"/>
      <c r="AL654" s="362"/>
      <c r="AM654" s="362"/>
      <c r="AN654" s="362"/>
      <c r="AO654" s="362"/>
      <c r="AP654" s="362"/>
      <c r="AQ654" s="362"/>
      <c r="AR654" s="362"/>
    </row>
    <row r="655" spans="1:44" ht="12.75" customHeight="1" x14ac:dyDescent="0.15">
      <c r="A655" s="431"/>
      <c r="B655" s="393"/>
      <c r="C655" s="428"/>
      <c r="D655" s="428">
        <v>593123.78809023765</v>
      </c>
      <c r="E655" s="224">
        <v>158462.84534248378</v>
      </c>
      <c r="F655" s="224">
        <v>4.3926474946986209</v>
      </c>
      <c r="G655" s="224">
        <v>3.6379043353912168</v>
      </c>
      <c r="H655" s="224">
        <v>2.708273891669954</v>
      </c>
      <c r="I655" s="224">
        <v>2.1374771888261503</v>
      </c>
      <c r="J655" s="224"/>
      <c r="M655" s="224">
        <f t="shared" si="33"/>
        <v>434660.94274775387</v>
      </c>
      <c r="N655" s="224">
        <f t="shared" si="34"/>
        <v>0.7547431593074041</v>
      </c>
      <c r="O655" s="224">
        <f t="shared" si="35"/>
        <v>0.57079670284380368</v>
      </c>
      <c r="Q655" s="224"/>
      <c r="R655" s="224"/>
      <c r="S655" s="429"/>
      <c r="Z655" s="362"/>
      <c r="AA655" s="421"/>
      <c r="AB655" s="362"/>
      <c r="AC655" s="362"/>
      <c r="AD655" s="362"/>
      <c r="AE655" s="362"/>
      <c r="AF655" s="362"/>
      <c r="AG655" s="362"/>
      <c r="AH655" s="362"/>
      <c r="AI655" s="393"/>
      <c r="AJ655" s="393"/>
      <c r="AK655" s="362"/>
      <c r="AL655" s="362"/>
      <c r="AM655" s="362"/>
      <c r="AN655" s="362"/>
      <c r="AO655" s="362"/>
      <c r="AP655" s="362"/>
      <c r="AQ655" s="362"/>
      <c r="AR655" s="362"/>
    </row>
    <row r="656" spans="1:44" ht="12.75" customHeight="1" x14ac:dyDescent="0.15">
      <c r="A656" s="431"/>
      <c r="B656" s="393"/>
      <c r="C656" s="428"/>
      <c r="D656" s="428">
        <v>633357.78241653694</v>
      </c>
      <c r="E656" s="224">
        <v>180179.90600584616</v>
      </c>
      <c r="F656" s="224">
        <v>4.2683000224134124</v>
      </c>
      <c r="G656" s="224">
        <v>3.83082119852636</v>
      </c>
      <c r="H656" s="224">
        <v>2.9515744308130176</v>
      </c>
      <c r="I656" s="224">
        <v>2.4745045188286943</v>
      </c>
      <c r="J656" s="224"/>
      <c r="M656" s="224">
        <f t="shared" si="33"/>
        <v>453177.87641069078</v>
      </c>
      <c r="N656" s="224">
        <f t="shared" si="34"/>
        <v>0.43747882388705239</v>
      </c>
      <c r="O656" s="224">
        <f t="shared" si="35"/>
        <v>0.47706991198432336</v>
      </c>
      <c r="Q656" s="224"/>
      <c r="R656" s="224"/>
      <c r="S656" s="429"/>
      <c r="Z656" s="362"/>
      <c r="AA656" s="421"/>
      <c r="AB656" s="362"/>
      <c r="AC656" s="362"/>
      <c r="AD656" s="362"/>
      <c r="AE656" s="362"/>
      <c r="AF656" s="362"/>
      <c r="AG656" s="362"/>
      <c r="AH656" s="362"/>
      <c r="AI656" s="393"/>
      <c r="AJ656" s="393"/>
      <c r="AK656" s="362"/>
      <c r="AL656" s="362"/>
      <c r="AM656" s="362"/>
      <c r="AN656" s="362"/>
      <c r="AO656" s="362"/>
      <c r="AP656" s="362"/>
      <c r="AQ656" s="362"/>
      <c r="AR656" s="362"/>
    </row>
    <row r="657" spans="1:44" ht="12.75" customHeight="1" x14ac:dyDescent="0.15">
      <c r="A657" s="431"/>
      <c r="B657" s="393"/>
      <c r="C657" s="428"/>
      <c r="D657" s="428">
        <v>532053.28373657493</v>
      </c>
      <c r="E657" s="224">
        <v>139513.84813460673</v>
      </c>
      <c r="F657" s="224">
        <v>4.4690768468609452</v>
      </c>
      <c r="G657" s="224">
        <v>4.0909356347593784</v>
      </c>
      <c r="H657" s="224">
        <v>2.6414489938491408</v>
      </c>
      <c r="I657" s="224">
        <v>2.3201324697628261</v>
      </c>
      <c r="J657" s="224"/>
      <c r="M657" s="224">
        <f t="shared" si="33"/>
        <v>392539.4356019682</v>
      </c>
      <c r="N657" s="224">
        <f t="shared" si="34"/>
        <v>0.37814121210156681</v>
      </c>
      <c r="O657" s="224">
        <f t="shared" si="35"/>
        <v>0.32131652408631473</v>
      </c>
      <c r="Q657" s="224"/>
      <c r="R657" s="224"/>
      <c r="S657" s="429"/>
      <c r="Z657" s="362"/>
      <c r="AA657" s="421"/>
      <c r="AB657" s="362"/>
      <c r="AC657" s="362"/>
      <c r="AD657" s="362"/>
      <c r="AE657" s="362"/>
      <c r="AF657" s="362"/>
      <c r="AG657" s="362"/>
      <c r="AH657" s="362"/>
      <c r="AI657" s="393"/>
      <c r="AJ657" s="393"/>
      <c r="AK657" s="362"/>
      <c r="AL657" s="362"/>
      <c r="AM657" s="362"/>
      <c r="AN657" s="362"/>
      <c r="AO657" s="362"/>
      <c r="AP657" s="362"/>
      <c r="AQ657" s="362"/>
      <c r="AR657" s="362"/>
    </row>
    <row r="658" spans="1:44" ht="12.75" customHeight="1" x14ac:dyDescent="0.15">
      <c r="A658" s="431"/>
      <c r="B658" s="393"/>
      <c r="C658" s="428"/>
      <c r="D658" s="428">
        <v>540384.31758447504</v>
      </c>
      <c r="E658" s="224">
        <v>162708.12950528151</v>
      </c>
      <c r="F658" s="224">
        <v>4.2631613236929216</v>
      </c>
      <c r="G658" s="224">
        <v>4.3475342101693064</v>
      </c>
      <c r="H658" s="224">
        <v>2.3292755317633942</v>
      </c>
      <c r="I658" s="224">
        <v>2.3797936828659707</v>
      </c>
      <c r="J658" s="224"/>
      <c r="M658" s="224">
        <f t="shared" ref="M658:M721" si="36">+D658-E658</f>
        <v>377676.18807919353</v>
      </c>
      <c r="N658" s="224">
        <f t="shared" ref="N658:N721" si="37">+F658-G658</f>
        <v>-8.4372886476384856E-2</v>
      </c>
      <c r="O658" s="224">
        <f t="shared" ref="O658:O721" si="38">+H658-I658</f>
        <v>-5.0518151102576514E-2</v>
      </c>
      <c r="Q658" s="224"/>
      <c r="R658" s="224"/>
      <c r="S658" s="429"/>
      <c r="Z658" s="362"/>
      <c r="AA658" s="421"/>
      <c r="AB658" s="362"/>
      <c r="AC658" s="362"/>
      <c r="AD658" s="362"/>
      <c r="AE658" s="362"/>
      <c r="AF658" s="362"/>
      <c r="AG658" s="362"/>
      <c r="AH658" s="362"/>
      <c r="AI658" s="393"/>
      <c r="AJ658" s="393"/>
      <c r="AK658" s="362"/>
      <c r="AL658" s="362"/>
      <c r="AM658" s="362"/>
      <c r="AN658" s="362"/>
      <c r="AO658" s="362"/>
      <c r="AP658" s="362"/>
      <c r="AQ658" s="362"/>
      <c r="AR658" s="362"/>
    </row>
    <row r="659" spans="1:44" ht="12.75" customHeight="1" x14ac:dyDescent="0.15">
      <c r="A659" s="431"/>
      <c r="B659" s="393"/>
      <c r="C659" s="428"/>
      <c r="D659" s="428">
        <v>622275.53724448732</v>
      </c>
      <c r="E659" s="224">
        <v>101574.86127695808</v>
      </c>
      <c r="F659" s="224">
        <v>4.343711540565276</v>
      </c>
      <c r="G659" s="224">
        <v>3.7010107810815165</v>
      </c>
      <c r="H659" s="224">
        <v>2.811774325853877</v>
      </c>
      <c r="I659" s="224">
        <v>2.1717259443920525</v>
      </c>
      <c r="J659" s="224"/>
      <c r="M659" s="224">
        <f t="shared" si="36"/>
        <v>520700.67596752924</v>
      </c>
      <c r="N659" s="224">
        <f t="shared" si="37"/>
        <v>0.64270075948375949</v>
      </c>
      <c r="O659" s="224">
        <f t="shared" si="38"/>
        <v>0.64004838146182452</v>
      </c>
      <c r="Q659" s="224"/>
      <c r="R659" s="224"/>
      <c r="S659" s="429"/>
      <c r="Z659" s="362"/>
      <c r="AA659" s="421"/>
      <c r="AB659" s="362"/>
      <c r="AC659" s="362"/>
      <c r="AD659" s="362"/>
      <c r="AE659" s="362"/>
      <c r="AF659" s="362"/>
      <c r="AG659" s="362"/>
      <c r="AH659" s="362"/>
      <c r="AI659" s="393"/>
      <c r="AJ659" s="393"/>
      <c r="AK659" s="362"/>
      <c r="AL659" s="362"/>
      <c r="AM659" s="362"/>
      <c r="AN659" s="362"/>
      <c r="AO659" s="362"/>
      <c r="AP659" s="362"/>
      <c r="AQ659" s="362"/>
      <c r="AR659" s="362"/>
    </row>
    <row r="660" spans="1:44" ht="12.75" customHeight="1" x14ac:dyDescent="0.15">
      <c r="A660" s="431"/>
      <c r="B660" s="393"/>
      <c r="C660" s="428"/>
      <c r="D660" s="428">
        <v>584041.7332674521</v>
      </c>
      <c r="E660" s="224">
        <v>167647.29774871044</v>
      </c>
      <c r="F660" s="224">
        <v>3.8280856687505662</v>
      </c>
      <c r="G660" s="224">
        <v>4.1601475766920872</v>
      </c>
      <c r="H660" s="224">
        <v>2.3427972191978164</v>
      </c>
      <c r="I660" s="224">
        <v>2.2863182863993079</v>
      </c>
      <c r="J660" s="224"/>
      <c r="M660" s="224">
        <f t="shared" si="36"/>
        <v>416394.43551874167</v>
      </c>
      <c r="N660" s="224">
        <f t="shared" si="37"/>
        <v>-0.33206190794152102</v>
      </c>
      <c r="O660" s="224">
        <f t="shared" si="38"/>
        <v>5.6478932798508463E-2</v>
      </c>
      <c r="Q660" s="224"/>
      <c r="R660" s="224"/>
      <c r="S660" s="429"/>
      <c r="Z660" s="362"/>
      <c r="AA660" s="421"/>
      <c r="AB660" s="362"/>
      <c r="AC660" s="362"/>
      <c r="AD660" s="362"/>
      <c r="AE660" s="362"/>
      <c r="AF660" s="362"/>
      <c r="AG660" s="362"/>
      <c r="AH660" s="362"/>
      <c r="AI660" s="393"/>
      <c r="AJ660" s="393"/>
      <c r="AK660" s="362"/>
      <c r="AL660" s="362"/>
      <c r="AM660" s="362"/>
      <c r="AN660" s="362"/>
      <c r="AO660" s="362"/>
      <c r="AP660" s="362"/>
      <c r="AQ660" s="362"/>
      <c r="AR660" s="362"/>
    </row>
    <row r="661" spans="1:44" ht="12.75" customHeight="1" x14ac:dyDescent="0.15">
      <c r="A661" s="431"/>
      <c r="B661" s="393"/>
      <c r="C661" s="428"/>
      <c r="D661" s="428">
        <v>526859.93442218658</v>
      </c>
      <c r="E661" s="224">
        <v>216135.49307251466</v>
      </c>
      <c r="F661" s="224">
        <v>4.5464377440818735</v>
      </c>
      <c r="G661" s="224">
        <v>4.6619514037889713</v>
      </c>
      <c r="H661" s="224">
        <v>2.5209726730040551</v>
      </c>
      <c r="I661" s="224">
        <v>2.6688119434655602</v>
      </c>
      <c r="J661" s="224"/>
      <c r="M661" s="224">
        <f t="shared" si="36"/>
        <v>310724.44134967192</v>
      </c>
      <c r="N661" s="224">
        <f t="shared" si="37"/>
        <v>-0.11551365970709782</v>
      </c>
      <c r="O661" s="224">
        <f t="shared" si="38"/>
        <v>-0.14783927046150502</v>
      </c>
      <c r="Q661" s="224"/>
      <c r="R661" s="224"/>
      <c r="S661" s="429"/>
      <c r="Z661" s="362"/>
      <c r="AA661" s="421"/>
      <c r="AB661" s="362"/>
      <c r="AC661" s="362"/>
      <c r="AD661" s="362"/>
      <c r="AE661" s="362"/>
      <c r="AF661" s="362"/>
      <c r="AG661" s="362"/>
      <c r="AH661" s="362"/>
      <c r="AI661" s="393"/>
      <c r="AJ661" s="393"/>
      <c r="AK661" s="362"/>
      <c r="AL661" s="362"/>
      <c r="AM661" s="362"/>
      <c r="AN661" s="362"/>
      <c r="AO661" s="362"/>
      <c r="AP661" s="362"/>
      <c r="AQ661" s="362"/>
      <c r="AR661" s="362"/>
    </row>
    <row r="662" spans="1:44" ht="12.75" customHeight="1" x14ac:dyDescent="0.15">
      <c r="A662" s="431"/>
      <c r="B662" s="393"/>
      <c r="C662" s="428"/>
      <c r="D662" s="428">
        <v>555863.84501877392</v>
      </c>
      <c r="E662" s="224">
        <v>133207.59870621213</v>
      </c>
      <c r="F662" s="224">
        <v>4.4633076587779819</v>
      </c>
      <c r="G662" s="224">
        <v>3.813644237784116</v>
      </c>
      <c r="H662" s="224">
        <v>2.620978581681082</v>
      </c>
      <c r="I662" s="224">
        <v>2.1321121407648485</v>
      </c>
      <c r="J662" s="224"/>
      <c r="M662" s="224">
        <f t="shared" si="36"/>
        <v>422656.24631256179</v>
      </c>
      <c r="N662" s="224">
        <f t="shared" si="37"/>
        <v>0.64966342099386587</v>
      </c>
      <c r="O662" s="224">
        <f t="shared" si="38"/>
        <v>0.48886644091623355</v>
      </c>
      <c r="Q662" s="224"/>
      <c r="R662" s="224"/>
      <c r="S662" s="429"/>
      <c r="Z662" s="362"/>
      <c r="AA662" s="421"/>
      <c r="AB662" s="362"/>
      <c r="AC662" s="362"/>
      <c r="AD662" s="362"/>
      <c r="AE662" s="362"/>
      <c r="AF662" s="362"/>
      <c r="AG662" s="362"/>
      <c r="AH662" s="362"/>
      <c r="AI662" s="393"/>
      <c r="AJ662" s="393"/>
      <c r="AK662" s="362"/>
      <c r="AL662" s="362"/>
      <c r="AM662" s="362"/>
      <c r="AN662" s="362"/>
      <c r="AO662" s="362"/>
      <c r="AP662" s="362"/>
      <c r="AQ662" s="362"/>
      <c r="AR662" s="362"/>
    </row>
    <row r="663" spans="1:44" ht="12.75" customHeight="1" x14ac:dyDescent="0.15">
      <c r="A663" s="431"/>
      <c r="B663" s="393"/>
      <c r="C663" s="428"/>
      <c r="D663" s="428">
        <v>581342.1653774773</v>
      </c>
      <c r="E663" s="224">
        <v>154933.39458296061</v>
      </c>
      <c r="F663" s="224">
        <v>4.5411201670285664</v>
      </c>
      <c r="G663" s="224">
        <v>3.5613911827723688</v>
      </c>
      <c r="H663" s="224">
        <v>2.9292556400596648</v>
      </c>
      <c r="I663" s="224">
        <v>2.3385127498474945</v>
      </c>
      <c r="J663" s="224"/>
      <c r="M663" s="224">
        <f t="shared" si="36"/>
        <v>426408.77079451666</v>
      </c>
      <c r="N663" s="224">
        <f t="shared" si="37"/>
        <v>0.97972898425619759</v>
      </c>
      <c r="O663" s="224">
        <f t="shared" si="38"/>
        <v>0.5907428902121703</v>
      </c>
      <c r="Q663" s="224"/>
      <c r="R663" s="224"/>
      <c r="S663" s="429"/>
      <c r="Z663" s="362"/>
      <c r="AA663" s="421"/>
      <c r="AB663" s="362"/>
      <c r="AC663" s="362"/>
      <c r="AD663" s="362"/>
      <c r="AE663" s="362"/>
      <c r="AF663" s="362"/>
      <c r="AG663" s="362"/>
      <c r="AH663" s="362"/>
      <c r="AI663" s="393"/>
      <c r="AJ663" s="393"/>
      <c r="AK663" s="362"/>
      <c r="AL663" s="362"/>
      <c r="AM663" s="362"/>
      <c r="AN663" s="362"/>
      <c r="AO663" s="362"/>
      <c r="AP663" s="362"/>
      <c r="AQ663" s="362"/>
      <c r="AR663" s="362"/>
    </row>
    <row r="664" spans="1:44" ht="12.75" customHeight="1" x14ac:dyDescent="0.15">
      <c r="A664" s="431"/>
      <c r="B664" s="393"/>
      <c r="C664" s="428"/>
      <c r="D664" s="428">
        <v>570342.43654948031</v>
      </c>
      <c r="E664" s="224">
        <v>125134.441980798</v>
      </c>
      <c r="F664" s="224">
        <v>4.5758123966653601</v>
      </c>
      <c r="G664" s="224">
        <v>3.5314882121307516</v>
      </c>
      <c r="H664" s="224">
        <v>2.519787359203586</v>
      </c>
      <c r="I664" s="224">
        <v>1.8296849512225208</v>
      </c>
      <c r="J664" s="224"/>
      <c r="M664" s="224">
        <f t="shared" si="36"/>
        <v>445207.99456868228</v>
      </c>
      <c r="N664" s="224">
        <f t="shared" si="37"/>
        <v>1.0443241845346085</v>
      </c>
      <c r="O664" s="224">
        <f t="shared" si="38"/>
        <v>0.69010240798106515</v>
      </c>
      <c r="Q664" s="224"/>
      <c r="R664" s="224"/>
      <c r="S664" s="429"/>
      <c r="Z664" s="362"/>
      <c r="AA664" s="421"/>
      <c r="AB664" s="362"/>
      <c r="AC664" s="362"/>
      <c r="AD664" s="362"/>
      <c r="AE664" s="362"/>
      <c r="AF664" s="362"/>
      <c r="AG664" s="362"/>
      <c r="AH664" s="362"/>
      <c r="AI664" s="393"/>
      <c r="AJ664" s="393"/>
      <c r="AK664" s="362"/>
      <c r="AL664" s="362"/>
      <c r="AM664" s="362"/>
      <c r="AN664" s="362"/>
      <c r="AO664" s="362"/>
      <c r="AP664" s="362"/>
      <c r="AQ664" s="362"/>
      <c r="AR664" s="362"/>
    </row>
    <row r="665" spans="1:44" ht="12.75" customHeight="1" x14ac:dyDescent="0.15">
      <c r="A665" s="431"/>
      <c r="B665" s="393"/>
      <c r="C665" s="428"/>
      <c r="D665" s="428">
        <v>592029.15152837348</v>
      </c>
      <c r="E665" s="224">
        <v>130454.03460364204</v>
      </c>
      <c r="F665" s="224">
        <v>4.2338938752107058</v>
      </c>
      <c r="G665" s="224">
        <v>4.2883998612288154</v>
      </c>
      <c r="H665" s="224">
        <v>2.6900757059029088</v>
      </c>
      <c r="I665" s="224">
        <v>2.4702134879273467</v>
      </c>
      <c r="J665" s="224"/>
      <c r="M665" s="224">
        <f t="shared" si="36"/>
        <v>461575.11692473141</v>
      </c>
      <c r="N665" s="224">
        <f t="shared" si="37"/>
        <v>-5.4505986018109631E-2</v>
      </c>
      <c r="O665" s="224">
        <f t="shared" si="38"/>
        <v>0.21986221797556205</v>
      </c>
      <c r="Q665" s="224"/>
      <c r="R665" s="224"/>
      <c r="S665" s="429"/>
      <c r="Z665" s="362"/>
      <c r="AA665" s="421"/>
      <c r="AB665" s="362"/>
      <c r="AC665" s="362"/>
      <c r="AD665" s="362"/>
      <c r="AE665" s="362"/>
      <c r="AF665" s="362"/>
      <c r="AG665" s="362"/>
      <c r="AH665" s="362"/>
      <c r="AI665" s="393"/>
      <c r="AJ665" s="393"/>
      <c r="AK665" s="362"/>
      <c r="AL665" s="362"/>
      <c r="AM665" s="362"/>
      <c r="AN665" s="362"/>
      <c r="AO665" s="362"/>
      <c r="AP665" s="362"/>
      <c r="AQ665" s="362"/>
      <c r="AR665" s="362"/>
    </row>
    <row r="666" spans="1:44" ht="12.75" customHeight="1" x14ac:dyDescent="0.15">
      <c r="A666" s="431"/>
      <c r="B666" s="393"/>
      <c r="C666" s="428"/>
      <c r="D666" s="428">
        <v>570506.93949018465</v>
      </c>
      <c r="E666" s="224">
        <v>125112.99505274311</v>
      </c>
      <c r="F666" s="224">
        <v>4.773374681321318</v>
      </c>
      <c r="G666" s="224">
        <v>4.0495266876155398</v>
      </c>
      <c r="H666" s="224">
        <v>2.9114885099003365</v>
      </c>
      <c r="I666" s="224">
        <v>2.3705076664892433</v>
      </c>
      <c r="J666" s="224"/>
      <c r="M666" s="224">
        <f t="shared" si="36"/>
        <v>445393.94443744153</v>
      </c>
      <c r="N666" s="224">
        <f t="shared" si="37"/>
        <v>0.72384799370577824</v>
      </c>
      <c r="O666" s="224">
        <f t="shared" si="38"/>
        <v>0.5409808434110932</v>
      </c>
      <c r="Q666" s="224"/>
      <c r="R666" s="224"/>
      <c r="S666" s="429"/>
      <c r="Z666" s="362"/>
      <c r="AA666" s="421"/>
      <c r="AB666" s="362"/>
      <c r="AC666" s="362"/>
      <c r="AD666" s="362"/>
      <c r="AE666" s="362"/>
      <c r="AF666" s="362"/>
      <c r="AG666" s="362"/>
      <c r="AH666" s="362"/>
      <c r="AI666" s="393"/>
      <c r="AJ666" s="393"/>
      <c r="AK666" s="362"/>
      <c r="AL666" s="362"/>
      <c r="AM666" s="362"/>
      <c r="AN666" s="362"/>
      <c r="AO666" s="362"/>
      <c r="AP666" s="362"/>
      <c r="AQ666" s="362"/>
      <c r="AR666" s="362"/>
    </row>
    <row r="667" spans="1:44" ht="12.75" customHeight="1" x14ac:dyDescent="0.15">
      <c r="A667" s="431"/>
      <c r="B667" s="393"/>
      <c r="C667" s="428"/>
      <c r="D667" s="428">
        <v>598225.86335782392</v>
      </c>
      <c r="E667" s="224">
        <v>157924.76031413849</v>
      </c>
      <c r="F667" s="224">
        <v>4.4020913879633179</v>
      </c>
      <c r="G667" s="224">
        <v>3.6493642670202759</v>
      </c>
      <c r="H667" s="224">
        <v>2.8278034653951885</v>
      </c>
      <c r="I667" s="224">
        <v>2.1617047971087202</v>
      </c>
      <c r="J667" s="224"/>
      <c r="M667" s="224">
        <f t="shared" si="36"/>
        <v>440301.10304368543</v>
      </c>
      <c r="N667" s="224">
        <f t="shared" si="37"/>
        <v>0.75272712094304195</v>
      </c>
      <c r="O667" s="224">
        <f t="shared" si="38"/>
        <v>0.66609866828646824</v>
      </c>
      <c r="Q667" s="224"/>
      <c r="R667" s="224"/>
      <c r="S667" s="429"/>
      <c r="Z667" s="362"/>
      <c r="AA667" s="421"/>
      <c r="AB667" s="362"/>
      <c r="AC667" s="362"/>
      <c r="AD667" s="362"/>
      <c r="AE667" s="362"/>
      <c r="AF667" s="362"/>
      <c r="AG667" s="362"/>
      <c r="AH667" s="362"/>
      <c r="AI667" s="393"/>
      <c r="AJ667" s="393"/>
      <c r="AK667" s="362"/>
      <c r="AL667" s="362"/>
      <c r="AM667" s="362"/>
      <c r="AN667" s="362"/>
      <c r="AO667" s="362"/>
      <c r="AP667" s="362"/>
      <c r="AQ667" s="362"/>
      <c r="AR667" s="362"/>
    </row>
    <row r="668" spans="1:44" ht="12.75" customHeight="1" x14ac:dyDescent="0.15">
      <c r="A668" s="431"/>
      <c r="B668" s="393"/>
      <c r="C668" s="428"/>
      <c r="D668" s="428">
        <v>576407.01051084267</v>
      </c>
      <c r="E668" s="224">
        <v>163553.08509142665</v>
      </c>
      <c r="F668" s="224">
        <v>4.2537490708208416</v>
      </c>
      <c r="G668" s="224">
        <v>4.5021591915364931</v>
      </c>
      <c r="H668" s="224">
        <v>2.737214309971542</v>
      </c>
      <c r="I668" s="224">
        <v>2.7256279639288077</v>
      </c>
      <c r="J668" s="224"/>
      <c r="M668" s="224">
        <f t="shared" si="36"/>
        <v>412853.92541941605</v>
      </c>
      <c r="N668" s="224">
        <f t="shared" si="37"/>
        <v>-0.24841012071565149</v>
      </c>
      <c r="O668" s="224">
        <f t="shared" si="38"/>
        <v>1.1586346042734341E-2</v>
      </c>
      <c r="Q668" s="224"/>
      <c r="R668" s="224"/>
      <c r="S668" s="429"/>
      <c r="Z668" s="362"/>
      <c r="AA668" s="421"/>
      <c r="AB668" s="362"/>
      <c r="AC668" s="362"/>
      <c r="AD668" s="362"/>
      <c r="AE668" s="362"/>
      <c r="AF668" s="362"/>
      <c r="AG668" s="362"/>
      <c r="AH668" s="362"/>
      <c r="AI668" s="393"/>
      <c r="AJ668" s="393"/>
      <c r="AK668" s="362"/>
      <c r="AL668" s="362"/>
      <c r="AM668" s="362"/>
      <c r="AN668" s="362"/>
      <c r="AO668" s="362"/>
      <c r="AP668" s="362"/>
      <c r="AQ668" s="362"/>
      <c r="AR668" s="362"/>
    </row>
    <row r="669" spans="1:44" ht="12.75" customHeight="1" x14ac:dyDescent="0.15">
      <c r="A669" s="431"/>
      <c r="B669" s="393"/>
      <c r="C669" s="428"/>
      <c r="D669" s="428">
        <v>623372.18132384296</v>
      </c>
      <c r="E669" s="224">
        <v>132613.72528057999</v>
      </c>
      <c r="F669" s="224">
        <v>4.1338462085514074</v>
      </c>
      <c r="G669" s="224">
        <v>3.6008534110884698</v>
      </c>
      <c r="H669" s="224">
        <v>2.6724428197475114</v>
      </c>
      <c r="I669" s="224">
        <v>2.0239013722867467</v>
      </c>
      <c r="J669" s="224"/>
      <c r="M669" s="224">
        <f t="shared" si="36"/>
        <v>490758.45604326297</v>
      </c>
      <c r="N669" s="224">
        <f t="shared" si="37"/>
        <v>0.5329927974629376</v>
      </c>
      <c r="O669" s="224">
        <f t="shared" si="38"/>
        <v>0.6485414474607647</v>
      </c>
      <c r="Q669" s="224"/>
      <c r="R669" s="224"/>
      <c r="S669" s="429"/>
      <c r="Z669" s="362"/>
      <c r="AA669" s="421"/>
      <c r="AB669" s="362"/>
      <c r="AC669" s="362"/>
      <c r="AD669" s="362"/>
      <c r="AE669" s="362"/>
      <c r="AF669" s="362"/>
      <c r="AG669" s="362"/>
      <c r="AH669" s="362"/>
      <c r="AI669" s="393"/>
      <c r="AJ669" s="393"/>
      <c r="AK669" s="362"/>
      <c r="AL669" s="362"/>
      <c r="AM669" s="362"/>
      <c r="AN669" s="362"/>
      <c r="AO669" s="362"/>
      <c r="AP669" s="362"/>
      <c r="AQ669" s="362"/>
      <c r="AR669" s="362"/>
    </row>
    <row r="670" spans="1:44" ht="12.75" customHeight="1" x14ac:dyDescent="0.15">
      <c r="A670" s="431"/>
      <c r="B670" s="393"/>
      <c r="C670" s="428"/>
      <c r="D670" s="428">
        <v>635723.14950194722</v>
      </c>
      <c r="E670" s="224">
        <v>168047.77515901401</v>
      </c>
      <c r="F670" s="224">
        <v>4.4603658264566022</v>
      </c>
      <c r="G670" s="224">
        <v>4.1317233960185895</v>
      </c>
      <c r="H670" s="224">
        <v>2.4864207683631885</v>
      </c>
      <c r="I670" s="224">
        <v>2.1974938480036235</v>
      </c>
      <c r="J670" s="224"/>
      <c r="M670" s="224">
        <f t="shared" si="36"/>
        <v>467675.37434293318</v>
      </c>
      <c r="N670" s="224">
        <f t="shared" si="37"/>
        <v>0.32864243043801267</v>
      </c>
      <c r="O670" s="224">
        <f t="shared" si="38"/>
        <v>0.28892692035956502</v>
      </c>
      <c r="Q670" s="224"/>
      <c r="R670" s="224"/>
      <c r="S670" s="429"/>
      <c r="Z670" s="362"/>
      <c r="AA670" s="421"/>
      <c r="AB670" s="362"/>
      <c r="AC670" s="362"/>
      <c r="AD670" s="362"/>
      <c r="AE670" s="362"/>
      <c r="AF670" s="362"/>
      <c r="AG670" s="362"/>
      <c r="AH670" s="362"/>
      <c r="AI670" s="393"/>
      <c r="AJ670" s="393"/>
      <c r="AK670" s="362"/>
      <c r="AL670" s="362"/>
      <c r="AM670" s="362"/>
      <c r="AN670" s="362"/>
      <c r="AO670" s="362"/>
      <c r="AP670" s="362"/>
      <c r="AQ670" s="362"/>
      <c r="AR670" s="362"/>
    </row>
    <row r="671" spans="1:44" ht="12.75" customHeight="1" x14ac:dyDescent="0.15">
      <c r="A671" s="431"/>
      <c r="B671" s="393"/>
      <c r="C671" s="428"/>
      <c r="D671" s="428">
        <v>523819.52167002315</v>
      </c>
      <c r="E671" s="224">
        <v>184157.83003022955</v>
      </c>
      <c r="F671" s="224">
        <v>4.3810349394578196</v>
      </c>
      <c r="G671" s="224">
        <v>3.6946291301666867</v>
      </c>
      <c r="H671" s="224">
        <v>2.6350636610525382</v>
      </c>
      <c r="I671" s="224">
        <v>2.3212854533528655</v>
      </c>
      <c r="J671" s="224"/>
      <c r="M671" s="224">
        <f t="shared" si="36"/>
        <v>339661.69163979357</v>
      </c>
      <c r="N671" s="224">
        <f t="shared" si="37"/>
        <v>0.68640580929113293</v>
      </c>
      <c r="O671" s="224">
        <f t="shared" si="38"/>
        <v>0.31377820769967268</v>
      </c>
      <c r="Q671" s="224"/>
      <c r="R671" s="224"/>
      <c r="S671" s="429"/>
      <c r="Z671" s="362"/>
      <c r="AA671" s="421"/>
      <c r="AB671" s="362"/>
      <c r="AC671" s="362"/>
      <c r="AD671" s="362"/>
      <c r="AE671" s="362"/>
      <c r="AF671" s="362"/>
      <c r="AG671" s="362"/>
      <c r="AH671" s="362"/>
      <c r="AI671" s="393"/>
      <c r="AJ671" s="393"/>
      <c r="AK671" s="362"/>
      <c r="AL671" s="362"/>
      <c r="AM671" s="362"/>
      <c r="AN671" s="362"/>
      <c r="AO671" s="362"/>
      <c r="AP671" s="362"/>
      <c r="AQ671" s="362"/>
      <c r="AR671" s="362"/>
    </row>
    <row r="672" spans="1:44" ht="12.75" customHeight="1" x14ac:dyDescent="0.15">
      <c r="A672" s="431"/>
      <c r="B672" s="393"/>
      <c r="C672" s="428"/>
      <c r="D672" s="428">
        <v>479995.0025407279</v>
      </c>
      <c r="E672" s="224">
        <v>134958.21982784645</v>
      </c>
      <c r="F672" s="224">
        <v>4.1119344321776561</v>
      </c>
      <c r="G672" s="224">
        <v>3.8896304650178362</v>
      </c>
      <c r="H672" s="224">
        <v>2.4526973389570017</v>
      </c>
      <c r="I672" s="224">
        <v>2.3172539818087601</v>
      </c>
      <c r="J672" s="224"/>
      <c r="M672" s="224">
        <f t="shared" si="36"/>
        <v>345036.78271288145</v>
      </c>
      <c r="N672" s="224">
        <f t="shared" si="37"/>
        <v>0.22230396715981993</v>
      </c>
      <c r="O672" s="224">
        <f t="shared" si="38"/>
        <v>0.13544335714824163</v>
      </c>
      <c r="Q672" s="224"/>
      <c r="R672" s="224"/>
      <c r="S672" s="429"/>
      <c r="Z672" s="362"/>
      <c r="AA672" s="421"/>
      <c r="AB672" s="362"/>
      <c r="AC672" s="362"/>
      <c r="AD672" s="362"/>
      <c r="AE672" s="362"/>
      <c r="AF672" s="362"/>
      <c r="AG672" s="362"/>
      <c r="AH672" s="362"/>
      <c r="AI672" s="393"/>
      <c r="AJ672" s="393"/>
      <c r="AK672" s="362"/>
      <c r="AL672" s="362"/>
      <c r="AM672" s="362"/>
      <c r="AN672" s="362"/>
      <c r="AO672" s="362"/>
      <c r="AP672" s="362"/>
      <c r="AQ672" s="362"/>
      <c r="AR672" s="362"/>
    </row>
    <row r="673" spans="1:44" ht="12.75" customHeight="1" x14ac:dyDescent="0.15">
      <c r="A673" s="431"/>
      <c r="B673" s="393"/>
      <c r="C673" s="428"/>
      <c r="D673" s="428">
        <v>600521.47767062415</v>
      </c>
      <c r="E673" s="224">
        <v>168972.3219512862</v>
      </c>
      <c r="F673" s="224">
        <v>4.1673003199914929</v>
      </c>
      <c r="G673" s="224">
        <v>3.2281225497196271</v>
      </c>
      <c r="H673" s="224">
        <v>2.4997749123407962</v>
      </c>
      <c r="I673" s="224">
        <v>1.9186462434530216</v>
      </c>
      <c r="J673" s="224"/>
      <c r="M673" s="224">
        <f t="shared" si="36"/>
        <v>431549.15571933798</v>
      </c>
      <c r="N673" s="224">
        <f t="shared" si="37"/>
        <v>0.93917777027186577</v>
      </c>
      <c r="O673" s="224">
        <f t="shared" si="38"/>
        <v>0.58112866888777459</v>
      </c>
      <c r="Q673" s="224"/>
      <c r="R673" s="224"/>
      <c r="S673" s="429"/>
      <c r="Z673" s="362"/>
      <c r="AA673" s="421"/>
      <c r="AB673" s="362"/>
      <c r="AC673" s="362"/>
      <c r="AD673" s="362"/>
      <c r="AE673" s="362"/>
      <c r="AF673" s="362"/>
      <c r="AG673" s="362"/>
      <c r="AH673" s="362"/>
      <c r="AI673" s="393"/>
      <c r="AJ673" s="393"/>
      <c r="AK673" s="362"/>
      <c r="AL673" s="362"/>
      <c r="AM673" s="362"/>
      <c r="AN673" s="362"/>
      <c r="AO673" s="362"/>
      <c r="AP673" s="362"/>
      <c r="AQ673" s="362"/>
      <c r="AR673" s="362"/>
    </row>
    <row r="674" spans="1:44" ht="12.75" customHeight="1" x14ac:dyDescent="0.15">
      <c r="A674" s="431"/>
      <c r="B674" s="393"/>
      <c r="C674" s="428"/>
      <c r="D674" s="428">
        <v>684826.57349876151</v>
      </c>
      <c r="E674" s="224">
        <v>123420.78676122394</v>
      </c>
      <c r="F674" s="224">
        <v>4.2431073647235777</v>
      </c>
      <c r="G674" s="224">
        <v>4.1270713718606995</v>
      </c>
      <c r="H674" s="224">
        <v>2.5816448419563409</v>
      </c>
      <c r="I674" s="224">
        <v>2.2112917072850613</v>
      </c>
      <c r="J674" s="224"/>
      <c r="M674" s="224">
        <f t="shared" si="36"/>
        <v>561405.78673753759</v>
      </c>
      <c r="N674" s="224">
        <f t="shared" si="37"/>
        <v>0.11603599286287825</v>
      </c>
      <c r="O674" s="224">
        <f t="shared" si="38"/>
        <v>0.37035313467127962</v>
      </c>
      <c r="Q674" s="224"/>
      <c r="R674" s="224"/>
      <c r="S674" s="429"/>
      <c r="Z674" s="362"/>
      <c r="AA674" s="421"/>
      <c r="AB674" s="362"/>
      <c r="AC674" s="362"/>
      <c r="AD674" s="362"/>
      <c r="AE674" s="362"/>
      <c r="AF674" s="362"/>
      <c r="AG674" s="362"/>
      <c r="AH674" s="362"/>
      <c r="AI674" s="393"/>
      <c r="AJ674" s="393"/>
      <c r="AK674" s="362"/>
      <c r="AL674" s="362"/>
      <c r="AM674" s="362"/>
      <c r="AN674" s="362"/>
      <c r="AO674" s="362"/>
      <c r="AP674" s="362"/>
      <c r="AQ674" s="362"/>
      <c r="AR674" s="362"/>
    </row>
    <row r="675" spans="1:44" ht="12.75" customHeight="1" x14ac:dyDescent="0.15">
      <c r="A675" s="431"/>
      <c r="B675" s="393"/>
      <c r="C675" s="428"/>
      <c r="D675" s="428">
        <v>670544.10886364523</v>
      </c>
      <c r="E675" s="224">
        <v>172001.97777704589</v>
      </c>
      <c r="F675" s="224">
        <v>4.0647102720478108</v>
      </c>
      <c r="G675" s="224">
        <v>3.3280816341469777</v>
      </c>
      <c r="H675" s="224">
        <v>2.6488142932018772</v>
      </c>
      <c r="I675" s="224">
        <v>1.9384466999581778</v>
      </c>
      <c r="J675" s="224"/>
      <c r="M675" s="224">
        <f t="shared" si="36"/>
        <v>498542.13108659931</v>
      </c>
      <c r="N675" s="224">
        <f t="shared" si="37"/>
        <v>0.73662863790083311</v>
      </c>
      <c r="O675" s="224">
        <f t="shared" si="38"/>
        <v>0.71036759324369947</v>
      </c>
      <c r="Q675" s="224"/>
      <c r="R675" s="224"/>
      <c r="S675" s="429"/>
      <c r="Z675" s="362"/>
      <c r="AA675" s="421"/>
      <c r="AB675" s="362"/>
      <c r="AC675" s="362"/>
      <c r="AD675" s="362"/>
      <c r="AE675" s="362"/>
      <c r="AF675" s="362"/>
      <c r="AG675" s="362"/>
      <c r="AH675" s="362"/>
      <c r="AI675" s="393"/>
      <c r="AJ675" s="393"/>
      <c r="AK675" s="362"/>
      <c r="AL675" s="362"/>
      <c r="AM675" s="362"/>
      <c r="AN675" s="362"/>
      <c r="AO675" s="362"/>
      <c r="AP675" s="362"/>
      <c r="AQ675" s="362"/>
      <c r="AR675" s="362"/>
    </row>
    <row r="676" spans="1:44" ht="12.75" customHeight="1" x14ac:dyDescent="0.15">
      <c r="A676" s="431"/>
      <c r="B676" s="393"/>
      <c r="C676" s="428"/>
      <c r="D676" s="428">
        <v>584223.87970344757</v>
      </c>
      <c r="E676" s="224">
        <v>180085.24345099949</v>
      </c>
      <c r="F676" s="224">
        <v>4.2555423244617296</v>
      </c>
      <c r="G676" s="224">
        <v>3.7827382744276163</v>
      </c>
      <c r="H676" s="224">
        <v>2.7201393255497259</v>
      </c>
      <c r="I676" s="224">
        <v>2.0655743323721043</v>
      </c>
      <c r="J676" s="224"/>
      <c r="M676" s="224">
        <f t="shared" si="36"/>
        <v>404138.63625244808</v>
      </c>
      <c r="N676" s="224">
        <f t="shared" si="37"/>
        <v>0.4728040500341133</v>
      </c>
      <c r="O676" s="224">
        <f t="shared" si="38"/>
        <v>0.65456499317762162</v>
      </c>
      <c r="Q676" s="224"/>
      <c r="R676" s="224"/>
      <c r="S676" s="429"/>
      <c r="Z676" s="362"/>
      <c r="AA676" s="421"/>
      <c r="AB676" s="362"/>
      <c r="AC676" s="362"/>
      <c r="AD676" s="362"/>
      <c r="AE676" s="362"/>
      <c r="AF676" s="362"/>
      <c r="AG676" s="362"/>
      <c r="AH676" s="362"/>
      <c r="AI676" s="393"/>
      <c r="AJ676" s="393"/>
      <c r="AK676" s="362"/>
      <c r="AL676" s="362"/>
      <c r="AM676" s="362"/>
      <c r="AN676" s="362"/>
      <c r="AO676" s="362"/>
      <c r="AP676" s="362"/>
      <c r="AQ676" s="362"/>
      <c r="AR676" s="362"/>
    </row>
    <row r="677" spans="1:44" ht="12.75" customHeight="1" x14ac:dyDescent="0.15">
      <c r="A677" s="431"/>
      <c r="B677" s="393"/>
      <c r="C677" s="428"/>
      <c r="D677" s="428">
        <v>617888.65583811339</v>
      </c>
      <c r="E677" s="224">
        <v>131843.96212768933</v>
      </c>
      <c r="F677" s="224">
        <v>3.8759187775971276</v>
      </c>
      <c r="G677" s="224">
        <v>3.4820168546985717</v>
      </c>
      <c r="H677" s="224">
        <v>2.4335029753985826</v>
      </c>
      <c r="I677" s="224">
        <v>1.9934427877744985</v>
      </c>
      <c r="J677" s="224"/>
      <c r="M677" s="224">
        <f t="shared" si="36"/>
        <v>486044.69371042406</v>
      </c>
      <c r="N677" s="224">
        <f t="shared" si="37"/>
        <v>0.39390192289855586</v>
      </c>
      <c r="O677" s="224">
        <f t="shared" si="38"/>
        <v>0.44006018762408416</v>
      </c>
      <c r="Q677" s="224"/>
      <c r="R677" s="224"/>
      <c r="S677" s="429"/>
      <c r="Z677" s="362"/>
      <c r="AA677" s="421"/>
      <c r="AB677" s="362"/>
      <c r="AC677" s="362"/>
      <c r="AD677" s="362"/>
      <c r="AE677" s="362"/>
      <c r="AF677" s="362"/>
      <c r="AG677" s="362"/>
      <c r="AH677" s="362"/>
      <c r="AI677" s="393"/>
      <c r="AJ677" s="393"/>
      <c r="AK677" s="362"/>
      <c r="AL677" s="362"/>
      <c r="AM677" s="362"/>
      <c r="AN677" s="362"/>
      <c r="AO677" s="362"/>
      <c r="AP677" s="362"/>
      <c r="AQ677" s="362"/>
      <c r="AR677" s="362"/>
    </row>
    <row r="678" spans="1:44" ht="12.75" customHeight="1" x14ac:dyDescent="0.15">
      <c r="A678" s="431"/>
      <c r="B678" s="393"/>
      <c r="C678" s="428"/>
      <c r="D678" s="428">
        <v>614016.71030947752</v>
      </c>
      <c r="E678" s="224">
        <v>165839.05744300567</v>
      </c>
      <c r="F678" s="224">
        <v>4.6918451642712489</v>
      </c>
      <c r="G678" s="224">
        <v>3.8811786695805663</v>
      </c>
      <c r="H678" s="224">
        <v>2.3626963905725984</v>
      </c>
      <c r="I678" s="224">
        <v>1.895053425823412</v>
      </c>
      <c r="J678" s="224"/>
      <c r="M678" s="224">
        <f t="shared" si="36"/>
        <v>448177.65286647185</v>
      </c>
      <c r="N678" s="224">
        <f t="shared" si="37"/>
        <v>0.81066649469068253</v>
      </c>
      <c r="O678" s="224">
        <f t="shared" si="38"/>
        <v>0.46764296474918643</v>
      </c>
      <c r="Q678" s="224"/>
      <c r="R678" s="224"/>
      <c r="S678" s="429"/>
      <c r="Z678" s="362"/>
      <c r="AA678" s="421"/>
      <c r="AB678" s="362"/>
      <c r="AC678" s="362"/>
      <c r="AD678" s="362"/>
      <c r="AE678" s="362"/>
      <c r="AF678" s="362"/>
      <c r="AG678" s="362"/>
      <c r="AH678" s="362"/>
      <c r="AI678" s="393"/>
      <c r="AJ678" s="393"/>
      <c r="AK678" s="362"/>
      <c r="AL678" s="362"/>
      <c r="AM678" s="362"/>
      <c r="AN678" s="362"/>
      <c r="AO678" s="362"/>
      <c r="AP678" s="362"/>
      <c r="AQ678" s="362"/>
      <c r="AR678" s="362"/>
    </row>
    <row r="679" spans="1:44" ht="12.75" customHeight="1" x14ac:dyDescent="0.15">
      <c r="A679" s="431"/>
      <c r="B679" s="393"/>
      <c r="C679" s="428"/>
      <c r="D679" s="428">
        <v>646574.13917807117</v>
      </c>
      <c r="E679" s="224">
        <v>118690.8151747745</v>
      </c>
      <c r="F679" s="224">
        <v>4.1155017848353594</v>
      </c>
      <c r="G679" s="224">
        <v>3.2603383075716783</v>
      </c>
      <c r="H679" s="224">
        <v>2.6085363288361245</v>
      </c>
      <c r="I679" s="224">
        <v>1.9386857864186442</v>
      </c>
      <c r="J679" s="224"/>
      <c r="M679" s="224">
        <f t="shared" si="36"/>
        <v>527883.32400329667</v>
      </c>
      <c r="N679" s="224">
        <f t="shared" si="37"/>
        <v>0.85516347726368114</v>
      </c>
      <c r="O679" s="224">
        <f t="shared" si="38"/>
        <v>0.66985054241748032</v>
      </c>
      <c r="Q679" s="224"/>
      <c r="R679" s="224"/>
      <c r="S679" s="429"/>
      <c r="Z679" s="362"/>
      <c r="AA679" s="421"/>
      <c r="AB679" s="362"/>
      <c r="AC679" s="362"/>
      <c r="AD679" s="362"/>
      <c r="AE679" s="362"/>
      <c r="AF679" s="362"/>
      <c r="AG679" s="362"/>
      <c r="AH679" s="362"/>
      <c r="AI679" s="393"/>
      <c r="AJ679" s="393"/>
      <c r="AK679" s="362"/>
      <c r="AL679" s="362"/>
      <c r="AM679" s="362"/>
      <c r="AN679" s="362"/>
      <c r="AO679" s="362"/>
      <c r="AP679" s="362"/>
      <c r="AQ679" s="362"/>
      <c r="AR679" s="362"/>
    </row>
    <row r="680" spans="1:44" ht="12.75" customHeight="1" x14ac:dyDescent="0.15">
      <c r="A680" s="431"/>
      <c r="B680" s="393"/>
      <c r="C680" s="428"/>
      <c r="D680" s="428">
        <v>574152.73660322465</v>
      </c>
      <c r="E680" s="224">
        <v>135809.35891758758</v>
      </c>
      <c r="F680" s="224">
        <v>4.6038676509024761</v>
      </c>
      <c r="G680" s="224">
        <v>3.9653758207929442</v>
      </c>
      <c r="H680" s="224">
        <v>2.761027139377529</v>
      </c>
      <c r="I680" s="224">
        <v>2.372354496577739</v>
      </c>
      <c r="J680" s="224"/>
      <c r="M680" s="224">
        <f t="shared" si="36"/>
        <v>438343.3776856371</v>
      </c>
      <c r="N680" s="224">
        <f t="shared" si="37"/>
        <v>0.63849183010953192</v>
      </c>
      <c r="O680" s="224">
        <f t="shared" si="38"/>
        <v>0.38867264279978997</v>
      </c>
      <c r="Q680" s="224"/>
      <c r="R680" s="224"/>
      <c r="S680" s="429"/>
      <c r="Z680" s="362"/>
      <c r="AA680" s="421"/>
      <c r="AB680" s="362"/>
      <c r="AC680" s="362"/>
      <c r="AD680" s="362"/>
      <c r="AE680" s="362"/>
      <c r="AF680" s="362"/>
      <c r="AG680" s="362"/>
      <c r="AH680" s="362"/>
      <c r="AI680" s="393"/>
      <c r="AJ680" s="393"/>
      <c r="AK680" s="362"/>
      <c r="AL680" s="362"/>
      <c r="AM680" s="362"/>
      <c r="AN680" s="362"/>
      <c r="AO680" s="362"/>
      <c r="AP680" s="362"/>
      <c r="AQ680" s="362"/>
      <c r="AR680" s="362"/>
    </row>
    <row r="681" spans="1:44" ht="12.75" customHeight="1" x14ac:dyDescent="0.15">
      <c r="A681" s="431"/>
      <c r="B681" s="393"/>
      <c r="C681" s="428"/>
      <c r="D681" s="428">
        <v>569097.70360284753</v>
      </c>
      <c r="E681" s="224">
        <v>164735.87791394556</v>
      </c>
      <c r="F681" s="224">
        <v>4.2717740336246797</v>
      </c>
      <c r="G681" s="224">
        <v>4.2373070351948572</v>
      </c>
      <c r="H681" s="224">
        <v>2.8787061954315973</v>
      </c>
      <c r="I681" s="224">
        <v>2.6310617473159832</v>
      </c>
      <c r="J681" s="224"/>
      <c r="M681" s="224">
        <f t="shared" si="36"/>
        <v>404361.82568890194</v>
      </c>
      <c r="N681" s="224">
        <f t="shared" si="37"/>
        <v>3.4466998429822482E-2</v>
      </c>
      <c r="O681" s="224">
        <f t="shared" si="38"/>
        <v>0.24764444811561415</v>
      </c>
      <c r="Q681" s="224"/>
      <c r="R681" s="224"/>
      <c r="S681" s="429"/>
      <c r="Z681" s="362"/>
      <c r="AA681" s="421"/>
      <c r="AB681" s="362"/>
      <c r="AC681" s="362"/>
      <c r="AD681" s="362"/>
      <c r="AE681" s="362"/>
      <c r="AF681" s="362"/>
      <c r="AG681" s="362"/>
      <c r="AH681" s="362"/>
      <c r="AI681" s="393"/>
      <c r="AJ681" s="393"/>
      <c r="AK681" s="362"/>
      <c r="AL681" s="362"/>
      <c r="AM681" s="362"/>
      <c r="AN681" s="362"/>
      <c r="AO681" s="362"/>
      <c r="AP681" s="362"/>
      <c r="AQ681" s="362"/>
      <c r="AR681" s="362"/>
    </row>
    <row r="682" spans="1:44" ht="12.75" customHeight="1" x14ac:dyDescent="0.15">
      <c r="A682" s="431"/>
      <c r="B682" s="393"/>
      <c r="C682" s="428"/>
      <c r="D682" s="428">
        <v>515496.63023656438</v>
      </c>
      <c r="E682" s="224">
        <v>135092.92959613778</v>
      </c>
      <c r="F682" s="224">
        <v>4.0076723407028263</v>
      </c>
      <c r="G682" s="224">
        <v>3.8243355563766288</v>
      </c>
      <c r="H682" s="224">
        <v>2.1567329074772945</v>
      </c>
      <c r="I682" s="224">
        <v>1.6907916003004144</v>
      </c>
      <c r="J682" s="224"/>
      <c r="M682" s="224">
        <f t="shared" si="36"/>
        <v>380403.7006404266</v>
      </c>
      <c r="N682" s="224">
        <f t="shared" si="37"/>
        <v>0.18333678432619749</v>
      </c>
      <c r="O682" s="224">
        <f t="shared" si="38"/>
        <v>0.46594130717688009</v>
      </c>
      <c r="Q682" s="224"/>
      <c r="R682" s="224"/>
      <c r="S682" s="429"/>
      <c r="Z682" s="362"/>
      <c r="AA682" s="421"/>
      <c r="AB682" s="362"/>
      <c r="AC682" s="362"/>
      <c r="AD682" s="362"/>
      <c r="AE682" s="362"/>
      <c r="AF682" s="362"/>
      <c r="AG682" s="362"/>
      <c r="AH682" s="362"/>
      <c r="AI682" s="393"/>
      <c r="AJ682" s="393"/>
      <c r="AK682" s="362"/>
      <c r="AL682" s="362"/>
      <c r="AM682" s="362"/>
      <c r="AN682" s="362"/>
      <c r="AO682" s="362"/>
      <c r="AP682" s="362"/>
      <c r="AQ682" s="362"/>
      <c r="AR682" s="362"/>
    </row>
    <row r="683" spans="1:44" ht="12.75" customHeight="1" x14ac:dyDescent="0.15">
      <c r="A683" s="431"/>
      <c r="B683" s="393"/>
      <c r="C683" s="428"/>
      <c r="D683" s="428">
        <v>682253.74811948498</v>
      </c>
      <c r="E683" s="224">
        <v>144561.514932841</v>
      </c>
      <c r="F683" s="224">
        <v>4.2278092160222487</v>
      </c>
      <c r="G683" s="224">
        <v>3.8302609000512451</v>
      </c>
      <c r="H683" s="224">
        <v>2.7738101125797332</v>
      </c>
      <c r="I683" s="224">
        <v>2.2511959902119156</v>
      </c>
      <c r="J683" s="224"/>
      <c r="M683" s="224">
        <f t="shared" si="36"/>
        <v>537692.23318664404</v>
      </c>
      <c r="N683" s="224">
        <f t="shared" si="37"/>
        <v>0.3975483159710036</v>
      </c>
      <c r="O683" s="224">
        <f t="shared" si="38"/>
        <v>0.52261412236781757</v>
      </c>
      <c r="Q683" s="224"/>
      <c r="R683" s="224"/>
      <c r="S683" s="429"/>
      <c r="Z683" s="362"/>
      <c r="AA683" s="421"/>
      <c r="AB683" s="362"/>
      <c r="AC683" s="362"/>
      <c r="AD683" s="362"/>
      <c r="AE683" s="362"/>
      <c r="AF683" s="362"/>
      <c r="AG683" s="362"/>
      <c r="AH683" s="362"/>
      <c r="AI683" s="393"/>
      <c r="AJ683" s="393"/>
      <c r="AK683" s="362"/>
      <c r="AL683" s="362"/>
      <c r="AM683" s="362"/>
      <c r="AN683" s="362"/>
      <c r="AO683" s="362"/>
      <c r="AP683" s="362"/>
      <c r="AQ683" s="362"/>
      <c r="AR683" s="362"/>
    </row>
    <row r="684" spans="1:44" ht="12.75" customHeight="1" x14ac:dyDescent="0.15">
      <c r="A684" s="431"/>
      <c r="B684" s="393"/>
      <c r="C684" s="428"/>
      <c r="D684" s="428">
        <v>628068.34863241669</v>
      </c>
      <c r="E684" s="224">
        <v>176541.33254055399</v>
      </c>
      <c r="F684" s="224">
        <v>3.7970026448870735</v>
      </c>
      <c r="G684" s="224">
        <v>3.9815158589254875</v>
      </c>
      <c r="H684" s="224">
        <v>1.7449214375579265</v>
      </c>
      <c r="I684" s="224">
        <v>1.7179736314956933</v>
      </c>
      <c r="J684" s="224"/>
      <c r="M684" s="224">
        <f t="shared" si="36"/>
        <v>451527.01609186269</v>
      </c>
      <c r="N684" s="224">
        <f t="shared" si="37"/>
        <v>-0.18451321403841403</v>
      </c>
      <c r="O684" s="224">
        <f t="shared" si="38"/>
        <v>2.6947806062233237E-2</v>
      </c>
      <c r="Q684" s="224"/>
      <c r="R684" s="224"/>
      <c r="S684" s="429"/>
      <c r="Z684" s="362"/>
      <c r="AA684" s="421"/>
      <c r="AB684" s="362"/>
      <c r="AC684" s="362"/>
      <c r="AD684" s="362"/>
      <c r="AE684" s="362"/>
      <c r="AF684" s="362"/>
      <c r="AG684" s="362"/>
      <c r="AH684" s="362"/>
      <c r="AI684" s="393"/>
      <c r="AJ684" s="393"/>
      <c r="AK684" s="362"/>
      <c r="AL684" s="362"/>
      <c r="AM684" s="362"/>
      <c r="AN684" s="362"/>
      <c r="AO684" s="362"/>
      <c r="AP684" s="362"/>
      <c r="AQ684" s="362"/>
      <c r="AR684" s="362"/>
    </row>
    <row r="685" spans="1:44" ht="12.75" customHeight="1" x14ac:dyDescent="0.15">
      <c r="A685" s="431"/>
      <c r="B685" s="393"/>
      <c r="C685" s="428"/>
      <c r="D685" s="428">
        <v>782235.13059590675</v>
      </c>
      <c r="E685" s="224">
        <v>289063.795816987</v>
      </c>
      <c r="F685" s="224">
        <v>3.8464350278291963</v>
      </c>
      <c r="G685" s="224">
        <v>3.8139510469814</v>
      </c>
      <c r="H685" s="224">
        <v>2.0687243232399481</v>
      </c>
      <c r="I685" s="224">
        <v>1.8877431417226729</v>
      </c>
      <c r="J685" s="224"/>
      <c r="M685" s="224">
        <f t="shared" si="36"/>
        <v>493171.33477891976</v>
      </c>
      <c r="N685" s="224">
        <f t="shared" si="37"/>
        <v>3.2483980847796357E-2</v>
      </c>
      <c r="O685" s="224">
        <f t="shared" si="38"/>
        <v>0.18098118151727527</v>
      </c>
      <c r="Q685" s="224"/>
      <c r="R685" s="224"/>
      <c r="S685" s="429"/>
      <c r="Z685" s="362"/>
      <c r="AA685" s="421"/>
      <c r="AB685" s="362"/>
      <c r="AC685" s="362"/>
      <c r="AD685" s="362"/>
      <c r="AE685" s="362"/>
      <c r="AF685" s="362"/>
      <c r="AG685" s="362"/>
      <c r="AH685" s="362"/>
      <c r="AI685" s="393"/>
      <c r="AJ685" s="393"/>
      <c r="AK685" s="362"/>
      <c r="AL685" s="362"/>
      <c r="AM685" s="362"/>
      <c r="AN685" s="362"/>
      <c r="AO685" s="362"/>
      <c r="AP685" s="362"/>
      <c r="AQ685" s="362"/>
      <c r="AR685" s="362"/>
    </row>
    <row r="686" spans="1:44" ht="12.75" customHeight="1" x14ac:dyDescent="0.15">
      <c r="A686" s="431"/>
      <c r="B686" s="393"/>
      <c r="C686" s="428"/>
      <c r="D686" s="428">
        <v>593276.46145883668</v>
      </c>
      <c r="E686" s="224">
        <v>187051.94147946377</v>
      </c>
      <c r="F686" s="224">
        <v>3.675535446832181</v>
      </c>
      <c r="G686" s="224">
        <v>4.0765932632044084</v>
      </c>
      <c r="H686" s="224">
        <v>2.2764332839093</v>
      </c>
      <c r="I686" s="224">
        <v>2.3627017341610261</v>
      </c>
      <c r="J686" s="224"/>
      <c r="M686" s="224">
        <f t="shared" si="36"/>
        <v>406224.51997937291</v>
      </c>
      <c r="N686" s="224">
        <f t="shared" si="37"/>
        <v>-0.40105781637222737</v>
      </c>
      <c r="O686" s="224">
        <f t="shared" si="38"/>
        <v>-8.6268450251726136E-2</v>
      </c>
      <c r="Q686" s="224"/>
      <c r="R686" s="224"/>
      <c r="S686" s="429"/>
      <c r="Z686" s="362"/>
      <c r="AA686" s="421"/>
      <c r="AB686" s="362"/>
      <c r="AC686" s="362"/>
      <c r="AD686" s="362"/>
      <c r="AE686" s="362"/>
      <c r="AF686" s="362"/>
      <c r="AG686" s="362"/>
      <c r="AH686" s="362"/>
      <c r="AI686" s="393"/>
      <c r="AJ686" s="393"/>
      <c r="AK686" s="362"/>
      <c r="AL686" s="362"/>
      <c r="AM686" s="362"/>
      <c r="AN686" s="362"/>
      <c r="AO686" s="362"/>
      <c r="AP686" s="362"/>
      <c r="AQ686" s="362"/>
      <c r="AR686" s="362"/>
    </row>
    <row r="687" spans="1:44" ht="12.75" customHeight="1" x14ac:dyDescent="0.15">
      <c r="A687" s="431"/>
      <c r="B687" s="393"/>
      <c r="C687" s="428"/>
      <c r="D687" s="428">
        <v>691113.97505724267</v>
      </c>
      <c r="E687" s="224">
        <v>173922.83997449483</v>
      </c>
      <c r="F687" s="224">
        <v>4.4183821693828085</v>
      </c>
      <c r="G687" s="224">
        <v>3.7732393498798857</v>
      </c>
      <c r="H687" s="224">
        <v>3.0321538130120218</v>
      </c>
      <c r="I687" s="224">
        <v>2.4364666869462175</v>
      </c>
      <c r="J687" s="224"/>
      <c r="M687" s="224">
        <f t="shared" si="36"/>
        <v>517191.13508274785</v>
      </c>
      <c r="N687" s="224">
        <f t="shared" si="37"/>
        <v>0.64514281950292274</v>
      </c>
      <c r="O687" s="224">
        <f t="shared" si="38"/>
        <v>0.59568712606580432</v>
      </c>
      <c r="Q687" s="224"/>
      <c r="R687" s="224"/>
      <c r="S687" s="429"/>
      <c r="Z687" s="362"/>
      <c r="AA687" s="421"/>
      <c r="AB687" s="362"/>
      <c r="AC687" s="362"/>
      <c r="AD687" s="362"/>
      <c r="AE687" s="362"/>
      <c r="AF687" s="362"/>
      <c r="AG687" s="362"/>
      <c r="AH687" s="362"/>
      <c r="AI687" s="393"/>
      <c r="AJ687" s="393"/>
      <c r="AK687" s="362"/>
      <c r="AL687" s="362"/>
      <c r="AM687" s="362"/>
      <c r="AN687" s="362"/>
      <c r="AO687" s="362"/>
      <c r="AP687" s="362"/>
      <c r="AQ687" s="362"/>
      <c r="AR687" s="362"/>
    </row>
    <row r="688" spans="1:44" ht="12.75" customHeight="1" x14ac:dyDescent="0.15">
      <c r="A688" s="431"/>
      <c r="B688" s="393"/>
      <c r="C688" s="428"/>
      <c r="D688" s="428">
        <v>577509.23758473166</v>
      </c>
      <c r="E688" s="224">
        <v>120569.96793426837</v>
      </c>
      <c r="F688" s="224">
        <v>4.4313906277751149</v>
      </c>
      <c r="G688" s="224">
        <v>4.1867460733084503</v>
      </c>
      <c r="H688" s="224">
        <v>2.5646113138705995</v>
      </c>
      <c r="I688" s="224">
        <v>2.2917928103965211</v>
      </c>
      <c r="J688" s="224"/>
      <c r="M688" s="224">
        <f t="shared" si="36"/>
        <v>456939.26965046331</v>
      </c>
      <c r="N688" s="224">
        <f t="shared" si="37"/>
        <v>0.24464455446666467</v>
      </c>
      <c r="O688" s="224">
        <f t="shared" si="38"/>
        <v>0.27281850347407843</v>
      </c>
      <c r="Q688" s="224"/>
      <c r="R688" s="224"/>
      <c r="S688" s="429"/>
      <c r="Z688" s="362"/>
      <c r="AA688" s="421"/>
      <c r="AB688" s="362"/>
      <c r="AC688" s="362"/>
      <c r="AD688" s="362"/>
      <c r="AE688" s="362"/>
      <c r="AF688" s="362"/>
      <c r="AG688" s="362"/>
      <c r="AH688" s="362"/>
      <c r="AI688" s="393"/>
      <c r="AJ688" s="393"/>
      <c r="AK688" s="362"/>
      <c r="AL688" s="362"/>
      <c r="AM688" s="362"/>
      <c r="AN688" s="362"/>
      <c r="AO688" s="362"/>
      <c r="AP688" s="362"/>
      <c r="AQ688" s="362"/>
      <c r="AR688" s="362"/>
    </row>
    <row r="689" spans="1:44" ht="12.75" customHeight="1" x14ac:dyDescent="0.15">
      <c r="A689" s="431"/>
      <c r="B689" s="393"/>
      <c r="C689" s="428"/>
      <c r="D689" s="428">
        <v>630416.6418458859</v>
      </c>
      <c r="E689" s="224">
        <v>178831.82194083545</v>
      </c>
      <c r="F689" s="224">
        <v>4.4503093205612529</v>
      </c>
      <c r="G689" s="224">
        <v>3.6573184055399399</v>
      </c>
      <c r="H689" s="224">
        <v>2.4704943887390551</v>
      </c>
      <c r="I689" s="224">
        <v>1.9792673616109819</v>
      </c>
      <c r="J689" s="224"/>
      <c r="M689" s="224">
        <f t="shared" si="36"/>
        <v>451584.81990505045</v>
      </c>
      <c r="N689" s="224">
        <f t="shared" si="37"/>
        <v>0.79299091502131303</v>
      </c>
      <c r="O689" s="224">
        <f t="shared" si="38"/>
        <v>0.4912270271280732</v>
      </c>
      <c r="Q689" s="224"/>
      <c r="R689" s="224"/>
      <c r="S689" s="429"/>
      <c r="Z689" s="362"/>
      <c r="AA689" s="421"/>
      <c r="AB689" s="362"/>
      <c r="AC689" s="362"/>
      <c r="AD689" s="362"/>
      <c r="AE689" s="362"/>
      <c r="AF689" s="362"/>
      <c r="AG689" s="362"/>
      <c r="AH689" s="362"/>
      <c r="AI689" s="393"/>
      <c r="AJ689" s="393"/>
      <c r="AK689" s="362"/>
      <c r="AL689" s="362"/>
      <c r="AM689" s="362"/>
      <c r="AN689" s="362"/>
      <c r="AO689" s="362"/>
      <c r="AP689" s="362"/>
      <c r="AQ689" s="362"/>
      <c r="AR689" s="362"/>
    </row>
    <row r="690" spans="1:44" ht="12.75" customHeight="1" x14ac:dyDescent="0.15">
      <c r="A690" s="431"/>
      <c r="B690" s="393"/>
      <c r="C690" s="428"/>
      <c r="D690" s="428">
        <v>563559.84680985601</v>
      </c>
      <c r="E690" s="224">
        <v>137945.15272636682</v>
      </c>
      <c r="F690" s="224">
        <v>4.5136417670083375</v>
      </c>
      <c r="G690" s="224">
        <v>3.9179005709615433</v>
      </c>
      <c r="H690" s="224">
        <v>2.6985828175687474</v>
      </c>
      <c r="I690" s="224">
        <v>2.3889985273413425</v>
      </c>
      <c r="J690" s="224"/>
      <c r="M690" s="224">
        <f t="shared" si="36"/>
        <v>425614.69408348919</v>
      </c>
      <c r="N690" s="224">
        <f t="shared" si="37"/>
        <v>0.59574119604679421</v>
      </c>
      <c r="O690" s="224">
        <f t="shared" si="38"/>
        <v>0.30958429022740486</v>
      </c>
      <c r="Q690" s="224"/>
      <c r="R690" s="224"/>
      <c r="S690" s="429"/>
      <c r="Z690" s="362"/>
      <c r="AA690" s="421"/>
      <c r="AB690" s="362"/>
      <c r="AC690" s="362"/>
      <c r="AD690" s="362"/>
      <c r="AE690" s="362"/>
      <c r="AF690" s="362"/>
      <c r="AG690" s="362"/>
      <c r="AH690" s="362"/>
      <c r="AI690" s="393"/>
      <c r="AJ690" s="393"/>
      <c r="AK690" s="362"/>
      <c r="AL690" s="362"/>
      <c r="AM690" s="362"/>
      <c r="AN690" s="362"/>
      <c r="AO690" s="362"/>
      <c r="AP690" s="362"/>
      <c r="AQ690" s="362"/>
      <c r="AR690" s="362"/>
    </row>
    <row r="691" spans="1:44" ht="12.75" customHeight="1" x14ac:dyDescent="0.15">
      <c r="A691" s="431"/>
      <c r="B691" s="393"/>
      <c r="C691" s="428"/>
      <c r="D691" s="428">
        <v>513069.93348734459</v>
      </c>
      <c r="E691" s="224">
        <v>103688.44688982658</v>
      </c>
      <c r="F691" s="224">
        <v>4.1026449146677848</v>
      </c>
      <c r="G691" s="224">
        <v>4.1654712274379593</v>
      </c>
      <c r="H691" s="224">
        <v>2.3139584063631178</v>
      </c>
      <c r="I691" s="224">
        <v>2.2260712701863805</v>
      </c>
      <c r="J691" s="224"/>
      <c r="M691" s="224">
        <f t="shared" si="36"/>
        <v>409381.48659751803</v>
      </c>
      <c r="N691" s="224">
        <f t="shared" si="37"/>
        <v>-6.2826312770174475E-2</v>
      </c>
      <c r="O691" s="224">
        <f t="shared" si="38"/>
        <v>8.7887136176737268E-2</v>
      </c>
      <c r="Q691" s="224"/>
      <c r="R691" s="224"/>
      <c r="S691" s="429"/>
      <c r="Z691" s="362"/>
      <c r="AA691" s="421"/>
      <c r="AB691" s="362"/>
      <c r="AC691" s="362"/>
      <c r="AD691" s="362"/>
      <c r="AE691" s="362"/>
      <c r="AF691" s="362"/>
      <c r="AG691" s="362"/>
      <c r="AH691" s="362"/>
      <c r="AI691" s="393"/>
      <c r="AJ691" s="393"/>
      <c r="AK691" s="362"/>
      <c r="AL691" s="362"/>
      <c r="AM691" s="362"/>
      <c r="AN691" s="362"/>
      <c r="AO691" s="362"/>
      <c r="AP691" s="362"/>
      <c r="AQ691" s="362"/>
      <c r="AR691" s="362"/>
    </row>
    <row r="692" spans="1:44" ht="12.75" customHeight="1" x14ac:dyDescent="0.15">
      <c r="A692" s="431"/>
      <c r="B692" s="393"/>
      <c r="C692" s="428"/>
      <c r="D692" s="428">
        <v>553300.31333621114</v>
      </c>
      <c r="E692" s="224">
        <v>152693.32643004935</v>
      </c>
      <c r="F692" s="224">
        <v>3.8805030324951035</v>
      </c>
      <c r="G692" s="224">
        <v>4.6625027218707986</v>
      </c>
      <c r="H692" s="224">
        <v>2.0649151480188683</v>
      </c>
      <c r="I692" s="224">
        <v>2.2044089371422939</v>
      </c>
      <c r="J692" s="224"/>
      <c r="M692" s="224">
        <f t="shared" si="36"/>
        <v>400606.98690616176</v>
      </c>
      <c r="N692" s="224">
        <f t="shared" si="37"/>
        <v>-0.78199968937569508</v>
      </c>
      <c r="O692" s="224">
        <f t="shared" si="38"/>
        <v>-0.13949378912342558</v>
      </c>
      <c r="Q692" s="224"/>
      <c r="R692" s="224"/>
      <c r="S692" s="429"/>
      <c r="Z692" s="362"/>
      <c r="AA692" s="421"/>
      <c r="AB692" s="362"/>
      <c r="AC692" s="362"/>
      <c r="AD692" s="362"/>
      <c r="AE692" s="362"/>
      <c r="AF692" s="362"/>
      <c r="AG692" s="362"/>
      <c r="AH692" s="362"/>
      <c r="AI692" s="393"/>
      <c r="AJ692" s="393"/>
      <c r="AK692" s="362"/>
      <c r="AL692" s="362"/>
      <c r="AM692" s="362"/>
      <c r="AN692" s="362"/>
      <c r="AO692" s="362"/>
      <c r="AP692" s="362"/>
      <c r="AQ692" s="362"/>
      <c r="AR692" s="362"/>
    </row>
    <row r="693" spans="1:44" ht="12.75" customHeight="1" x14ac:dyDescent="0.15">
      <c r="A693" s="431"/>
      <c r="B693" s="393"/>
      <c r="C693" s="428"/>
      <c r="D693" s="428">
        <v>672400.59871411102</v>
      </c>
      <c r="E693" s="224">
        <v>167767.35903313119</v>
      </c>
      <c r="F693" s="224">
        <v>4.6124016659673508</v>
      </c>
      <c r="G693" s="224">
        <v>4.0722691585735342</v>
      </c>
      <c r="H693" s="224">
        <v>2.5936301987726837</v>
      </c>
      <c r="I693" s="224">
        <v>2.2427695315563119</v>
      </c>
      <c r="J693" s="224"/>
      <c r="M693" s="224">
        <f t="shared" si="36"/>
        <v>504633.23968097987</v>
      </c>
      <c r="N693" s="224">
        <f t="shared" si="37"/>
        <v>0.54013250739381657</v>
      </c>
      <c r="O693" s="224">
        <f t="shared" si="38"/>
        <v>0.35086066721637188</v>
      </c>
      <c r="Q693" s="224"/>
      <c r="R693" s="224"/>
      <c r="S693" s="429"/>
      <c r="Z693" s="362"/>
      <c r="AA693" s="421"/>
      <c r="AB693" s="362"/>
      <c r="AC693" s="362"/>
      <c r="AD693" s="362"/>
      <c r="AE693" s="362"/>
      <c r="AF693" s="362"/>
      <c r="AG693" s="362"/>
      <c r="AH693" s="362"/>
      <c r="AI693" s="393"/>
      <c r="AJ693" s="393"/>
      <c r="AK693" s="362"/>
      <c r="AL693" s="362"/>
      <c r="AM693" s="362"/>
      <c r="AN693" s="362"/>
      <c r="AO693" s="362"/>
      <c r="AP693" s="362"/>
      <c r="AQ693" s="362"/>
      <c r="AR693" s="362"/>
    </row>
    <row r="694" spans="1:44" ht="12.75" customHeight="1" x14ac:dyDescent="0.15">
      <c r="A694" s="431"/>
      <c r="B694" s="393"/>
      <c r="C694" s="428"/>
      <c r="D694" s="428">
        <v>545083.51519982622</v>
      </c>
      <c r="E694" s="224">
        <v>206128.17352632439</v>
      </c>
      <c r="F694" s="224">
        <v>4.5556647026324262</v>
      </c>
      <c r="G694" s="224">
        <v>3.937852675768343</v>
      </c>
      <c r="H694" s="224">
        <v>2.5297186557277449</v>
      </c>
      <c r="I694" s="224">
        <v>2.1037264550249679</v>
      </c>
      <c r="J694" s="224"/>
      <c r="M694" s="224">
        <f t="shared" si="36"/>
        <v>338955.34167350183</v>
      </c>
      <c r="N694" s="224">
        <f t="shared" si="37"/>
        <v>0.61781202686408321</v>
      </c>
      <c r="O694" s="224">
        <f t="shared" si="38"/>
        <v>0.42599220070277699</v>
      </c>
      <c r="Q694" s="224"/>
      <c r="R694" s="224"/>
      <c r="S694" s="429"/>
      <c r="Z694" s="362"/>
      <c r="AA694" s="421"/>
      <c r="AB694" s="362"/>
      <c r="AC694" s="362"/>
      <c r="AD694" s="362"/>
      <c r="AE694" s="362"/>
      <c r="AF694" s="362"/>
      <c r="AG694" s="362"/>
      <c r="AH694" s="362"/>
      <c r="AI694" s="393"/>
      <c r="AJ694" s="393"/>
      <c r="AK694" s="362"/>
      <c r="AL694" s="362"/>
      <c r="AM694" s="362"/>
      <c r="AN694" s="362"/>
      <c r="AO694" s="362"/>
      <c r="AP694" s="362"/>
      <c r="AQ694" s="362"/>
      <c r="AR694" s="362"/>
    </row>
    <row r="695" spans="1:44" ht="12.75" customHeight="1" x14ac:dyDescent="0.15">
      <c r="A695" s="431"/>
      <c r="B695" s="393"/>
      <c r="C695" s="428"/>
      <c r="D695" s="428">
        <v>616943.77378928568</v>
      </c>
      <c r="E695" s="224">
        <v>132306.51615301461</v>
      </c>
      <c r="F695" s="224">
        <v>4.2796489657740988</v>
      </c>
      <c r="G695" s="224">
        <v>3.9702025634006999</v>
      </c>
      <c r="H695" s="224">
        <v>2.2999999005665375</v>
      </c>
      <c r="I695" s="224">
        <v>2.0317717940079465</v>
      </c>
      <c r="J695" s="224"/>
      <c r="M695" s="224">
        <f t="shared" si="36"/>
        <v>484637.25763627107</v>
      </c>
      <c r="N695" s="224">
        <f t="shared" si="37"/>
        <v>0.30944640237339893</v>
      </c>
      <c r="O695" s="224">
        <f t="shared" si="38"/>
        <v>0.26822810655859097</v>
      </c>
      <c r="Q695" s="224"/>
      <c r="R695" s="224"/>
      <c r="S695" s="429"/>
      <c r="Z695" s="362"/>
      <c r="AA695" s="421"/>
      <c r="AB695" s="362"/>
      <c r="AC695" s="362"/>
      <c r="AD695" s="362"/>
      <c r="AE695" s="362"/>
      <c r="AF695" s="362"/>
      <c r="AG695" s="362"/>
      <c r="AH695" s="362"/>
      <c r="AI695" s="393"/>
      <c r="AJ695" s="393"/>
      <c r="AK695" s="362"/>
      <c r="AL695" s="362"/>
      <c r="AM695" s="362"/>
      <c r="AN695" s="362"/>
      <c r="AO695" s="362"/>
      <c r="AP695" s="362"/>
      <c r="AQ695" s="362"/>
      <c r="AR695" s="362"/>
    </row>
    <row r="696" spans="1:44" ht="12.75" customHeight="1" x14ac:dyDescent="0.15">
      <c r="A696" s="431"/>
      <c r="B696" s="393"/>
      <c r="C696" s="428"/>
      <c r="D696" s="428">
        <v>623334.45784998988</v>
      </c>
      <c r="E696" s="224">
        <v>186296.65111617785</v>
      </c>
      <c r="F696" s="224">
        <v>4.0851997532125583</v>
      </c>
      <c r="G696" s="224">
        <v>4.0693168900622378</v>
      </c>
      <c r="H696" s="224">
        <v>2.3600195824302403</v>
      </c>
      <c r="I696" s="224">
        <v>2.1890989546496606</v>
      </c>
      <c r="J696" s="224"/>
      <c r="M696" s="224">
        <f t="shared" si="36"/>
        <v>437037.80673381203</v>
      </c>
      <c r="N696" s="224">
        <f t="shared" si="37"/>
        <v>1.5882863150320503E-2</v>
      </c>
      <c r="O696" s="224">
        <f t="shared" si="38"/>
        <v>0.1709206277805797</v>
      </c>
      <c r="Q696" s="224"/>
      <c r="R696" s="224"/>
      <c r="S696" s="429"/>
      <c r="Z696" s="362"/>
      <c r="AA696" s="421"/>
      <c r="AB696" s="362"/>
      <c r="AC696" s="362"/>
      <c r="AD696" s="362"/>
      <c r="AE696" s="362"/>
      <c r="AF696" s="362"/>
      <c r="AG696" s="362"/>
      <c r="AH696" s="362"/>
      <c r="AI696" s="393"/>
      <c r="AJ696" s="393"/>
      <c r="AK696" s="362"/>
      <c r="AL696" s="362"/>
      <c r="AM696" s="362"/>
      <c r="AN696" s="362"/>
      <c r="AO696" s="362"/>
      <c r="AP696" s="362"/>
      <c r="AQ696" s="362"/>
      <c r="AR696" s="362"/>
    </row>
    <row r="697" spans="1:44" ht="12.75" customHeight="1" x14ac:dyDescent="0.15">
      <c r="A697" s="431"/>
      <c r="B697" s="393"/>
      <c r="C697" s="428"/>
      <c r="D697" s="428">
        <v>683589.74319925241</v>
      </c>
      <c r="E697" s="224">
        <v>142053.77809454687</v>
      </c>
      <c r="F697" s="224">
        <v>4.5141667295902241</v>
      </c>
      <c r="G697" s="224">
        <v>4.6741139904587392</v>
      </c>
      <c r="H697" s="224">
        <v>2.8415051108573279</v>
      </c>
      <c r="I697" s="224">
        <v>2.5683246096254591</v>
      </c>
      <c r="J697" s="224"/>
      <c r="M697" s="224">
        <f t="shared" si="36"/>
        <v>541535.96510470554</v>
      </c>
      <c r="N697" s="224">
        <f t="shared" si="37"/>
        <v>-0.15994726086851507</v>
      </c>
      <c r="O697" s="224">
        <f t="shared" si="38"/>
        <v>0.27318050123186888</v>
      </c>
      <c r="Q697" s="224"/>
      <c r="R697" s="224"/>
      <c r="S697" s="429"/>
      <c r="Z697" s="362"/>
      <c r="AA697" s="421"/>
      <c r="AB697" s="362"/>
      <c r="AC697" s="362"/>
      <c r="AD697" s="362"/>
      <c r="AE697" s="362"/>
      <c r="AF697" s="362"/>
      <c r="AG697" s="362"/>
      <c r="AH697" s="362"/>
      <c r="AI697" s="393"/>
      <c r="AJ697" s="393"/>
      <c r="AK697" s="362"/>
      <c r="AL697" s="362"/>
      <c r="AM697" s="362"/>
      <c r="AN697" s="362"/>
      <c r="AO697" s="362"/>
      <c r="AP697" s="362"/>
      <c r="AQ697" s="362"/>
      <c r="AR697" s="362"/>
    </row>
    <row r="698" spans="1:44" ht="12.75" customHeight="1" x14ac:dyDescent="0.15">
      <c r="A698" s="431"/>
      <c r="B698" s="393"/>
      <c r="C698" s="428"/>
      <c r="D698" s="428">
        <v>661311.70320008695</v>
      </c>
      <c r="E698" s="224">
        <v>195638.90282525204</v>
      </c>
      <c r="F698" s="224">
        <v>4.865305617977806</v>
      </c>
      <c r="G698" s="224">
        <v>3.9542220875124956</v>
      </c>
      <c r="H698" s="224">
        <v>2.9712283580407037</v>
      </c>
      <c r="I698" s="224">
        <v>2.3027045027783597</v>
      </c>
      <c r="J698" s="224"/>
      <c r="M698" s="224">
        <f t="shared" si="36"/>
        <v>465672.80037483491</v>
      </c>
      <c r="N698" s="224">
        <f t="shared" si="37"/>
        <v>0.91108353046531043</v>
      </c>
      <c r="O698" s="224">
        <f t="shared" si="38"/>
        <v>0.66852385526234404</v>
      </c>
      <c r="Q698" s="224"/>
      <c r="R698" s="224"/>
      <c r="S698" s="429"/>
      <c r="Z698" s="362"/>
      <c r="AA698" s="421"/>
      <c r="AB698" s="362"/>
      <c r="AC698" s="362"/>
      <c r="AD698" s="362"/>
      <c r="AE698" s="362"/>
      <c r="AF698" s="362"/>
      <c r="AG698" s="362"/>
      <c r="AH698" s="362"/>
      <c r="AI698" s="393"/>
      <c r="AJ698" s="393"/>
      <c r="AK698" s="362"/>
      <c r="AL698" s="362"/>
      <c r="AM698" s="362"/>
      <c r="AN698" s="362"/>
      <c r="AO698" s="362"/>
      <c r="AP698" s="362"/>
      <c r="AQ698" s="362"/>
      <c r="AR698" s="362"/>
    </row>
    <row r="699" spans="1:44" ht="12.75" customHeight="1" x14ac:dyDescent="0.15">
      <c r="A699" s="431"/>
      <c r="B699" s="393"/>
      <c r="C699" s="428"/>
      <c r="D699" s="428">
        <v>702926.86782625678</v>
      </c>
      <c r="E699" s="224">
        <v>159812.76285301091</v>
      </c>
      <c r="F699" s="224">
        <v>5.1944435683590049</v>
      </c>
      <c r="G699" s="224">
        <v>3.998238988190661</v>
      </c>
      <c r="H699" s="224">
        <v>2.931725362653363</v>
      </c>
      <c r="I699" s="224">
        <v>2.1112216632046579</v>
      </c>
      <c r="J699" s="224"/>
      <c r="M699" s="224">
        <f t="shared" si="36"/>
        <v>543114.10497324588</v>
      </c>
      <c r="N699" s="224">
        <f t="shared" si="37"/>
        <v>1.1962045801683439</v>
      </c>
      <c r="O699" s="224">
        <f t="shared" si="38"/>
        <v>0.82050369944870516</v>
      </c>
      <c r="Q699" s="224"/>
      <c r="R699" s="224"/>
      <c r="S699" s="429"/>
      <c r="Z699" s="362"/>
      <c r="AA699" s="421"/>
      <c r="AB699" s="362"/>
      <c r="AC699" s="362"/>
      <c r="AD699" s="362"/>
      <c r="AE699" s="362"/>
      <c r="AF699" s="362"/>
      <c r="AG699" s="362"/>
      <c r="AH699" s="362"/>
      <c r="AI699" s="393"/>
      <c r="AJ699" s="393"/>
      <c r="AK699" s="362"/>
      <c r="AL699" s="362"/>
      <c r="AM699" s="362"/>
      <c r="AN699" s="362"/>
      <c r="AO699" s="362"/>
      <c r="AP699" s="362"/>
      <c r="AQ699" s="362"/>
      <c r="AR699" s="362"/>
    </row>
    <row r="700" spans="1:44" ht="12.75" customHeight="1" x14ac:dyDescent="0.15">
      <c r="A700" s="431"/>
      <c r="B700" s="393"/>
      <c r="C700" s="428"/>
      <c r="D700" s="428">
        <v>593761.75603978324</v>
      </c>
      <c r="E700" s="224">
        <v>172890.34462118763</v>
      </c>
      <c r="F700" s="224">
        <v>4.6265879772583167</v>
      </c>
      <c r="G700" s="224">
        <v>4.0284942392283396</v>
      </c>
      <c r="H700" s="224">
        <v>2.4297370907063414</v>
      </c>
      <c r="I700" s="224">
        <v>2.062187773605054</v>
      </c>
      <c r="J700" s="224"/>
      <c r="M700" s="224">
        <f t="shared" si="36"/>
        <v>420871.41141859558</v>
      </c>
      <c r="N700" s="224">
        <f t="shared" si="37"/>
        <v>0.59809373802997712</v>
      </c>
      <c r="O700" s="224">
        <f t="shared" si="38"/>
        <v>0.36754931710128735</v>
      </c>
      <c r="Q700" s="224"/>
      <c r="R700" s="224"/>
      <c r="S700" s="429"/>
      <c r="Z700" s="362"/>
      <c r="AA700" s="421"/>
      <c r="AB700" s="362"/>
      <c r="AC700" s="362"/>
      <c r="AD700" s="362"/>
      <c r="AE700" s="362"/>
      <c r="AF700" s="362"/>
      <c r="AG700" s="362"/>
      <c r="AH700" s="362"/>
      <c r="AI700" s="393"/>
      <c r="AJ700" s="393"/>
      <c r="AK700" s="362"/>
      <c r="AL700" s="362"/>
      <c r="AM700" s="362"/>
      <c r="AN700" s="362"/>
      <c r="AO700" s="362"/>
      <c r="AP700" s="362"/>
      <c r="AQ700" s="362"/>
      <c r="AR700" s="362"/>
    </row>
    <row r="701" spans="1:44" ht="12.75" customHeight="1" x14ac:dyDescent="0.15">
      <c r="A701" s="431"/>
      <c r="B701" s="393"/>
      <c r="C701" s="428"/>
      <c r="D701" s="428">
        <v>737396.78727503074</v>
      </c>
      <c r="E701" s="224">
        <v>309831.1284301366</v>
      </c>
      <c r="F701" s="224">
        <v>4.5120009425756908</v>
      </c>
      <c r="G701" s="224">
        <v>3.7580578189690108</v>
      </c>
      <c r="H701" s="224">
        <v>2.6850661863121887</v>
      </c>
      <c r="I701" s="224">
        <v>2.191305688103331</v>
      </c>
      <c r="J701" s="224"/>
      <c r="M701" s="224">
        <f t="shared" si="36"/>
        <v>427565.65884489415</v>
      </c>
      <c r="N701" s="224">
        <f t="shared" si="37"/>
        <v>0.75394312360668003</v>
      </c>
      <c r="O701" s="224">
        <f t="shared" si="38"/>
        <v>0.4937604982088577</v>
      </c>
      <c r="Q701" s="224"/>
      <c r="R701" s="224"/>
      <c r="S701" s="429"/>
      <c r="Z701" s="362"/>
      <c r="AA701" s="421"/>
      <c r="AB701" s="362"/>
      <c r="AC701" s="362"/>
      <c r="AD701" s="362"/>
      <c r="AE701" s="362"/>
      <c r="AF701" s="362"/>
      <c r="AG701" s="362"/>
      <c r="AH701" s="362"/>
      <c r="AI701" s="393"/>
      <c r="AJ701" s="393"/>
      <c r="AK701" s="362"/>
      <c r="AL701" s="362"/>
      <c r="AM701" s="362"/>
      <c r="AN701" s="362"/>
      <c r="AO701" s="362"/>
      <c r="AP701" s="362"/>
      <c r="AQ701" s="362"/>
      <c r="AR701" s="362"/>
    </row>
    <row r="702" spans="1:44" ht="12.75" customHeight="1" x14ac:dyDescent="0.15">
      <c r="A702" s="431"/>
      <c r="B702" s="393"/>
      <c r="C702" s="428"/>
      <c r="D702" s="428">
        <v>728326.77785122546</v>
      </c>
      <c r="E702" s="224">
        <v>213533.11019606091</v>
      </c>
      <c r="F702" s="224">
        <v>4.6807967682181548</v>
      </c>
      <c r="G702" s="224">
        <v>4.1156553001530201</v>
      </c>
      <c r="H702" s="224">
        <v>2.7297240148477906</v>
      </c>
      <c r="I702" s="224">
        <v>2.2036156972697882</v>
      </c>
      <c r="J702" s="224"/>
      <c r="M702" s="224">
        <f t="shared" si="36"/>
        <v>514793.66765516455</v>
      </c>
      <c r="N702" s="224">
        <f t="shared" si="37"/>
        <v>0.56514146806513477</v>
      </c>
      <c r="O702" s="224">
        <f t="shared" si="38"/>
        <v>0.52610831757800236</v>
      </c>
      <c r="Q702" s="224"/>
      <c r="R702" s="224"/>
      <c r="S702" s="429"/>
      <c r="Z702" s="362"/>
      <c r="AA702" s="421"/>
      <c r="AB702" s="362"/>
      <c r="AC702" s="362"/>
      <c r="AD702" s="362"/>
      <c r="AE702" s="362"/>
      <c r="AF702" s="362"/>
      <c r="AG702" s="362"/>
      <c r="AH702" s="362"/>
      <c r="AI702" s="393"/>
      <c r="AJ702" s="393"/>
      <c r="AK702" s="362"/>
      <c r="AL702" s="362"/>
      <c r="AM702" s="362"/>
      <c r="AN702" s="362"/>
      <c r="AO702" s="362"/>
      <c r="AP702" s="362"/>
      <c r="AQ702" s="362"/>
      <c r="AR702" s="362"/>
    </row>
    <row r="703" spans="1:44" ht="12.75" customHeight="1" x14ac:dyDescent="0.15">
      <c r="A703" s="431"/>
      <c r="B703" s="393"/>
      <c r="C703" s="428"/>
      <c r="D703" s="428">
        <v>547432.35246439627</v>
      </c>
      <c r="E703" s="224">
        <v>140310.97131608109</v>
      </c>
      <c r="F703" s="224">
        <v>4.6350215389160736</v>
      </c>
      <c r="G703" s="224">
        <v>3.9234838746104521</v>
      </c>
      <c r="H703" s="224">
        <v>2.8133026773760403</v>
      </c>
      <c r="I703" s="224">
        <v>2.3777955395138797</v>
      </c>
      <c r="J703" s="224"/>
      <c r="M703" s="224">
        <f t="shared" si="36"/>
        <v>407121.38114831515</v>
      </c>
      <c r="N703" s="224">
        <f t="shared" si="37"/>
        <v>0.71153766430562149</v>
      </c>
      <c r="O703" s="224">
        <f t="shared" si="38"/>
        <v>0.43550713786216066</v>
      </c>
      <c r="Q703" s="224"/>
      <c r="R703" s="224"/>
      <c r="S703" s="429"/>
      <c r="Z703" s="362"/>
      <c r="AA703" s="421"/>
      <c r="AB703" s="362"/>
      <c r="AC703" s="362"/>
      <c r="AD703" s="362"/>
      <c r="AE703" s="362"/>
      <c r="AF703" s="362"/>
      <c r="AG703" s="362"/>
      <c r="AH703" s="362"/>
      <c r="AI703" s="393"/>
      <c r="AJ703" s="393"/>
      <c r="AK703" s="362"/>
      <c r="AL703" s="362"/>
      <c r="AM703" s="362"/>
      <c r="AN703" s="362"/>
      <c r="AO703" s="362"/>
      <c r="AP703" s="362"/>
      <c r="AQ703" s="362"/>
      <c r="AR703" s="362"/>
    </row>
    <row r="704" spans="1:44" ht="12.75" customHeight="1" x14ac:dyDescent="0.15">
      <c r="A704" s="431"/>
      <c r="B704" s="393"/>
      <c r="C704" s="428"/>
      <c r="D704" s="428">
        <v>567255.46045928763</v>
      </c>
      <c r="E704" s="224">
        <v>125020.45493171836</v>
      </c>
      <c r="F704" s="224">
        <v>3.9192192500266088</v>
      </c>
      <c r="G704" s="224">
        <v>3.7326424902286037</v>
      </c>
      <c r="H704" s="224">
        <v>2.3852435700664745</v>
      </c>
      <c r="I704" s="224">
        <v>2.068880157430546</v>
      </c>
      <c r="J704" s="224"/>
      <c r="M704" s="224">
        <f t="shared" si="36"/>
        <v>442235.00552756927</v>
      </c>
      <c r="N704" s="224">
        <f t="shared" si="37"/>
        <v>0.18657675979800503</v>
      </c>
      <c r="O704" s="224">
        <f t="shared" si="38"/>
        <v>0.31636341263592849</v>
      </c>
      <c r="Q704" s="224"/>
      <c r="R704" s="224"/>
      <c r="S704" s="429"/>
      <c r="Z704" s="362"/>
      <c r="AA704" s="421"/>
      <c r="AB704" s="362"/>
      <c r="AC704" s="362"/>
      <c r="AD704" s="362"/>
      <c r="AE704" s="362"/>
      <c r="AF704" s="362"/>
      <c r="AG704" s="362"/>
      <c r="AH704" s="362"/>
      <c r="AI704" s="393"/>
      <c r="AJ704" s="393"/>
      <c r="AK704" s="362"/>
      <c r="AL704" s="362"/>
      <c r="AM704" s="362"/>
      <c r="AN704" s="362"/>
      <c r="AO704" s="362"/>
      <c r="AP704" s="362"/>
      <c r="AQ704" s="362"/>
      <c r="AR704" s="362"/>
    </row>
    <row r="705" spans="1:44" ht="12.75" customHeight="1" x14ac:dyDescent="0.15">
      <c r="A705" s="431"/>
      <c r="B705" s="393"/>
      <c r="C705" s="428"/>
      <c r="D705" s="428">
        <v>569228.74754719401</v>
      </c>
      <c r="E705" s="224">
        <v>114539.24076989814</v>
      </c>
      <c r="F705" s="224">
        <v>4.0355536445161793</v>
      </c>
      <c r="G705" s="224">
        <v>3.8478895216989222</v>
      </c>
      <c r="H705" s="224">
        <v>2.7135002439872213</v>
      </c>
      <c r="I705" s="224">
        <v>2.1854468487561989</v>
      </c>
      <c r="J705" s="224"/>
      <c r="M705" s="224">
        <f t="shared" si="36"/>
        <v>454689.50677729584</v>
      </c>
      <c r="N705" s="224">
        <f t="shared" si="37"/>
        <v>0.18766412281725708</v>
      </c>
      <c r="O705" s="224">
        <f t="shared" si="38"/>
        <v>0.52805339523102246</v>
      </c>
      <c r="Q705" s="224"/>
      <c r="R705" s="224"/>
      <c r="S705" s="429"/>
      <c r="Z705" s="362"/>
      <c r="AA705" s="421"/>
      <c r="AB705" s="362"/>
      <c r="AC705" s="362"/>
      <c r="AD705" s="362"/>
      <c r="AE705" s="362"/>
      <c r="AF705" s="362"/>
      <c r="AG705" s="362"/>
      <c r="AH705" s="362"/>
      <c r="AI705" s="393"/>
      <c r="AJ705" s="393"/>
      <c r="AK705" s="362"/>
      <c r="AL705" s="362"/>
      <c r="AM705" s="362"/>
      <c r="AN705" s="362"/>
      <c r="AO705" s="362"/>
      <c r="AP705" s="362"/>
      <c r="AQ705" s="362"/>
      <c r="AR705" s="362"/>
    </row>
    <row r="706" spans="1:44" ht="12.75" customHeight="1" x14ac:dyDescent="0.15">
      <c r="A706" s="431"/>
      <c r="B706" s="393"/>
      <c r="C706" s="428"/>
      <c r="D706" s="428">
        <v>597194.12608389743</v>
      </c>
      <c r="E706" s="224">
        <v>197622.41304641412</v>
      </c>
      <c r="F706" s="224">
        <v>4.2989336629604926</v>
      </c>
      <c r="G706" s="224">
        <v>3.9600948262149598</v>
      </c>
      <c r="H706" s="224">
        <v>2.870543902398528</v>
      </c>
      <c r="I706" s="224">
        <v>2.4276609157134432</v>
      </c>
      <c r="J706" s="224"/>
      <c r="M706" s="224">
        <f t="shared" si="36"/>
        <v>399571.71303748328</v>
      </c>
      <c r="N706" s="224">
        <f t="shared" si="37"/>
        <v>0.33883883674553283</v>
      </c>
      <c r="O706" s="224">
        <f t="shared" si="38"/>
        <v>0.44288298668508475</v>
      </c>
      <c r="Q706" s="224"/>
      <c r="R706" s="224"/>
      <c r="S706" s="429"/>
      <c r="Z706" s="362"/>
      <c r="AA706" s="421"/>
      <c r="AB706" s="362"/>
      <c r="AC706" s="362"/>
      <c r="AD706" s="362"/>
      <c r="AE706" s="362"/>
      <c r="AF706" s="362"/>
      <c r="AG706" s="362"/>
      <c r="AH706" s="362"/>
      <c r="AI706" s="393"/>
      <c r="AJ706" s="393"/>
      <c r="AK706" s="362"/>
      <c r="AL706" s="362"/>
      <c r="AM706" s="362"/>
      <c r="AN706" s="362"/>
      <c r="AO706" s="362"/>
      <c r="AP706" s="362"/>
      <c r="AQ706" s="362"/>
      <c r="AR706" s="362"/>
    </row>
    <row r="707" spans="1:44" ht="12.75" customHeight="1" x14ac:dyDescent="0.15">
      <c r="A707" s="431"/>
      <c r="B707" s="393"/>
      <c r="C707" s="428"/>
      <c r="D707" s="428">
        <v>660915.12074695947</v>
      </c>
      <c r="E707" s="224">
        <v>115371.49382434931</v>
      </c>
      <c r="F707" s="224">
        <v>4.4277237449052675</v>
      </c>
      <c r="G707" s="224">
        <v>3.8348041280657421</v>
      </c>
      <c r="H707" s="224">
        <v>3.2364605769232631</v>
      </c>
      <c r="I707" s="224">
        <v>2.7530613193509383</v>
      </c>
      <c r="J707" s="224"/>
      <c r="M707" s="224">
        <f t="shared" si="36"/>
        <v>545543.62692261022</v>
      </c>
      <c r="N707" s="224">
        <f t="shared" si="37"/>
        <v>0.59291961683952543</v>
      </c>
      <c r="O707" s="224">
        <f t="shared" si="38"/>
        <v>0.48339925757232471</v>
      </c>
      <c r="Q707" s="224"/>
      <c r="R707" s="224"/>
      <c r="S707" s="429"/>
      <c r="Z707" s="362"/>
      <c r="AA707" s="421"/>
      <c r="AB707" s="362"/>
      <c r="AC707" s="362"/>
      <c r="AD707" s="362"/>
      <c r="AE707" s="362"/>
      <c r="AF707" s="362"/>
      <c r="AG707" s="362"/>
      <c r="AH707" s="362"/>
      <c r="AI707" s="393"/>
      <c r="AJ707" s="393"/>
      <c r="AK707" s="362"/>
      <c r="AL707" s="362"/>
      <c r="AM707" s="362"/>
      <c r="AN707" s="362"/>
      <c r="AO707" s="362"/>
      <c r="AP707" s="362"/>
      <c r="AQ707" s="362"/>
      <c r="AR707" s="362"/>
    </row>
    <row r="708" spans="1:44" ht="12.75" customHeight="1" x14ac:dyDescent="0.15">
      <c r="A708" s="431"/>
      <c r="B708" s="393"/>
      <c r="C708" s="428"/>
      <c r="D708" s="428">
        <v>773198.95208269765</v>
      </c>
      <c r="E708" s="224">
        <v>231722.50577534921</v>
      </c>
      <c r="F708" s="224">
        <v>4.307711851970045</v>
      </c>
      <c r="G708" s="224">
        <v>3.9303833108348023</v>
      </c>
      <c r="H708" s="224">
        <v>3.083870971661653</v>
      </c>
      <c r="I708" s="224">
        <v>2.4756043711881124</v>
      </c>
      <c r="J708" s="224"/>
      <c r="M708" s="224">
        <f t="shared" si="36"/>
        <v>541476.44630734844</v>
      </c>
      <c r="N708" s="224">
        <f t="shared" si="37"/>
        <v>0.37732854113524272</v>
      </c>
      <c r="O708" s="224">
        <f t="shared" si="38"/>
        <v>0.60826660047354064</v>
      </c>
      <c r="Q708" s="224"/>
      <c r="R708" s="224"/>
      <c r="S708" s="429"/>
      <c r="Z708" s="362"/>
      <c r="AA708" s="421"/>
      <c r="AB708" s="362"/>
      <c r="AC708" s="362"/>
      <c r="AD708" s="362"/>
      <c r="AE708" s="362"/>
      <c r="AF708" s="362"/>
      <c r="AG708" s="362"/>
      <c r="AH708" s="362"/>
      <c r="AI708" s="393"/>
      <c r="AJ708" s="393"/>
      <c r="AK708" s="362"/>
      <c r="AL708" s="362"/>
      <c r="AM708" s="362"/>
      <c r="AN708" s="362"/>
      <c r="AO708" s="362"/>
      <c r="AP708" s="362"/>
      <c r="AQ708" s="362"/>
      <c r="AR708" s="362"/>
    </row>
    <row r="709" spans="1:44" ht="12.75" customHeight="1" x14ac:dyDescent="0.15">
      <c r="A709" s="431"/>
      <c r="B709" s="393"/>
      <c r="C709" s="428"/>
      <c r="D709" s="428">
        <v>472207.68852042878</v>
      </c>
      <c r="E709" s="224">
        <v>138196.50114444378</v>
      </c>
      <c r="F709" s="224">
        <v>4.3808138055662269</v>
      </c>
      <c r="G709" s="224">
        <v>3.8682899537402164</v>
      </c>
      <c r="H709" s="224">
        <v>2.5381994716146004</v>
      </c>
      <c r="I709" s="224">
        <v>2.2766780067074617</v>
      </c>
      <c r="J709" s="224"/>
      <c r="M709" s="224">
        <f t="shared" si="36"/>
        <v>334011.18737598497</v>
      </c>
      <c r="N709" s="224">
        <f t="shared" si="37"/>
        <v>0.51252385182601046</v>
      </c>
      <c r="O709" s="224">
        <f t="shared" si="38"/>
        <v>0.26152146490713868</v>
      </c>
      <c r="Q709" s="224"/>
      <c r="R709" s="224"/>
      <c r="S709" s="429"/>
      <c r="Z709" s="362"/>
      <c r="AA709" s="421"/>
      <c r="AB709" s="362"/>
      <c r="AC709" s="362"/>
      <c r="AD709" s="362"/>
      <c r="AE709" s="362"/>
      <c r="AF709" s="362"/>
      <c r="AG709" s="362"/>
      <c r="AH709" s="362"/>
      <c r="AI709" s="393"/>
      <c r="AJ709" s="393"/>
      <c r="AK709" s="362"/>
      <c r="AL709" s="362"/>
      <c r="AM709" s="362"/>
      <c r="AN709" s="362"/>
      <c r="AO709" s="362"/>
      <c r="AP709" s="362"/>
      <c r="AQ709" s="362"/>
      <c r="AR709" s="362"/>
    </row>
    <row r="710" spans="1:44" ht="12.75" customHeight="1" x14ac:dyDescent="0.15">
      <c r="A710" s="431"/>
      <c r="B710" s="393"/>
      <c r="C710" s="428"/>
      <c r="D710" s="428">
        <v>510845.15237294149</v>
      </c>
      <c r="E710" s="224">
        <v>180218.45388400683</v>
      </c>
      <c r="F710" s="224">
        <v>4.1664778210244542</v>
      </c>
      <c r="G710" s="224">
        <v>4.2301385021842224</v>
      </c>
      <c r="H710" s="224">
        <v>2.3168118373578146</v>
      </c>
      <c r="I710" s="224">
        <v>2.3747626837639455</v>
      </c>
      <c r="J710" s="224"/>
      <c r="M710" s="224">
        <f t="shared" si="36"/>
        <v>330626.69848893466</v>
      </c>
      <c r="N710" s="224">
        <f t="shared" si="37"/>
        <v>-6.3660681159768195E-2</v>
      </c>
      <c r="O710" s="224">
        <f t="shared" si="38"/>
        <v>-5.7950846406130907E-2</v>
      </c>
      <c r="Q710" s="224"/>
      <c r="R710" s="224"/>
      <c r="S710" s="429"/>
      <c r="Z710" s="362"/>
      <c r="AA710" s="421"/>
      <c r="AB710" s="362"/>
      <c r="AC710" s="362"/>
      <c r="AD710" s="362"/>
      <c r="AE710" s="362"/>
      <c r="AF710" s="362"/>
      <c r="AG710" s="362"/>
      <c r="AH710" s="362"/>
      <c r="AI710" s="393"/>
      <c r="AJ710" s="393"/>
      <c r="AK710" s="362"/>
      <c r="AL710" s="362"/>
      <c r="AM710" s="362"/>
      <c r="AN710" s="362"/>
      <c r="AO710" s="362"/>
      <c r="AP710" s="362"/>
      <c r="AQ710" s="362"/>
      <c r="AR710" s="362"/>
    </row>
    <row r="711" spans="1:44" ht="12.75" customHeight="1" x14ac:dyDescent="0.15">
      <c r="A711" s="431"/>
      <c r="B711" s="393"/>
      <c r="C711" s="428"/>
      <c r="D711" s="428">
        <v>528390.39452850341</v>
      </c>
      <c r="E711" s="224">
        <v>156687.71965920192</v>
      </c>
      <c r="F711" s="224">
        <v>4.6821002399857665</v>
      </c>
      <c r="G711" s="224">
        <v>4.5953708044789909</v>
      </c>
      <c r="H711" s="224">
        <v>2.6100306895794612</v>
      </c>
      <c r="I711" s="224">
        <v>2.4862892621705974</v>
      </c>
      <c r="J711" s="224"/>
      <c r="M711" s="224">
        <f t="shared" si="36"/>
        <v>371702.6748693015</v>
      </c>
      <c r="N711" s="224">
        <f t="shared" si="37"/>
        <v>8.6729435506775587E-2</v>
      </c>
      <c r="O711" s="224">
        <f t="shared" si="38"/>
        <v>0.12374142740886374</v>
      </c>
      <c r="Q711" s="224"/>
      <c r="R711" s="224"/>
      <c r="S711" s="429"/>
      <c r="Z711" s="362"/>
      <c r="AA711" s="421"/>
      <c r="AB711" s="362"/>
      <c r="AC711" s="362"/>
      <c r="AD711" s="362"/>
      <c r="AE711" s="362"/>
      <c r="AF711" s="362"/>
      <c r="AG711" s="362"/>
      <c r="AH711" s="362"/>
      <c r="AI711" s="393"/>
      <c r="AJ711" s="393"/>
      <c r="AK711" s="362"/>
      <c r="AL711" s="362"/>
      <c r="AM711" s="362"/>
      <c r="AN711" s="362"/>
      <c r="AO711" s="362"/>
      <c r="AP711" s="362"/>
      <c r="AQ711" s="362"/>
      <c r="AR711" s="362"/>
    </row>
    <row r="712" spans="1:44" ht="12.75" customHeight="1" x14ac:dyDescent="0.15">
      <c r="A712" s="431"/>
      <c r="B712" s="393"/>
      <c r="C712" s="428"/>
      <c r="D712" s="428">
        <v>670418.58462187089</v>
      </c>
      <c r="E712" s="224">
        <v>175440.03873208805</v>
      </c>
      <c r="F712" s="224">
        <v>4.3329415779780565</v>
      </c>
      <c r="G712" s="224">
        <v>4.0167202770587167</v>
      </c>
      <c r="H712" s="224">
        <v>2.7865384128453368</v>
      </c>
      <c r="I712" s="224">
        <v>2.3448145759299903</v>
      </c>
      <c r="J712" s="224"/>
      <c r="M712" s="224">
        <f t="shared" si="36"/>
        <v>494978.54588978284</v>
      </c>
      <c r="N712" s="224">
        <f t="shared" si="37"/>
        <v>0.31622130091933975</v>
      </c>
      <c r="O712" s="224">
        <f t="shared" si="38"/>
        <v>0.44172383691534645</v>
      </c>
      <c r="Q712" s="224"/>
      <c r="R712" s="224"/>
      <c r="S712" s="429"/>
      <c r="Z712" s="362"/>
      <c r="AA712" s="421"/>
      <c r="AB712" s="362"/>
      <c r="AC712" s="362"/>
      <c r="AD712" s="362"/>
      <c r="AE712" s="362"/>
      <c r="AF712" s="362"/>
      <c r="AG712" s="362"/>
      <c r="AH712" s="362"/>
      <c r="AI712" s="393"/>
      <c r="AJ712" s="393"/>
      <c r="AK712" s="362"/>
      <c r="AL712" s="362"/>
      <c r="AM712" s="362"/>
      <c r="AN712" s="362"/>
      <c r="AO712" s="362"/>
      <c r="AP712" s="362"/>
      <c r="AQ712" s="362"/>
      <c r="AR712" s="362"/>
    </row>
    <row r="713" spans="1:44" ht="12.75" customHeight="1" x14ac:dyDescent="0.15">
      <c r="A713" s="431"/>
      <c r="B713" s="393"/>
      <c r="C713" s="428"/>
      <c r="D713" s="428">
        <v>602131.1065188098</v>
      </c>
      <c r="E713" s="224">
        <v>129164.54843889202</v>
      </c>
      <c r="F713" s="224">
        <v>4.5195923545961207</v>
      </c>
      <c r="G713" s="224">
        <v>4.2430883669137947</v>
      </c>
      <c r="H713" s="224">
        <v>2.3554492609821391</v>
      </c>
      <c r="I713" s="224">
        <v>1.9624533649808362</v>
      </c>
      <c r="J713" s="224"/>
      <c r="M713" s="224">
        <f t="shared" si="36"/>
        <v>472966.5580799178</v>
      </c>
      <c r="N713" s="224">
        <f t="shared" si="37"/>
        <v>0.27650398768232609</v>
      </c>
      <c r="O713" s="224">
        <f t="shared" si="38"/>
        <v>0.39299589600130291</v>
      </c>
      <c r="Q713" s="224"/>
      <c r="R713" s="224"/>
      <c r="S713" s="429"/>
      <c r="Z713" s="362"/>
      <c r="AA713" s="421"/>
      <c r="AB713" s="362"/>
      <c r="AC713" s="362"/>
      <c r="AD713" s="362"/>
      <c r="AE713" s="362"/>
      <c r="AF713" s="362"/>
      <c r="AG713" s="362"/>
      <c r="AH713" s="362"/>
      <c r="AI713" s="393"/>
      <c r="AJ713" s="393"/>
      <c r="AK713" s="362"/>
      <c r="AL713" s="362"/>
      <c r="AM713" s="362"/>
      <c r="AN713" s="362"/>
      <c r="AO713" s="362"/>
      <c r="AP713" s="362"/>
      <c r="AQ713" s="362"/>
      <c r="AR713" s="362"/>
    </row>
    <row r="714" spans="1:44" ht="12.75" customHeight="1" x14ac:dyDescent="0.15">
      <c r="A714" s="431"/>
      <c r="B714" s="393"/>
      <c r="C714" s="428"/>
      <c r="D714" s="428">
        <v>573195.52764831262</v>
      </c>
      <c r="E714" s="224">
        <v>145134.8970529768</v>
      </c>
      <c r="F714" s="224">
        <v>4.5470197645283754</v>
      </c>
      <c r="G714" s="224">
        <v>3.800940703846361</v>
      </c>
      <c r="H714" s="224">
        <v>2.5853855753073081</v>
      </c>
      <c r="I714" s="224">
        <v>2.2028854574575067</v>
      </c>
      <c r="J714" s="224"/>
      <c r="M714" s="224">
        <f t="shared" si="36"/>
        <v>428060.63059533585</v>
      </c>
      <c r="N714" s="224">
        <f t="shared" si="37"/>
        <v>0.74607906068201446</v>
      </c>
      <c r="O714" s="224">
        <f t="shared" si="38"/>
        <v>0.38250011784980131</v>
      </c>
      <c r="Q714" s="224"/>
      <c r="R714" s="224"/>
      <c r="S714" s="429"/>
      <c r="Z714" s="362"/>
      <c r="AA714" s="421"/>
      <c r="AB714" s="362"/>
      <c r="AC714" s="362"/>
      <c r="AD714" s="362"/>
      <c r="AE714" s="362"/>
      <c r="AF714" s="362"/>
      <c r="AG714" s="362"/>
      <c r="AH714" s="362"/>
      <c r="AI714" s="393"/>
      <c r="AJ714" s="393"/>
      <c r="AK714" s="362"/>
      <c r="AL714" s="362"/>
      <c r="AM714" s="362"/>
      <c r="AN714" s="362"/>
      <c r="AO714" s="362"/>
      <c r="AP714" s="362"/>
      <c r="AQ714" s="362"/>
      <c r="AR714" s="362"/>
    </row>
    <row r="715" spans="1:44" ht="12.75" customHeight="1" x14ac:dyDescent="0.15">
      <c r="A715" s="431"/>
      <c r="B715" s="393"/>
      <c r="C715" s="428"/>
      <c r="D715" s="428">
        <v>692116.00182509911</v>
      </c>
      <c r="E715" s="224">
        <v>176030.47154540545</v>
      </c>
      <c r="F715" s="224">
        <v>4.1096848922131342</v>
      </c>
      <c r="G715" s="224">
        <v>4.2474687928635113</v>
      </c>
      <c r="H715" s="224">
        <v>2.3499923397945719</v>
      </c>
      <c r="I715" s="224">
        <v>2.1548066204173737</v>
      </c>
      <c r="J715" s="224"/>
      <c r="M715" s="224">
        <f t="shared" si="36"/>
        <v>516085.53027969366</v>
      </c>
      <c r="N715" s="224">
        <f t="shared" si="37"/>
        <v>-0.13778390065037716</v>
      </c>
      <c r="O715" s="224">
        <f t="shared" si="38"/>
        <v>0.1951857193771982</v>
      </c>
      <c r="Q715" s="224"/>
      <c r="R715" s="224"/>
      <c r="S715" s="429"/>
      <c r="Z715" s="362"/>
      <c r="AA715" s="421"/>
      <c r="AB715" s="362"/>
      <c r="AC715" s="362"/>
      <c r="AD715" s="362"/>
      <c r="AE715" s="362"/>
      <c r="AF715" s="362"/>
      <c r="AG715" s="362"/>
      <c r="AH715" s="362"/>
      <c r="AI715" s="393"/>
      <c r="AJ715" s="393"/>
      <c r="AK715" s="362"/>
      <c r="AL715" s="362"/>
      <c r="AM715" s="362"/>
      <c r="AN715" s="362"/>
      <c r="AO715" s="362"/>
      <c r="AP715" s="362"/>
      <c r="AQ715" s="362"/>
      <c r="AR715" s="362"/>
    </row>
    <row r="716" spans="1:44" ht="12.75" customHeight="1" x14ac:dyDescent="0.15">
      <c r="A716" s="431"/>
      <c r="B716" s="393"/>
      <c r="C716" s="428"/>
      <c r="D716" s="428">
        <v>580244.1486946384</v>
      </c>
      <c r="E716" s="224">
        <v>136425.31970799997</v>
      </c>
      <c r="F716" s="224">
        <v>4.513633245858693</v>
      </c>
      <c r="G716" s="224">
        <v>3.6796475007229423</v>
      </c>
      <c r="H716" s="224">
        <v>2.7838720550214844</v>
      </c>
      <c r="I716" s="224">
        <v>2.2280426956428143</v>
      </c>
      <c r="J716" s="224"/>
      <c r="M716" s="224">
        <f t="shared" si="36"/>
        <v>443818.82898663846</v>
      </c>
      <c r="N716" s="224">
        <f t="shared" si="37"/>
        <v>0.83398574513575063</v>
      </c>
      <c r="O716" s="224">
        <f t="shared" si="38"/>
        <v>0.55582935937867006</v>
      </c>
      <c r="Q716" s="224"/>
      <c r="R716" s="224"/>
      <c r="S716" s="429"/>
      <c r="Z716" s="362"/>
      <c r="AA716" s="421"/>
      <c r="AB716" s="362"/>
      <c r="AC716" s="362"/>
      <c r="AD716" s="362"/>
      <c r="AE716" s="362"/>
      <c r="AF716" s="362"/>
      <c r="AG716" s="362"/>
      <c r="AH716" s="362"/>
      <c r="AI716" s="393"/>
      <c r="AJ716" s="393"/>
      <c r="AK716" s="362"/>
      <c r="AL716" s="362"/>
      <c r="AM716" s="362"/>
      <c r="AN716" s="362"/>
      <c r="AO716" s="362"/>
      <c r="AP716" s="362"/>
      <c r="AQ716" s="362"/>
      <c r="AR716" s="362"/>
    </row>
    <row r="717" spans="1:44" ht="12.75" customHeight="1" x14ac:dyDescent="0.15">
      <c r="A717" s="431"/>
      <c r="B717" s="393"/>
      <c r="C717" s="428"/>
      <c r="D717" s="428">
        <v>605144.41205039283</v>
      </c>
      <c r="E717" s="224">
        <v>185688.86035449393</v>
      </c>
      <c r="F717" s="224">
        <v>3.541526606393214</v>
      </c>
      <c r="G717" s="224">
        <v>3.9453427814648419</v>
      </c>
      <c r="H717" s="224">
        <v>2.3627338835721696</v>
      </c>
      <c r="I717" s="224">
        <v>2.3649557658058495</v>
      </c>
      <c r="J717" s="224"/>
      <c r="M717" s="224">
        <f t="shared" si="36"/>
        <v>419455.55169589887</v>
      </c>
      <c r="N717" s="224">
        <f t="shared" si="37"/>
        <v>-0.40381617507162781</v>
      </c>
      <c r="O717" s="224">
        <f t="shared" si="38"/>
        <v>-2.2218822336799171E-3</v>
      </c>
      <c r="Q717" s="224"/>
      <c r="R717" s="224"/>
      <c r="S717" s="429"/>
      <c r="Z717" s="362"/>
      <c r="AA717" s="421"/>
      <c r="AB717" s="362"/>
      <c r="AC717" s="362"/>
      <c r="AD717" s="362"/>
      <c r="AE717" s="362"/>
      <c r="AF717" s="362"/>
      <c r="AG717" s="362"/>
      <c r="AH717" s="362"/>
      <c r="AI717" s="393"/>
      <c r="AJ717" s="393"/>
      <c r="AK717" s="362"/>
      <c r="AL717" s="362"/>
      <c r="AM717" s="362"/>
      <c r="AN717" s="362"/>
      <c r="AO717" s="362"/>
      <c r="AP717" s="362"/>
      <c r="AQ717" s="362"/>
      <c r="AR717" s="362"/>
    </row>
    <row r="718" spans="1:44" ht="12.75" customHeight="1" x14ac:dyDescent="0.15">
      <c r="A718" s="431"/>
      <c r="B718" s="393"/>
      <c r="C718" s="428"/>
      <c r="D718" s="428">
        <v>532914.54599767621</v>
      </c>
      <c r="E718" s="224">
        <v>124984.63480994132</v>
      </c>
      <c r="F718" s="224">
        <v>4.1014461722456739</v>
      </c>
      <c r="G718" s="224">
        <v>3.7838575496593219</v>
      </c>
      <c r="H718" s="224">
        <v>2.1073664639711454</v>
      </c>
      <c r="I718" s="224">
        <v>1.9068021933685333</v>
      </c>
      <c r="J718" s="224"/>
      <c r="M718" s="224">
        <f t="shared" si="36"/>
        <v>407929.91118773492</v>
      </c>
      <c r="N718" s="224">
        <f t="shared" si="37"/>
        <v>0.31758862258635201</v>
      </c>
      <c r="O718" s="224">
        <f t="shared" si="38"/>
        <v>0.20056427060261206</v>
      </c>
      <c r="Q718" s="224"/>
      <c r="R718" s="224"/>
      <c r="S718" s="429"/>
      <c r="Z718" s="362"/>
      <c r="AA718" s="421"/>
      <c r="AB718" s="362"/>
      <c r="AC718" s="362"/>
      <c r="AD718" s="362"/>
      <c r="AE718" s="362"/>
      <c r="AF718" s="362"/>
      <c r="AG718" s="362"/>
      <c r="AH718" s="362"/>
      <c r="AI718" s="393"/>
      <c r="AJ718" s="393"/>
      <c r="AK718" s="362"/>
      <c r="AL718" s="362"/>
      <c r="AM718" s="362"/>
      <c r="AN718" s="362"/>
      <c r="AO718" s="362"/>
      <c r="AP718" s="362"/>
      <c r="AQ718" s="362"/>
      <c r="AR718" s="362"/>
    </row>
    <row r="719" spans="1:44" ht="12.75" customHeight="1" x14ac:dyDescent="0.15">
      <c r="A719" s="431"/>
      <c r="B719" s="393"/>
      <c r="C719" s="428"/>
      <c r="D719" s="428">
        <v>550890.71674566646</v>
      </c>
      <c r="E719" s="224">
        <v>114038.81090662237</v>
      </c>
      <c r="F719" s="224">
        <v>4.9119204257703624</v>
      </c>
      <c r="G719" s="224">
        <v>3.2957885716732345</v>
      </c>
      <c r="H719" s="224">
        <v>3.1338536588115571</v>
      </c>
      <c r="I719" s="224">
        <v>2.1485321385752236</v>
      </c>
      <c r="J719" s="224"/>
      <c r="M719" s="224">
        <f t="shared" si="36"/>
        <v>436851.90583904408</v>
      </c>
      <c r="N719" s="224">
        <f t="shared" si="37"/>
        <v>1.6161318540971279</v>
      </c>
      <c r="O719" s="224">
        <f t="shared" si="38"/>
        <v>0.98532152023633346</v>
      </c>
      <c r="Q719" s="224"/>
      <c r="R719" s="224"/>
      <c r="S719" s="429"/>
      <c r="Z719" s="362"/>
      <c r="AA719" s="421"/>
      <c r="AB719" s="362"/>
      <c r="AC719" s="362"/>
      <c r="AD719" s="362"/>
      <c r="AE719" s="362"/>
      <c r="AF719" s="362"/>
      <c r="AG719" s="362"/>
      <c r="AH719" s="362"/>
      <c r="AI719" s="393"/>
      <c r="AJ719" s="393"/>
      <c r="AK719" s="362"/>
      <c r="AL719" s="362"/>
      <c r="AM719" s="362"/>
      <c r="AN719" s="362"/>
      <c r="AO719" s="362"/>
      <c r="AP719" s="362"/>
      <c r="AQ719" s="362"/>
      <c r="AR719" s="362"/>
    </row>
    <row r="720" spans="1:44" ht="12.75" customHeight="1" x14ac:dyDescent="0.15">
      <c r="A720" s="431"/>
      <c r="B720" s="393"/>
      <c r="C720" s="428"/>
      <c r="D720" s="428">
        <v>542134.50897278322</v>
      </c>
      <c r="E720" s="224">
        <v>157633.15735832663</v>
      </c>
      <c r="F720" s="224">
        <v>4.4739129163517664</v>
      </c>
      <c r="G720" s="224">
        <v>4.5113322668732065</v>
      </c>
      <c r="H720" s="224">
        <v>2.5120213090789387</v>
      </c>
      <c r="I720" s="224">
        <v>2.4614673023454401</v>
      </c>
      <c r="J720" s="224"/>
      <c r="M720" s="224">
        <f t="shared" si="36"/>
        <v>384501.35161445662</v>
      </c>
      <c r="N720" s="224">
        <f t="shared" si="37"/>
        <v>-3.7419350521440187E-2</v>
      </c>
      <c r="O720" s="224">
        <f t="shared" si="38"/>
        <v>5.0554006733498635E-2</v>
      </c>
      <c r="Q720" s="224"/>
      <c r="R720" s="224"/>
      <c r="S720" s="429"/>
      <c r="Z720" s="362"/>
      <c r="AA720" s="421"/>
      <c r="AB720" s="362"/>
      <c r="AC720" s="362"/>
      <c r="AD720" s="362"/>
      <c r="AE720" s="362"/>
      <c r="AF720" s="362"/>
      <c r="AG720" s="362"/>
      <c r="AH720" s="362"/>
      <c r="AI720" s="393"/>
      <c r="AJ720" s="393"/>
      <c r="AK720" s="362"/>
      <c r="AL720" s="362"/>
      <c r="AM720" s="362"/>
      <c r="AN720" s="362"/>
      <c r="AO720" s="362"/>
      <c r="AP720" s="362"/>
      <c r="AQ720" s="362"/>
      <c r="AR720" s="362"/>
    </row>
    <row r="721" spans="1:44" ht="12.75" customHeight="1" x14ac:dyDescent="0.15">
      <c r="A721" s="431"/>
      <c r="B721" s="393"/>
      <c r="C721" s="428"/>
      <c r="D721" s="428">
        <v>713931.48876948631</v>
      </c>
      <c r="E721" s="224">
        <v>194917.03785962967</v>
      </c>
      <c r="F721" s="224">
        <v>4.3840218135887472</v>
      </c>
      <c r="G721" s="224">
        <v>3.8600521880708274</v>
      </c>
      <c r="H721" s="224">
        <v>2.5604827566634802</v>
      </c>
      <c r="I721" s="224">
        <v>1.8087600099516228</v>
      </c>
      <c r="J721" s="224"/>
      <c r="M721" s="224">
        <f t="shared" si="36"/>
        <v>519014.45090985665</v>
      </c>
      <c r="N721" s="224">
        <f t="shared" si="37"/>
        <v>0.52396962551791981</v>
      </c>
      <c r="O721" s="224">
        <f t="shared" si="38"/>
        <v>0.75172274671185746</v>
      </c>
      <c r="Q721" s="224"/>
      <c r="R721" s="224"/>
      <c r="S721" s="429"/>
      <c r="Z721" s="362"/>
      <c r="AA721" s="421"/>
      <c r="AB721" s="362"/>
      <c r="AC721" s="362"/>
      <c r="AD721" s="362"/>
      <c r="AE721" s="362"/>
      <c r="AF721" s="362"/>
      <c r="AG721" s="362"/>
      <c r="AH721" s="362"/>
      <c r="AI721" s="393"/>
      <c r="AJ721" s="393"/>
      <c r="AK721" s="362"/>
      <c r="AL721" s="362"/>
      <c r="AM721" s="362"/>
      <c r="AN721" s="362"/>
      <c r="AO721" s="362"/>
      <c r="AP721" s="362"/>
      <c r="AQ721" s="362"/>
      <c r="AR721" s="362"/>
    </row>
    <row r="722" spans="1:44" ht="12.75" customHeight="1" x14ac:dyDescent="0.15">
      <c r="A722" s="431"/>
      <c r="B722" s="393"/>
      <c r="C722" s="428"/>
      <c r="D722" s="428">
        <v>630482.75266593241</v>
      </c>
      <c r="E722" s="224">
        <v>235034.11642071325</v>
      </c>
      <c r="F722" s="224">
        <v>4.5453766351804283</v>
      </c>
      <c r="G722" s="224">
        <v>4.5097948451960166</v>
      </c>
      <c r="H722" s="224">
        <v>3.1320037868033741</v>
      </c>
      <c r="I722" s="224">
        <v>2.8966920562317235</v>
      </c>
      <c r="J722" s="224"/>
      <c r="M722" s="224">
        <f t="shared" ref="M722:M785" si="39">+D722-E722</f>
        <v>395448.63624521915</v>
      </c>
      <c r="N722" s="224">
        <f t="shared" ref="N722:N785" si="40">+F722-G722</f>
        <v>3.5581789984411749E-2</v>
      </c>
      <c r="O722" s="224">
        <f t="shared" ref="O722:O785" si="41">+H722-I722</f>
        <v>0.23531173057165056</v>
      </c>
      <c r="Q722" s="224"/>
      <c r="R722" s="224"/>
      <c r="S722" s="429"/>
      <c r="Z722" s="362"/>
      <c r="AA722" s="421"/>
      <c r="AB722" s="362"/>
      <c r="AC722" s="362"/>
      <c r="AD722" s="362"/>
      <c r="AE722" s="362"/>
      <c r="AF722" s="362"/>
      <c r="AG722" s="362"/>
      <c r="AH722" s="362"/>
      <c r="AI722" s="393"/>
      <c r="AJ722" s="393"/>
      <c r="AK722" s="362"/>
      <c r="AL722" s="362"/>
      <c r="AM722" s="362"/>
      <c r="AN722" s="362"/>
      <c r="AO722" s="362"/>
      <c r="AP722" s="362"/>
      <c r="AQ722" s="362"/>
      <c r="AR722" s="362"/>
    </row>
    <row r="723" spans="1:44" ht="12.75" customHeight="1" x14ac:dyDescent="0.15">
      <c r="A723" s="431"/>
      <c r="B723" s="393"/>
      <c r="C723" s="428"/>
      <c r="D723" s="428">
        <v>628362.75176693429</v>
      </c>
      <c r="E723" s="224">
        <v>138647.3074290345</v>
      </c>
      <c r="F723" s="224">
        <v>4.8599045000268877</v>
      </c>
      <c r="G723" s="224">
        <v>3.9327626325736103</v>
      </c>
      <c r="H723" s="224">
        <v>2.7478170137186884</v>
      </c>
      <c r="I723" s="224">
        <v>2.2822359119795927</v>
      </c>
      <c r="J723" s="224"/>
      <c r="M723" s="224">
        <f t="shared" si="39"/>
        <v>489715.4443378998</v>
      </c>
      <c r="N723" s="224">
        <f t="shared" si="40"/>
        <v>0.92714186745327742</v>
      </c>
      <c r="O723" s="224">
        <f t="shared" si="41"/>
        <v>0.46558110173909562</v>
      </c>
      <c r="Q723" s="224"/>
      <c r="R723" s="224"/>
      <c r="S723" s="429"/>
      <c r="Z723" s="362"/>
      <c r="AA723" s="421"/>
      <c r="AB723" s="362"/>
      <c r="AC723" s="362"/>
      <c r="AD723" s="362"/>
      <c r="AE723" s="362"/>
      <c r="AF723" s="362"/>
      <c r="AG723" s="362"/>
      <c r="AH723" s="362"/>
      <c r="AI723" s="393"/>
      <c r="AJ723" s="393"/>
      <c r="AK723" s="362"/>
      <c r="AL723" s="362"/>
      <c r="AM723" s="362"/>
      <c r="AN723" s="362"/>
      <c r="AO723" s="362"/>
      <c r="AP723" s="362"/>
      <c r="AQ723" s="362"/>
      <c r="AR723" s="362"/>
    </row>
    <row r="724" spans="1:44" ht="12.75" customHeight="1" x14ac:dyDescent="0.15">
      <c r="A724" s="431"/>
      <c r="B724" s="393"/>
      <c r="C724" s="428"/>
      <c r="D724" s="428">
        <v>670826.76408182445</v>
      </c>
      <c r="E724" s="224">
        <v>114899.28864642375</v>
      </c>
      <c r="F724" s="224">
        <v>4.3383453354224359</v>
      </c>
      <c r="G724" s="224">
        <v>3.5841418283312239</v>
      </c>
      <c r="H724" s="224">
        <v>2.8775951286715515</v>
      </c>
      <c r="I724" s="224">
        <v>2.1594578816819041</v>
      </c>
      <c r="J724" s="224"/>
      <c r="M724" s="224">
        <f t="shared" si="39"/>
        <v>555927.47543540073</v>
      </c>
      <c r="N724" s="224">
        <f t="shared" si="40"/>
        <v>0.75420350709121209</v>
      </c>
      <c r="O724" s="224">
        <f t="shared" si="41"/>
        <v>0.71813724698964743</v>
      </c>
      <c r="Q724" s="224"/>
      <c r="R724" s="224"/>
      <c r="S724" s="429"/>
      <c r="Z724" s="362"/>
      <c r="AA724" s="421"/>
      <c r="AB724" s="362"/>
      <c r="AC724" s="362"/>
      <c r="AD724" s="362"/>
      <c r="AE724" s="362"/>
      <c r="AF724" s="362"/>
      <c r="AG724" s="362"/>
      <c r="AH724" s="362"/>
      <c r="AI724" s="393"/>
      <c r="AJ724" s="393"/>
      <c r="AK724" s="362"/>
      <c r="AL724" s="362"/>
      <c r="AM724" s="362"/>
      <c r="AN724" s="362"/>
      <c r="AO724" s="362"/>
      <c r="AP724" s="362"/>
      <c r="AQ724" s="362"/>
      <c r="AR724" s="362"/>
    </row>
    <row r="725" spans="1:44" ht="12.75" customHeight="1" x14ac:dyDescent="0.15">
      <c r="A725" s="431"/>
      <c r="B725" s="393"/>
      <c r="C725" s="428"/>
      <c r="D725" s="428">
        <v>639807.84262165683</v>
      </c>
      <c r="E725" s="224">
        <v>144335.67746627575</v>
      </c>
      <c r="F725" s="224">
        <v>4.5642227569064833</v>
      </c>
      <c r="G725" s="224">
        <v>4.0517584832387898</v>
      </c>
      <c r="H725" s="224">
        <v>2.7821727772321476</v>
      </c>
      <c r="I725" s="224">
        <v>2.199719833608019</v>
      </c>
      <c r="J725" s="224"/>
      <c r="M725" s="224">
        <f t="shared" si="39"/>
        <v>495472.16515538108</v>
      </c>
      <c r="N725" s="224">
        <f t="shared" si="40"/>
        <v>0.51246427366769343</v>
      </c>
      <c r="O725" s="224">
        <f t="shared" si="41"/>
        <v>0.58245294362412858</v>
      </c>
      <c r="Q725" s="224"/>
      <c r="R725" s="224"/>
      <c r="S725" s="429"/>
      <c r="Z725" s="362"/>
      <c r="AA725" s="421"/>
      <c r="AB725" s="362"/>
      <c r="AC725" s="362"/>
      <c r="AD725" s="362"/>
      <c r="AE725" s="362"/>
      <c r="AF725" s="362"/>
      <c r="AG725" s="362"/>
      <c r="AH725" s="362"/>
      <c r="AI725" s="393"/>
      <c r="AJ725" s="393"/>
      <c r="AK725" s="362"/>
      <c r="AL725" s="362"/>
      <c r="AM725" s="362"/>
      <c r="AN725" s="362"/>
      <c r="AO725" s="362"/>
      <c r="AP725" s="362"/>
      <c r="AQ725" s="362"/>
      <c r="AR725" s="362"/>
    </row>
    <row r="726" spans="1:44" ht="12.75" customHeight="1" x14ac:dyDescent="0.15">
      <c r="A726" s="431"/>
      <c r="B726" s="393"/>
      <c r="C726" s="428"/>
      <c r="D726" s="428">
        <v>565005.68039247033</v>
      </c>
      <c r="E726" s="224">
        <v>157705.0806042605</v>
      </c>
      <c r="F726" s="224">
        <v>4.8484675425904653</v>
      </c>
      <c r="G726" s="224">
        <v>4.0260679084991411</v>
      </c>
      <c r="H726" s="224">
        <v>2.4710347282440934</v>
      </c>
      <c r="I726" s="224">
        <v>1.9209158781067897</v>
      </c>
      <c r="J726" s="224"/>
      <c r="M726" s="224">
        <f t="shared" si="39"/>
        <v>407300.59978820983</v>
      </c>
      <c r="N726" s="224">
        <f t="shared" si="40"/>
        <v>0.82239963409132422</v>
      </c>
      <c r="O726" s="224">
        <f t="shared" si="41"/>
        <v>0.55011885013730377</v>
      </c>
      <c r="Q726" s="224"/>
      <c r="R726" s="224"/>
      <c r="S726" s="429"/>
      <c r="Z726" s="362"/>
      <c r="AA726" s="421"/>
      <c r="AB726" s="362"/>
      <c r="AC726" s="362"/>
      <c r="AD726" s="362"/>
      <c r="AE726" s="362"/>
      <c r="AF726" s="362"/>
      <c r="AG726" s="362"/>
      <c r="AH726" s="362"/>
      <c r="AI726" s="393"/>
      <c r="AJ726" s="393"/>
      <c r="AK726" s="362"/>
      <c r="AL726" s="362"/>
      <c r="AM726" s="362"/>
      <c r="AN726" s="362"/>
      <c r="AO726" s="362"/>
      <c r="AP726" s="362"/>
      <c r="AQ726" s="362"/>
      <c r="AR726" s="362"/>
    </row>
    <row r="727" spans="1:44" ht="12.75" customHeight="1" x14ac:dyDescent="0.15">
      <c r="A727" s="431"/>
      <c r="B727" s="393"/>
      <c r="C727" s="428"/>
      <c r="D727" s="428">
        <v>727176.00537526072</v>
      </c>
      <c r="E727" s="224">
        <v>247446.64011241859</v>
      </c>
      <c r="F727" s="224">
        <v>4.4897569058478393</v>
      </c>
      <c r="G727" s="224">
        <v>4.2017579201908628</v>
      </c>
      <c r="H727" s="224">
        <v>2.6253759075248846</v>
      </c>
      <c r="I727" s="224">
        <v>2.0526992770621613</v>
      </c>
      <c r="J727" s="224"/>
      <c r="M727" s="224">
        <f t="shared" si="39"/>
        <v>479729.36526284216</v>
      </c>
      <c r="N727" s="224">
        <f t="shared" si="40"/>
        <v>0.28799898565697646</v>
      </c>
      <c r="O727" s="224">
        <f t="shared" si="41"/>
        <v>0.57267663046272332</v>
      </c>
      <c r="Q727" s="224"/>
      <c r="R727" s="224"/>
      <c r="S727" s="429"/>
      <c r="Z727" s="362"/>
      <c r="AA727" s="421"/>
      <c r="AB727" s="362"/>
      <c r="AC727" s="362"/>
      <c r="AD727" s="362"/>
      <c r="AE727" s="362"/>
      <c r="AF727" s="362"/>
      <c r="AG727" s="362"/>
      <c r="AH727" s="362"/>
      <c r="AI727" s="393"/>
      <c r="AJ727" s="393"/>
      <c r="AK727" s="362"/>
      <c r="AL727" s="362"/>
      <c r="AM727" s="362"/>
      <c r="AN727" s="362"/>
      <c r="AO727" s="362"/>
      <c r="AP727" s="362"/>
      <c r="AQ727" s="362"/>
      <c r="AR727" s="362"/>
    </row>
    <row r="728" spans="1:44" ht="12.75" customHeight="1" x14ac:dyDescent="0.15">
      <c r="A728" s="431"/>
      <c r="B728" s="393"/>
      <c r="C728" s="428"/>
      <c r="D728" s="428">
        <v>819917.05252124905</v>
      </c>
      <c r="E728" s="224">
        <v>176037.02287293764</v>
      </c>
      <c r="F728" s="224">
        <v>4.4300479652763141</v>
      </c>
      <c r="G728" s="224">
        <v>3.5364872633993865</v>
      </c>
      <c r="H728" s="224">
        <v>2.890392606322139</v>
      </c>
      <c r="I728" s="224">
        <v>1.8941798753588441</v>
      </c>
      <c r="J728" s="224"/>
      <c r="M728" s="224">
        <f t="shared" si="39"/>
        <v>643880.02964831144</v>
      </c>
      <c r="N728" s="224">
        <f t="shared" si="40"/>
        <v>0.8935607018769276</v>
      </c>
      <c r="O728" s="224">
        <f t="shared" si="41"/>
        <v>0.99621273096329488</v>
      </c>
      <c r="Q728" s="224"/>
      <c r="R728" s="224"/>
      <c r="S728" s="429"/>
      <c r="Z728" s="362"/>
      <c r="AA728" s="421"/>
      <c r="AB728" s="362"/>
      <c r="AC728" s="362"/>
      <c r="AD728" s="362"/>
      <c r="AE728" s="362"/>
      <c r="AF728" s="362"/>
      <c r="AG728" s="362"/>
      <c r="AH728" s="362"/>
      <c r="AI728" s="393"/>
      <c r="AJ728" s="393"/>
      <c r="AK728" s="362"/>
      <c r="AL728" s="362"/>
      <c r="AM728" s="362"/>
      <c r="AN728" s="362"/>
      <c r="AO728" s="362"/>
      <c r="AP728" s="362"/>
      <c r="AQ728" s="362"/>
      <c r="AR728" s="362"/>
    </row>
    <row r="729" spans="1:44" ht="12.75" customHeight="1" x14ac:dyDescent="0.15">
      <c r="A729" s="431"/>
      <c r="B729" s="393"/>
      <c r="C729" s="428"/>
      <c r="D729" s="428">
        <v>577494.07709991513</v>
      </c>
      <c r="E729" s="224">
        <v>181833.79565704762</v>
      </c>
      <c r="F729" s="224">
        <v>4.0096564814539422</v>
      </c>
      <c r="G729" s="224">
        <v>3.9697436808083166</v>
      </c>
      <c r="H729" s="224">
        <v>2.7430880791439418</v>
      </c>
      <c r="I729" s="224">
        <v>2.4982695830792419</v>
      </c>
      <c r="J729" s="224"/>
      <c r="M729" s="224">
        <f t="shared" si="39"/>
        <v>395660.28144286748</v>
      </c>
      <c r="N729" s="224">
        <f t="shared" si="40"/>
        <v>3.9912800645625524E-2</v>
      </c>
      <c r="O729" s="224">
        <f t="shared" si="41"/>
        <v>0.24481849606469996</v>
      </c>
      <c r="Q729" s="224"/>
      <c r="R729" s="224"/>
      <c r="S729" s="429"/>
      <c r="Z729" s="362"/>
      <c r="AA729" s="421"/>
      <c r="AB729" s="362"/>
      <c r="AC729" s="362"/>
      <c r="AD729" s="362"/>
      <c r="AE729" s="362"/>
      <c r="AF729" s="362"/>
      <c r="AG729" s="362"/>
      <c r="AH729" s="362"/>
      <c r="AI729" s="393"/>
      <c r="AJ729" s="393"/>
      <c r="AK729" s="362"/>
      <c r="AL729" s="362"/>
      <c r="AM729" s="362"/>
      <c r="AN729" s="362"/>
      <c r="AO729" s="362"/>
      <c r="AP729" s="362"/>
      <c r="AQ729" s="362"/>
      <c r="AR729" s="362"/>
    </row>
    <row r="730" spans="1:44" ht="12.75" customHeight="1" x14ac:dyDescent="0.15">
      <c r="A730" s="431"/>
      <c r="B730" s="393"/>
      <c r="C730" s="428"/>
      <c r="D730" s="428">
        <v>556742.66285538848</v>
      </c>
      <c r="E730" s="224">
        <v>113730.2805933653</v>
      </c>
      <c r="F730" s="224">
        <v>4.3453787768772658</v>
      </c>
      <c r="G730" s="224">
        <v>3.6660274274079443</v>
      </c>
      <c r="H730" s="224">
        <v>2.6630096855959651</v>
      </c>
      <c r="I730" s="224">
        <v>2.1601597916456088</v>
      </c>
      <c r="J730" s="224"/>
      <c r="M730" s="224">
        <f t="shared" si="39"/>
        <v>443012.38226202317</v>
      </c>
      <c r="N730" s="224">
        <f t="shared" si="40"/>
        <v>0.67935134946932152</v>
      </c>
      <c r="O730" s="224">
        <f t="shared" si="41"/>
        <v>0.50284989395035629</v>
      </c>
      <c r="Q730" s="224"/>
      <c r="R730" s="224"/>
      <c r="S730" s="429"/>
      <c r="Z730" s="362"/>
      <c r="AA730" s="421"/>
      <c r="AB730" s="362"/>
      <c r="AC730" s="362"/>
      <c r="AD730" s="362"/>
      <c r="AE730" s="362"/>
      <c r="AF730" s="362"/>
      <c r="AG730" s="362"/>
      <c r="AH730" s="362"/>
      <c r="AI730" s="393"/>
      <c r="AJ730" s="393"/>
      <c r="AK730" s="362"/>
      <c r="AL730" s="362"/>
      <c r="AM730" s="362"/>
      <c r="AN730" s="362"/>
      <c r="AO730" s="362"/>
      <c r="AP730" s="362"/>
      <c r="AQ730" s="362"/>
      <c r="AR730" s="362"/>
    </row>
    <row r="731" spans="1:44" ht="12.75" customHeight="1" x14ac:dyDescent="0.15">
      <c r="A731" s="431"/>
      <c r="B731" s="393"/>
      <c r="C731" s="428"/>
      <c r="D731" s="428">
        <v>556894.59060555662</v>
      </c>
      <c r="E731" s="224">
        <v>154407.18910627853</v>
      </c>
      <c r="F731" s="224">
        <v>4.5045437948558353</v>
      </c>
      <c r="G731" s="224">
        <v>3.5221238281644469</v>
      </c>
      <c r="H731" s="224">
        <v>2.3376474224869961</v>
      </c>
      <c r="I731" s="224">
        <v>1.6996214656862478</v>
      </c>
      <c r="J731" s="224"/>
      <c r="M731" s="224">
        <f t="shared" si="39"/>
        <v>402487.40149927809</v>
      </c>
      <c r="N731" s="224">
        <f t="shared" si="40"/>
        <v>0.98241996669138842</v>
      </c>
      <c r="O731" s="224">
        <f t="shared" si="41"/>
        <v>0.63802595680074825</v>
      </c>
      <c r="Q731" s="224"/>
      <c r="R731" s="224"/>
      <c r="S731" s="429"/>
      <c r="Z731" s="362"/>
      <c r="AA731" s="421"/>
      <c r="AB731" s="362"/>
      <c r="AC731" s="362"/>
      <c r="AD731" s="362"/>
      <c r="AE731" s="362"/>
      <c r="AF731" s="362"/>
      <c r="AG731" s="362"/>
      <c r="AH731" s="362"/>
      <c r="AI731" s="393"/>
      <c r="AJ731" s="393"/>
      <c r="AK731" s="362"/>
      <c r="AL731" s="362"/>
      <c r="AM731" s="362"/>
      <c r="AN731" s="362"/>
      <c r="AO731" s="362"/>
      <c r="AP731" s="362"/>
      <c r="AQ731" s="362"/>
      <c r="AR731" s="362"/>
    </row>
    <row r="732" spans="1:44" ht="12.75" customHeight="1" x14ac:dyDescent="0.15">
      <c r="A732" s="431"/>
      <c r="B732" s="393"/>
      <c r="C732" s="428"/>
      <c r="D732" s="428">
        <v>448901.08961098472</v>
      </c>
      <c r="E732" s="224">
        <v>115997.11459380802</v>
      </c>
      <c r="F732" s="224">
        <v>4.2075133219305298</v>
      </c>
      <c r="G732" s="224">
        <v>3.7501632901419168</v>
      </c>
      <c r="H732" s="224">
        <v>2.4659235991821493</v>
      </c>
      <c r="I732" s="224">
        <v>2.183648002739476</v>
      </c>
      <c r="J732" s="224"/>
      <c r="M732" s="224">
        <f t="shared" si="39"/>
        <v>332903.97501717671</v>
      </c>
      <c r="N732" s="224">
        <f t="shared" si="40"/>
        <v>0.457350031788613</v>
      </c>
      <c r="O732" s="224">
        <f t="shared" si="41"/>
        <v>0.2822755964426733</v>
      </c>
      <c r="Q732" s="224"/>
      <c r="R732" s="224"/>
      <c r="S732" s="429"/>
      <c r="Z732" s="362"/>
      <c r="AA732" s="421"/>
      <c r="AB732" s="362"/>
      <c r="AC732" s="362"/>
      <c r="AD732" s="362"/>
      <c r="AE732" s="362"/>
      <c r="AF732" s="362"/>
      <c r="AG732" s="362"/>
      <c r="AH732" s="362"/>
      <c r="AI732" s="393"/>
      <c r="AJ732" s="393"/>
      <c r="AK732" s="362"/>
      <c r="AL732" s="362"/>
      <c r="AM732" s="362"/>
      <c r="AN732" s="362"/>
      <c r="AO732" s="362"/>
      <c r="AP732" s="362"/>
      <c r="AQ732" s="362"/>
      <c r="AR732" s="362"/>
    </row>
    <row r="733" spans="1:44" ht="12.75" customHeight="1" x14ac:dyDescent="0.15">
      <c r="A733" s="431"/>
      <c r="B733" s="393"/>
      <c r="C733" s="428"/>
      <c r="D733" s="428">
        <v>614537.57686913747</v>
      </c>
      <c r="E733" s="224">
        <v>206481.27004087207</v>
      </c>
      <c r="F733" s="224">
        <v>4.2632440122688227</v>
      </c>
      <c r="G733" s="224">
        <v>3.6914946514516065</v>
      </c>
      <c r="H733" s="224">
        <v>2.6932421077150304</v>
      </c>
      <c r="I733" s="224">
        <v>2.3365584805467332</v>
      </c>
      <c r="J733" s="224"/>
      <c r="M733" s="224">
        <f t="shared" si="39"/>
        <v>408056.30682826543</v>
      </c>
      <c r="N733" s="224">
        <f t="shared" si="40"/>
        <v>0.57174936081721617</v>
      </c>
      <c r="O733" s="224">
        <f t="shared" si="41"/>
        <v>0.35668362716829716</v>
      </c>
      <c r="Q733" s="224"/>
      <c r="R733" s="224"/>
      <c r="S733" s="429"/>
      <c r="Z733" s="362"/>
      <c r="AA733" s="421"/>
      <c r="AB733" s="362"/>
      <c r="AC733" s="362"/>
      <c r="AD733" s="362"/>
      <c r="AE733" s="362"/>
      <c r="AF733" s="362"/>
      <c r="AG733" s="362"/>
      <c r="AH733" s="362"/>
      <c r="AI733" s="393"/>
      <c r="AJ733" s="393"/>
      <c r="AK733" s="362"/>
      <c r="AL733" s="362"/>
      <c r="AM733" s="362"/>
      <c r="AN733" s="362"/>
      <c r="AO733" s="362"/>
      <c r="AP733" s="362"/>
      <c r="AQ733" s="362"/>
      <c r="AR733" s="362"/>
    </row>
    <row r="734" spans="1:44" ht="12.75" customHeight="1" x14ac:dyDescent="0.15">
      <c r="A734" s="431"/>
      <c r="B734" s="393"/>
      <c r="C734" s="428"/>
      <c r="D734" s="428">
        <v>587917.90088444878</v>
      </c>
      <c r="E734" s="224">
        <v>161591.35122101515</v>
      </c>
      <c r="F734" s="224">
        <v>4.4047849398809564</v>
      </c>
      <c r="G734" s="224">
        <v>4.1953571141734454</v>
      </c>
      <c r="H734" s="224">
        <v>2.8279435403192661</v>
      </c>
      <c r="I734" s="224">
        <v>2.5916225770004786</v>
      </c>
      <c r="J734" s="224"/>
      <c r="M734" s="224">
        <f t="shared" si="39"/>
        <v>426326.54966343363</v>
      </c>
      <c r="N734" s="224">
        <f t="shared" si="40"/>
        <v>0.20942782570751106</v>
      </c>
      <c r="O734" s="224">
        <f t="shared" si="41"/>
        <v>0.23632096331878749</v>
      </c>
      <c r="Q734" s="224"/>
      <c r="R734" s="224"/>
      <c r="S734" s="429"/>
      <c r="Z734" s="362"/>
      <c r="AA734" s="421"/>
      <c r="AB734" s="362"/>
      <c r="AC734" s="362"/>
      <c r="AD734" s="362"/>
      <c r="AE734" s="362"/>
      <c r="AF734" s="362"/>
      <c r="AG734" s="362"/>
      <c r="AH734" s="362"/>
      <c r="AI734" s="393"/>
      <c r="AJ734" s="393"/>
      <c r="AK734" s="362"/>
      <c r="AL734" s="362"/>
      <c r="AM734" s="362"/>
      <c r="AN734" s="362"/>
      <c r="AO734" s="362"/>
      <c r="AP734" s="362"/>
      <c r="AQ734" s="362"/>
      <c r="AR734" s="362"/>
    </row>
    <row r="735" spans="1:44" ht="12.75" customHeight="1" x14ac:dyDescent="0.15">
      <c r="A735" s="431"/>
      <c r="B735" s="393"/>
      <c r="C735" s="428"/>
      <c r="D735" s="428">
        <v>702773.20381016564</v>
      </c>
      <c r="E735" s="224">
        <v>205536.7311571746</v>
      </c>
      <c r="F735" s="224">
        <v>4.224007137207006</v>
      </c>
      <c r="G735" s="224">
        <v>4.2086911803072269</v>
      </c>
      <c r="H735" s="224">
        <v>2.7675680486274192</v>
      </c>
      <c r="I735" s="224">
        <v>2.4738092153678304</v>
      </c>
      <c r="J735" s="224"/>
      <c r="M735" s="224">
        <f t="shared" si="39"/>
        <v>497236.47265299107</v>
      </c>
      <c r="N735" s="224">
        <f t="shared" si="40"/>
        <v>1.531595689977916E-2</v>
      </c>
      <c r="O735" s="224">
        <f t="shared" si="41"/>
        <v>0.29375883325958885</v>
      </c>
      <c r="Q735" s="224"/>
      <c r="R735" s="224"/>
      <c r="S735" s="429"/>
      <c r="Z735" s="362"/>
      <c r="AA735" s="421"/>
      <c r="AB735" s="362"/>
      <c r="AC735" s="362"/>
      <c r="AD735" s="362"/>
      <c r="AE735" s="362"/>
      <c r="AF735" s="362"/>
      <c r="AG735" s="362"/>
      <c r="AH735" s="362"/>
      <c r="AI735" s="393"/>
      <c r="AJ735" s="393"/>
      <c r="AK735" s="362"/>
      <c r="AL735" s="362"/>
      <c r="AM735" s="362"/>
      <c r="AN735" s="362"/>
      <c r="AO735" s="362"/>
      <c r="AP735" s="362"/>
      <c r="AQ735" s="362"/>
      <c r="AR735" s="362"/>
    </row>
    <row r="736" spans="1:44" ht="12.75" customHeight="1" x14ac:dyDescent="0.15">
      <c r="A736" s="431"/>
      <c r="B736" s="393"/>
      <c r="C736" s="428"/>
      <c r="D736" s="428">
        <v>726031.24387333903</v>
      </c>
      <c r="E736" s="224">
        <v>241239.40521659688</v>
      </c>
      <c r="F736" s="224">
        <v>4.2359663667435479</v>
      </c>
      <c r="G736" s="224">
        <v>4.0044521336113448</v>
      </c>
      <c r="H736" s="224">
        <v>2.4570186454767673</v>
      </c>
      <c r="I736" s="224">
        <v>2.166534427209295</v>
      </c>
      <c r="J736" s="224"/>
      <c r="M736" s="224">
        <f t="shared" si="39"/>
        <v>484791.83865674213</v>
      </c>
      <c r="N736" s="224">
        <f t="shared" si="40"/>
        <v>0.2315142331322031</v>
      </c>
      <c r="O736" s="224">
        <f t="shared" si="41"/>
        <v>0.29048421826747228</v>
      </c>
      <c r="Q736" s="224"/>
      <c r="R736" s="224"/>
      <c r="S736" s="429"/>
      <c r="Z736" s="362"/>
      <c r="AA736" s="421"/>
      <c r="AB736" s="362"/>
      <c r="AC736" s="362"/>
      <c r="AD736" s="362"/>
      <c r="AE736" s="362"/>
      <c r="AF736" s="362"/>
      <c r="AG736" s="362"/>
      <c r="AH736" s="362"/>
      <c r="AI736" s="393"/>
      <c r="AJ736" s="393"/>
      <c r="AK736" s="362"/>
      <c r="AL736" s="362"/>
      <c r="AM736" s="362"/>
      <c r="AN736" s="362"/>
      <c r="AO736" s="362"/>
      <c r="AP736" s="362"/>
      <c r="AQ736" s="362"/>
      <c r="AR736" s="362"/>
    </row>
    <row r="737" spans="1:44" ht="12.75" customHeight="1" x14ac:dyDescent="0.15">
      <c r="A737" s="431"/>
      <c r="B737" s="393"/>
      <c r="C737" s="428"/>
      <c r="D737" s="428">
        <v>557988.18132964591</v>
      </c>
      <c r="E737" s="224">
        <v>100097.57131106094</v>
      </c>
      <c r="F737" s="224">
        <v>4.6513490320485742</v>
      </c>
      <c r="G737" s="224">
        <v>3.6357112521655028</v>
      </c>
      <c r="H737" s="224">
        <v>2.8364155716280921</v>
      </c>
      <c r="I737" s="224">
        <v>2.183127637142626</v>
      </c>
      <c r="J737" s="224"/>
      <c r="M737" s="224">
        <f t="shared" si="39"/>
        <v>457890.61001858499</v>
      </c>
      <c r="N737" s="224">
        <f t="shared" si="40"/>
        <v>1.0156377798830714</v>
      </c>
      <c r="O737" s="224">
        <f t="shared" si="41"/>
        <v>0.65328793448546607</v>
      </c>
      <c r="Q737" s="224"/>
      <c r="R737" s="224"/>
      <c r="S737" s="429"/>
      <c r="Z737" s="362"/>
      <c r="AA737" s="421"/>
      <c r="AB737" s="362"/>
      <c r="AC737" s="362"/>
      <c r="AD737" s="362"/>
      <c r="AE737" s="362"/>
      <c r="AF737" s="362"/>
      <c r="AG737" s="362"/>
      <c r="AH737" s="362"/>
      <c r="AI737" s="393"/>
      <c r="AJ737" s="393"/>
      <c r="AK737" s="362"/>
      <c r="AL737" s="362"/>
      <c r="AM737" s="362"/>
      <c r="AN737" s="362"/>
      <c r="AO737" s="362"/>
      <c r="AP737" s="362"/>
      <c r="AQ737" s="362"/>
      <c r="AR737" s="362"/>
    </row>
    <row r="738" spans="1:44" ht="12.75" customHeight="1" x14ac:dyDescent="0.15">
      <c r="A738" s="431"/>
      <c r="B738" s="393"/>
      <c r="C738" s="428"/>
      <c r="D738" s="428">
        <v>633559.74952486693</v>
      </c>
      <c r="E738" s="224">
        <v>148092.26528090669</v>
      </c>
      <c r="F738" s="224">
        <v>4.5969797754965365</v>
      </c>
      <c r="G738" s="224">
        <v>4.387747892203504</v>
      </c>
      <c r="H738" s="224">
        <v>2.9503906518862433</v>
      </c>
      <c r="I738" s="224">
        <v>2.544418303333162</v>
      </c>
      <c r="J738" s="224"/>
      <c r="M738" s="224">
        <f t="shared" si="39"/>
        <v>485467.48424396024</v>
      </c>
      <c r="N738" s="224">
        <f t="shared" si="40"/>
        <v>0.20923188329303244</v>
      </c>
      <c r="O738" s="224">
        <f t="shared" si="41"/>
        <v>0.40597234855308129</v>
      </c>
      <c r="Q738" s="224"/>
      <c r="R738" s="224"/>
      <c r="S738" s="429"/>
      <c r="Z738" s="362"/>
      <c r="AA738" s="421"/>
      <c r="AB738" s="362"/>
      <c r="AC738" s="362"/>
      <c r="AD738" s="362"/>
      <c r="AE738" s="362"/>
      <c r="AF738" s="362"/>
      <c r="AG738" s="362"/>
      <c r="AH738" s="362"/>
      <c r="AI738" s="393"/>
      <c r="AJ738" s="393"/>
      <c r="AK738" s="362"/>
      <c r="AL738" s="362"/>
      <c r="AM738" s="362"/>
      <c r="AN738" s="362"/>
      <c r="AO738" s="362"/>
      <c r="AP738" s="362"/>
      <c r="AQ738" s="362"/>
      <c r="AR738" s="362"/>
    </row>
    <row r="739" spans="1:44" ht="12.75" customHeight="1" x14ac:dyDescent="0.15">
      <c r="A739" s="431"/>
      <c r="B739" s="393"/>
      <c r="C739" s="428"/>
      <c r="D739" s="428">
        <v>658032.49595092225</v>
      </c>
      <c r="E739" s="224">
        <v>152414.48114348826</v>
      </c>
      <c r="F739" s="224">
        <v>4.0580820959757924</v>
      </c>
      <c r="G739" s="224">
        <v>3.9232221635589375</v>
      </c>
      <c r="H739" s="224">
        <v>2.4088872646739814</v>
      </c>
      <c r="I739" s="224">
        <v>2.0621352128556101</v>
      </c>
      <c r="J739" s="224"/>
      <c r="M739" s="224">
        <f t="shared" si="39"/>
        <v>505618.014807434</v>
      </c>
      <c r="N739" s="224">
        <f t="shared" si="40"/>
        <v>0.1348599324168549</v>
      </c>
      <c r="O739" s="224">
        <f t="shared" si="41"/>
        <v>0.34675205181837132</v>
      </c>
      <c r="Q739" s="224"/>
      <c r="R739" s="224"/>
      <c r="S739" s="429"/>
      <c r="Z739" s="362"/>
      <c r="AA739" s="421"/>
      <c r="AB739" s="362"/>
      <c r="AC739" s="362"/>
      <c r="AD739" s="362"/>
      <c r="AE739" s="362"/>
      <c r="AF739" s="362"/>
      <c r="AG739" s="362"/>
      <c r="AH739" s="362"/>
      <c r="AI739" s="393"/>
      <c r="AJ739" s="393"/>
      <c r="AK739" s="362"/>
      <c r="AL739" s="362"/>
      <c r="AM739" s="362"/>
      <c r="AN739" s="362"/>
      <c r="AO739" s="362"/>
      <c r="AP739" s="362"/>
      <c r="AQ739" s="362"/>
      <c r="AR739" s="362"/>
    </row>
    <row r="740" spans="1:44" ht="12.75" customHeight="1" x14ac:dyDescent="0.15">
      <c r="A740" s="431"/>
      <c r="B740" s="393"/>
      <c r="C740" s="428"/>
      <c r="D740" s="428">
        <v>632751.14967985672</v>
      </c>
      <c r="E740" s="224">
        <v>109260.23323240285</v>
      </c>
      <c r="F740" s="224">
        <v>4.2208118154267442</v>
      </c>
      <c r="G740" s="224">
        <v>4.0733428688889246</v>
      </c>
      <c r="H740" s="224">
        <v>2.6111029352650408</v>
      </c>
      <c r="I740" s="224">
        <v>2.3029706949006647</v>
      </c>
      <c r="J740" s="224"/>
      <c r="M740" s="224">
        <f t="shared" si="39"/>
        <v>523490.9164474539</v>
      </c>
      <c r="N740" s="224">
        <f t="shared" si="40"/>
        <v>0.14746894653781961</v>
      </c>
      <c r="O740" s="224">
        <f t="shared" si="41"/>
        <v>0.30813224036437603</v>
      </c>
      <c r="Q740" s="224"/>
      <c r="R740" s="224"/>
      <c r="S740" s="429"/>
      <c r="Z740" s="362"/>
      <c r="AA740" s="421"/>
      <c r="AB740" s="362"/>
      <c r="AC740" s="362"/>
      <c r="AD740" s="362"/>
      <c r="AE740" s="362"/>
      <c r="AF740" s="362"/>
      <c r="AG740" s="362"/>
      <c r="AH740" s="362"/>
      <c r="AI740" s="393"/>
      <c r="AJ740" s="393"/>
      <c r="AK740" s="362"/>
      <c r="AL740" s="362"/>
      <c r="AM740" s="362"/>
      <c r="AN740" s="362"/>
      <c r="AO740" s="362"/>
      <c r="AP740" s="362"/>
      <c r="AQ740" s="362"/>
      <c r="AR740" s="362"/>
    </row>
    <row r="741" spans="1:44" ht="12.75" customHeight="1" x14ac:dyDescent="0.15">
      <c r="A741" s="431"/>
      <c r="B741" s="393"/>
      <c r="C741" s="428"/>
      <c r="D741" s="428">
        <v>556880.2337338276</v>
      </c>
      <c r="E741" s="224">
        <v>141485.1815326183</v>
      </c>
      <c r="F741" s="224">
        <v>5.1303417765582262</v>
      </c>
      <c r="G741" s="224">
        <v>4.0381142017262537</v>
      </c>
      <c r="H741" s="224">
        <v>3.0922861560917054</v>
      </c>
      <c r="I741" s="224">
        <v>2.3557294606982535</v>
      </c>
      <c r="J741" s="224"/>
      <c r="M741" s="224">
        <f t="shared" si="39"/>
        <v>415395.0522012093</v>
      </c>
      <c r="N741" s="224">
        <f t="shared" si="40"/>
        <v>1.0922275748319725</v>
      </c>
      <c r="O741" s="224">
        <f t="shared" si="41"/>
        <v>0.73655669539345192</v>
      </c>
      <c r="Q741" s="224"/>
      <c r="R741" s="224"/>
      <c r="S741" s="429"/>
      <c r="Z741" s="362"/>
      <c r="AA741" s="421"/>
      <c r="AB741" s="362"/>
      <c r="AC741" s="362"/>
      <c r="AD741" s="362"/>
      <c r="AE741" s="362"/>
      <c r="AF741" s="362"/>
      <c r="AG741" s="362"/>
      <c r="AH741" s="362"/>
      <c r="AI741" s="393"/>
      <c r="AJ741" s="393"/>
      <c r="AK741" s="362"/>
      <c r="AL741" s="362"/>
      <c r="AM741" s="362"/>
      <c r="AN741" s="362"/>
      <c r="AO741" s="362"/>
      <c r="AP741" s="362"/>
      <c r="AQ741" s="362"/>
      <c r="AR741" s="362"/>
    </row>
    <row r="742" spans="1:44" ht="12.75" customHeight="1" x14ac:dyDescent="0.15">
      <c r="A742" s="431"/>
      <c r="B742" s="393"/>
      <c r="C742" s="428"/>
      <c r="D742" s="428">
        <v>621045.93120311981</v>
      </c>
      <c r="E742" s="224">
        <v>154189.52012025454</v>
      </c>
      <c r="F742" s="224">
        <v>4.3099597730539818</v>
      </c>
      <c r="G742" s="224">
        <v>3.3330442392058472</v>
      </c>
      <c r="H742" s="224">
        <v>2.5690904596587028</v>
      </c>
      <c r="I742" s="224">
        <v>1.9908568514397715</v>
      </c>
      <c r="J742" s="224"/>
      <c r="M742" s="224">
        <f t="shared" si="39"/>
        <v>466856.41108286526</v>
      </c>
      <c r="N742" s="224">
        <f t="shared" si="40"/>
        <v>0.97691553384813457</v>
      </c>
      <c r="O742" s="224">
        <f t="shared" si="41"/>
        <v>0.57823360821893122</v>
      </c>
      <c r="Q742" s="224"/>
      <c r="R742" s="224"/>
      <c r="S742" s="429"/>
      <c r="Z742" s="362"/>
      <c r="AA742" s="421"/>
      <c r="AB742" s="362"/>
      <c r="AC742" s="362"/>
      <c r="AD742" s="362"/>
      <c r="AE742" s="362"/>
      <c r="AF742" s="362"/>
      <c r="AG742" s="362"/>
      <c r="AH742" s="362"/>
      <c r="AI742" s="393"/>
      <c r="AJ742" s="393"/>
      <c r="AK742" s="362"/>
      <c r="AL742" s="362"/>
      <c r="AM742" s="362"/>
      <c r="AN742" s="362"/>
      <c r="AO742" s="362"/>
      <c r="AP742" s="362"/>
      <c r="AQ742" s="362"/>
      <c r="AR742" s="362"/>
    </row>
    <row r="743" spans="1:44" ht="12.75" customHeight="1" x14ac:dyDescent="0.15">
      <c r="A743" s="431"/>
      <c r="B743" s="393"/>
      <c r="C743" s="428"/>
      <c r="D743" s="428">
        <v>553800.34549950447</v>
      </c>
      <c r="E743" s="224">
        <v>172396.3342791092</v>
      </c>
      <c r="F743" s="224">
        <v>4.992500268671062</v>
      </c>
      <c r="G743" s="224">
        <v>3.7483693297868812</v>
      </c>
      <c r="H743" s="224">
        <v>2.5721454331569853</v>
      </c>
      <c r="I743" s="224">
        <v>1.973555201018298</v>
      </c>
      <c r="J743" s="224"/>
      <c r="M743" s="224">
        <f t="shared" si="39"/>
        <v>381404.01122039527</v>
      </c>
      <c r="N743" s="224">
        <f t="shared" si="40"/>
        <v>1.2441309388841808</v>
      </c>
      <c r="O743" s="224">
        <f t="shared" si="41"/>
        <v>0.59859023213868734</v>
      </c>
      <c r="Q743" s="224"/>
      <c r="R743" s="224"/>
      <c r="S743" s="429"/>
      <c r="Z743" s="362"/>
      <c r="AA743" s="421"/>
      <c r="AB743" s="362"/>
      <c r="AC743" s="362"/>
      <c r="AD743" s="362"/>
      <c r="AE743" s="362"/>
      <c r="AF743" s="362"/>
      <c r="AG743" s="362"/>
      <c r="AH743" s="362"/>
      <c r="AI743" s="393"/>
      <c r="AJ743" s="393"/>
      <c r="AK743" s="362"/>
      <c r="AL743" s="362"/>
      <c r="AM743" s="362"/>
      <c r="AN743" s="362"/>
      <c r="AO743" s="362"/>
      <c r="AP743" s="362"/>
      <c r="AQ743" s="362"/>
      <c r="AR743" s="362"/>
    </row>
    <row r="744" spans="1:44" ht="12.75" customHeight="1" x14ac:dyDescent="0.15">
      <c r="A744" s="431"/>
      <c r="B744" s="393"/>
      <c r="C744" s="428"/>
      <c r="D744" s="428">
        <v>536270.18525605253</v>
      </c>
      <c r="E744" s="224">
        <v>157361.16995755039</v>
      </c>
      <c r="F744" s="224">
        <v>4.0515498181863965</v>
      </c>
      <c r="G744" s="224">
        <v>3.9421893529146326</v>
      </c>
      <c r="H744" s="224">
        <v>2.574658263587235</v>
      </c>
      <c r="I744" s="224">
        <v>2.4397795262017508</v>
      </c>
      <c r="J744" s="224"/>
      <c r="M744" s="224">
        <f t="shared" si="39"/>
        <v>378909.01529850217</v>
      </c>
      <c r="N744" s="224">
        <f t="shared" si="40"/>
        <v>0.10936046527176391</v>
      </c>
      <c r="O744" s="224">
        <f t="shared" si="41"/>
        <v>0.13487873738548428</v>
      </c>
      <c r="Q744" s="224"/>
      <c r="R744" s="224"/>
      <c r="S744" s="429"/>
      <c r="Z744" s="362"/>
      <c r="AA744" s="421"/>
      <c r="AB744" s="362"/>
      <c r="AC744" s="362"/>
      <c r="AD744" s="362"/>
      <c r="AE744" s="362"/>
      <c r="AF744" s="362"/>
      <c r="AG744" s="362"/>
      <c r="AH744" s="362"/>
      <c r="AI744" s="393"/>
      <c r="AJ744" s="393"/>
      <c r="AK744" s="362"/>
      <c r="AL744" s="362"/>
      <c r="AM744" s="362"/>
      <c r="AN744" s="362"/>
      <c r="AO744" s="362"/>
      <c r="AP744" s="362"/>
      <c r="AQ744" s="362"/>
      <c r="AR744" s="362"/>
    </row>
    <row r="745" spans="1:44" ht="12.75" customHeight="1" x14ac:dyDescent="0.15">
      <c r="A745" s="431"/>
      <c r="B745" s="393"/>
      <c r="C745" s="428"/>
      <c r="D745" s="428">
        <v>657956.96048295277</v>
      </c>
      <c r="E745" s="224">
        <v>187928.66880456932</v>
      </c>
      <c r="F745" s="224">
        <v>4.3082695145506396</v>
      </c>
      <c r="G745" s="224">
        <v>3.9649051028886046</v>
      </c>
      <c r="H745" s="224">
        <v>2.3904892106432909</v>
      </c>
      <c r="I745" s="224">
        <v>2.0950265141935653</v>
      </c>
      <c r="J745" s="224"/>
      <c r="M745" s="224">
        <f t="shared" si="39"/>
        <v>470028.29167838348</v>
      </c>
      <c r="N745" s="224">
        <f t="shared" si="40"/>
        <v>0.34336441166203491</v>
      </c>
      <c r="O745" s="224">
        <f t="shared" si="41"/>
        <v>0.29546269644972556</v>
      </c>
      <c r="Q745" s="224"/>
      <c r="R745" s="224"/>
      <c r="S745" s="429"/>
      <c r="Z745" s="362"/>
      <c r="AA745" s="421"/>
      <c r="AB745" s="362"/>
      <c r="AC745" s="362"/>
      <c r="AD745" s="362"/>
      <c r="AE745" s="362"/>
      <c r="AF745" s="362"/>
      <c r="AG745" s="362"/>
      <c r="AH745" s="362"/>
      <c r="AI745" s="393"/>
      <c r="AJ745" s="393"/>
      <c r="AK745" s="362"/>
      <c r="AL745" s="362"/>
      <c r="AM745" s="362"/>
      <c r="AN745" s="362"/>
      <c r="AO745" s="362"/>
      <c r="AP745" s="362"/>
      <c r="AQ745" s="362"/>
      <c r="AR745" s="362"/>
    </row>
    <row r="746" spans="1:44" ht="12.75" customHeight="1" x14ac:dyDescent="0.15">
      <c r="A746" s="431"/>
      <c r="B746" s="393"/>
      <c r="C746" s="428"/>
      <c r="D746" s="428">
        <v>533802.77079760446</v>
      </c>
      <c r="E746" s="224">
        <v>154576.46156558965</v>
      </c>
      <c r="F746" s="224">
        <v>4.187199952442838</v>
      </c>
      <c r="G746" s="224">
        <v>3.7504926406976771</v>
      </c>
      <c r="H746" s="224">
        <v>2.5589858487796366</v>
      </c>
      <c r="I746" s="224">
        <v>2.2329549473180728</v>
      </c>
      <c r="J746" s="224"/>
      <c r="M746" s="224">
        <f t="shared" si="39"/>
        <v>379226.30923201481</v>
      </c>
      <c r="N746" s="224">
        <f t="shared" si="40"/>
        <v>0.43670731174516098</v>
      </c>
      <c r="O746" s="224">
        <f t="shared" si="41"/>
        <v>0.32603090146156388</v>
      </c>
      <c r="Q746" s="224"/>
      <c r="R746" s="224"/>
      <c r="S746" s="429"/>
      <c r="Z746" s="362"/>
      <c r="AA746" s="421"/>
      <c r="AB746" s="362"/>
      <c r="AC746" s="362"/>
      <c r="AD746" s="362"/>
      <c r="AE746" s="362"/>
      <c r="AF746" s="362"/>
      <c r="AG746" s="362"/>
      <c r="AH746" s="362"/>
      <c r="AI746" s="393"/>
      <c r="AJ746" s="393"/>
      <c r="AK746" s="362"/>
      <c r="AL746" s="362"/>
      <c r="AM746" s="362"/>
      <c r="AN746" s="362"/>
      <c r="AO746" s="362"/>
      <c r="AP746" s="362"/>
      <c r="AQ746" s="362"/>
      <c r="AR746" s="362"/>
    </row>
    <row r="747" spans="1:44" ht="12.75" customHeight="1" x14ac:dyDescent="0.15">
      <c r="A747" s="431"/>
      <c r="B747" s="393"/>
      <c r="C747" s="428"/>
      <c r="D747" s="428">
        <v>609761.58307970373</v>
      </c>
      <c r="E747" s="224">
        <v>132738.6589377682</v>
      </c>
      <c r="F747" s="224">
        <v>4.4161985634849188</v>
      </c>
      <c r="G747" s="224">
        <v>4.0424908296776492</v>
      </c>
      <c r="H747" s="224">
        <v>2.5852550890872932</v>
      </c>
      <c r="I747" s="224">
        <v>2.2476753040855026</v>
      </c>
      <c r="J747" s="224"/>
      <c r="M747" s="224">
        <f t="shared" si="39"/>
        <v>477022.92414193554</v>
      </c>
      <c r="N747" s="224">
        <f t="shared" si="40"/>
        <v>0.37370773380726963</v>
      </c>
      <c r="O747" s="224">
        <f t="shared" si="41"/>
        <v>0.33757978500179053</v>
      </c>
      <c r="Q747" s="224"/>
      <c r="R747" s="224"/>
      <c r="S747" s="429"/>
      <c r="Z747" s="362"/>
      <c r="AA747" s="421"/>
      <c r="AB747" s="362"/>
      <c r="AC747" s="362"/>
      <c r="AD747" s="362"/>
      <c r="AE747" s="362"/>
      <c r="AF747" s="362"/>
      <c r="AG747" s="362"/>
      <c r="AH747" s="362"/>
      <c r="AI747" s="393"/>
      <c r="AJ747" s="393"/>
      <c r="AK747" s="362"/>
      <c r="AL747" s="362"/>
      <c r="AM747" s="362"/>
      <c r="AN747" s="362"/>
      <c r="AO747" s="362"/>
      <c r="AP747" s="362"/>
      <c r="AQ747" s="362"/>
      <c r="AR747" s="362"/>
    </row>
    <row r="748" spans="1:44" ht="12.75" customHeight="1" x14ac:dyDescent="0.15">
      <c r="A748" s="431"/>
      <c r="B748" s="393"/>
      <c r="C748" s="428"/>
      <c r="D748" s="428">
        <v>580102.47791203496</v>
      </c>
      <c r="E748" s="224">
        <v>139289.75010187691</v>
      </c>
      <c r="F748" s="224">
        <v>4.3589742202619606</v>
      </c>
      <c r="G748" s="224">
        <v>3.2581115984719102</v>
      </c>
      <c r="H748" s="224">
        <v>2.7263627620026352</v>
      </c>
      <c r="I748" s="224">
        <v>1.9781533883770159</v>
      </c>
      <c r="J748" s="224"/>
      <c r="M748" s="224">
        <f t="shared" si="39"/>
        <v>440812.72781015805</v>
      </c>
      <c r="N748" s="224">
        <f t="shared" si="40"/>
        <v>1.1008626217900503</v>
      </c>
      <c r="O748" s="224">
        <f t="shared" si="41"/>
        <v>0.74820937362561923</v>
      </c>
      <c r="Q748" s="224"/>
      <c r="R748" s="224"/>
      <c r="S748" s="429"/>
      <c r="Z748" s="362"/>
      <c r="AA748" s="421"/>
      <c r="AB748" s="362"/>
      <c r="AC748" s="362"/>
      <c r="AD748" s="362"/>
      <c r="AE748" s="362"/>
      <c r="AF748" s="362"/>
      <c r="AG748" s="362"/>
      <c r="AH748" s="362"/>
      <c r="AI748" s="393"/>
      <c r="AJ748" s="393"/>
      <c r="AK748" s="362"/>
      <c r="AL748" s="362"/>
      <c r="AM748" s="362"/>
      <c r="AN748" s="362"/>
      <c r="AO748" s="362"/>
      <c r="AP748" s="362"/>
      <c r="AQ748" s="362"/>
      <c r="AR748" s="362"/>
    </row>
    <row r="749" spans="1:44" ht="12.75" customHeight="1" x14ac:dyDescent="0.15">
      <c r="A749" s="431"/>
      <c r="B749" s="393"/>
      <c r="C749" s="428"/>
      <c r="D749" s="428">
        <v>491245.95895103912</v>
      </c>
      <c r="E749" s="224">
        <v>121614.56861135765</v>
      </c>
      <c r="F749" s="224">
        <v>4.2859374795129863</v>
      </c>
      <c r="G749" s="224">
        <v>3.8754986001053764</v>
      </c>
      <c r="H749" s="224">
        <v>2.6729296615027729</v>
      </c>
      <c r="I749" s="224">
        <v>2.3952812813837636</v>
      </c>
      <c r="J749" s="224"/>
      <c r="M749" s="224">
        <f t="shared" si="39"/>
        <v>369631.39033968147</v>
      </c>
      <c r="N749" s="224">
        <f t="shared" si="40"/>
        <v>0.41043887940760992</v>
      </c>
      <c r="O749" s="224">
        <f t="shared" si="41"/>
        <v>0.27764838011900927</v>
      </c>
      <c r="Q749" s="224"/>
      <c r="R749" s="224"/>
      <c r="S749" s="429"/>
      <c r="Z749" s="362"/>
      <c r="AA749" s="421"/>
      <c r="AB749" s="362"/>
      <c r="AC749" s="362"/>
      <c r="AD749" s="362"/>
      <c r="AE749" s="362"/>
      <c r="AF749" s="362"/>
      <c r="AG749" s="362"/>
      <c r="AH749" s="362"/>
      <c r="AI749" s="393"/>
      <c r="AJ749" s="393"/>
      <c r="AK749" s="362"/>
      <c r="AL749" s="362"/>
      <c r="AM749" s="362"/>
      <c r="AN749" s="362"/>
      <c r="AO749" s="362"/>
      <c r="AP749" s="362"/>
      <c r="AQ749" s="362"/>
      <c r="AR749" s="362"/>
    </row>
    <row r="750" spans="1:44" ht="12.75" customHeight="1" x14ac:dyDescent="0.15">
      <c r="A750" s="431"/>
      <c r="B750" s="393"/>
      <c r="C750" s="428"/>
      <c r="D750" s="428">
        <v>630467.23173651297</v>
      </c>
      <c r="E750" s="224">
        <v>149838.03958318863</v>
      </c>
      <c r="F750" s="224">
        <v>4.0866483424837137</v>
      </c>
      <c r="G750" s="224">
        <v>3.8334692960565229</v>
      </c>
      <c r="H750" s="224">
        <v>2.4603577508589445</v>
      </c>
      <c r="I750" s="224">
        <v>2.1016835127117171</v>
      </c>
      <c r="J750" s="224"/>
      <c r="M750" s="224">
        <f t="shared" si="39"/>
        <v>480629.19215332437</v>
      </c>
      <c r="N750" s="224">
        <f t="shared" si="40"/>
        <v>0.2531790464271908</v>
      </c>
      <c r="O750" s="224">
        <f t="shared" si="41"/>
        <v>0.35867423814722743</v>
      </c>
      <c r="Q750" s="224"/>
      <c r="R750" s="224"/>
      <c r="S750" s="429"/>
      <c r="Z750" s="362"/>
      <c r="AA750" s="421"/>
      <c r="AB750" s="362"/>
      <c r="AC750" s="362"/>
      <c r="AD750" s="362"/>
      <c r="AE750" s="362"/>
      <c r="AF750" s="362"/>
      <c r="AG750" s="362"/>
      <c r="AH750" s="362"/>
      <c r="AI750" s="393"/>
      <c r="AJ750" s="393"/>
      <c r="AK750" s="362"/>
      <c r="AL750" s="362"/>
      <c r="AM750" s="362"/>
      <c r="AN750" s="362"/>
      <c r="AO750" s="362"/>
      <c r="AP750" s="362"/>
      <c r="AQ750" s="362"/>
      <c r="AR750" s="362"/>
    </row>
    <row r="751" spans="1:44" ht="12.75" customHeight="1" x14ac:dyDescent="0.15">
      <c r="A751" s="431"/>
      <c r="B751" s="393"/>
      <c r="C751" s="428"/>
      <c r="D751" s="428">
        <v>628557.32149498281</v>
      </c>
      <c r="E751" s="224">
        <v>147494.62995365748</v>
      </c>
      <c r="F751" s="224">
        <v>5.1564560319129527</v>
      </c>
      <c r="G751" s="224">
        <v>3.5288958770903531</v>
      </c>
      <c r="H751" s="224">
        <v>2.8295086662380302</v>
      </c>
      <c r="I751" s="224">
        <v>1.928662445316927</v>
      </c>
      <c r="J751" s="224"/>
      <c r="M751" s="224">
        <f t="shared" si="39"/>
        <v>481062.6915413253</v>
      </c>
      <c r="N751" s="224">
        <f t="shared" si="40"/>
        <v>1.6275601548225995</v>
      </c>
      <c r="O751" s="224">
        <f t="shared" si="41"/>
        <v>0.90084622092110322</v>
      </c>
      <c r="Q751" s="224"/>
      <c r="R751" s="224"/>
      <c r="S751" s="429"/>
      <c r="Z751" s="362"/>
      <c r="AA751" s="421"/>
      <c r="AB751" s="362"/>
      <c r="AC751" s="362"/>
      <c r="AD751" s="362"/>
      <c r="AE751" s="362"/>
      <c r="AF751" s="362"/>
      <c r="AG751" s="362"/>
      <c r="AH751" s="362"/>
      <c r="AI751" s="393"/>
      <c r="AJ751" s="393"/>
      <c r="AK751" s="362"/>
      <c r="AL751" s="362"/>
      <c r="AM751" s="362"/>
      <c r="AN751" s="362"/>
      <c r="AO751" s="362"/>
      <c r="AP751" s="362"/>
      <c r="AQ751" s="362"/>
      <c r="AR751" s="362"/>
    </row>
    <row r="752" spans="1:44" ht="12.75" customHeight="1" x14ac:dyDescent="0.15">
      <c r="A752" s="431"/>
      <c r="B752" s="393"/>
      <c r="C752" s="428"/>
      <c r="D752" s="428">
        <v>653718.91039743321</v>
      </c>
      <c r="E752" s="224">
        <v>175644.22628812137</v>
      </c>
      <c r="F752" s="224">
        <v>4.652926195730374</v>
      </c>
      <c r="G752" s="224">
        <v>4.0877467871359068</v>
      </c>
      <c r="H752" s="224">
        <v>2.5604998506355789</v>
      </c>
      <c r="I752" s="224">
        <v>2.0934594357927208</v>
      </c>
      <c r="J752" s="224"/>
      <c r="M752" s="224">
        <f t="shared" si="39"/>
        <v>478074.68410931184</v>
      </c>
      <c r="N752" s="224">
        <f t="shared" si="40"/>
        <v>0.56517940859446725</v>
      </c>
      <c r="O752" s="224">
        <f t="shared" si="41"/>
        <v>0.46704041484285819</v>
      </c>
      <c r="Q752" s="224"/>
      <c r="R752" s="224"/>
      <c r="S752" s="429"/>
      <c r="Z752" s="362"/>
      <c r="AA752" s="421"/>
      <c r="AB752" s="362"/>
      <c r="AC752" s="362"/>
      <c r="AD752" s="362"/>
      <c r="AE752" s="362"/>
      <c r="AF752" s="362"/>
      <c r="AG752" s="362"/>
      <c r="AH752" s="362"/>
      <c r="AI752" s="393"/>
      <c r="AJ752" s="393"/>
      <c r="AK752" s="362"/>
      <c r="AL752" s="362"/>
      <c r="AM752" s="362"/>
      <c r="AN752" s="362"/>
      <c r="AO752" s="362"/>
      <c r="AP752" s="362"/>
      <c r="AQ752" s="362"/>
      <c r="AR752" s="362"/>
    </row>
    <row r="753" spans="1:44" ht="12.75" customHeight="1" x14ac:dyDescent="0.15">
      <c r="A753" s="431"/>
      <c r="B753" s="393"/>
      <c r="C753" s="428"/>
      <c r="D753" s="428">
        <v>562698.14136324474</v>
      </c>
      <c r="E753" s="224">
        <v>112674.44179314291</v>
      </c>
      <c r="F753" s="224">
        <v>4.299288908858232</v>
      </c>
      <c r="G753" s="224">
        <v>3.6553481688406908</v>
      </c>
      <c r="H753" s="224">
        <v>2.6971128094113594</v>
      </c>
      <c r="I753" s="224">
        <v>2.2248827399882858</v>
      </c>
      <c r="J753" s="224"/>
      <c r="M753" s="224">
        <f t="shared" si="39"/>
        <v>450023.6995701018</v>
      </c>
      <c r="N753" s="224">
        <f t="shared" si="40"/>
        <v>0.6439407400175412</v>
      </c>
      <c r="O753" s="224">
        <f t="shared" si="41"/>
        <v>0.47223006942307366</v>
      </c>
      <c r="Q753" s="224"/>
      <c r="R753" s="224"/>
      <c r="S753" s="429"/>
      <c r="Z753" s="362"/>
      <c r="AA753" s="421"/>
      <c r="AB753" s="362"/>
      <c r="AC753" s="362"/>
      <c r="AD753" s="362"/>
      <c r="AE753" s="362"/>
      <c r="AF753" s="362"/>
      <c r="AG753" s="362"/>
      <c r="AH753" s="362"/>
      <c r="AI753" s="393"/>
      <c r="AJ753" s="393"/>
      <c r="AK753" s="362"/>
      <c r="AL753" s="362"/>
      <c r="AM753" s="362"/>
      <c r="AN753" s="362"/>
      <c r="AO753" s="362"/>
      <c r="AP753" s="362"/>
      <c r="AQ753" s="362"/>
      <c r="AR753" s="362"/>
    </row>
    <row r="754" spans="1:44" ht="12.75" customHeight="1" x14ac:dyDescent="0.15">
      <c r="A754" s="431"/>
      <c r="B754" s="393"/>
      <c r="C754" s="428"/>
      <c r="D754" s="428">
        <v>584952.06106793776</v>
      </c>
      <c r="E754" s="224">
        <v>210595.96941910224</v>
      </c>
      <c r="F754" s="224">
        <v>3.725320850739696</v>
      </c>
      <c r="G754" s="224">
        <v>4.1681900355586441</v>
      </c>
      <c r="H754" s="224">
        <v>2.6475627460858888</v>
      </c>
      <c r="I754" s="224">
        <v>2.4053218216491858</v>
      </c>
      <c r="J754" s="224"/>
      <c r="M754" s="224">
        <f t="shared" si="39"/>
        <v>374356.09164883551</v>
      </c>
      <c r="N754" s="224">
        <f t="shared" si="40"/>
        <v>-0.4428691848189481</v>
      </c>
      <c r="O754" s="224">
        <f t="shared" si="41"/>
        <v>0.24224092443670298</v>
      </c>
      <c r="Q754" s="224"/>
      <c r="R754" s="224"/>
      <c r="S754" s="429"/>
      <c r="Z754" s="362"/>
      <c r="AA754" s="421"/>
      <c r="AB754" s="362"/>
      <c r="AC754" s="362"/>
      <c r="AD754" s="362"/>
      <c r="AE754" s="362"/>
      <c r="AF754" s="362"/>
      <c r="AG754" s="362"/>
      <c r="AH754" s="362"/>
      <c r="AI754" s="393"/>
      <c r="AJ754" s="393"/>
      <c r="AK754" s="362"/>
      <c r="AL754" s="362"/>
      <c r="AM754" s="362"/>
      <c r="AN754" s="362"/>
      <c r="AO754" s="362"/>
      <c r="AP754" s="362"/>
      <c r="AQ754" s="362"/>
      <c r="AR754" s="362"/>
    </row>
    <row r="755" spans="1:44" ht="12.75" customHeight="1" x14ac:dyDescent="0.15">
      <c r="A755" s="431"/>
      <c r="B755" s="393"/>
      <c r="C755" s="428"/>
      <c r="D755" s="428">
        <v>606340.61648833926</v>
      </c>
      <c r="E755" s="224">
        <v>114936.11593304024</v>
      </c>
      <c r="F755" s="224">
        <v>4.5176756222916623</v>
      </c>
      <c r="G755" s="224">
        <v>3.9439151693304613</v>
      </c>
      <c r="H755" s="224">
        <v>2.58319963118341</v>
      </c>
      <c r="I755" s="224">
        <v>2.0167628104035633</v>
      </c>
      <c r="J755" s="224"/>
      <c r="M755" s="224">
        <f t="shared" si="39"/>
        <v>491404.50055529899</v>
      </c>
      <c r="N755" s="224">
        <f t="shared" si="40"/>
        <v>0.57376045296120104</v>
      </c>
      <c r="O755" s="224">
        <f t="shared" si="41"/>
        <v>0.56643682077984669</v>
      </c>
      <c r="Q755" s="224"/>
      <c r="R755" s="224"/>
      <c r="S755" s="429"/>
      <c r="Z755" s="362"/>
      <c r="AA755" s="421"/>
      <c r="AB755" s="362"/>
      <c r="AC755" s="362"/>
      <c r="AD755" s="362"/>
      <c r="AE755" s="362"/>
      <c r="AF755" s="362"/>
      <c r="AG755" s="362"/>
      <c r="AH755" s="362"/>
      <c r="AI755" s="393"/>
      <c r="AJ755" s="393"/>
      <c r="AK755" s="362"/>
      <c r="AL755" s="362"/>
      <c r="AM755" s="362"/>
      <c r="AN755" s="362"/>
      <c r="AO755" s="362"/>
      <c r="AP755" s="362"/>
      <c r="AQ755" s="362"/>
      <c r="AR755" s="362"/>
    </row>
    <row r="756" spans="1:44" ht="12.75" customHeight="1" x14ac:dyDescent="0.15">
      <c r="A756" s="431"/>
      <c r="B756" s="393"/>
      <c r="C756" s="428"/>
      <c r="D756" s="428">
        <v>708974.17881468253</v>
      </c>
      <c r="E756" s="224">
        <v>180876.02544938581</v>
      </c>
      <c r="F756" s="224">
        <v>4.7410935933292837</v>
      </c>
      <c r="G756" s="224">
        <v>4.105234943336785</v>
      </c>
      <c r="H756" s="224">
        <v>2.724668161659185</v>
      </c>
      <c r="I756" s="224">
        <v>2.0745553459418775</v>
      </c>
      <c r="J756" s="224"/>
      <c r="M756" s="224">
        <f t="shared" si="39"/>
        <v>528098.15336529678</v>
      </c>
      <c r="N756" s="224">
        <f t="shared" si="40"/>
        <v>0.63585864999249875</v>
      </c>
      <c r="O756" s="224">
        <f t="shared" si="41"/>
        <v>0.6501128157173075</v>
      </c>
      <c r="Q756" s="224"/>
      <c r="R756" s="224"/>
      <c r="S756" s="429"/>
      <c r="Z756" s="362"/>
      <c r="AA756" s="421"/>
      <c r="AB756" s="362"/>
      <c r="AC756" s="362"/>
      <c r="AD756" s="362"/>
      <c r="AE756" s="362"/>
      <c r="AF756" s="362"/>
      <c r="AG756" s="362"/>
      <c r="AH756" s="362"/>
      <c r="AI756" s="393"/>
      <c r="AJ756" s="393"/>
      <c r="AK756" s="362"/>
      <c r="AL756" s="362"/>
      <c r="AM756" s="362"/>
      <c r="AN756" s="362"/>
      <c r="AO756" s="362"/>
      <c r="AP756" s="362"/>
      <c r="AQ756" s="362"/>
      <c r="AR756" s="362"/>
    </row>
    <row r="757" spans="1:44" ht="12.75" customHeight="1" x14ac:dyDescent="0.15">
      <c r="A757" s="431"/>
      <c r="B757" s="393"/>
      <c r="C757" s="428"/>
      <c r="D757" s="428">
        <v>552368.69201365311</v>
      </c>
      <c r="E757" s="224">
        <v>148467.4683714241</v>
      </c>
      <c r="F757" s="224">
        <v>4.2290371895708709</v>
      </c>
      <c r="G757" s="224">
        <v>4.2304759192508534</v>
      </c>
      <c r="H757" s="224">
        <v>2.6406465854174459</v>
      </c>
      <c r="I757" s="224">
        <v>2.6117759955379292</v>
      </c>
      <c r="J757" s="224"/>
      <c r="M757" s="224">
        <f t="shared" si="39"/>
        <v>403901.22364222899</v>
      </c>
      <c r="N757" s="224">
        <f t="shared" si="40"/>
        <v>-1.4387296799824867E-3</v>
      </c>
      <c r="O757" s="224">
        <f t="shared" si="41"/>
        <v>2.8870589879516739E-2</v>
      </c>
      <c r="Q757" s="224"/>
      <c r="R757" s="224"/>
      <c r="S757" s="429"/>
      <c r="Z757" s="362"/>
      <c r="AA757" s="421"/>
      <c r="AB757" s="362"/>
      <c r="AC757" s="362"/>
      <c r="AD757" s="362"/>
      <c r="AE757" s="362"/>
      <c r="AF757" s="362"/>
      <c r="AG757" s="362"/>
      <c r="AH757" s="362"/>
      <c r="AI757" s="393"/>
      <c r="AJ757" s="393"/>
      <c r="AK757" s="362"/>
      <c r="AL757" s="362"/>
      <c r="AM757" s="362"/>
      <c r="AN757" s="362"/>
      <c r="AO757" s="362"/>
      <c r="AP757" s="362"/>
      <c r="AQ757" s="362"/>
      <c r="AR757" s="362"/>
    </row>
    <row r="758" spans="1:44" ht="12.75" customHeight="1" x14ac:dyDescent="0.15">
      <c r="A758" s="431"/>
      <c r="B758" s="393"/>
      <c r="C758" s="428"/>
      <c r="D758" s="428">
        <v>822827.58180251706</v>
      </c>
      <c r="E758" s="224">
        <v>234651.16144930257</v>
      </c>
      <c r="F758" s="224">
        <v>4.5453244133710067</v>
      </c>
      <c r="G758" s="224">
        <v>4.168077714806472</v>
      </c>
      <c r="H758" s="224">
        <v>2.9436307942396658</v>
      </c>
      <c r="I758" s="224">
        <v>2.1739313179001494</v>
      </c>
      <c r="J758" s="224"/>
      <c r="M758" s="224">
        <f t="shared" si="39"/>
        <v>588176.42035321449</v>
      </c>
      <c r="N758" s="224">
        <f t="shared" si="40"/>
        <v>0.37724669856453463</v>
      </c>
      <c r="O758" s="224">
        <f t="shared" si="41"/>
        <v>0.76969947633951641</v>
      </c>
      <c r="Q758" s="224"/>
      <c r="R758" s="224"/>
      <c r="S758" s="429"/>
      <c r="Z758" s="362"/>
      <c r="AA758" s="421"/>
      <c r="AB758" s="362"/>
      <c r="AC758" s="362"/>
      <c r="AD758" s="362"/>
      <c r="AE758" s="362"/>
      <c r="AF758" s="362"/>
      <c r="AG758" s="362"/>
      <c r="AH758" s="362"/>
      <c r="AI758" s="393"/>
      <c r="AJ758" s="393"/>
      <c r="AK758" s="362"/>
      <c r="AL758" s="362"/>
      <c r="AM758" s="362"/>
      <c r="AN758" s="362"/>
      <c r="AO758" s="362"/>
      <c r="AP758" s="362"/>
      <c r="AQ758" s="362"/>
      <c r="AR758" s="362"/>
    </row>
    <row r="759" spans="1:44" ht="12.75" customHeight="1" x14ac:dyDescent="0.15">
      <c r="A759" s="431"/>
      <c r="B759" s="393"/>
      <c r="C759" s="428"/>
      <c r="D759" s="428">
        <v>656249.81874971569</v>
      </c>
      <c r="E759" s="224">
        <v>148492.01435265646</v>
      </c>
      <c r="F759" s="224">
        <v>4.5678529855090986</v>
      </c>
      <c r="G759" s="224">
        <v>4.1355748545790245</v>
      </c>
      <c r="H759" s="224">
        <v>3.0419630266302971</v>
      </c>
      <c r="I759" s="224">
        <v>2.4713311526239403</v>
      </c>
      <c r="J759" s="224"/>
      <c r="M759" s="224">
        <f t="shared" si="39"/>
        <v>507757.80439705926</v>
      </c>
      <c r="N759" s="224">
        <f t="shared" si="40"/>
        <v>0.43227813093007406</v>
      </c>
      <c r="O759" s="224">
        <f t="shared" si="41"/>
        <v>0.57063187400635673</v>
      </c>
      <c r="Q759" s="224"/>
      <c r="R759" s="224"/>
      <c r="S759" s="429"/>
      <c r="Z759" s="362"/>
      <c r="AA759" s="421"/>
      <c r="AB759" s="362"/>
      <c r="AC759" s="362"/>
      <c r="AD759" s="362"/>
      <c r="AE759" s="362"/>
      <c r="AF759" s="362"/>
      <c r="AG759" s="362"/>
      <c r="AH759" s="362"/>
      <c r="AI759" s="393"/>
      <c r="AJ759" s="393"/>
      <c r="AK759" s="362"/>
      <c r="AL759" s="362"/>
      <c r="AM759" s="362"/>
      <c r="AN759" s="362"/>
      <c r="AO759" s="362"/>
      <c r="AP759" s="362"/>
      <c r="AQ759" s="362"/>
      <c r="AR759" s="362"/>
    </row>
    <row r="760" spans="1:44" ht="12.75" customHeight="1" x14ac:dyDescent="0.15">
      <c r="A760" s="431"/>
      <c r="B760" s="393"/>
      <c r="C760" s="428"/>
      <c r="D760" s="428">
        <v>609221.14544731227</v>
      </c>
      <c r="E760" s="224">
        <v>145968.96934748351</v>
      </c>
      <c r="F760" s="224">
        <v>3.885257464315885</v>
      </c>
      <c r="G760" s="224">
        <v>4.3176734290505081</v>
      </c>
      <c r="H760" s="224">
        <v>2.4418285127806487</v>
      </c>
      <c r="I760" s="224">
        <v>2.3269619596033957</v>
      </c>
      <c r="J760" s="224"/>
      <c r="M760" s="224">
        <f t="shared" si="39"/>
        <v>463252.17609982879</v>
      </c>
      <c r="N760" s="224">
        <f t="shared" si="40"/>
        <v>-0.43241596473462307</v>
      </c>
      <c r="O760" s="224">
        <f t="shared" si="41"/>
        <v>0.11486655317725303</v>
      </c>
      <c r="Q760" s="224"/>
      <c r="R760" s="224"/>
      <c r="S760" s="429"/>
      <c r="Z760" s="362"/>
      <c r="AA760" s="421"/>
      <c r="AB760" s="362"/>
      <c r="AC760" s="362"/>
      <c r="AD760" s="362"/>
      <c r="AE760" s="362"/>
      <c r="AF760" s="362"/>
      <c r="AG760" s="362"/>
      <c r="AH760" s="362"/>
      <c r="AI760" s="393"/>
      <c r="AJ760" s="393"/>
      <c r="AK760" s="362"/>
      <c r="AL760" s="362"/>
      <c r="AM760" s="362"/>
      <c r="AN760" s="362"/>
      <c r="AO760" s="362"/>
      <c r="AP760" s="362"/>
      <c r="AQ760" s="362"/>
      <c r="AR760" s="362"/>
    </row>
    <row r="761" spans="1:44" ht="12.75" customHeight="1" x14ac:dyDescent="0.15">
      <c r="A761" s="431"/>
      <c r="B761" s="393"/>
      <c r="C761" s="428"/>
      <c r="D761" s="428">
        <v>566455.41747426358</v>
      </c>
      <c r="E761" s="224">
        <v>160950.5627960983</v>
      </c>
      <c r="F761" s="224">
        <v>4.3697800742743551</v>
      </c>
      <c r="G761" s="224">
        <v>4.4765714111918333</v>
      </c>
      <c r="H761" s="224">
        <v>2.5071629765488845</v>
      </c>
      <c r="I761" s="224">
        <v>2.4265305855289085</v>
      </c>
      <c r="J761" s="224"/>
      <c r="M761" s="224">
        <f t="shared" si="39"/>
        <v>405504.85467816528</v>
      </c>
      <c r="N761" s="224">
        <f t="shared" si="40"/>
        <v>-0.10679133691747822</v>
      </c>
      <c r="O761" s="224">
        <f t="shared" si="41"/>
        <v>8.0632391019975991E-2</v>
      </c>
      <c r="Q761" s="224"/>
      <c r="R761" s="224"/>
      <c r="S761" s="429"/>
      <c r="Z761" s="362"/>
      <c r="AA761" s="421"/>
      <c r="AB761" s="362"/>
      <c r="AC761" s="362"/>
      <c r="AD761" s="362"/>
      <c r="AE761" s="362"/>
      <c r="AF761" s="362"/>
      <c r="AG761" s="362"/>
      <c r="AH761" s="362"/>
      <c r="AI761" s="393"/>
      <c r="AJ761" s="393"/>
      <c r="AK761" s="362"/>
      <c r="AL761" s="362"/>
      <c r="AM761" s="362"/>
      <c r="AN761" s="362"/>
      <c r="AO761" s="362"/>
      <c r="AP761" s="362"/>
      <c r="AQ761" s="362"/>
      <c r="AR761" s="362"/>
    </row>
    <row r="762" spans="1:44" ht="12.75" customHeight="1" x14ac:dyDescent="0.15">
      <c r="A762" s="431"/>
      <c r="B762" s="393"/>
      <c r="C762" s="428"/>
      <c r="D762" s="428">
        <v>688189.02275391144</v>
      </c>
      <c r="E762" s="224">
        <v>144175.23839538897</v>
      </c>
      <c r="F762" s="224">
        <v>4.3874873857506751</v>
      </c>
      <c r="G762" s="224">
        <v>3.9186609220072603</v>
      </c>
      <c r="H762" s="224">
        <v>2.9623186332200713</v>
      </c>
      <c r="I762" s="224">
        <v>2.2116906858000789</v>
      </c>
      <c r="J762" s="224"/>
      <c r="M762" s="224">
        <f t="shared" si="39"/>
        <v>544013.78435852251</v>
      </c>
      <c r="N762" s="224">
        <f t="shared" si="40"/>
        <v>0.46882646374341475</v>
      </c>
      <c r="O762" s="224">
        <f t="shared" si="41"/>
        <v>0.75062794741999239</v>
      </c>
      <c r="Q762" s="224"/>
      <c r="R762" s="224"/>
      <c r="S762" s="429"/>
      <c r="Z762" s="362"/>
      <c r="AA762" s="421"/>
      <c r="AB762" s="362"/>
      <c r="AC762" s="362"/>
      <c r="AD762" s="362"/>
      <c r="AE762" s="362"/>
      <c r="AF762" s="362"/>
      <c r="AG762" s="362"/>
      <c r="AH762" s="362"/>
      <c r="AI762" s="393"/>
      <c r="AJ762" s="393"/>
      <c r="AK762" s="362"/>
      <c r="AL762" s="362"/>
      <c r="AM762" s="362"/>
      <c r="AN762" s="362"/>
      <c r="AO762" s="362"/>
      <c r="AP762" s="362"/>
      <c r="AQ762" s="362"/>
      <c r="AR762" s="362"/>
    </row>
    <row r="763" spans="1:44" ht="12.75" customHeight="1" x14ac:dyDescent="0.15">
      <c r="A763" s="431"/>
      <c r="B763" s="393"/>
      <c r="C763" s="428"/>
      <c r="D763" s="428">
        <v>644101.29971972643</v>
      </c>
      <c r="E763" s="224">
        <v>204735.03320486631</v>
      </c>
      <c r="F763" s="224">
        <v>4.4141736291468945</v>
      </c>
      <c r="G763" s="224">
        <v>3.8332991382853576</v>
      </c>
      <c r="H763" s="224">
        <v>2.5493002850788411</v>
      </c>
      <c r="I763" s="224">
        <v>1.9794703299930174</v>
      </c>
      <c r="J763" s="224"/>
      <c r="M763" s="224">
        <f t="shared" si="39"/>
        <v>439366.26651486009</v>
      </c>
      <c r="N763" s="224">
        <f t="shared" si="40"/>
        <v>0.58087449086153686</v>
      </c>
      <c r="O763" s="224">
        <f t="shared" si="41"/>
        <v>0.56982995508582368</v>
      </c>
      <c r="Q763" s="224"/>
      <c r="R763" s="224"/>
      <c r="S763" s="429"/>
      <c r="Z763" s="362"/>
      <c r="AA763" s="421"/>
      <c r="AB763" s="362"/>
      <c r="AC763" s="362"/>
      <c r="AD763" s="362"/>
      <c r="AE763" s="362"/>
      <c r="AF763" s="362"/>
      <c r="AG763" s="362"/>
      <c r="AH763" s="362"/>
      <c r="AI763" s="393"/>
      <c r="AJ763" s="393"/>
      <c r="AK763" s="362"/>
      <c r="AL763" s="362"/>
      <c r="AM763" s="362"/>
      <c r="AN763" s="362"/>
      <c r="AO763" s="362"/>
      <c r="AP763" s="362"/>
      <c r="AQ763" s="362"/>
      <c r="AR763" s="362"/>
    </row>
    <row r="764" spans="1:44" ht="12.75" customHeight="1" x14ac:dyDescent="0.15">
      <c r="A764" s="431"/>
      <c r="B764" s="393"/>
      <c r="C764" s="428"/>
      <c r="D764" s="428">
        <v>553134.046412264</v>
      </c>
      <c r="E764" s="224">
        <v>149536.92793981236</v>
      </c>
      <c r="F764" s="224">
        <v>4.3280410568397318</v>
      </c>
      <c r="G764" s="224">
        <v>3.6751840000902716</v>
      </c>
      <c r="H764" s="224">
        <v>2.6042531910383127</v>
      </c>
      <c r="I764" s="224">
        <v>2.096384308445689</v>
      </c>
      <c r="J764" s="224"/>
      <c r="M764" s="224">
        <f t="shared" si="39"/>
        <v>403597.11847245164</v>
      </c>
      <c r="N764" s="224">
        <f t="shared" si="40"/>
        <v>0.65285705674946026</v>
      </c>
      <c r="O764" s="224">
        <f t="shared" si="41"/>
        <v>0.50786888259262364</v>
      </c>
      <c r="Q764" s="224"/>
      <c r="R764" s="224"/>
      <c r="S764" s="429"/>
      <c r="Z764" s="362"/>
      <c r="AA764" s="421"/>
      <c r="AB764" s="362"/>
      <c r="AC764" s="362"/>
      <c r="AD764" s="362"/>
      <c r="AE764" s="362"/>
      <c r="AF764" s="362"/>
      <c r="AG764" s="362"/>
      <c r="AH764" s="362"/>
      <c r="AI764" s="393"/>
      <c r="AJ764" s="393"/>
      <c r="AK764" s="362"/>
      <c r="AL764" s="362"/>
      <c r="AM764" s="362"/>
      <c r="AN764" s="362"/>
      <c r="AO764" s="362"/>
      <c r="AP764" s="362"/>
      <c r="AQ764" s="362"/>
      <c r="AR764" s="362"/>
    </row>
    <row r="765" spans="1:44" ht="12.75" customHeight="1" x14ac:dyDescent="0.15">
      <c r="A765" s="431"/>
      <c r="B765" s="393"/>
      <c r="C765" s="428"/>
      <c r="D765" s="428">
        <v>558261.35322847869</v>
      </c>
      <c r="E765" s="224">
        <v>126120.10836240996</v>
      </c>
      <c r="F765" s="224">
        <v>4.5333562301927746</v>
      </c>
      <c r="G765" s="224">
        <v>3.7651798268780041</v>
      </c>
      <c r="H765" s="224">
        <v>2.6875802763899874</v>
      </c>
      <c r="I765" s="224">
        <v>2.0737167276794741</v>
      </c>
      <c r="J765" s="224"/>
      <c r="M765" s="224">
        <f t="shared" si="39"/>
        <v>432141.24486606871</v>
      </c>
      <c r="N765" s="224">
        <f t="shared" si="40"/>
        <v>0.76817640331477044</v>
      </c>
      <c r="O765" s="224">
        <f t="shared" si="41"/>
        <v>0.6138635487105133</v>
      </c>
      <c r="Q765" s="224"/>
      <c r="R765" s="224"/>
      <c r="S765" s="429"/>
      <c r="Z765" s="362"/>
      <c r="AA765" s="421"/>
      <c r="AB765" s="362"/>
      <c r="AC765" s="362"/>
      <c r="AD765" s="362"/>
      <c r="AE765" s="362"/>
      <c r="AF765" s="362"/>
      <c r="AG765" s="362"/>
      <c r="AH765" s="362"/>
      <c r="AI765" s="393"/>
      <c r="AJ765" s="393"/>
      <c r="AK765" s="362"/>
      <c r="AL765" s="362"/>
      <c r="AM765" s="362"/>
      <c r="AN765" s="362"/>
      <c r="AO765" s="362"/>
      <c r="AP765" s="362"/>
      <c r="AQ765" s="362"/>
      <c r="AR765" s="362"/>
    </row>
    <row r="766" spans="1:44" ht="12.75" customHeight="1" x14ac:dyDescent="0.15">
      <c r="A766" s="431"/>
      <c r="B766" s="393"/>
      <c r="C766" s="428"/>
      <c r="D766" s="428">
        <v>496898.64252054633</v>
      </c>
      <c r="E766" s="224">
        <v>132571.74027186821</v>
      </c>
      <c r="F766" s="224">
        <v>4.3296319021309344</v>
      </c>
      <c r="G766" s="224">
        <v>4.1591565428837169</v>
      </c>
      <c r="H766" s="224">
        <v>2.5424591361866589</v>
      </c>
      <c r="I766" s="224">
        <v>2.3402553042940011</v>
      </c>
      <c r="J766" s="224"/>
      <c r="M766" s="224">
        <f t="shared" si="39"/>
        <v>364326.90224867815</v>
      </c>
      <c r="N766" s="224">
        <f t="shared" si="40"/>
        <v>0.17047535924721746</v>
      </c>
      <c r="O766" s="224">
        <f t="shared" si="41"/>
        <v>0.20220383189265778</v>
      </c>
      <c r="Q766" s="224"/>
      <c r="R766" s="224"/>
      <c r="S766" s="429"/>
      <c r="Z766" s="362"/>
      <c r="AA766" s="421"/>
      <c r="AB766" s="362"/>
      <c r="AC766" s="362"/>
      <c r="AD766" s="362"/>
      <c r="AE766" s="362"/>
      <c r="AF766" s="362"/>
      <c r="AG766" s="362"/>
      <c r="AH766" s="362"/>
      <c r="AI766" s="393"/>
      <c r="AJ766" s="393"/>
      <c r="AK766" s="362"/>
      <c r="AL766" s="362"/>
      <c r="AM766" s="362"/>
      <c r="AN766" s="362"/>
      <c r="AO766" s="362"/>
      <c r="AP766" s="362"/>
      <c r="AQ766" s="362"/>
      <c r="AR766" s="362"/>
    </row>
    <row r="767" spans="1:44" ht="12.75" customHeight="1" x14ac:dyDescent="0.15">
      <c r="A767" s="431"/>
      <c r="B767" s="393"/>
      <c r="C767" s="428"/>
      <c r="D767" s="428">
        <v>601263.35092769866</v>
      </c>
      <c r="E767" s="224">
        <v>165938.61884101125</v>
      </c>
      <c r="F767" s="224">
        <v>4.3815648547723507</v>
      </c>
      <c r="G767" s="224">
        <v>4.3857000534370085</v>
      </c>
      <c r="H767" s="224">
        <v>2.9404178696483343</v>
      </c>
      <c r="I767" s="224">
        <v>2.7361036417017757</v>
      </c>
      <c r="J767" s="224"/>
      <c r="M767" s="224">
        <f t="shared" si="39"/>
        <v>435324.73208668741</v>
      </c>
      <c r="N767" s="224">
        <f t="shared" si="40"/>
        <v>-4.1351986646578354E-3</v>
      </c>
      <c r="O767" s="224">
        <f t="shared" si="41"/>
        <v>0.20431422794655862</v>
      </c>
      <c r="Q767" s="224"/>
      <c r="R767" s="224"/>
      <c r="S767" s="429"/>
      <c r="Z767" s="362"/>
      <c r="AA767" s="421"/>
      <c r="AB767" s="362"/>
      <c r="AC767" s="362"/>
      <c r="AD767" s="362"/>
      <c r="AE767" s="362"/>
      <c r="AF767" s="362"/>
      <c r="AG767" s="362"/>
      <c r="AH767" s="362"/>
      <c r="AI767" s="393"/>
      <c r="AJ767" s="393"/>
      <c r="AK767" s="362"/>
      <c r="AL767" s="362"/>
      <c r="AM767" s="362"/>
      <c r="AN767" s="362"/>
      <c r="AO767" s="362"/>
      <c r="AP767" s="362"/>
      <c r="AQ767" s="362"/>
      <c r="AR767" s="362"/>
    </row>
    <row r="768" spans="1:44" ht="12.75" customHeight="1" x14ac:dyDescent="0.15">
      <c r="A768" s="431"/>
      <c r="B768" s="393"/>
      <c r="C768" s="428"/>
      <c r="D768" s="428">
        <v>518015.49584824807</v>
      </c>
      <c r="E768" s="224">
        <v>106186.7078056827</v>
      </c>
      <c r="F768" s="224">
        <v>4.5250056909388485</v>
      </c>
      <c r="G768" s="224">
        <v>3.1797871292809674</v>
      </c>
      <c r="H768" s="224">
        <v>2.8275748111369592</v>
      </c>
      <c r="I768" s="224">
        <v>2.0906053289716424</v>
      </c>
      <c r="J768" s="224"/>
      <c r="M768" s="224">
        <f t="shared" si="39"/>
        <v>411828.78804256534</v>
      </c>
      <c r="N768" s="224">
        <f t="shared" si="40"/>
        <v>1.3452185616578811</v>
      </c>
      <c r="O768" s="224">
        <f t="shared" si="41"/>
        <v>0.73696948216531677</v>
      </c>
      <c r="Q768" s="224"/>
      <c r="R768" s="224"/>
      <c r="S768" s="429"/>
      <c r="Z768" s="362"/>
      <c r="AA768" s="421"/>
      <c r="AB768" s="362"/>
      <c r="AC768" s="362"/>
      <c r="AD768" s="362"/>
      <c r="AE768" s="362"/>
      <c r="AF768" s="362"/>
      <c r="AG768" s="362"/>
      <c r="AH768" s="362"/>
      <c r="AI768" s="393"/>
      <c r="AJ768" s="393"/>
      <c r="AK768" s="362"/>
      <c r="AL768" s="362"/>
      <c r="AM768" s="362"/>
      <c r="AN768" s="362"/>
      <c r="AO768" s="362"/>
      <c r="AP768" s="362"/>
      <c r="AQ768" s="362"/>
      <c r="AR768" s="362"/>
    </row>
    <row r="769" spans="1:44" ht="12.75" customHeight="1" x14ac:dyDescent="0.15">
      <c r="A769" s="431"/>
      <c r="B769" s="393"/>
      <c r="C769" s="428"/>
      <c r="D769" s="428">
        <v>618629.27753254073</v>
      </c>
      <c r="E769" s="224">
        <v>198549.084104351</v>
      </c>
      <c r="F769" s="224">
        <v>4.0565692623862786</v>
      </c>
      <c r="G769" s="224">
        <v>4.0706641944873319</v>
      </c>
      <c r="H769" s="224">
        <v>2.6425126437253481</v>
      </c>
      <c r="I769" s="224">
        <v>2.5501717582349963</v>
      </c>
      <c r="J769" s="224"/>
      <c r="M769" s="224">
        <f t="shared" si="39"/>
        <v>420080.19342818973</v>
      </c>
      <c r="N769" s="224">
        <f t="shared" si="40"/>
        <v>-1.4094932101053281E-2</v>
      </c>
      <c r="O769" s="224">
        <f t="shared" si="41"/>
        <v>9.2340885490351798E-2</v>
      </c>
      <c r="Q769" s="224"/>
      <c r="R769" s="224"/>
      <c r="S769" s="429"/>
      <c r="Z769" s="362"/>
      <c r="AA769" s="421"/>
      <c r="AB769" s="362"/>
      <c r="AC769" s="362"/>
      <c r="AD769" s="362"/>
      <c r="AE769" s="362"/>
      <c r="AF769" s="362"/>
      <c r="AG769" s="362"/>
      <c r="AH769" s="362"/>
      <c r="AI769" s="393"/>
      <c r="AJ769" s="393"/>
      <c r="AK769" s="362"/>
      <c r="AL769" s="362"/>
      <c r="AM769" s="362"/>
      <c r="AN769" s="362"/>
      <c r="AO769" s="362"/>
      <c r="AP769" s="362"/>
      <c r="AQ769" s="362"/>
      <c r="AR769" s="362"/>
    </row>
    <row r="770" spans="1:44" ht="12.75" customHeight="1" x14ac:dyDescent="0.15">
      <c r="A770" s="431"/>
      <c r="B770" s="393"/>
      <c r="C770" s="428"/>
      <c r="D770" s="428">
        <v>596973.22281378973</v>
      </c>
      <c r="E770" s="224">
        <v>129578.43610511138</v>
      </c>
      <c r="F770" s="224">
        <v>4.4306132459848762</v>
      </c>
      <c r="G770" s="224">
        <v>4.0533197270491819</v>
      </c>
      <c r="H770" s="224">
        <v>2.6438406657232099</v>
      </c>
      <c r="I770" s="224">
        <v>2.1965539896316613</v>
      </c>
      <c r="J770" s="224"/>
      <c r="M770" s="224">
        <f t="shared" si="39"/>
        <v>467394.78670867835</v>
      </c>
      <c r="N770" s="224">
        <f t="shared" si="40"/>
        <v>0.37729351893569429</v>
      </c>
      <c r="O770" s="224">
        <f t="shared" si="41"/>
        <v>0.4472866760915486</v>
      </c>
      <c r="Q770" s="224"/>
      <c r="R770" s="224"/>
      <c r="S770" s="429"/>
      <c r="Z770" s="362"/>
      <c r="AA770" s="421"/>
      <c r="AB770" s="362"/>
      <c r="AC770" s="362"/>
      <c r="AD770" s="362"/>
      <c r="AE770" s="362"/>
      <c r="AF770" s="362"/>
      <c r="AG770" s="362"/>
      <c r="AH770" s="362"/>
      <c r="AI770" s="393"/>
      <c r="AJ770" s="393"/>
      <c r="AK770" s="362"/>
      <c r="AL770" s="362"/>
      <c r="AM770" s="362"/>
      <c r="AN770" s="362"/>
      <c r="AO770" s="362"/>
      <c r="AP770" s="362"/>
      <c r="AQ770" s="362"/>
      <c r="AR770" s="362"/>
    </row>
    <row r="771" spans="1:44" ht="12.75" customHeight="1" x14ac:dyDescent="0.15">
      <c r="A771" s="431"/>
      <c r="B771" s="393"/>
      <c r="C771" s="428"/>
      <c r="D771" s="428">
        <v>636866.01605647954</v>
      </c>
      <c r="E771" s="224">
        <v>219195.24160932741</v>
      </c>
      <c r="F771" s="224">
        <v>4.8097928659956235</v>
      </c>
      <c r="G771" s="224">
        <v>4.2542762388265736</v>
      </c>
      <c r="H771" s="224">
        <v>2.6424964064418517</v>
      </c>
      <c r="I771" s="224">
        <v>2.3630446551037245</v>
      </c>
      <c r="J771" s="224"/>
      <c r="M771" s="224">
        <f t="shared" si="39"/>
        <v>417670.77444715216</v>
      </c>
      <c r="N771" s="224">
        <f t="shared" si="40"/>
        <v>0.55551662716904993</v>
      </c>
      <c r="O771" s="224">
        <f t="shared" si="41"/>
        <v>0.27945175133812716</v>
      </c>
      <c r="Q771" s="224"/>
      <c r="R771" s="224"/>
      <c r="S771" s="429"/>
      <c r="Z771" s="362"/>
      <c r="AA771" s="421"/>
      <c r="AB771" s="362"/>
      <c r="AC771" s="362"/>
      <c r="AD771" s="362"/>
      <c r="AE771" s="362"/>
      <c r="AF771" s="362"/>
      <c r="AG771" s="362"/>
      <c r="AH771" s="362"/>
      <c r="AI771" s="393"/>
      <c r="AJ771" s="393"/>
      <c r="AK771" s="362"/>
      <c r="AL771" s="362"/>
      <c r="AM771" s="362"/>
      <c r="AN771" s="362"/>
      <c r="AO771" s="362"/>
      <c r="AP771" s="362"/>
      <c r="AQ771" s="362"/>
      <c r="AR771" s="362"/>
    </row>
    <row r="772" spans="1:44" ht="12.75" customHeight="1" x14ac:dyDescent="0.15">
      <c r="A772" s="431"/>
      <c r="B772" s="393"/>
      <c r="C772" s="428"/>
      <c r="D772" s="428">
        <v>507216.4634870938</v>
      </c>
      <c r="E772" s="224">
        <v>171250.75100238028</v>
      </c>
      <c r="F772" s="224">
        <v>4.0934833650965077</v>
      </c>
      <c r="G772" s="224">
        <v>3.9013235908012422</v>
      </c>
      <c r="H772" s="224">
        <v>2.2596262373504619</v>
      </c>
      <c r="I772" s="224">
        <v>2.1564651702130742</v>
      </c>
      <c r="J772" s="224"/>
      <c r="M772" s="224">
        <f t="shared" si="39"/>
        <v>335965.71248471353</v>
      </c>
      <c r="N772" s="224">
        <f t="shared" si="40"/>
        <v>0.19215977429526543</v>
      </c>
      <c r="O772" s="224">
        <f t="shared" si="41"/>
        <v>0.10316106713738771</v>
      </c>
      <c r="Q772" s="224"/>
      <c r="R772" s="224"/>
      <c r="S772" s="429"/>
      <c r="Z772" s="362"/>
      <c r="AA772" s="421"/>
      <c r="AB772" s="362"/>
      <c r="AC772" s="362"/>
      <c r="AD772" s="362"/>
      <c r="AE772" s="362"/>
      <c r="AF772" s="362"/>
      <c r="AG772" s="362"/>
      <c r="AH772" s="362"/>
      <c r="AI772" s="393"/>
      <c r="AJ772" s="393"/>
      <c r="AK772" s="362"/>
      <c r="AL772" s="362"/>
      <c r="AM772" s="362"/>
      <c r="AN772" s="362"/>
      <c r="AO772" s="362"/>
      <c r="AP772" s="362"/>
      <c r="AQ772" s="362"/>
      <c r="AR772" s="362"/>
    </row>
    <row r="773" spans="1:44" ht="12.75" customHeight="1" x14ac:dyDescent="0.15">
      <c r="A773" s="431"/>
      <c r="B773" s="393"/>
      <c r="C773" s="428"/>
      <c r="D773" s="428">
        <v>530874.01952949294</v>
      </c>
      <c r="E773" s="224">
        <v>137973.05738025004</v>
      </c>
      <c r="F773" s="224">
        <v>4.2032689139727122</v>
      </c>
      <c r="G773" s="224">
        <v>4.2756246756020442</v>
      </c>
      <c r="H773" s="224">
        <v>2.5133017696332893</v>
      </c>
      <c r="I773" s="224">
        <v>2.2959472545735862</v>
      </c>
      <c r="J773" s="224"/>
      <c r="M773" s="224">
        <f t="shared" si="39"/>
        <v>392900.96214924287</v>
      </c>
      <c r="N773" s="224">
        <f t="shared" si="40"/>
        <v>-7.2355761629331994E-2</v>
      </c>
      <c r="O773" s="224">
        <f t="shared" si="41"/>
        <v>0.21735451505970316</v>
      </c>
      <c r="Q773" s="224"/>
      <c r="R773" s="224"/>
      <c r="S773" s="429"/>
      <c r="Z773" s="362"/>
      <c r="AA773" s="421"/>
      <c r="AB773" s="362"/>
      <c r="AC773" s="362"/>
      <c r="AD773" s="362"/>
      <c r="AE773" s="362"/>
      <c r="AF773" s="362"/>
      <c r="AG773" s="362"/>
      <c r="AH773" s="362"/>
      <c r="AI773" s="393"/>
      <c r="AJ773" s="393"/>
      <c r="AK773" s="362"/>
      <c r="AL773" s="362"/>
      <c r="AM773" s="362"/>
      <c r="AN773" s="362"/>
      <c r="AO773" s="362"/>
      <c r="AP773" s="362"/>
      <c r="AQ773" s="362"/>
      <c r="AR773" s="362"/>
    </row>
    <row r="774" spans="1:44" ht="12.75" customHeight="1" x14ac:dyDescent="0.15">
      <c r="A774" s="431"/>
      <c r="B774" s="393"/>
      <c r="C774" s="428"/>
      <c r="D774" s="428">
        <v>617565.82062539516</v>
      </c>
      <c r="E774" s="224">
        <v>123892.37471131331</v>
      </c>
      <c r="F774" s="224">
        <v>4.3592325406340597</v>
      </c>
      <c r="G774" s="224">
        <v>3.7561155568002405</v>
      </c>
      <c r="H774" s="224">
        <v>2.8283712373992396</v>
      </c>
      <c r="I774" s="224">
        <v>2.2144755624554362</v>
      </c>
      <c r="J774" s="224"/>
      <c r="M774" s="224">
        <f t="shared" si="39"/>
        <v>493673.44591408188</v>
      </c>
      <c r="N774" s="224">
        <f t="shared" si="40"/>
        <v>0.60311698383381929</v>
      </c>
      <c r="O774" s="224">
        <f t="shared" si="41"/>
        <v>0.61389567494380337</v>
      </c>
      <c r="Q774" s="224"/>
      <c r="R774" s="224"/>
      <c r="S774" s="429"/>
      <c r="Z774" s="362"/>
      <c r="AA774" s="421"/>
      <c r="AB774" s="362"/>
      <c r="AC774" s="362"/>
      <c r="AD774" s="362"/>
      <c r="AE774" s="362"/>
      <c r="AF774" s="362"/>
      <c r="AG774" s="362"/>
      <c r="AH774" s="362"/>
      <c r="AI774" s="393"/>
      <c r="AJ774" s="393"/>
      <c r="AK774" s="362"/>
      <c r="AL774" s="362"/>
      <c r="AM774" s="362"/>
      <c r="AN774" s="362"/>
      <c r="AO774" s="362"/>
      <c r="AP774" s="362"/>
      <c r="AQ774" s="362"/>
      <c r="AR774" s="362"/>
    </row>
    <row r="775" spans="1:44" ht="12.75" customHeight="1" x14ac:dyDescent="0.15">
      <c r="A775" s="431"/>
      <c r="B775" s="393"/>
      <c r="C775" s="428"/>
      <c r="D775" s="428">
        <v>664617.72242628597</v>
      </c>
      <c r="E775" s="224">
        <v>229834.40769234879</v>
      </c>
      <c r="F775" s="224">
        <v>4.2042306828384826</v>
      </c>
      <c r="G775" s="224">
        <v>4.7549325452540065</v>
      </c>
      <c r="H775" s="224">
        <v>2.3802613770618519</v>
      </c>
      <c r="I775" s="224">
        <v>2.4103623791654467</v>
      </c>
      <c r="J775" s="224"/>
      <c r="M775" s="224">
        <f t="shared" si="39"/>
        <v>434783.31473393715</v>
      </c>
      <c r="N775" s="224">
        <f t="shared" si="40"/>
        <v>-0.55070186241552399</v>
      </c>
      <c r="O775" s="224">
        <f t="shared" si="41"/>
        <v>-3.0101002103594787E-2</v>
      </c>
      <c r="Q775" s="224"/>
      <c r="R775" s="224"/>
      <c r="S775" s="429"/>
      <c r="Z775" s="362"/>
      <c r="AA775" s="421"/>
      <c r="AB775" s="362"/>
      <c r="AC775" s="362"/>
      <c r="AD775" s="362"/>
      <c r="AE775" s="362"/>
      <c r="AF775" s="362"/>
      <c r="AG775" s="362"/>
      <c r="AH775" s="362"/>
      <c r="AI775" s="393"/>
      <c r="AJ775" s="393"/>
      <c r="AK775" s="362"/>
      <c r="AL775" s="362"/>
      <c r="AM775" s="362"/>
      <c r="AN775" s="362"/>
      <c r="AO775" s="362"/>
      <c r="AP775" s="362"/>
      <c r="AQ775" s="362"/>
      <c r="AR775" s="362"/>
    </row>
    <row r="776" spans="1:44" ht="12.75" customHeight="1" x14ac:dyDescent="0.15">
      <c r="A776" s="431"/>
      <c r="B776" s="393"/>
      <c r="C776" s="428"/>
      <c r="D776" s="428">
        <v>487772.32842962723</v>
      </c>
      <c r="E776" s="224">
        <v>134586.44393766031</v>
      </c>
      <c r="F776" s="224">
        <v>4.0703451453103199</v>
      </c>
      <c r="G776" s="224">
        <v>4.4723258125455176</v>
      </c>
      <c r="H776" s="224">
        <v>2.4036211168770105</v>
      </c>
      <c r="I776" s="224">
        <v>2.5008438812828762</v>
      </c>
      <c r="J776" s="224"/>
      <c r="M776" s="224">
        <f t="shared" si="39"/>
        <v>353185.88449196692</v>
      </c>
      <c r="N776" s="224">
        <f t="shared" si="40"/>
        <v>-0.40198066723519776</v>
      </c>
      <c r="O776" s="224">
        <f t="shared" si="41"/>
        <v>-9.7222764405865636E-2</v>
      </c>
      <c r="Q776" s="224"/>
      <c r="R776" s="224"/>
      <c r="S776" s="429"/>
      <c r="Z776" s="362"/>
      <c r="AA776" s="421"/>
      <c r="AB776" s="362"/>
      <c r="AC776" s="362"/>
      <c r="AD776" s="362"/>
      <c r="AE776" s="362"/>
      <c r="AF776" s="362"/>
      <c r="AG776" s="362"/>
      <c r="AH776" s="362"/>
      <c r="AI776" s="393"/>
      <c r="AJ776" s="393"/>
      <c r="AK776" s="362"/>
      <c r="AL776" s="362"/>
      <c r="AM776" s="362"/>
      <c r="AN776" s="362"/>
      <c r="AO776" s="362"/>
      <c r="AP776" s="362"/>
      <c r="AQ776" s="362"/>
      <c r="AR776" s="362"/>
    </row>
    <row r="777" spans="1:44" ht="12.75" customHeight="1" x14ac:dyDescent="0.15">
      <c r="A777" s="431"/>
      <c r="B777" s="393"/>
      <c r="C777" s="428"/>
      <c r="D777" s="428">
        <v>525992.84400253312</v>
      </c>
      <c r="E777" s="224">
        <v>146299.54467259537</v>
      </c>
      <c r="F777" s="224">
        <v>4.0518042635451277</v>
      </c>
      <c r="G777" s="224">
        <v>3.8353267711806218</v>
      </c>
      <c r="H777" s="224">
        <v>2.4272659392877212</v>
      </c>
      <c r="I777" s="224">
        <v>2.1422874036960917</v>
      </c>
      <c r="J777" s="224"/>
      <c r="M777" s="224">
        <f t="shared" si="39"/>
        <v>379693.29932993778</v>
      </c>
      <c r="N777" s="224">
        <f t="shared" si="40"/>
        <v>0.21647749236450586</v>
      </c>
      <c r="O777" s="224">
        <f t="shared" si="41"/>
        <v>0.28497853559162944</v>
      </c>
      <c r="Q777" s="224"/>
      <c r="R777" s="224"/>
      <c r="S777" s="429"/>
      <c r="Z777" s="362"/>
      <c r="AA777" s="421"/>
      <c r="AB777" s="362"/>
      <c r="AC777" s="362"/>
      <c r="AD777" s="362"/>
      <c r="AE777" s="362"/>
      <c r="AF777" s="362"/>
      <c r="AG777" s="362"/>
      <c r="AH777" s="362"/>
      <c r="AI777" s="393"/>
      <c r="AJ777" s="393"/>
      <c r="AK777" s="362"/>
      <c r="AL777" s="362"/>
      <c r="AM777" s="362"/>
      <c r="AN777" s="362"/>
      <c r="AO777" s="362"/>
      <c r="AP777" s="362"/>
      <c r="AQ777" s="362"/>
      <c r="AR777" s="362"/>
    </row>
    <row r="778" spans="1:44" ht="12.75" customHeight="1" x14ac:dyDescent="0.15">
      <c r="A778" s="431"/>
      <c r="B778" s="393"/>
      <c r="C778" s="428"/>
      <c r="D778" s="428">
        <v>537285.60669916612</v>
      </c>
      <c r="E778" s="224">
        <v>114104.56345641264</v>
      </c>
      <c r="F778" s="224">
        <v>4.4338291505139731</v>
      </c>
      <c r="G778" s="224">
        <v>3.8904923411788155</v>
      </c>
      <c r="H778" s="224">
        <v>2.0851471022081922</v>
      </c>
      <c r="I778" s="224">
        <v>1.8230186132514559</v>
      </c>
      <c r="J778" s="224"/>
      <c r="M778" s="224">
        <f t="shared" si="39"/>
        <v>423181.04324275348</v>
      </c>
      <c r="N778" s="224">
        <f t="shared" si="40"/>
        <v>0.5433368093351576</v>
      </c>
      <c r="O778" s="224">
        <f t="shared" si="41"/>
        <v>0.26212848895673635</v>
      </c>
      <c r="Q778" s="224"/>
      <c r="R778" s="224"/>
      <c r="S778" s="429"/>
      <c r="Z778" s="362"/>
      <c r="AA778" s="421"/>
      <c r="AB778" s="362"/>
      <c r="AC778" s="362"/>
      <c r="AD778" s="362"/>
      <c r="AE778" s="362"/>
      <c r="AF778" s="362"/>
      <c r="AG778" s="362"/>
      <c r="AH778" s="362"/>
      <c r="AI778" s="393"/>
      <c r="AJ778" s="393"/>
      <c r="AK778" s="362"/>
      <c r="AL778" s="362"/>
      <c r="AM778" s="362"/>
      <c r="AN778" s="362"/>
      <c r="AO778" s="362"/>
      <c r="AP778" s="362"/>
      <c r="AQ778" s="362"/>
      <c r="AR778" s="362"/>
    </row>
    <row r="779" spans="1:44" ht="12.75" customHeight="1" x14ac:dyDescent="0.15">
      <c r="A779" s="431"/>
      <c r="B779" s="393"/>
      <c r="C779" s="428"/>
      <c r="D779" s="428">
        <v>497318.73030103836</v>
      </c>
      <c r="E779" s="224">
        <v>134030.53918105102</v>
      </c>
      <c r="F779" s="224">
        <v>4.397611889498954</v>
      </c>
      <c r="G779" s="224">
        <v>3.8885446301360318</v>
      </c>
      <c r="H779" s="224">
        <v>2.6512139306432925</v>
      </c>
      <c r="I779" s="224">
        <v>2.2894407266988837</v>
      </c>
      <c r="J779" s="224"/>
      <c r="M779" s="224">
        <f t="shared" si="39"/>
        <v>363288.19111998734</v>
      </c>
      <c r="N779" s="224">
        <f t="shared" si="40"/>
        <v>0.50906725936292219</v>
      </c>
      <c r="O779" s="224">
        <f t="shared" si="41"/>
        <v>0.36177320394440882</v>
      </c>
      <c r="Q779" s="224"/>
      <c r="R779" s="224"/>
      <c r="S779" s="429"/>
      <c r="Z779" s="362"/>
      <c r="AA779" s="421"/>
      <c r="AB779" s="362"/>
      <c r="AC779" s="362"/>
      <c r="AD779" s="362"/>
      <c r="AE779" s="362"/>
      <c r="AF779" s="362"/>
      <c r="AG779" s="362"/>
      <c r="AH779" s="362"/>
      <c r="AI779" s="393"/>
      <c r="AJ779" s="393"/>
      <c r="AK779" s="362"/>
      <c r="AL779" s="362"/>
      <c r="AM779" s="362"/>
      <c r="AN779" s="362"/>
      <c r="AO779" s="362"/>
      <c r="AP779" s="362"/>
      <c r="AQ779" s="362"/>
      <c r="AR779" s="362"/>
    </row>
    <row r="780" spans="1:44" ht="12.75" customHeight="1" x14ac:dyDescent="0.15">
      <c r="A780" s="431"/>
      <c r="B780" s="393"/>
      <c r="C780" s="428"/>
      <c r="D780" s="428">
        <v>537564.4190349296</v>
      </c>
      <c r="E780" s="224">
        <v>136121.79352817699</v>
      </c>
      <c r="F780" s="224">
        <v>4.1190678237118332</v>
      </c>
      <c r="G780" s="224">
        <v>3.7275335588898582</v>
      </c>
      <c r="H780" s="224">
        <v>2.7733567362668698</v>
      </c>
      <c r="I780" s="224">
        <v>2.3769562355437741</v>
      </c>
      <c r="J780" s="224"/>
      <c r="M780" s="224">
        <f t="shared" si="39"/>
        <v>401442.62550675264</v>
      </c>
      <c r="N780" s="224">
        <f t="shared" si="40"/>
        <v>0.39153426482197506</v>
      </c>
      <c r="O780" s="224">
        <f t="shared" si="41"/>
        <v>0.39640050072309574</v>
      </c>
      <c r="Q780" s="224"/>
      <c r="R780" s="224"/>
      <c r="S780" s="429"/>
      <c r="Z780" s="362"/>
      <c r="AA780" s="421"/>
      <c r="AB780" s="362"/>
      <c r="AC780" s="362"/>
      <c r="AD780" s="362"/>
      <c r="AE780" s="362"/>
      <c r="AF780" s="362"/>
      <c r="AG780" s="362"/>
      <c r="AH780" s="362"/>
      <c r="AI780" s="393"/>
      <c r="AJ780" s="393"/>
      <c r="AK780" s="362"/>
      <c r="AL780" s="362"/>
      <c r="AM780" s="362"/>
      <c r="AN780" s="362"/>
      <c r="AO780" s="362"/>
      <c r="AP780" s="362"/>
      <c r="AQ780" s="362"/>
      <c r="AR780" s="362"/>
    </row>
    <row r="781" spans="1:44" ht="12.75" customHeight="1" x14ac:dyDescent="0.15">
      <c r="A781" s="431"/>
      <c r="B781" s="393"/>
      <c r="C781" s="428"/>
      <c r="D781" s="428">
        <v>610098.48626165756</v>
      </c>
      <c r="E781" s="224">
        <v>136799.23755687469</v>
      </c>
      <c r="F781" s="224">
        <v>4.2338986772800187</v>
      </c>
      <c r="G781" s="224">
        <v>3.7213174470975745</v>
      </c>
      <c r="H781" s="224">
        <v>2.2874332103261326</v>
      </c>
      <c r="I781" s="224">
        <v>1.9502912390639346</v>
      </c>
      <c r="J781" s="224"/>
      <c r="M781" s="224">
        <f t="shared" si="39"/>
        <v>473299.24870478286</v>
      </c>
      <c r="N781" s="224">
        <f t="shared" si="40"/>
        <v>0.51258123018244417</v>
      </c>
      <c r="O781" s="224">
        <f t="shared" si="41"/>
        <v>0.33714197126219791</v>
      </c>
      <c r="Q781" s="224"/>
      <c r="R781" s="224"/>
      <c r="S781" s="429"/>
      <c r="Z781" s="362"/>
      <c r="AA781" s="421"/>
      <c r="AB781" s="362"/>
      <c r="AC781" s="362"/>
      <c r="AD781" s="362"/>
      <c r="AE781" s="362"/>
      <c r="AF781" s="362"/>
      <c r="AG781" s="362"/>
      <c r="AH781" s="362"/>
      <c r="AI781" s="393"/>
      <c r="AJ781" s="393"/>
      <c r="AK781" s="362"/>
      <c r="AL781" s="362"/>
      <c r="AM781" s="362"/>
      <c r="AN781" s="362"/>
      <c r="AO781" s="362"/>
      <c r="AP781" s="362"/>
      <c r="AQ781" s="362"/>
      <c r="AR781" s="362"/>
    </row>
    <row r="782" spans="1:44" ht="12.75" customHeight="1" x14ac:dyDescent="0.15">
      <c r="A782" s="431"/>
      <c r="B782" s="393"/>
      <c r="C782" s="428"/>
      <c r="D782" s="428">
        <v>672150.08550499496</v>
      </c>
      <c r="E782" s="224">
        <v>146956.9334445064</v>
      </c>
      <c r="F782" s="224">
        <v>3.5126660386331539</v>
      </c>
      <c r="G782" s="224">
        <v>4.2799263950971644</v>
      </c>
      <c r="H782" s="224">
        <v>2.3961781808237874</v>
      </c>
      <c r="I782" s="224">
        <v>2.2817037011965011</v>
      </c>
      <c r="J782" s="224"/>
      <c r="M782" s="224">
        <f t="shared" si="39"/>
        <v>525193.15206048859</v>
      </c>
      <c r="N782" s="224">
        <f t="shared" si="40"/>
        <v>-0.76726035646401058</v>
      </c>
      <c r="O782" s="224">
        <f t="shared" si="41"/>
        <v>0.1144744796272863</v>
      </c>
      <c r="Q782" s="224"/>
      <c r="R782" s="224"/>
      <c r="S782" s="429"/>
      <c r="Z782" s="362"/>
      <c r="AA782" s="421"/>
      <c r="AB782" s="362"/>
      <c r="AC782" s="362"/>
      <c r="AD782" s="362"/>
      <c r="AE782" s="362"/>
      <c r="AF782" s="362"/>
      <c r="AG782" s="362"/>
      <c r="AH782" s="362"/>
      <c r="AI782" s="393"/>
      <c r="AJ782" s="393"/>
      <c r="AK782" s="362"/>
      <c r="AL782" s="362"/>
      <c r="AM782" s="362"/>
      <c r="AN782" s="362"/>
      <c r="AO782" s="362"/>
      <c r="AP782" s="362"/>
      <c r="AQ782" s="362"/>
      <c r="AR782" s="362"/>
    </row>
    <row r="783" spans="1:44" ht="12.75" customHeight="1" x14ac:dyDescent="0.15">
      <c r="A783" s="431"/>
      <c r="B783" s="393"/>
      <c r="C783" s="428"/>
      <c r="D783" s="428">
        <v>642725.04468430241</v>
      </c>
      <c r="E783" s="224">
        <v>164376.60437871231</v>
      </c>
      <c r="F783" s="224">
        <v>4.4391018252351788</v>
      </c>
      <c r="G783" s="224">
        <v>4.1415050383083782</v>
      </c>
      <c r="H783" s="224">
        <v>3.0463339954021489</v>
      </c>
      <c r="I783" s="224">
        <v>2.6324760363829922</v>
      </c>
      <c r="J783" s="224"/>
      <c r="M783" s="224">
        <f t="shared" si="39"/>
        <v>478348.44030559011</v>
      </c>
      <c r="N783" s="224">
        <f t="shared" si="40"/>
        <v>0.29759678692680058</v>
      </c>
      <c r="O783" s="224">
        <f t="shared" si="41"/>
        <v>0.41385795901915667</v>
      </c>
      <c r="Q783" s="224"/>
      <c r="R783" s="224"/>
      <c r="S783" s="429"/>
      <c r="Z783" s="362"/>
      <c r="AA783" s="421"/>
      <c r="AB783" s="362"/>
      <c r="AC783" s="362"/>
      <c r="AD783" s="362"/>
      <c r="AE783" s="362"/>
      <c r="AF783" s="362"/>
      <c r="AG783" s="362"/>
      <c r="AH783" s="362"/>
      <c r="AI783" s="393"/>
      <c r="AJ783" s="393"/>
      <c r="AK783" s="362"/>
      <c r="AL783" s="362"/>
      <c r="AM783" s="362"/>
      <c r="AN783" s="362"/>
      <c r="AO783" s="362"/>
      <c r="AP783" s="362"/>
      <c r="AQ783" s="362"/>
      <c r="AR783" s="362"/>
    </row>
    <row r="784" spans="1:44" ht="12.75" customHeight="1" x14ac:dyDescent="0.15">
      <c r="A784" s="431"/>
      <c r="B784" s="393"/>
      <c r="C784" s="428"/>
      <c r="D784" s="428">
        <v>642303.83890846069</v>
      </c>
      <c r="E784" s="224">
        <v>120738.16577327566</v>
      </c>
      <c r="F784" s="224">
        <v>3.6578049876961449</v>
      </c>
      <c r="G784" s="224">
        <v>4.3707244877412137</v>
      </c>
      <c r="H784" s="224">
        <v>2.6617357231128635</v>
      </c>
      <c r="I784" s="224">
        <v>2.4837989810415393</v>
      </c>
      <c r="J784" s="224"/>
      <c r="M784" s="224">
        <f t="shared" si="39"/>
        <v>521565.67313518503</v>
      </c>
      <c r="N784" s="224">
        <f t="shared" si="40"/>
        <v>-0.71291950004506877</v>
      </c>
      <c r="O784" s="224">
        <f t="shared" si="41"/>
        <v>0.17793674207132426</v>
      </c>
      <c r="Q784" s="224"/>
      <c r="R784" s="224"/>
      <c r="S784" s="429"/>
      <c r="Z784" s="362"/>
      <c r="AA784" s="421"/>
      <c r="AB784" s="362"/>
      <c r="AC784" s="362"/>
      <c r="AD784" s="362"/>
      <c r="AE784" s="362"/>
      <c r="AF784" s="362"/>
      <c r="AG784" s="362"/>
      <c r="AH784" s="362"/>
      <c r="AI784" s="393"/>
      <c r="AJ784" s="393"/>
      <c r="AK784" s="362"/>
      <c r="AL784" s="362"/>
      <c r="AM784" s="362"/>
      <c r="AN784" s="362"/>
      <c r="AO784" s="362"/>
      <c r="AP784" s="362"/>
      <c r="AQ784" s="362"/>
      <c r="AR784" s="362"/>
    </row>
    <row r="785" spans="1:44" ht="12.75" customHeight="1" x14ac:dyDescent="0.15">
      <c r="A785" s="431"/>
      <c r="B785" s="393"/>
      <c r="C785" s="428"/>
      <c r="D785" s="428">
        <v>608636.00941547193</v>
      </c>
      <c r="E785" s="224">
        <v>107233.89141235728</v>
      </c>
      <c r="F785" s="224">
        <v>4.1935194812705996</v>
      </c>
      <c r="G785" s="224">
        <v>3.7190455096803761</v>
      </c>
      <c r="H785" s="224">
        <v>2.4382842407634482</v>
      </c>
      <c r="I785" s="224">
        <v>2.014403152311055</v>
      </c>
      <c r="J785" s="224"/>
      <c r="M785" s="224">
        <f t="shared" si="39"/>
        <v>501402.11800311465</v>
      </c>
      <c r="N785" s="224">
        <f t="shared" si="40"/>
        <v>0.47447397159022353</v>
      </c>
      <c r="O785" s="224">
        <f t="shared" si="41"/>
        <v>0.42388108845239314</v>
      </c>
      <c r="Q785" s="224"/>
      <c r="R785" s="224"/>
      <c r="S785" s="429"/>
      <c r="Z785" s="362"/>
      <c r="AA785" s="421"/>
      <c r="AB785" s="362"/>
      <c r="AC785" s="362"/>
      <c r="AD785" s="362"/>
      <c r="AE785" s="362"/>
      <c r="AF785" s="362"/>
      <c r="AG785" s="362"/>
      <c r="AH785" s="362"/>
      <c r="AI785" s="393"/>
      <c r="AJ785" s="393"/>
      <c r="AK785" s="362"/>
      <c r="AL785" s="362"/>
      <c r="AM785" s="362"/>
      <c r="AN785" s="362"/>
      <c r="AO785" s="362"/>
      <c r="AP785" s="362"/>
      <c r="AQ785" s="362"/>
      <c r="AR785" s="362"/>
    </row>
    <row r="786" spans="1:44" ht="12.75" customHeight="1" x14ac:dyDescent="0.15">
      <c r="A786" s="431"/>
      <c r="B786" s="393"/>
      <c r="C786" s="428"/>
      <c r="D786" s="428">
        <v>582229.02600032662</v>
      </c>
      <c r="E786" s="224">
        <v>136700.9089501274</v>
      </c>
      <c r="F786" s="224">
        <v>4.504474930266209</v>
      </c>
      <c r="G786" s="224">
        <v>4.3704943341118092</v>
      </c>
      <c r="H786" s="224">
        <v>2.565593824711784</v>
      </c>
      <c r="I786" s="224">
        <v>2.3090999635701279</v>
      </c>
      <c r="J786" s="224"/>
      <c r="M786" s="224">
        <f t="shared" ref="M786:M849" si="42">+D786-E786</f>
        <v>445528.11705019919</v>
      </c>
      <c r="N786" s="224">
        <f t="shared" ref="N786:N849" si="43">+F786-G786</f>
        <v>0.13398059615439983</v>
      </c>
      <c r="O786" s="224">
        <f t="shared" ref="O786:O849" si="44">+H786-I786</f>
        <v>0.25649386114165607</v>
      </c>
      <c r="Q786" s="224"/>
      <c r="R786" s="224"/>
      <c r="S786" s="429"/>
      <c r="Z786" s="362"/>
      <c r="AA786" s="421"/>
      <c r="AB786" s="362"/>
      <c r="AC786" s="362"/>
      <c r="AD786" s="362"/>
      <c r="AE786" s="362"/>
      <c r="AF786" s="362"/>
      <c r="AG786" s="362"/>
      <c r="AH786" s="362"/>
      <c r="AI786" s="393"/>
      <c r="AJ786" s="393"/>
      <c r="AK786" s="362"/>
      <c r="AL786" s="362"/>
      <c r="AM786" s="362"/>
      <c r="AN786" s="362"/>
      <c r="AO786" s="362"/>
      <c r="AP786" s="362"/>
      <c r="AQ786" s="362"/>
      <c r="AR786" s="362"/>
    </row>
    <row r="787" spans="1:44" ht="12.75" customHeight="1" x14ac:dyDescent="0.15">
      <c r="A787" s="431"/>
      <c r="B787" s="393"/>
      <c r="C787" s="428"/>
      <c r="D787" s="428">
        <v>568100.70301950467</v>
      </c>
      <c r="E787" s="224">
        <v>175620.41248945496</v>
      </c>
      <c r="F787" s="224">
        <v>3.5736581967605279</v>
      </c>
      <c r="G787" s="224">
        <v>3.5651019926006242</v>
      </c>
      <c r="H787" s="224">
        <v>2.2331999605732813</v>
      </c>
      <c r="I787" s="224">
        <v>2.1941357698277217</v>
      </c>
      <c r="J787" s="224"/>
      <c r="M787" s="224">
        <f t="shared" si="42"/>
        <v>392480.29053004971</v>
      </c>
      <c r="N787" s="224">
        <f t="shared" si="43"/>
        <v>8.5562041599036576E-3</v>
      </c>
      <c r="O787" s="224">
        <f t="shared" si="44"/>
        <v>3.9064190745559557E-2</v>
      </c>
      <c r="Q787" s="224"/>
      <c r="R787" s="224"/>
      <c r="S787" s="429"/>
      <c r="Z787" s="362"/>
      <c r="AA787" s="421"/>
      <c r="AB787" s="362"/>
      <c r="AC787" s="362"/>
      <c r="AD787" s="362"/>
      <c r="AE787" s="362"/>
      <c r="AF787" s="362"/>
      <c r="AG787" s="362"/>
      <c r="AH787" s="362"/>
      <c r="AI787" s="393"/>
      <c r="AJ787" s="393"/>
      <c r="AK787" s="362"/>
      <c r="AL787" s="362"/>
      <c r="AM787" s="362"/>
      <c r="AN787" s="362"/>
      <c r="AO787" s="362"/>
      <c r="AP787" s="362"/>
      <c r="AQ787" s="362"/>
      <c r="AR787" s="362"/>
    </row>
    <row r="788" spans="1:44" ht="12.75" customHeight="1" x14ac:dyDescent="0.15">
      <c r="A788" s="431"/>
      <c r="B788" s="393"/>
      <c r="C788" s="428"/>
      <c r="D788" s="428">
        <v>664547.64575158304</v>
      </c>
      <c r="E788" s="224">
        <v>134631.92753688386</v>
      </c>
      <c r="F788" s="224">
        <v>4.4578341605580016</v>
      </c>
      <c r="G788" s="224">
        <v>3.8319754578765033</v>
      </c>
      <c r="H788" s="224">
        <v>2.9625553445584023</v>
      </c>
      <c r="I788" s="224">
        <v>2.30104560736953</v>
      </c>
      <c r="J788" s="224"/>
      <c r="M788" s="224">
        <f t="shared" si="42"/>
        <v>529915.71821469918</v>
      </c>
      <c r="N788" s="224">
        <f t="shared" si="43"/>
        <v>0.62585870268149835</v>
      </c>
      <c r="O788" s="224">
        <f t="shared" si="44"/>
        <v>0.66150973718887229</v>
      </c>
      <c r="Q788" s="224"/>
      <c r="R788" s="224"/>
      <c r="S788" s="429"/>
      <c r="Z788" s="362"/>
      <c r="AA788" s="421"/>
      <c r="AB788" s="362"/>
      <c r="AC788" s="362"/>
      <c r="AD788" s="362"/>
      <c r="AE788" s="362"/>
      <c r="AF788" s="362"/>
      <c r="AG788" s="362"/>
      <c r="AH788" s="362"/>
      <c r="AI788" s="393"/>
      <c r="AJ788" s="393"/>
      <c r="AK788" s="362"/>
      <c r="AL788" s="362"/>
      <c r="AM788" s="362"/>
      <c r="AN788" s="362"/>
      <c r="AO788" s="362"/>
      <c r="AP788" s="362"/>
      <c r="AQ788" s="362"/>
      <c r="AR788" s="362"/>
    </row>
    <row r="789" spans="1:44" ht="12.75" customHeight="1" x14ac:dyDescent="0.15">
      <c r="A789" s="431"/>
      <c r="B789" s="393"/>
      <c r="C789" s="428"/>
      <c r="D789" s="428">
        <v>723349.78639626969</v>
      </c>
      <c r="E789" s="224">
        <v>182670.66306288444</v>
      </c>
      <c r="F789" s="224">
        <v>4.3968323210670146</v>
      </c>
      <c r="G789" s="224">
        <v>4.260479891330176</v>
      </c>
      <c r="H789" s="224">
        <v>2.8029707512720274</v>
      </c>
      <c r="I789" s="224">
        <v>2.2780003333747594</v>
      </c>
      <c r="J789" s="224"/>
      <c r="M789" s="224">
        <f t="shared" si="42"/>
        <v>540679.12333338521</v>
      </c>
      <c r="N789" s="224">
        <f t="shared" si="43"/>
        <v>0.13635242973683859</v>
      </c>
      <c r="O789" s="224">
        <f t="shared" si="44"/>
        <v>0.52497041789726806</v>
      </c>
      <c r="Q789" s="224"/>
      <c r="R789" s="224"/>
      <c r="S789" s="429"/>
      <c r="Z789" s="362"/>
      <c r="AA789" s="421"/>
      <c r="AB789" s="362"/>
      <c r="AC789" s="362"/>
      <c r="AD789" s="362"/>
      <c r="AE789" s="362"/>
      <c r="AF789" s="362"/>
      <c r="AG789" s="362"/>
      <c r="AH789" s="362"/>
      <c r="AI789" s="393"/>
      <c r="AJ789" s="393"/>
      <c r="AK789" s="362"/>
      <c r="AL789" s="362"/>
      <c r="AM789" s="362"/>
      <c r="AN789" s="362"/>
      <c r="AO789" s="362"/>
      <c r="AP789" s="362"/>
      <c r="AQ789" s="362"/>
      <c r="AR789" s="362"/>
    </row>
    <row r="790" spans="1:44" ht="12.75" customHeight="1" x14ac:dyDescent="0.15">
      <c r="A790" s="431"/>
      <c r="B790" s="393"/>
      <c r="C790" s="428"/>
      <c r="D790" s="428">
        <v>555186.98950516153</v>
      </c>
      <c r="E790" s="224">
        <v>112460.4635247832</v>
      </c>
      <c r="F790" s="224">
        <v>4.2220270689717916</v>
      </c>
      <c r="G790" s="224">
        <v>3.2726563901476817</v>
      </c>
      <c r="H790" s="224">
        <v>2.7092595138364408</v>
      </c>
      <c r="I790" s="224">
        <v>1.9686113637523546</v>
      </c>
      <c r="J790" s="224"/>
      <c r="M790" s="224">
        <f t="shared" si="42"/>
        <v>442726.52598037833</v>
      </c>
      <c r="N790" s="224">
        <f t="shared" si="43"/>
        <v>0.94937067882410986</v>
      </c>
      <c r="O790" s="224">
        <f t="shared" si="44"/>
        <v>0.74064815008408624</v>
      </c>
      <c r="Q790" s="224"/>
      <c r="R790" s="224"/>
      <c r="S790" s="429"/>
      <c r="Z790" s="362"/>
      <c r="AA790" s="421"/>
      <c r="AB790" s="362"/>
      <c r="AC790" s="362"/>
      <c r="AD790" s="362"/>
      <c r="AE790" s="362"/>
      <c r="AF790" s="362"/>
      <c r="AG790" s="362"/>
      <c r="AH790" s="362"/>
      <c r="AI790" s="393"/>
      <c r="AJ790" s="393"/>
      <c r="AK790" s="362"/>
      <c r="AL790" s="362"/>
      <c r="AM790" s="362"/>
      <c r="AN790" s="362"/>
      <c r="AO790" s="362"/>
      <c r="AP790" s="362"/>
      <c r="AQ790" s="362"/>
      <c r="AR790" s="362"/>
    </row>
    <row r="791" spans="1:44" ht="12.75" customHeight="1" x14ac:dyDescent="0.15">
      <c r="A791" s="431"/>
      <c r="B791" s="393"/>
      <c r="C791" s="428"/>
      <c r="D791" s="428">
        <v>727217.44443477364</v>
      </c>
      <c r="E791" s="224">
        <v>242848.31507525328</v>
      </c>
      <c r="F791" s="224">
        <v>3.8125800962003185</v>
      </c>
      <c r="G791" s="224">
        <v>4.5525158194786908</v>
      </c>
      <c r="H791" s="224">
        <v>2.4232865809485582</v>
      </c>
      <c r="I791" s="224">
        <v>2.5293055611223387</v>
      </c>
      <c r="J791" s="224"/>
      <c r="M791" s="224">
        <f t="shared" si="42"/>
        <v>484369.12935952039</v>
      </c>
      <c r="N791" s="224">
        <f t="shared" si="43"/>
        <v>-0.73993572327837231</v>
      </c>
      <c r="O791" s="224">
        <f t="shared" si="44"/>
        <v>-0.10601898017378053</v>
      </c>
      <c r="Q791" s="224"/>
      <c r="R791" s="224"/>
      <c r="S791" s="429"/>
      <c r="Z791" s="362"/>
      <c r="AA791" s="421"/>
      <c r="AB791" s="362"/>
      <c r="AC791" s="362"/>
      <c r="AD791" s="362"/>
      <c r="AE791" s="362"/>
      <c r="AF791" s="362"/>
      <c r="AG791" s="362"/>
      <c r="AH791" s="362"/>
      <c r="AI791" s="393"/>
      <c r="AJ791" s="393"/>
      <c r="AK791" s="362"/>
      <c r="AL791" s="362"/>
      <c r="AM791" s="362"/>
      <c r="AN791" s="362"/>
      <c r="AO791" s="362"/>
      <c r="AP791" s="362"/>
      <c r="AQ791" s="362"/>
      <c r="AR791" s="362"/>
    </row>
    <row r="792" spans="1:44" ht="12.75" customHeight="1" x14ac:dyDescent="0.15">
      <c r="A792" s="431"/>
      <c r="B792" s="393"/>
      <c r="C792" s="428"/>
      <c r="D792" s="428">
        <v>559319.2844482871</v>
      </c>
      <c r="E792" s="224">
        <v>150948.44185898275</v>
      </c>
      <c r="F792" s="224">
        <v>4.0240443145070284</v>
      </c>
      <c r="G792" s="224">
        <v>3.8500431755708897</v>
      </c>
      <c r="H792" s="224">
        <v>2.4664909957447252</v>
      </c>
      <c r="I792" s="224">
        <v>2.2168179539093149</v>
      </c>
      <c r="J792" s="224"/>
      <c r="M792" s="224">
        <f t="shared" si="42"/>
        <v>408370.84258930432</v>
      </c>
      <c r="N792" s="224">
        <f t="shared" si="43"/>
        <v>0.17400113893613867</v>
      </c>
      <c r="O792" s="224">
        <f t="shared" si="44"/>
        <v>0.24967304183541028</v>
      </c>
      <c r="Q792" s="224"/>
      <c r="R792" s="224"/>
      <c r="S792" s="429"/>
      <c r="Z792" s="362"/>
      <c r="AA792" s="421"/>
      <c r="AB792" s="362"/>
      <c r="AC792" s="362"/>
      <c r="AD792" s="362"/>
      <c r="AE792" s="362"/>
      <c r="AF792" s="362"/>
      <c r="AG792" s="362"/>
      <c r="AH792" s="362"/>
      <c r="AI792" s="393"/>
      <c r="AJ792" s="393"/>
      <c r="AK792" s="362"/>
      <c r="AL792" s="362"/>
      <c r="AM792" s="362"/>
      <c r="AN792" s="362"/>
      <c r="AO792" s="362"/>
      <c r="AP792" s="362"/>
      <c r="AQ792" s="362"/>
      <c r="AR792" s="362"/>
    </row>
    <row r="793" spans="1:44" ht="12.75" customHeight="1" x14ac:dyDescent="0.15">
      <c r="A793" s="431"/>
      <c r="B793" s="393"/>
      <c r="C793" s="428"/>
      <c r="D793" s="428">
        <v>599719.6539438474</v>
      </c>
      <c r="E793" s="224">
        <v>229108.20916564995</v>
      </c>
      <c r="F793" s="224">
        <v>4.0830103552314121</v>
      </c>
      <c r="G793" s="224">
        <v>4.0803905852827835</v>
      </c>
      <c r="H793" s="224">
        <v>2.4554895411894901</v>
      </c>
      <c r="I793" s="224">
        <v>2.4886875990385775</v>
      </c>
      <c r="J793" s="224"/>
      <c r="M793" s="224">
        <f t="shared" si="42"/>
        <v>370611.44477819744</v>
      </c>
      <c r="N793" s="224">
        <f t="shared" si="43"/>
        <v>2.6197699486285586E-3</v>
      </c>
      <c r="O793" s="224">
        <f t="shared" si="44"/>
        <v>-3.3198057849087359E-2</v>
      </c>
      <c r="Q793" s="224"/>
      <c r="R793" s="224"/>
      <c r="S793" s="429"/>
      <c r="Z793" s="362"/>
      <c r="AA793" s="421"/>
      <c r="AB793" s="362"/>
      <c r="AC793" s="362"/>
      <c r="AD793" s="362"/>
      <c r="AE793" s="362"/>
      <c r="AF793" s="362"/>
      <c r="AG793" s="362"/>
      <c r="AH793" s="362"/>
      <c r="AI793" s="393"/>
      <c r="AJ793" s="393"/>
      <c r="AK793" s="362"/>
      <c r="AL793" s="362"/>
      <c r="AM793" s="362"/>
      <c r="AN793" s="362"/>
      <c r="AO793" s="362"/>
      <c r="AP793" s="362"/>
      <c r="AQ793" s="362"/>
      <c r="AR793" s="362"/>
    </row>
    <row r="794" spans="1:44" ht="12.75" customHeight="1" x14ac:dyDescent="0.15">
      <c r="A794" s="431"/>
      <c r="B794" s="393"/>
      <c r="C794" s="428"/>
      <c r="D794" s="428">
        <v>601779.31781373254</v>
      </c>
      <c r="E794" s="224">
        <v>141261.31758331336</v>
      </c>
      <c r="F794" s="224">
        <v>4.2090648143443579</v>
      </c>
      <c r="G794" s="224">
        <v>4.0336322782479481</v>
      </c>
      <c r="H794" s="224">
        <v>2.1695015724465225</v>
      </c>
      <c r="I794" s="224">
        <v>1.912335026410765</v>
      </c>
      <c r="J794" s="224"/>
      <c r="M794" s="224">
        <f t="shared" si="42"/>
        <v>460518.00023041922</v>
      </c>
      <c r="N794" s="224">
        <f t="shared" si="43"/>
        <v>0.17543253609640974</v>
      </c>
      <c r="O794" s="224">
        <f t="shared" si="44"/>
        <v>0.2571665460357575</v>
      </c>
      <c r="Q794" s="224"/>
      <c r="R794" s="224"/>
      <c r="S794" s="429"/>
      <c r="Z794" s="362"/>
      <c r="AA794" s="421"/>
      <c r="AB794" s="362"/>
      <c r="AC794" s="362"/>
      <c r="AD794" s="362"/>
      <c r="AE794" s="362"/>
      <c r="AF794" s="362"/>
      <c r="AG794" s="362"/>
      <c r="AH794" s="362"/>
      <c r="AI794" s="393"/>
      <c r="AJ794" s="393"/>
      <c r="AK794" s="362"/>
      <c r="AL794" s="362"/>
      <c r="AM794" s="362"/>
      <c r="AN794" s="362"/>
      <c r="AO794" s="362"/>
      <c r="AP794" s="362"/>
      <c r="AQ794" s="362"/>
      <c r="AR794" s="362"/>
    </row>
    <row r="795" spans="1:44" ht="12.75" customHeight="1" x14ac:dyDescent="0.15">
      <c r="A795" s="431"/>
      <c r="B795" s="393"/>
      <c r="C795" s="428"/>
      <c r="D795" s="428">
        <v>734423.07865147083</v>
      </c>
      <c r="E795" s="224">
        <v>118720.44415116578</v>
      </c>
      <c r="F795" s="224">
        <v>5.0949936392982282</v>
      </c>
      <c r="G795" s="224">
        <v>3.7321473310182749</v>
      </c>
      <c r="H795" s="224">
        <v>3.5001872164696723</v>
      </c>
      <c r="I795" s="224">
        <v>2.3058361195636197</v>
      </c>
      <c r="J795" s="224"/>
      <c r="M795" s="224">
        <f t="shared" si="42"/>
        <v>615702.63450030505</v>
      </c>
      <c r="N795" s="224">
        <f t="shared" si="43"/>
        <v>1.3628463082799533</v>
      </c>
      <c r="O795" s="224">
        <f t="shared" si="44"/>
        <v>1.1943510969060527</v>
      </c>
      <c r="Q795" s="224"/>
      <c r="R795" s="224"/>
      <c r="S795" s="429"/>
      <c r="Z795" s="362"/>
      <c r="AA795" s="421"/>
      <c r="AB795" s="362"/>
      <c r="AC795" s="362"/>
      <c r="AD795" s="362"/>
      <c r="AE795" s="362"/>
      <c r="AF795" s="362"/>
      <c r="AG795" s="362"/>
      <c r="AH795" s="362"/>
      <c r="AI795" s="393"/>
      <c r="AJ795" s="393"/>
      <c r="AK795" s="362"/>
      <c r="AL795" s="362"/>
      <c r="AM795" s="362"/>
      <c r="AN795" s="362"/>
      <c r="AO795" s="362"/>
      <c r="AP795" s="362"/>
      <c r="AQ795" s="362"/>
      <c r="AR795" s="362"/>
    </row>
    <row r="796" spans="1:44" ht="12.75" customHeight="1" x14ac:dyDescent="0.15">
      <c r="A796" s="431"/>
      <c r="B796" s="393"/>
      <c r="C796" s="428"/>
      <c r="D796" s="428">
        <v>615943.38364223076</v>
      </c>
      <c r="E796" s="224">
        <v>129993.16497693049</v>
      </c>
      <c r="F796" s="224">
        <v>3.740530921540218</v>
      </c>
      <c r="G796" s="224">
        <v>4.1684459169027432</v>
      </c>
      <c r="H796" s="224">
        <v>2.3039170813124681</v>
      </c>
      <c r="I796" s="224">
        <v>2.2752674301157811</v>
      </c>
      <c r="J796" s="224"/>
      <c r="M796" s="224">
        <f t="shared" si="42"/>
        <v>485950.21866530029</v>
      </c>
      <c r="N796" s="224">
        <f t="shared" si="43"/>
        <v>-0.4279149953625252</v>
      </c>
      <c r="O796" s="224">
        <f t="shared" si="44"/>
        <v>2.8649651196686943E-2</v>
      </c>
      <c r="Q796" s="224"/>
      <c r="R796" s="224"/>
      <c r="S796" s="429"/>
      <c r="Z796" s="362"/>
      <c r="AA796" s="421"/>
      <c r="AB796" s="362"/>
      <c r="AC796" s="362"/>
      <c r="AD796" s="362"/>
      <c r="AE796" s="362"/>
      <c r="AF796" s="362"/>
      <c r="AG796" s="362"/>
      <c r="AH796" s="362"/>
      <c r="AI796" s="393"/>
      <c r="AJ796" s="393"/>
      <c r="AK796" s="362"/>
      <c r="AL796" s="362"/>
      <c r="AM796" s="362"/>
      <c r="AN796" s="362"/>
      <c r="AO796" s="362"/>
      <c r="AP796" s="362"/>
      <c r="AQ796" s="362"/>
      <c r="AR796" s="362"/>
    </row>
    <row r="797" spans="1:44" ht="12.75" customHeight="1" x14ac:dyDescent="0.15">
      <c r="A797" s="431"/>
      <c r="B797" s="393"/>
      <c r="C797" s="428"/>
      <c r="D797" s="428">
        <v>495530.11556622369</v>
      </c>
      <c r="E797" s="224">
        <v>157933.51682616893</v>
      </c>
      <c r="F797" s="224">
        <v>3.9670115159104351</v>
      </c>
      <c r="G797" s="224">
        <v>4.1158785805503166</v>
      </c>
      <c r="H797" s="224">
        <v>2.2827263659431467</v>
      </c>
      <c r="I797" s="224">
        <v>2.2860903000318453</v>
      </c>
      <c r="J797" s="224"/>
      <c r="M797" s="224">
        <f t="shared" si="42"/>
        <v>337596.59874005476</v>
      </c>
      <c r="N797" s="224">
        <f t="shared" si="43"/>
        <v>-0.14886706463988153</v>
      </c>
      <c r="O797" s="224">
        <f t="shared" si="44"/>
        <v>-3.3639340886986169E-3</v>
      </c>
      <c r="Q797" s="224"/>
      <c r="R797" s="224"/>
      <c r="S797" s="429"/>
      <c r="Z797" s="362"/>
      <c r="AA797" s="421"/>
      <c r="AB797" s="362"/>
      <c r="AC797" s="362"/>
      <c r="AD797" s="362"/>
      <c r="AE797" s="362"/>
      <c r="AF797" s="362"/>
      <c r="AG797" s="362"/>
      <c r="AH797" s="362"/>
      <c r="AI797" s="393"/>
      <c r="AJ797" s="393"/>
      <c r="AK797" s="362"/>
      <c r="AL797" s="362"/>
      <c r="AM797" s="362"/>
      <c r="AN797" s="362"/>
      <c r="AO797" s="362"/>
      <c r="AP797" s="362"/>
      <c r="AQ797" s="362"/>
      <c r="AR797" s="362"/>
    </row>
    <row r="798" spans="1:44" ht="12.75" customHeight="1" x14ac:dyDescent="0.15">
      <c r="A798" s="431"/>
      <c r="B798" s="393"/>
      <c r="C798" s="428"/>
      <c r="D798" s="428">
        <v>490927.31628736091</v>
      </c>
      <c r="E798" s="224">
        <v>105132.61572191864</v>
      </c>
      <c r="F798" s="224">
        <v>4.9010521429366074</v>
      </c>
      <c r="G798" s="224">
        <v>3.6921978342971369</v>
      </c>
      <c r="H798" s="224">
        <v>2.3289271572383274</v>
      </c>
      <c r="I798" s="224">
        <v>1.7504874667267927</v>
      </c>
      <c r="J798" s="224"/>
      <c r="M798" s="224">
        <f t="shared" si="42"/>
        <v>385794.70056544227</v>
      </c>
      <c r="N798" s="224">
        <f t="shared" si="43"/>
        <v>1.2088543086394705</v>
      </c>
      <c r="O798" s="224">
        <f t="shared" si="44"/>
        <v>0.57843969051153477</v>
      </c>
      <c r="Q798" s="224"/>
      <c r="R798" s="224"/>
      <c r="S798" s="429"/>
      <c r="Z798" s="362"/>
      <c r="AA798" s="421"/>
      <c r="AB798" s="362"/>
      <c r="AC798" s="362"/>
      <c r="AD798" s="362"/>
      <c r="AE798" s="362"/>
      <c r="AF798" s="362"/>
      <c r="AG798" s="362"/>
      <c r="AH798" s="362"/>
      <c r="AI798" s="393"/>
      <c r="AJ798" s="393"/>
      <c r="AK798" s="362"/>
      <c r="AL798" s="362"/>
      <c r="AM798" s="362"/>
      <c r="AN798" s="362"/>
      <c r="AO798" s="362"/>
      <c r="AP798" s="362"/>
      <c r="AQ798" s="362"/>
      <c r="AR798" s="362"/>
    </row>
    <row r="799" spans="1:44" ht="12.75" customHeight="1" x14ac:dyDescent="0.15">
      <c r="A799" s="431"/>
      <c r="B799" s="393"/>
      <c r="C799" s="428"/>
      <c r="D799" s="428">
        <v>580413.61600504792</v>
      </c>
      <c r="E799" s="224">
        <v>148186.54788738585</v>
      </c>
      <c r="F799" s="224">
        <v>4.7564252865588843</v>
      </c>
      <c r="G799" s="224">
        <v>4.6118375470919686</v>
      </c>
      <c r="H799" s="224">
        <v>2.7625095552349621</v>
      </c>
      <c r="I799" s="224">
        <v>2.4674337559971677</v>
      </c>
      <c r="J799" s="224"/>
      <c r="M799" s="224">
        <f t="shared" si="42"/>
        <v>432227.0681176621</v>
      </c>
      <c r="N799" s="224">
        <f t="shared" si="43"/>
        <v>0.14458773946691572</v>
      </c>
      <c r="O799" s="224">
        <f t="shared" si="44"/>
        <v>0.29507579923779437</v>
      </c>
      <c r="Q799" s="224"/>
      <c r="R799" s="224"/>
      <c r="S799" s="429"/>
      <c r="Z799" s="362"/>
      <c r="AA799" s="421"/>
      <c r="AB799" s="362"/>
      <c r="AC799" s="362"/>
      <c r="AD799" s="362"/>
      <c r="AE799" s="362"/>
      <c r="AF799" s="362"/>
      <c r="AG799" s="362"/>
      <c r="AH799" s="362"/>
      <c r="AI799" s="393"/>
      <c r="AJ799" s="393"/>
      <c r="AK799" s="362"/>
      <c r="AL799" s="362"/>
      <c r="AM799" s="362"/>
      <c r="AN799" s="362"/>
      <c r="AO799" s="362"/>
      <c r="AP799" s="362"/>
      <c r="AQ799" s="362"/>
      <c r="AR799" s="362"/>
    </row>
    <row r="800" spans="1:44" ht="12.75" customHeight="1" x14ac:dyDescent="0.15">
      <c r="A800" s="431"/>
      <c r="B800" s="393"/>
      <c r="C800" s="428"/>
      <c r="D800" s="428">
        <v>523141.21756260825</v>
      </c>
      <c r="E800" s="224">
        <v>188689.80704327027</v>
      </c>
      <c r="F800" s="224">
        <v>4.1299657642084675</v>
      </c>
      <c r="G800" s="224">
        <v>3.8237583275608316</v>
      </c>
      <c r="H800" s="224">
        <v>2.0223898342433499</v>
      </c>
      <c r="I800" s="224">
        <v>1.861352669682369</v>
      </c>
      <c r="J800" s="224"/>
      <c r="M800" s="224">
        <f t="shared" si="42"/>
        <v>334451.41051933798</v>
      </c>
      <c r="N800" s="224">
        <f t="shared" si="43"/>
        <v>0.30620743664763594</v>
      </c>
      <c r="O800" s="224">
        <f t="shared" si="44"/>
        <v>0.16103716456098094</v>
      </c>
      <c r="Q800" s="224"/>
      <c r="R800" s="224"/>
      <c r="S800" s="429"/>
      <c r="Z800" s="362"/>
      <c r="AA800" s="421"/>
      <c r="AB800" s="362"/>
      <c r="AC800" s="362"/>
      <c r="AD800" s="362"/>
      <c r="AE800" s="362"/>
      <c r="AF800" s="362"/>
      <c r="AG800" s="362"/>
      <c r="AH800" s="362"/>
      <c r="AI800" s="393"/>
      <c r="AJ800" s="393"/>
      <c r="AK800" s="362"/>
      <c r="AL800" s="362"/>
      <c r="AM800" s="362"/>
      <c r="AN800" s="362"/>
      <c r="AO800" s="362"/>
      <c r="AP800" s="362"/>
      <c r="AQ800" s="362"/>
      <c r="AR800" s="362"/>
    </row>
    <row r="801" spans="1:44" ht="12.75" customHeight="1" x14ac:dyDescent="0.15">
      <c r="A801" s="431"/>
      <c r="B801" s="393"/>
      <c r="C801" s="428"/>
      <c r="D801" s="428">
        <v>613885.7365926546</v>
      </c>
      <c r="E801" s="224">
        <v>184065.14483684575</v>
      </c>
      <c r="F801" s="224">
        <v>4.3428131439350022</v>
      </c>
      <c r="G801" s="224">
        <v>3.7064685955956085</v>
      </c>
      <c r="H801" s="224">
        <v>2.4569286871317573</v>
      </c>
      <c r="I801" s="224">
        <v>2.0798582904376963</v>
      </c>
      <c r="J801" s="224"/>
      <c r="M801" s="224">
        <f t="shared" si="42"/>
        <v>429820.59175580885</v>
      </c>
      <c r="N801" s="224">
        <f t="shared" si="43"/>
        <v>0.63634454833939369</v>
      </c>
      <c r="O801" s="224">
        <f t="shared" si="44"/>
        <v>0.37707039669406095</v>
      </c>
      <c r="Q801" s="224"/>
      <c r="R801" s="224"/>
      <c r="S801" s="429"/>
      <c r="Z801" s="362"/>
      <c r="AA801" s="421"/>
      <c r="AB801" s="362"/>
      <c r="AC801" s="362"/>
      <c r="AD801" s="362"/>
      <c r="AE801" s="362"/>
      <c r="AF801" s="362"/>
      <c r="AG801" s="362"/>
      <c r="AH801" s="362"/>
      <c r="AI801" s="393"/>
      <c r="AJ801" s="393"/>
      <c r="AK801" s="362"/>
      <c r="AL801" s="362"/>
      <c r="AM801" s="362"/>
      <c r="AN801" s="362"/>
      <c r="AO801" s="362"/>
      <c r="AP801" s="362"/>
      <c r="AQ801" s="362"/>
      <c r="AR801" s="362"/>
    </row>
    <row r="802" spans="1:44" ht="12.75" customHeight="1" x14ac:dyDescent="0.15">
      <c r="A802" s="431"/>
      <c r="B802" s="393"/>
      <c r="C802" s="428"/>
      <c r="D802" s="428">
        <v>684832.38222847623</v>
      </c>
      <c r="E802" s="224">
        <v>213250.77433675574</v>
      </c>
      <c r="F802" s="224">
        <v>4.2094724697440418</v>
      </c>
      <c r="G802" s="224">
        <v>4.417252216080521</v>
      </c>
      <c r="H802" s="224">
        <v>2.7436790049195725</v>
      </c>
      <c r="I802" s="224">
        <v>2.3782433470637927</v>
      </c>
      <c r="J802" s="224"/>
      <c r="M802" s="224">
        <f t="shared" si="42"/>
        <v>471581.60789172049</v>
      </c>
      <c r="N802" s="224">
        <f t="shared" si="43"/>
        <v>-0.20777974633647922</v>
      </c>
      <c r="O802" s="224">
        <f t="shared" si="44"/>
        <v>0.36543565785577981</v>
      </c>
      <c r="Q802" s="224"/>
      <c r="R802" s="224"/>
      <c r="S802" s="429"/>
      <c r="Z802" s="362"/>
      <c r="AA802" s="421"/>
      <c r="AB802" s="362"/>
      <c r="AC802" s="362"/>
      <c r="AD802" s="362"/>
      <c r="AE802" s="362"/>
      <c r="AF802" s="362"/>
      <c r="AG802" s="362"/>
      <c r="AH802" s="362"/>
      <c r="AI802" s="393"/>
      <c r="AJ802" s="393"/>
      <c r="AK802" s="362"/>
      <c r="AL802" s="362"/>
      <c r="AM802" s="362"/>
      <c r="AN802" s="362"/>
      <c r="AO802" s="362"/>
      <c r="AP802" s="362"/>
      <c r="AQ802" s="362"/>
      <c r="AR802" s="362"/>
    </row>
    <row r="803" spans="1:44" ht="12.75" customHeight="1" x14ac:dyDescent="0.15">
      <c r="A803" s="431"/>
      <c r="B803" s="393"/>
      <c r="C803" s="428"/>
      <c r="D803" s="428">
        <v>646877.01923049067</v>
      </c>
      <c r="E803" s="224">
        <v>243281.47375313347</v>
      </c>
      <c r="F803" s="224">
        <v>4.4107070538973066</v>
      </c>
      <c r="G803" s="224">
        <v>3.9704754547508183</v>
      </c>
      <c r="H803" s="224">
        <v>2.4502519891444212</v>
      </c>
      <c r="I803" s="224">
        <v>1.8905334499147333</v>
      </c>
      <c r="J803" s="224"/>
      <c r="M803" s="224">
        <f t="shared" si="42"/>
        <v>403595.54547735723</v>
      </c>
      <c r="N803" s="224">
        <f t="shared" si="43"/>
        <v>0.44023159914648824</v>
      </c>
      <c r="O803" s="224">
        <f t="shared" si="44"/>
        <v>0.55971853922968795</v>
      </c>
      <c r="Q803" s="224"/>
      <c r="R803" s="224"/>
      <c r="S803" s="429"/>
      <c r="Z803" s="362"/>
      <c r="AA803" s="421"/>
      <c r="AB803" s="362"/>
      <c r="AC803" s="362"/>
      <c r="AD803" s="362"/>
      <c r="AE803" s="362"/>
      <c r="AF803" s="362"/>
      <c r="AG803" s="362"/>
      <c r="AH803" s="362"/>
      <c r="AI803" s="393"/>
      <c r="AJ803" s="393"/>
      <c r="AK803" s="362"/>
      <c r="AL803" s="362"/>
      <c r="AM803" s="362"/>
      <c r="AN803" s="362"/>
      <c r="AO803" s="362"/>
      <c r="AP803" s="362"/>
      <c r="AQ803" s="362"/>
      <c r="AR803" s="362"/>
    </row>
    <row r="804" spans="1:44" ht="12.75" customHeight="1" x14ac:dyDescent="0.15">
      <c r="A804" s="431"/>
      <c r="B804" s="393"/>
      <c r="C804" s="428"/>
      <c r="D804" s="428">
        <v>593744.13007640536</v>
      </c>
      <c r="E804" s="224">
        <v>145675.91177414072</v>
      </c>
      <c r="F804" s="224">
        <v>4.8842802944036601</v>
      </c>
      <c r="G804" s="224">
        <v>4.514324815995594</v>
      </c>
      <c r="H804" s="224">
        <v>2.6622005048605062</v>
      </c>
      <c r="I804" s="224">
        <v>2.3106997252030563</v>
      </c>
      <c r="J804" s="224"/>
      <c r="M804" s="224">
        <f t="shared" si="42"/>
        <v>448068.21830226463</v>
      </c>
      <c r="N804" s="224">
        <f t="shared" si="43"/>
        <v>0.36995547840806609</v>
      </c>
      <c r="O804" s="224">
        <f t="shared" si="44"/>
        <v>0.35150077965744986</v>
      </c>
      <c r="Q804" s="224"/>
      <c r="R804" s="224"/>
      <c r="S804" s="429"/>
      <c r="Z804" s="362"/>
      <c r="AA804" s="421"/>
      <c r="AB804" s="362"/>
      <c r="AC804" s="362"/>
      <c r="AD804" s="362"/>
      <c r="AE804" s="362"/>
      <c r="AF804" s="362"/>
      <c r="AG804" s="362"/>
      <c r="AH804" s="362"/>
      <c r="AI804" s="393"/>
      <c r="AJ804" s="393"/>
      <c r="AK804" s="362"/>
      <c r="AL804" s="362"/>
      <c r="AM804" s="362"/>
      <c r="AN804" s="362"/>
      <c r="AO804" s="362"/>
      <c r="AP804" s="362"/>
      <c r="AQ804" s="362"/>
      <c r="AR804" s="362"/>
    </row>
    <row r="805" spans="1:44" ht="12.75" customHeight="1" x14ac:dyDescent="0.15">
      <c r="A805" s="431"/>
      <c r="B805" s="393"/>
      <c r="C805" s="428"/>
      <c r="D805" s="428">
        <v>479507.44875478896</v>
      </c>
      <c r="E805" s="224">
        <v>152366.57526602267</v>
      </c>
      <c r="F805" s="224">
        <v>4.5617076484411507</v>
      </c>
      <c r="G805" s="224">
        <v>4.0411020496825882</v>
      </c>
      <c r="H805" s="224">
        <v>2.7562448705650975</v>
      </c>
      <c r="I805" s="224">
        <v>2.4071722135047469</v>
      </c>
      <c r="J805" s="224"/>
      <c r="M805" s="224">
        <f t="shared" si="42"/>
        <v>327140.87348876626</v>
      </c>
      <c r="N805" s="224">
        <f t="shared" si="43"/>
        <v>0.52060559875856249</v>
      </c>
      <c r="O805" s="224">
        <f t="shared" si="44"/>
        <v>0.34907265706035062</v>
      </c>
      <c r="Q805" s="224"/>
      <c r="R805" s="224"/>
      <c r="S805" s="429"/>
      <c r="Z805" s="362"/>
      <c r="AA805" s="421"/>
      <c r="AB805" s="362"/>
      <c r="AC805" s="362"/>
      <c r="AD805" s="362"/>
      <c r="AE805" s="362"/>
      <c r="AF805" s="362"/>
      <c r="AG805" s="362"/>
      <c r="AH805" s="362"/>
      <c r="AI805" s="393"/>
      <c r="AJ805" s="393"/>
      <c r="AK805" s="362"/>
      <c r="AL805" s="362"/>
      <c r="AM805" s="362"/>
      <c r="AN805" s="362"/>
      <c r="AO805" s="362"/>
      <c r="AP805" s="362"/>
      <c r="AQ805" s="362"/>
      <c r="AR805" s="362"/>
    </row>
    <row r="806" spans="1:44" ht="12.75" customHeight="1" x14ac:dyDescent="0.15">
      <c r="A806" s="431"/>
      <c r="B806" s="393"/>
      <c r="C806" s="428"/>
      <c r="D806" s="428">
        <v>683100.30374793522</v>
      </c>
      <c r="E806" s="224">
        <v>202756.43277260754</v>
      </c>
      <c r="F806" s="224">
        <v>4.9795956406547184</v>
      </c>
      <c r="G806" s="224">
        <v>4.0159939041812178</v>
      </c>
      <c r="H806" s="224">
        <v>2.4349747972158822</v>
      </c>
      <c r="I806" s="224">
        <v>1.7546042075164963</v>
      </c>
      <c r="J806" s="224"/>
      <c r="M806" s="224">
        <f t="shared" si="42"/>
        <v>480343.87097532768</v>
      </c>
      <c r="N806" s="224">
        <f t="shared" si="43"/>
        <v>0.96360173647350056</v>
      </c>
      <c r="O806" s="224">
        <f t="shared" si="44"/>
        <v>0.68037058969938591</v>
      </c>
      <c r="Q806" s="224"/>
      <c r="R806" s="224"/>
      <c r="S806" s="429"/>
      <c r="Z806" s="362"/>
      <c r="AA806" s="421"/>
      <c r="AB806" s="362"/>
      <c r="AC806" s="362"/>
      <c r="AD806" s="362"/>
      <c r="AE806" s="362"/>
      <c r="AF806" s="362"/>
      <c r="AG806" s="362"/>
      <c r="AH806" s="362"/>
      <c r="AI806" s="393"/>
      <c r="AJ806" s="393"/>
      <c r="AK806" s="362"/>
      <c r="AL806" s="362"/>
      <c r="AM806" s="362"/>
      <c r="AN806" s="362"/>
      <c r="AO806" s="362"/>
      <c r="AP806" s="362"/>
      <c r="AQ806" s="362"/>
      <c r="AR806" s="362"/>
    </row>
    <row r="807" spans="1:44" ht="12.75" customHeight="1" x14ac:dyDescent="0.15">
      <c r="A807" s="431"/>
      <c r="B807" s="393"/>
      <c r="C807" s="428"/>
      <c r="D807" s="428">
        <v>553697.77397352993</v>
      </c>
      <c r="E807" s="224">
        <v>133253.5022328393</v>
      </c>
      <c r="F807" s="224">
        <v>4.0293417127936264</v>
      </c>
      <c r="G807" s="224">
        <v>3.5720510695026824</v>
      </c>
      <c r="H807" s="224">
        <v>2.3610068601247693</v>
      </c>
      <c r="I807" s="224">
        <v>2.0006228502556467</v>
      </c>
      <c r="J807" s="224"/>
      <c r="M807" s="224">
        <f t="shared" si="42"/>
        <v>420444.27174069063</v>
      </c>
      <c r="N807" s="224">
        <f t="shared" si="43"/>
        <v>0.45729064329094404</v>
      </c>
      <c r="O807" s="224">
        <f t="shared" si="44"/>
        <v>0.36038400986912267</v>
      </c>
      <c r="Q807" s="224"/>
      <c r="R807" s="224"/>
      <c r="S807" s="429"/>
      <c r="Z807" s="362"/>
      <c r="AA807" s="421"/>
      <c r="AB807" s="362"/>
      <c r="AC807" s="362"/>
      <c r="AD807" s="362"/>
      <c r="AE807" s="362"/>
      <c r="AF807" s="362"/>
      <c r="AG807" s="362"/>
      <c r="AH807" s="362"/>
      <c r="AI807" s="393"/>
      <c r="AJ807" s="393"/>
      <c r="AK807" s="362"/>
      <c r="AL807" s="362"/>
      <c r="AM807" s="362"/>
      <c r="AN807" s="362"/>
      <c r="AO807" s="362"/>
      <c r="AP807" s="362"/>
      <c r="AQ807" s="362"/>
      <c r="AR807" s="362"/>
    </row>
    <row r="808" spans="1:44" ht="12.75" customHeight="1" x14ac:dyDescent="0.15">
      <c r="A808" s="431"/>
      <c r="B808" s="393"/>
      <c r="C808" s="428"/>
      <c r="D808" s="428">
        <v>577788.30399844865</v>
      </c>
      <c r="E808" s="224">
        <v>190870.02271329903</v>
      </c>
      <c r="F808" s="224">
        <v>3.9349858943982463</v>
      </c>
      <c r="G808" s="224">
        <v>4.041009842065435</v>
      </c>
      <c r="H808" s="224">
        <v>2.5032344766729051</v>
      </c>
      <c r="I808" s="224">
        <v>2.3519516130838345</v>
      </c>
      <c r="J808" s="224"/>
      <c r="M808" s="224">
        <f t="shared" si="42"/>
        <v>386918.28128514963</v>
      </c>
      <c r="N808" s="224">
        <f t="shared" si="43"/>
        <v>-0.1060239476671887</v>
      </c>
      <c r="O808" s="224">
        <f t="shared" si="44"/>
        <v>0.15128286358907062</v>
      </c>
      <c r="Q808" s="224"/>
      <c r="R808" s="224"/>
      <c r="S808" s="429"/>
      <c r="Z808" s="362"/>
      <c r="AA808" s="421"/>
      <c r="AB808" s="362"/>
      <c r="AC808" s="362"/>
      <c r="AD808" s="362"/>
      <c r="AE808" s="362"/>
      <c r="AF808" s="362"/>
      <c r="AG808" s="362"/>
      <c r="AH808" s="362"/>
      <c r="AI808" s="393"/>
      <c r="AJ808" s="393"/>
      <c r="AK808" s="362"/>
      <c r="AL808" s="362"/>
      <c r="AM808" s="362"/>
      <c r="AN808" s="362"/>
      <c r="AO808" s="362"/>
      <c r="AP808" s="362"/>
      <c r="AQ808" s="362"/>
      <c r="AR808" s="362"/>
    </row>
    <row r="809" spans="1:44" ht="12.75" customHeight="1" x14ac:dyDescent="0.15">
      <c r="A809" s="431"/>
      <c r="B809" s="393"/>
      <c r="C809" s="428"/>
      <c r="D809" s="428">
        <v>555859.830913582</v>
      </c>
      <c r="E809" s="224">
        <v>211904.56709541311</v>
      </c>
      <c r="F809" s="224">
        <v>4.0825501481477815</v>
      </c>
      <c r="G809" s="224">
        <v>4.3685396805862178</v>
      </c>
      <c r="H809" s="224">
        <v>2.2188800837176634</v>
      </c>
      <c r="I809" s="224">
        <v>2.2221030124990562</v>
      </c>
      <c r="J809" s="224"/>
      <c r="M809" s="224">
        <f t="shared" si="42"/>
        <v>343955.2638181689</v>
      </c>
      <c r="N809" s="224">
        <f t="shared" si="43"/>
        <v>-0.28598953243843628</v>
      </c>
      <c r="O809" s="224">
        <f t="shared" si="44"/>
        <v>-3.2229287813927421E-3</v>
      </c>
      <c r="Q809" s="224"/>
      <c r="R809" s="224"/>
      <c r="S809" s="429"/>
      <c r="Z809" s="362"/>
      <c r="AA809" s="421"/>
      <c r="AB809" s="362"/>
      <c r="AC809" s="362"/>
      <c r="AD809" s="362"/>
      <c r="AE809" s="362"/>
      <c r="AF809" s="362"/>
      <c r="AG809" s="362"/>
      <c r="AH809" s="362"/>
      <c r="AI809" s="393"/>
      <c r="AJ809" s="393"/>
      <c r="AK809" s="362"/>
      <c r="AL809" s="362"/>
      <c r="AM809" s="362"/>
      <c r="AN809" s="362"/>
      <c r="AO809" s="362"/>
      <c r="AP809" s="362"/>
      <c r="AQ809" s="362"/>
      <c r="AR809" s="362"/>
    </row>
    <row r="810" spans="1:44" ht="12.75" customHeight="1" x14ac:dyDescent="0.15">
      <c r="A810" s="431"/>
      <c r="B810" s="393"/>
      <c r="C810" s="428"/>
      <c r="D810" s="428">
        <v>583274.57682402967</v>
      </c>
      <c r="E810" s="224">
        <v>131140.16829215412</v>
      </c>
      <c r="F810" s="224">
        <v>4.1322699082594552</v>
      </c>
      <c r="G810" s="224">
        <v>3.8974841613276889</v>
      </c>
      <c r="H810" s="224">
        <v>2.5112184916650664</v>
      </c>
      <c r="I810" s="224">
        <v>2.075906187716253</v>
      </c>
      <c r="J810" s="224"/>
      <c r="M810" s="224">
        <f t="shared" si="42"/>
        <v>452134.40853187558</v>
      </c>
      <c r="N810" s="224">
        <f t="shared" si="43"/>
        <v>0.23478574693176624</v>
      </c>
      <c r="O810" s="224">
        <f t="shared" si="44"/>
        <v>0.43531230394881337</v>
      </c>
      <c r="Q810" s="224"/>
      <c r="R810" s="224"/>
      <c r="S810" s="429"/>
      <c r="Z810" s="362"/>
      <c r="AA810" s="421"/>
      <c r="AB810" s="362"/>
      <c r="AC810" s="362"/>
      <c r="AD810" s="362"/>
      <c r="AE810" s="362"/>
      <c r="AF810" s="362"/>
      <c r="AG810" s="362"/>
      <c r="AH810" s="362"/>
      <c r="AI810" s="393"/>
      <c r="AJ810" s="393"/>
      <c r="AK810" s="362"/>
      <c r="AL810" s="362"/>
      <c r="AM810" s="362"/>
      <c r="AN810" s="362"/>
      <c r="AO810" s="362"/>
      <c r="AP810" s="362"/>
      <c r="AQ810" s="362"/>
      <c r="AR810" s="362"/>
    </row>
    <row r="811" spans="1:44" ht="12.75" customHeight="1" x14ac:dyDescent="0.15">
      <c r="A811" s="431"/>
      <c r="B811" s="393"/>
      <c r="C811" s="428"/>
      <c r="D811" s="428">
        <v>608578.06818145665</v>
      </c>
      <c r="E811" s="224">
        <v>141824.35858513208</v>
      </c>
      <c r="F811" s="224">
        <v>4.181053737397618</v>
      </c>
      <c r="G811" s="224">
        <v>3.7215269269391786</v>
      </c>
      <c r="H811" s="224">
        <v>2.6305699554897881</v>
      </c>
      <c r="I811" s="224">
        <v>2.1117548692213055</v>
      </c>
      <c r="J811" s="224"/>
      <c r="M811" s="224">
        <f t="shared" si="42"/>
        <v>466753.7095963246</v>
      </c>
      <c r="N811" s="224">
        <f t="shared" si="43"/>
        <v>0.45952681045843935</v>
      </c>
      <c r="O811" s="224">
        <f t="shared" si="44"/>
        <v>0.51881508626848261</v>
      </c>
      <c r="Q811" s="224"/>
      <c r="R811" s="224"/>
      <c r="S811" s="429"/>
      <c r="Z811" s="362"/>
      <c r="AA811" s="421"/>
      <c r="AB811" s="362"/>
      <c r="AC811" s="362"/>
      <c r="AD811" s="362"/>
      <c r="AE811" s="362"/>
      <c r="AF811" s="362"/>
      <c r="AG811" s="362"/>
      <c r="AH811" s="362"/>
      <c r="AI811" s="393"/>
      <c r="AJ811" s="393"/>
      <c r="AK811" s="362"/>
      <c r="AL811" s="362"/>
      <c r="AM811" s="362"/>
      <c r="AN811" s="362"/>
      <c r="AO811" s="362"/>
      <c r="AP811" s="362"/>
      <c r="AQ811" s="362"/>
      <c r="AR811" s="362"/>
    </row>
    <row r="812" spans="1:44" ht="12.75" customHeight="1" x14ac:dyDescent="0.15">
      <c r="A812" s="431"/>
      <c r="B812" s="393"/>
      <c r="C812" s="428"/>
      <c r="D812" s="428">
        <v>568526.58819699509</v>
      </c>
      <c r="E812" s="224">
        <v>141108.95266409812</v>
      </c>
      <c r="F812" s="224">
        <v>4.4798244289754647</v>
      </c>
      <c r="G812" s="224">
        <v>4.4468822303748841</v>
      </c>
      <c r="H812" s="224">
        <v>2.4109210276966553</v>
      </c>
      <c r="I812" s="224">
        <v>2.2825249128177099</v>
      </c>
      <c r="J812" s="224"/>
      <c r="M812" s="224">
        <f t="shared" si="42"/>
        <v>427417.63553289697</v>
      </c>
      <c r="N812" s="224">
        <f t="shared" si="43"/>
        <v>3.2942198600580674E-2</v>
      </c>
      <c r="O812" s="224">
        <f t="shared" si="44"/>
        <v>0.12839611487894542</v>
      </c>
      <c r="Q812" s="224"/>
      <c r="R812" s="224"/>
      <c r="S812" s="429"/>
      <c r="Z812" s="362"/>
      <c r="AA812" s="421"/>
      <c r="AB812" s="362"/>
      <c r="AC812" s="362"/>
      <c r="AD812" s="362"/>
      <c r="AE812" s="362"/>
      <c r="AF812" s="362"/>
      <c r="AG812" s="362"/>
      <c r="AH812" s="362"/>
      <c r="AI812" s="393"/>
      <c r="AJ812" s="393"/>
      <c r="AK812" s="362"/>
      <c r="AL812" s="362"/>
      <c r="AM812" s="362"/>
      <c r="AN812" s="362"/>
      <c r="AO812" s="362"/>
      <c r="AP812" s="362"/>
      <c r="AQ812" s="362"/>
      <c r="AR812" s="362"/>
    </row>
    <row r="813" spans="1:44" ht="12.75" customHeight="1" x14ac:dyDescent="0.15">
      <c r="A813" s="431"/>
      <c r="B813" s="393"/>
      <c r="C813" s="428"/>
      <c r="D813" s="428">
        <v>563565.2292812058</v>
      </c>
      <c r="E813" s="224">
        <v>116259.29652575855</v>
      </c>
      <c r="F813" s="224">
        <v>4.2691005207192694</v>
      </c>
      <c r="G813" s="224">
        <v>4.7059691541072635</v>
      </c>
      <c r="H813" s="224">
        <v>2.8113790892973456</v>
      </c>
      <c r="I813" s="224">
        <v>2.5392032720783715</v>
      </c>
      <c r="J813" s="224"/>
      <c r="M813" s="224">
        <f t="shared" si="42"/>
        <v>447305.93275544723</v>
      </c>
      <c r="N813" s="224">
        <f t="shared" si="43"/>
        <v>-0.43686863338799409</v>
      </c>
      <c r="O813" s="224">
        <f t="shared" si="44"/>
        <v>0.2721758172189741</v>
      </c>
      <c r="Q813" s="224"/>
      <c r="R813" s="224"/>
      <c r="S813" s="429"/>
      <c r="Z813" s="362"/>
      <c r="AA813" s="421"/>
      <c r="AB813" s="362"/>
      <c r="AC813" s="362"/>
      <c r="AD813" s="362"/>
      <c r="AE813" s="362"/>
      <c r="AF813" s="362"/>
      <c r="AG813" s="362"/>
      <c r="AH813" s="362"/>
      <c r="AI813" s="393"/>
      <c r="AJ813" s="393"/>
      <c r="AK813" s="362"/>
      <c r="AL813" s="362"/>
      <c r="AM813" s="362"/>
      <c r="AN813" s="362"/>
      <c r="AO813" s="362"/>
      <c r="AP813" s="362"/>
      <c r="AQ813" s="362"/>
      <c r="AR813" s="362"/>
    </row>
    <row r="814" spans="1:44" ht="12.75" customHeight="1" x14ac:dyDescent="0.15">
      <c r="A814" s="431"/>
      <c r="B814" s="393"/>
      <c r="C814" s="428"/>
      <c r="D814" s="428">
        <v>535164.25147725549</v>
      </c>
      <c r="E814" s="224">
        <v>123483.25681336659</v>
      </c>
      <c r="F814" s="224">
        <v>4.5941582130350094</v>
      </c>
      <c r="G814" s="224">
        <v>3.9848114152509608</v>
      </c>
      <c r="H814" s="224">
        <v>2.8360999176489612</v>
      </c>
      <c r="I814" s="224">
        <v>2.3903752288105466</v>
      </c>
      <c r="J814" s="224"/>
      <c r="M814" s="224">
        <f t="shared" si="42"/>
        <v>411680.99466388888</v>
      </c>
      <c r="N814" s="224">
        <f t="shared" si="43"/>
        <v>0.60934679778404854</v>
      </c>
      <c r="O814" s="224">
        <f t="shared" si="44"/>
        <v>0.44572468883841454</v>
      </c>
      <c r="Q814" s="224"/>
      <c r="R814" s="224"/>
      <c r="S814" s="429"/>
      <c r="Z814" s="362"/>
      <c r="AA814" s="421"/>
      <c r="AB814" s="362"/>
      <c r="AC814" s="362"/>
      <c r="AD814" s="362"/>
      <c r="AE814" s="362"/>
      <c r="AF814" s="362"/>
      <c r="AG814" s="362"/>
      <c r="AH814" s="362"/>
      <c r="AI814" s="393"/>
      <c r="AJ814" s="393"/>
      <c r="AK814" s="362"/>
      <c r="AL814" s="362"/>
      <c r="AM814" s="362"/>
      <c r="AN814" s="362"/>
      <c r="AO814" s="362"/>
      <c r="AP814" s="362"/>
      <c r="AQ814" s="362"/>
      <c r="AR814" s="362"/>
    </row>
    <row r="815" spans="1:44" ht="12.75" customHeight="1" x14ac:dyDescent="0.15">
      <c r="A815" s="431"/>
      <c r="B815" s="393"/>
      <c r="C815" s="428"/>
      <c r="D815" s="428">
        <v>639380.02115181379</v>
      </c>
      <c r="E815" s="224">
        <v>205086.47665324991</v>
      </c>
      <c r="F815" s="224">
        <v>4.258663438565879</v>
      </c>
      <c r="G815" s="224">
        <v>4.1472815389641742</v>
      </c>
      <c r="H815" s="224">
        <v>2.5531637912686165</v>
      </c>
      <c r="I815" s="224">
        <v>2.2972223398133669</v>
      </c>
      <c r="J815" s="224"/>
      <c r="M815" s="224">
        <f t="shared" si="42"/>
        <v>434293.54449856386</v>
      </c>
      <c r="N815" s="224">
        <f t="shared" si="43"/>
        <v>0.11138189960170486</v>
      </c>
      <c r="O815" s="224">
        <f t="shared" si="44"/>
        <v>0.2559414514552496</v>
      </c>
      <c r="Q815" s="224"/>
      <c r="R815" s="224"/>
      <c r="S815" s="429"/>
      <c r="Z815" s="362"/>
      <c r="AA815" s="421"/>
      <c r="AB815" s="362"/>
      <c r="AC815" s="362"/>
      <c r="AD815" s="362"/>
      <c r="AE815" s="362"/>
      <c r="AF815" s="362"/>
      <c r="AG815" s="362"/>
      <c r="AH815" s="362"/>
      <c r="AI815" s="393"/>
      <c r="AJ815" s="393"/>
      <c r="AK815" s="362"/>
      <c r="AL815" s="362"/>
      <c r="AM815" s="362"/>
      <c r="AN815" s="362"/>
      <c r="AO815" s="362"/>
      <c r="AP815" s="362"/>
      <c r="AQ815" s="362"/>
      <c r="AR815" s="362"/>
    </row>
    <row r="816" spans="1:44" ht="12.75" customHeight="1" x14ac:dyDescent="0.15">
      <c r="A816" s="431"/>
      <c r="B816" s="393"/>
      <c r="C816" s="428"/>
      <c r="D816" s="428">
        <v>591998.0189072584</v>
      </c>
      <c r="E816" s="224">
        <v>133627.27897312067</v>
      </c>
      <c r="F816" s="224">
        <v>4.5086408083359544</v>
      </c>
      <c r="G816" s="224">
        <v>3.5735830717631192</v>
      </c>
      <c r="H816" s="224">
        <v>2.397594847490967</v>
      </c>
      <c r="I816" s="224">
        <v>1.7471036747236237</v>
      </c>
      <c r="J816" s="224"/>
      <c r="M816" s="224">
        <f t="shared" si="42"/>
        <v>458370.73993413773</v>
      </c>
      <c r="N816" s="224">
        <f t="shared" si="43"/>
        <v>0.9350577365728352</v>
      </c>
      <c r="O816" s="224">
        <f t="shared" si="44"/>
        <v>0.65049117276734325</v>
      </c>
      <c r="Q816" s="224"/>
      <c r="R816" s="224"/>
      <c r="S816" s="429"/>
      <c r="Z816" s="362"/>
      <c r="AA816" s="421"/>
      <c r="AB816" s="362"/>
      <c r="AC816" s="362"/>
      <c r="AD816" s="362"/>
      <c r="AE816" s="362"/>
      <c r="AF816" s="362"/>
      <c r="AG816" s="362"/>
      <c r="AH816" s="362"/>
      <c r="AI816" s="393"/>
      <c r="AJ816" s="393"/>
      <c r="AK816" s="362"/>
      <c r="AL816" s="362"/>
      <c r="AM816" s="362"/>
      <c r="AN816" s="362"/>
      <c r="AO816" s="362"/>
      <c r="AP816" s="362"/>
      <c r="AQ816" s="362"/>
      <c r="AR816" s="362"/>
    </row>
    <row r="817" spans="1:44" ht="12.75" customHeight="1" x14ac:dyDescent="0.15">
      <c r="A817" s="431"/>
      <c r="B817" s="393"/>
      <c r="C817" s="428"/>
      <c r="D817" s="428">
        <v>600570.43809375609</v>
      </c>
      <c r="E817" s="224">
        <v>162322.46318648619</v>
      </c>
      <c r="F817" s="224">
        <v>4.223032695898759</v>
      </c>
      <c r="G817" s="224">
        <v>3.653248408263905</v>
      </c>
      <c r="H817" s="224">
        <v>2.6167630818508028</v>
      </c>
      <c r="I817" s="224">
        <v>2.0986841934104685</v>
      </c>
      <c r="J817" s="224"/>
      <c r="M817" s="224">
        <f t="shared" si="42"/>
        <v>438247.97490726993</v>
      </c>
      <c r="N817" s="224">
        <f t="shared" si="43"/>
        <v>0.569784287634854</v>
      </c>
      <c r="O817" s="224">
        <f t="shared" si="44"/>
        <v>0.51807888844033423</v>
      </c>
      <c r="Q817" s="224"/>
      <c r="R817" s="224"/>
      <c r="S817" s="429"/>
      <c r="Z817" s="362"/>
      <c r="AA817" s="421"/>
      <c r="AB817" s="362"/>
      <c r="AC817" s="362"/>
      <c r="AD817" s="362"/>
      <c r="AE817" s="362"/>
      <c r="AF817" s="362"/>
      <c r="AG817" s="362"/>
      <c r="AH817" s="362"/>
      <c r="AI817" s="393"/>
      <c r="AJ817" s="393"/>
      <c r="AK817" s="362"/>
      <c r="AL817" s="362"/>
      <c r="AM817" s="362"/>
      <c r="AN817" s="362"/>
      <c r="AO817" s="362"/>
      <c r="AP817" s="362"/>
      <c r="AQ817" s="362"/>
      <c r="AR817" s="362"/>
    </row>
    <row r="818" spans="1:44" ht="12.75" customHeight="1" x14ac:dyDescent="0.15">
      <c r="A818" s="431"/>
      <c r="B818" s="393"/>
      <c r="C818" s="428"/>
      <c r="D818" s="428">
        <v>541371.06794348522</v>
      </c>
      <c r="E818" s="224">
        <v>146668.8087174829</v>
      </c>
      <c r="F818" s="224">
        <v>3.9078253986081468</v>
      </c>
      <c r="G818" s="224">
        <v>4.0703975493324638</v>
      </c>
      <c r="H818" s="224">
        <v>2.4230183509346679</v>
      </c>
      <c r="I818" s="224">
        <v>2.180727506180772</v>
      </c>
      <c r="J818" s="224"/>
      <c r="M818" s="224">
        <f t="shared" si="42"/>
        <v>394702.25922600232</v>
      </c>
      <c r="N818" s="224">
        <f t="shared" si="43"/>
        <v>-0.16257215072431697</v>
      </c>
      <c r="O818" s="224">
        <f t="shared" si="44"/>
        <v>0.24229084475389584</v>
      </c>
      <c r="Q818" s="224"/>
      <c r="R818" s="224"/>
      <c r="S818" s="429"/>
      <c r="Z818" s="362"/>
      <c r="AA818" s="421"/>
      <c r="AB818" s="362"/>
      <c r="AC818" s="362"/>
      <c r="AD818" s="362"/>
      <c r="AE818" s="362"/>
      <c r="AF818" s="362"/>
      <c r="AG818" s="362"/>
      <c r="AH818" s="362"/>
      <c r="AI818" s="393"/>
      <c r="AJ818" s="393"/>
      <c r="AK818" s="362"/>
      <c r="AL818" s="362"/>
      <c r="AM818" s="362"/>
      <c r="AN818" s="362"/>
      <c r="AO818" s="362"/>
      <c r="AP818" s="362"/>
      <c r="AQ818" s="362"/>
      <c r="AR818" s="362"/>
    </row>
    <row r="819" spans="1:44" ht="12.75" customHeight="1" x14ac:dyDescent="0.15">
      <c r="A819" s="431"/>
      <c r="B819" s="393"/>
      <c r="C819" s="428"/>
      <c r="D819" s="428">
        <v>672383.23021493352</v>
      </c>
      <c r="E819" s="224">
        <v>214171.37780465488</v>
      </c>
      <c r="F819" s="224">
        <v>4.3156331270406527</v>
      </c>
      <c r="G819" s="224">
        <v>3.6375683489056021</v>
      </c>
      <c r="H819" s="224">
        <v>2.7550700776325843</v>
      </c>
      <c r="I819" s="224">
        <v>2.2364120717917411</v>
      </c>
      <c r="J819" s="224"/>
      <c r="M819" s="224">
        <f t="shared" si="42"/>
        <v>458211.85241027863</v>
      </c>
      <c r="N819" s="224">
        <f t="shared" si="43"/>
        <v>0.67806477813505062</v>
      </c>
      <c r="O819" s="224">
        <f t="shared" si="44"/>
        <v>0.51865800584084321</v>
      </c>
      <c r="Q819" s="224"/>
      <c r="R819" s="224"/>
      <c r="S819" s="429"/>
      <c r="Z819" s="362"/>
      <c r="AA819" s="421"/>
      <c r="AB819" s="362"/>
      <c r="AC819" s="362"/>
      <c r="AD819" s="362"/>
      <c r="AE819" s="362"/>
      <c r="AF819" s="362"/>
      <c r="AG819" s="362"/>
      <c r="AH819" s="362"/>
      <c r="AI819" s="393"/>
      <c r="AJ819" s="393"/>
      <c r="AK819" s="362"/>
      <c r="AL819" s="362"/>
      <c r="AM819" s="362"/>
      <c r="AN819" s="362"/>
      <c r="AO819" s="362"/>
      <c r="AP819" s="362"/>
      <c r="AQ819" s="362"/>
      <c r="AR819" s="362"/>
    </row>
    <row r="820" spans="1:44" ht="12.75" customHeight="1" x14ac:dyDescent="0.15">
      <c r="A820" s="431"/>
      <c r="B820" s="393"/>
      <c r="C820" s="428"/>
      <c r="D820" s="428">
        <v>652117.31941481726</v>
      </c>
      <c r="E820" s="224">
        <v>131012.30770283435</v>
      </c>
      <c r="F820" s="224">
        <v>4.9027480636223499</v>
      </c>
      <c r="G820" s="224">
        <v>3.6994254599627472</v>
      </c>
      <c r="H820" s="224">
        <v>3.0883381003191053</v>
      </c>
      <c r="I820" s="224">
        <v>2.0756412918775418</v>
      </c>
      <c r="J820" s="224"/>
      <c r="M820" s="224">
        <f t="shared" si="42"/>
        <v>521105.01171198289</v>
      </c>
      <c r="N820" s="224">
        <f t="shared" si="43"/>
        <v>1.2033226036596028</v>
      </c>
      <c r="O820" s="224">
        <f t="shared" si="44"/>
        <v>1.0126968084415635</v>
      </c>
      <c r="Q820" s="224"/>
      <c r="R820" s="224"/>
      <c r="S820" s="429"/>
      <c r="Z820" s="362"/>
      <c r="AA820" s="421"/>
      <c r="AB820" s="362"/>
      <c r="AC820" s="362"/>
      <c r="AD820" s="362"/>
      <c r="AE820" s="362"/>
      <c r="AF820" s="362"/>
      <c r="AG820" s="362"/>
      <c r="AH820" s="362"/>
      <c r="AI820" s="393"/>
      <c r="AJ820" s="393"/>
      <c r="AK820" s="362"/>
      <c r="AL820" s="362"/>
      <c r="AM820" s="362"/>
      <c r="AN820" s="362"/>
      <c r="AO820" s="362"/>
      <c r="AP820" s="362"/>
      <c r="AQ820" s="362"/>
      <c r="AR820" s="362"/>
    </row>
    <row r="821" spans="1:44" ht="12.75" customHeight="1" x14ac:dyDescent="0.15">
      <c r="A821" s="431"/>
      <c r="B821" s="393"/>
      <c r="C821" s="428"/>
      <c r="D821" s="428">
        <v>688555.43477725936</v>
      </c>
      <c r="E821" s="224">
        <v>160458.53774598986</v>
      </c>
      <c r="F821" s="224">
        <v>4.5491776896561582</v>
      </c>
      <c r="G821" s="224">
        <v>3.8623267407759281</v>
      </c>
      <c r="H821" s="224">
        <v>2.7798702206558672</v>
      </c>
      <c r="I821" s="224">
        <v>2.16520778143268</v>
      </c>
      <c r="J821" s="224"/>
      <c r="M821" s="224">
        <f t="shared" si="42"/>
        <v>528096.8970312695</v>
      </c>
      <c r="N821" s="224">
        <f t="shared" si="43"/>
        <v>0.68685094888023013</v>
      </c>
      <c r="O821" s="224">
        <f t="shared" si="44"/>
        <v>0.6146624392231872</v>
      </c>
      <c r="Q821" s="224"/>
      <c r="R821" s="224"/>
      <c r="S821" s="429"/>
      <c r="Z821" s="362"/>
      <c r="AA821" s="421"/>
      <c r="AB821" s="362"/>
      <c r="AC821" s="362"/>
      <c r="AD821" s="362"/>
      <c r="AE821" s="362"/>
      <c r="AF821" s="362"/>
      <c r="AG821" s="362"/>
      <c r="AH821" s="362"/>
      <c r="AI821" s="393"/>
      <c r="AJ821" s="393"/>
      <c r="AK821" s="362"/>
      <c r="AL821" s="362"/>
      <c r="AM821" s="362"/>
      <c r="AN821" s="362"/>
      <c r="AO821" s="362"/>
      <c r="AP821" s="362"/>
      <c r="AQ821" s="362"/>
      <c r="AR821" s="362"/>
    </row>
    <row r="822" spans="1:44" ht="12.75" customHeight="1" x14ac:dyDescent="0.15">
      <c r="A822" s="431"/>
      <c r="B822" s="393"/>
      <c r="C822" s="428"/>
      <c r="D822" s="428">
        <v>646901.15164506971</v>
      </c>
      <c r="E822" s="224">
        <v>159170.476153064</v>
      </c>
      <c r="F822" s="224">
        <v>4.5743931577706149</v>
      </c>
      <c r="G822" s="224">
        <v>3.8875500772824036</v>
      </c>
      <c r="H822" s="224">
        <v>2.6907554574570995</v>
      </c>
      <c r="I822" s="224">
        <v>2.1851062841044193</v>
      </c>
      <c r="J822" s="224"/>
      <c r="M822" s="224">
        <f t="shared" si="42"/>
        <v>487730.67549200571</v>
      </c>
      <c r="N822" s="224">
        <f t="shared" si="43"/>
        <v>0.6868430804882113</v>
      </c>
      <c r="O822" s="224">
        <f t="shared" si="44"/>
        <v>0.50564917335268023</v>
      </c>
      <c r="Q822" s="224"/>
      <c r="R822" s="224"/>
      <c r="S822" s="429"/>
      <c r="Z822" s="362"/>
      <c r="AA822" s="421"/>
      <c r="AB822" s="362"/>
      <c r="AC822" s="362"/>
      <c r="AD822" s="362"/>
      <c r="AE822" s="362"/>
      <c r="AF822" s="362"/>
      <c r="AG822" s="362"/>
      <c r="AH822" s="362"/>
      <c r="AI822" s="393"/>
      <c r="AJ822" s="393"/>
      <c r="AK822" s="362"/>
      <c r="AL822" s="362"/>
      <c r="AM822" s="362"/>
      <c r="AN822" s="362"/>
      <c r="AO822" s="362"/>
      <c r="AP822" s="362"/>
      <c r="AQ822" s="362"/>
      <c r="AR822" s="362"/>
    </row>
    <row r="823" spans="1:44" ht="12.75" customHeight="1" x14ac:dyDescent="0.15">
      <c r="A823" s="431"/>
      <c r="B823" s="393"/>
      <c r="C823" s="428"/>
      <c r="D823" s="428">
        <v>521354.39004316647</v>
      </c>
      <c r="E823" s="224">
        <v>128723.50957055282</v>
      </c>
      <c r="F823" s="224">
        <v>4.0271964621827854</v>
      </c>
      <c r="G823" s="224">
        <v>4.7436643060100394</v>
      </c>
      <c r="H823" s="224">
        <v>2.3215138240095552</v>
      </c>
      <c r="I823" s="224">
        <v>2.6138924179147907</v>
      </c>
      <c r="J823" s="224"/>
      <c r="M823" s="224">
        <f t="shared" si="42"/>
        <v>392630.88047261361</v>
      </c>
      <c r="N823" s="224">
        <f t="shared" si="43"/>
        <v>-0.71646784382725404</v>
      </c>
      <c r="O823" s="224">
        <f t="shared" si="44"/>
        <v>-0.29237859390523546</v>
      </c>
      <c r="Q823" s="224"/>
      <c r="R823" s="224"/>
      <c r="S823" s="429"/>
      <c r="Z823" s="362"/>
      <c r="AA823" s="421"/>
      <c r="AB823" s="362"/>
      <c r="AC823" s="362"/>
      <c r="AD823" s="362"/>
      <c r="AE823" s="362"/>
      <c r="AF823" s="362"/>
      <c r="AG823" s="362"/>
      <c r="AH823" s="362"/>
      <c r="AI823" s="393"/>
      <c r="AJ823" s="393"/>
      <c r="AK823" s="362"/>
      <c r="AL823" s="362"/>
      <c r="AM823" s="362"/>
      <c r="AN823" s="362"/>
      <c r="AO823" s="362"/>
      <c r="AP823" s="362"/>
      <c r="AQ823" s="362"/>
      <c r="AR823" s="362"/>
    </row>
    <row r="824" spans="1:44" ht="12.75" customHeight="1" x14ac:dyDescent="0.15">
      <c r="A824" s="431"/>
      <c r="B824" s="393"/>
      <c r="C824" s="428"/>
      <c r="D824" s="428">
        <v>572548.58820710517</v>
      </c>
      <c r="E824" s="224">
        <v>124059.65290394766</v>
      </c>
      <c r="F824" s="224">
        <v>4.4930889104324896</v>
      </c>
      <c r="G824" s="224">
        <v>4.1710599232167267</v>
      </c>
      <c r="H824" s="224">
        <v>2.7644285210196213</v>
      </c>
      <c r="I824" s="224">
        <v>2.3756862499607667</v>
      </c>
      <c r="J824" s="224"/>
      <c r="M824" s="224">
        <f t="shared" si="42"/>
        <v>448488.93530315754</v>
      </c>
      <c r="N824" s="224">
        <f t="shared" si="43"/>
        <v>0.3220289872157629</v>
      </c>
      <c r="O824" s="224">
        <f t="shared" si="44"/>
        <v>0.38874227105885462</v>
      </c>
      <c r="Q824" s="224"/>
      <c r="R824" s="224"/>
      <c r="S824" s="429"/>
      <c r="Z824" s="362"/>
      <c r="AA824" s="421"/>
      <c r="AB824" s="362"/>
      <c r="AC824" s="362"/>
      <c r="AD824" s="362"/>
      <c r="AE824" s="362"/>
      <c r="AF824" s="362"/>
      <c r="AG824" s="362"/>
      <c r="AH824" s="362"/>
      <c r="AI824" s="393"/>
      <c r="AJ824" s="393"/>
      <c r="AK824" s="362"/>
      <c r="AL824" s="362"/>
      <c r="AM824" s="362"/>
      <c r="AN824" s="362"/>
      <c r="AO824" s="362"/>
      <c r="AP824" s="362"/>
      <c r="AQ824" s="362"/>
      <c r="AR824" s="362"/>
    </row>
    <row r="825" spans="1:44" ht="12.75" customHeight="1" x14ac:dyDescent="0.15">
      <c r="A825" s="431"/>
      <c r="B825" s="393"/>
      <c r="C825" s="428"/>
      <c r="D825" s="428">
        <v>658045.037380978</v>
      </c>
      <c r="E825" s="224">
        <v>157021.64172759201</v>
      </c>
      <c r="F825" s="224">
        <v>4.0942090035815504</v>
      </c>
      <c r="G825" s="224">
        <v>3.7544923985478538</v>
      </c>
      <c r="H825" s="224">
        <v>2.7019662368152093</v>
      </c>
      <c r="I825" s="224">
        <v>2.0428100255104962</v>
      </c>
      <c r="J825" s="224"/>
      <c r="M825" s="224">
        <f t="shared" si="42"/>
        <v>501023.39565338602</v>
      </c>
      <c r="N825" s="224">
        <f t="shared" si="43"/>
        <v>0.33971660503369661</v>
      </c>
      <c r="O825" s="224">
        <f t="shared" si="44"/>
        <v>0.65915621130471314</v>
      </c>
      <c r="Q825" s="224"/>
      <c r="R825" s="224"/>
      <c r="S825" s="429"/>
      <c r="Z825" s="362"/>
      <c r="AA825" s="421"/>
      <c r="AB825" s="362"/>
      <c r="AC825" s="362"/>
      <c r="AD825" s="362"/>
      <c r="AE825" s="362"/>
      <c r="AF825" s="362"/>
      <c r="AG825" s="362"/>
      <c r="AH825" s="362"/>
      <c r="AI825" s="393"/>
      <c r="AJ825" s="393"/>
      <c r="AK825" s="362"/>
      <c r="AL825" s="362"/>
      <c r="AM825" s="362"/>
      <c r="AN825" s="362"/>
      <c r="AO825" s="362"/>
      <c r="AP825" s="362"/>
      <c r="AQ825" s="362"/>
      <c r="AR825" s="362"/>
    </row>
    <row r="826" spans="1:44" ht="12.75" customHeight="1" x14ac:dyDescent="0.15">
      <c r="A826" s="431"/>
      <c r="B826" s="393"/>
      <c r="C826" s="428"/>
      <c r="D826" s="428">
        <v>593020.80831717071</v>
      </c>
      <c r="E826" s="224">
        <v>138209.70031138018</v>
      </c>
      <c r="F826" s="224">
        <v>4.399858805270509</v>
      </c>
      <c r="G826" s="224">
        <v>3.3979444661828402</v>
      </c>
      <c r="H826" s="224">
        <v>2.6583227819923927</v>
      </c>
      <c r="I826" s="224">
        <v>2.0589317327013976</v>
      </c>
      <c r="J826" s="224"/>
      <c r="M826" s="224">
        <f t="shared" si="42"/>
        <v>454811.10800579051</v>
      </c>
      <c r="N826" s="224">
        <f t="shared" si="43"/>
        <v>1.0019143390876688</v>
      </c>
      <c r="O826" s="224">
        <f t="shared" si="44"/>
        <v>0.59939104929099507</v>
      </c>
      <c r="Q826" s="224"/>
      <c r="R826" s="224"/>
      <c r="S826" s="429"/>
      <c r="Z826" s="362"/>
      <c r="AA826" s="421"/>
      <c r="AB826" s="362"/>
      <c r="AC826" s="362"/>
      <c r="AD826" s="362"/>
      <c r="AE826" s="362"/>
      <c r="AF826" s="362"/>
      <c r="AG826" s="362"/>
      <c r="AH826" s="362"/>
      <c r="AI826" s="393"/>
      <c r="AJ826" s="393"/>
      <c r="AK826" s="362"/>
      <c r="AL826" s="362"/>
      <c r="AM826" s="362"/>
      <c r="AN826" s="362"/>
      <c r="AO826" s="362"/>
      <c r="AP826" s="362"/>
      <c r="AQ826" s="362"/>
      <c r="AR826" s="362"/>
    </row>
    <row r="827" spans="1:44" ht="12.75" customHeight="1" x14ac:dyDescent="0.15">
      <c r="A827" s="431"/>
      <c r="B827" s="393"/>
      <c r="C827" s="428"/>
      <c r="D827" s="428">
        <v>622655.20287477376</v>
      </c>
      <c r="E827" s="224">
        <v>106038.09931356562</v>
      </c>
      <c r="F827" s="224">
        <v>4.748828491996945</v>
      </c>
      <c r="G827" s="224">
        <v>4.1602960886985301</v>
      </c>
      <c r="H827" s="224">
        <v>2.9785038816636646</v>
      </c>
      <c r="I827" s="224">
        <v>2.38969794022222</v>
      </c>
      <c r="J827" s="224"/>
      <c r="M827" s="224">
        <f t="shared" si="42"/>
        <v>516617.10356120812</v>
      </c>
      <c r="N827" s="224">
        <f t="shared" si="43"/>
        <v>0.58853240329841494</v>
      </c>
      <c r="O827" s="224">
        <f t="shared" si="44"/>
        <v>0.5888059414414446</v>
      </c>
      <c r="Q827" s="224"/>
      <c r="R827" s="224"/>
      <c r="S827" s="429"/>
      <c r="Z827" s="362"/>
      <c r="AA827" s="421"/>
      <c r="AB827" s="362"/>
      <c r="AC827" s="362"/>
      <c r="AD827" s="362"/>
      <c r="AE827" s="362"/>
      <c r="AF827" s="362"/>
      <c r="AG827" s="362"/>
      <c r="AH827" s="362"/>
      <c r="AI827" s="393"/>
      <c r="AJ827" s="393"/>
      <c r="AK827" s="362"/>
      <c r="AL827" s="362"/>
      <c r="AM827" s="362"/>
      <c r="AN827" s="362"/>
      <c r="AO827" s="362"/>
      <c r="AP827" s="362"/>
      <c r="AQ827" s="362"/>
      <c r="AR827" s="362"/>
    </row>
    <row r="828" spans="1:44" ht="12.75" customHeight="1" x14ac:dyDescent="0.15">
      <c r="A828" s="431"/>
      <c r="B828" s="393"/>
      <c r="C828" s="428"/>
      <c r="D828" s="428">
        <v>505392.06630559399</v>
      </c>
      <c r="E828" s="224">
        <v>118524.87193028603</v>
      </c>
      <c r="F828" s="224">
        <v>4.1583963353542375</v>
      </c>
      <c r="G828" s="224">
        <v>4.0759531321030558</v>
      </c>
      <c r="H828" s="224">
        <v>2.8177853895707767</v>
      </c>
      <c r="I828" s="224">
        <v>2.5619923756140333</v>
      </c>
      <c r="J828" s="224"/>
      <c r="M828" s="224">
        <f t="shared" si="42"/>
        <v>386867.194375308</v>
      </c>
      <c r="N828" s="224">
        <f t="shared" si="43"/>
        <v>8.2443203251181707E-2</v>
      </c>
      <c r="O828" s="224">
        <f t="shared" si="44"/>
        <v>0.25579301395674348</v>
      </c>
      <c r="Q828" s="224"/>
      <c r="R828" s="224"/>
      <c r="S828" s="429"/>
      <c r="Z828" s="362"/>
      <c r="AA828" s="421"/>
      <c r="AB828" s="362"/>
      <c r="AC828" s="362"/>
      <c r="AD828" s="362"/>
      <c r="AE828" s="362"/>
      <c r="AF828" s="362"/>
      <c r="AG828" s="362"/>
      <c r="AH828" s="362"/>
      <c r="AI828" s="393"/>
      <c r="AJ828" s="393"/>
      <c r="AK828" s="362"/>
      <c r="AL828" s="362"/>
      <c r="AM828" s="362"/>
      <c r="AN828" s="362"/>
      <c r="AO828" s="362"/>
      <c r="AP828" s="362"/>
      <c r="AQ828" s="362"/>
      <c r="AR828" s="362"/>
    </row>
    <row r="829" spans="1:44" ht="12.75" customHeight="1" x14ac:dyDescent="0.15">
      <c r="A829" s="431"/>
      <c r="B829" s="393"/>
      <c r="C829" s="428"/>
      <c r="D829" s="428">
        <v>639230.82125214452</v>
      </c>
      <c r="E829" s="224">
        <v>164810.25156281286</v>
      </c>
      <c r="F829" s="224">
        <v>4.4549247338142042</v>
      </c>
      <c r="G829" s="224">
        <v>4.2235385211758558</v>
      </c>
      <c r="H829" s="224">
        <v>2.6598363627505091</v>
      </c>
      <c r="I829" s="224">
        <v>2.0883511065502569</v>
      </c>
      <c r="J829" s="224"/>
      <c r="M829" s="224">
        <f t="shared" si="42"/>
        <v>474420.56968933169</v>
      </c>
      <c r="N829" s="224">
        <f t="shared" si="43"/>
        <v>0.23138621263834835</v>
      </c>
      <c r="O829" s="224">
        <f t="shared" si="44"/>
        <v>0.57148525620025215</v>
      </c>
      <c r="Q829" s="224"/>
      <c r="R829" s="224"/>
      <c r="S829" s="429"/>
      <c r="Z829" s="362"/>
      <c r="AA829" s="421"/>
      <c r="AB829" s="362"/>
      <c r="AC829" s="362"/>
      <c r="AD829" s="362"/>
      <c r="AE829" s="362"/>
      <c r="AF829" s="362"/>
      <c r="AG829" s="362"/>
      <c r="AH829" s="362"/>
      <c r="AI829" s="393"/>
      <c r="AJ829" s="393"/>
      <c r="AK829" s="362"/>
      <c r="AL829" s="362"/>
      <c r="AM829" s="362"/>
      <c r="AN829" s="362"/>
      <c r="AO829" s="362"/>
      <c r="AP829" s="362"/>
      <c r="AQ829" s="362"/>
      <c r="AR829" s="362"/>
    </row>
    <row r="830" spans="1:44" ht="12.75" customHeight="1" x14ac:dyDescent="0.15">
      <c r="A830" s="431"/>
      <c r="B830" s="393"/>
      <c r="C830" s="428"/>
      <c r="D830" s="428">
        <v>505558.32776648982</v>
      </c>
      <c r="E830" s="224">
        <v>149726.6217479168</v>
      </c>
      <c r="F830" s="224">
        <v>4.3204859021241795</v>
      </c>
      <c r="G830" s="224">
        <v>4.0405672128537224</v>
      </c>
      <c r="H830" s="224">
        <v>2.5286041008644995</v>
      </c>
      <c r="I830" s="224">
        <v>2.3868869554677947</v>
      </c>
      <c r="J830" s="224"/>
      <c r="M830" s="224">
        <f t="shared" si="42"/>
        <v>355831.70601857302</v>
      </c>
      <c r="N830" s="224">
        <f t="shared" si="43"/>
        <v>0.27991868927045704</v>
      </c>
      <c r="O830" s="224">
        <f t="shared" si="44"/>
        <v>0.14171714539670477</v>
      </c>
      <c r="Q830" s="224"/>
      <c r="R830" s="224"/>
      <c r="S830" s="429"/>
      <c r="Z830" s="362"/>
      <c r="AA830" s="421"/>
      <c r="AB830" s="362"/>
      <c r="AC830" s="362"/>
      <c r="AD830" s="362"/>
      <c r="AE830" s="362"/>
      <c r="AF830" s="362"/>
      <c r="AG830" s="362"/>
      <c r="AH830" s="362"/>
      <c r="AI830" s="393"/>
      <c r="AJ830" s="393"/>
      <c r="AK830" s="362"/>
      <c r="AL830" s="362"/>
      <c r="AM830" s="362"/>
      <c r="AN830" s="362"/>
      <c r="AO830" s="362"/>
      <c r="AP830" s="362"/>
      <c r="AQ830" s="362"/>
      <c r="AR830" s="362"/>
    </row>
    <row r="831" spans="1:44" ht="12.75" customHeight="1" x14ac:dyDescent="0.15">
      <c r="A831" s="431"/>
      <c r="B831" s="393"/>
      <c r="C831" s="428"/>
      <c r="D831" s="428">
        <v>549595.68301656074</v>
      </c>
      <c r="E831" s="224">
        <v>152369.26540567522</v>
      </c>
      <c r="F831" s="224">
        <v>3.9705385960385353</v>
      </c>
      <c r="G831" s="224">
        <v>4.5751401654755579</v>
      </c>
      <c r="H831" s="224">
        <v>2.5152606100877217</v>
      </c>
      <c r="I831" s="224">
        <v>2.6435838602985946</v>
      </c>
      <c r="J831" s="224"/>
      <c r="M831" s="224">
        <f t="shared" si="42"/>
        <v>397226.41761088552</v>
      </c>
      <c r="N831" s="224">
        <f t="shared" si="43"/>
        <v>-0.60460156943702259</v>
      </c>
      <c r="O831" s="224">
        <f t="shared" si="44"/>
        <v>-0.12832325021087287</v>
      </c>
      <c r="Q831" s="224"/>
      <c r="R831" s="224"/>
      <c r="S831" s="429"/>
      <c r="Z831" s="362"/>
      <c r="AA831" s="421"/>
      <c r="AB831" s="362"/>
      <c r="AC831" s="362"/>
      <c r="AD831" s="362"/>
      <c r="AE831" s="362"/>
      <c r="AF831" s="362"/>
      <c r="AG831" s="362"/>
      <c r="AH831" s="362"/>
      <c r="AI831" s="393"/>
      <c r="AJ831" s="393"/>
      <c r="AK831" s="362"/>
      <c r="AL831" s="362"/>
      <c r="AM831" s="362"/>
      <c r="AN831" s="362"/>
      <c r="AO831" s="362"/>
      <c r="AP831" s="362"/>
      <c r="AQ831" s="362"/>
      <c r="AR831" s="362"/>
    </row>
    <row r="832" spans="1:44" ht="12.75" customHeight="1" x14ac:dyDescent="0.15">
      <c r="A832" s="431"/>
      <c r="B832" s="393"/>
      <c r="C832" s="428"/>
      <c r="D832" s="428">
        <v>553930.60012629535</v>
      </c>
      <c r="E832" s="224">
        <v>175045.36192021432</v>
      </c>
      <c r="F832" s="224">
        <v>3.7476476454891774</v>
      </c>
      <c r="G832" s="224">
        <v>3.9095293899503649</v>
      </c>
      <c r="H832" s="224">
        <v>2.1321948653379983</v>
      </c>
      <c r="I832" s="224">
        <v>2.1208420350059813</v>
      </c>
      <c r="J832" s="224"/>
      <c r="M832" s="224">
        <f t="shared" si="42"/>
        <v>378885.23820608103</v>
      </c>
      <c r="N832" s="224">
        <f t="shared" si="43"/>
        <v>-0.16188174446118753</v>
      </c>
      <c r="O832" s="224">
        <f t="shared" si="44"/>
        <v>1.135283033201695E-2</v>
      </c>
      <c r="Q832" s="224"/>
      <c r="R832" s="224"/>
      <c r="S832" s="429"/>
      <c r="Z832" s="362"/>
      <c r="AA832" s="421"/>
      <c r="AB832" s="362"/>
      <c r="AC832" s="362"/>
      <c r="AD832" s="362"/>
      <c r="AE832" s="362"/>
      <c r="AF832" s="362"/>
      <c r="AG832" s="362"/>
      <c r="AH832" s="362"/>
      <c r="AI832" s="393"/>
      <c r="AJ832" s="393"/>
      <c r="AK832" s="362"/>
      <c r="AL832" s="362"/>
      <c r="AM832" s="362"/>
      <c r="AN832" s="362"/>
      <c r="AO832" s="362"/>
      <c r="AP832" s="362"/>
      <c r="AQ832" s="362"/>
      <c r="AR832" s="362"/>
    </row>
    <row r="833" spans="1:44" ht="12.75" customHeight="1" x14ac:dyDescent="0.15">
      <c r="A833" s="431"/>
      <c r="B833" s="393"/>
      <c r="C833" s="428"/>
      <c r="D833" s="428">
        <v>532302.17893801362</v>
      </c>
      <c r="E833" s="224">
        <v>151785.69756633285</v>
      </c>
      <c r="F833" s="224">
        <v>4.5795379788886637</v>
      </c>
      <c r="G833" s="224">
        <v>3.8796560350476228</v>
      </c>
      <c r="H833" s="224">
        <v>2.4002866222187222</v>
      </c>
      <c r="I833" s="224">
        <v>1.9791496138802713</v>
      </c>
      <c r="J833" s="224"/>
      <c r="M833" s="224">
        <f t="shared" si="42"/>
        <v>380516.48137168074</v>
      </c>
      <c r="N833" s="224">
        <f t="shared" si="43"/>
        <v>0.69988194384104085</v>
      </c>
      <c r="O833" s="224">
        <f t="shared" si="44"/>
        <v>0.42113700833845091</v>
      </c>
      <c r="Q833" s="224"/>
      <c r="R833" s="224"/>
      <c r="S833" s="429"/>
      <c r="Z833" s="362"/>
      <c r="AA833" s="421"/>
      <c r="AB833" s="362"/>
      <c r="AC833" s="362"/>
      <c r="AD833" s="362"/>
      <c r="AE833" s="362"/>
      <c r="AF833" s="362"/>
      <c r="AG833" s="362"/>
      <c r="AH833" s="362"/>
      <c r="AI833" s="393"/>
      <c r="AJ833" s="393"/>
      <c r="AK833" s="362"/>
      <c r="AL833" s="362"/>
      <c r="AM833" s="362"/>
      <c r="AN833" s="362"/>
      <c r="AO833" s="362"/>
      <c r="AP833" s="362"/>
      <c r="AQ833" s="362"/>
      <c r="AR833" s="362"/>
    </row>
    <row r="834" spans="1:44" ht="12.75" customHeight="1" x14ac:dyDescent="0.15">
      <c r="A834" s="431"/>
      <c r="B834" s="393"/>
      <c r="C834" s="428"/>
      <c r="D834" s="428">
        <v>602214.63247654017</v>
      </c>
      <c r="E834" s="224">
        <v>128111.45857630545</v>
      </c>
      <c r="F834" s="224">
        <v>4.1022317682655993</v>
      </c>
      <c r="G834" s="224">
        <v>3.9347625932634371</v>
      </c>
      <c r="H834" s="224">
        <v>2.7048750469549128</v>
      </c>
      <c r="I834" s="224">
        <v>2.3981294489800504</v>
      </c>
      <c r="J834" s="224"/>
      <c r="M834" s="224">
        <f t="shared" si="42"/>
        <v>474103.17390023475</v>
      </c>
      <c r="N834" s="224">
        <f t="shared" si="43"/>
        <v>0.16746917500216218</v>
      </c>
      <c r="O834" s="224">
        <f t="shared" si="44"/>
        <v>0.30674559797486234</v>
      </c>
      <c r="Q834" s="224"/>
      <c r="R834" s="224"/>
      <c r="S834" s="429"/>
      <c r="Z834" s="362"/>
      <c r="AA834" s="421"/>
      <c r="AB834" s="362"/>
      <c r="AC834" s="362"/>
      <c r="AD834" s="362"/>
      <c r="AE834" s="362"/>
      <c r="AF834" s="362"/>
      <c r="AG834" s="362"/>
      <c r="AH834" s="362"/>
      <c r="AI834" s="393"/>
      <c r="AJ834" s="393"/>
      <c r="AK834" s="362"/>
      <c r="AL834" s="362"/>
      <c r="AM834" s="362"/>
      <c r="AN834" s="362"/>
      <c r="AO834" s="362"/>
      <c r="AP834" s="362"/>
      <c r="AQ834" s="362"/>
      <c r="AR834" s="362"/>
    </row>
    <row r="835" spans="1:44" ht="12.75" customHeight="1" x14ac:dyDescent="0.15">
      <c r="A835" s="431"/>
      <c r="B835" s="393"/>
      <c r="C835" s="428"/>
      <c r="D835" s="428">
        <v>644006.197359371</v>
      </c>
      <c r="E835" s="224">
        <v>153556.40942634339</v>
      </c>
      <c r="F835" s="224">
        <v>3.7713876063640601</v>
      </c>
      <c r="G835" s="224">
        <v>4.0557196004613099</v>
      </c>
      <c r="H835" s="224">
        <v>2.5136180855458585</v>
      </c>
      <c r="I835" s="224">
        <v>2.2644050855370108</v>
      </c>
      <c r="J835" s="224"/>
      <c r="M835" s="224">
        <f t="shared" si="42"/>
        <v>490449.7879330276</v>
      </c>
      <c r="N835" s="224">
        <f t="shared" si="43"/>
        <v>-0.28433199409724974</v>
      </c>
      <c r="O835" s="224">
        <f t="shared" si="44"/>
        <v>0.24921300000884772</v>
      </c>
      <c r="Q835" s="224"/>
      <c r="R835" s="224"/>
      <c r="S835" s="429"/>
      <c r="Z835" s="362"/>
      <c r="AA835" s="421"/>
      <c r="AB835" s="362"/>
      <c r="AC835" s="362"/>
      <c r="AD835" s="362"/>
      <c r="AE835" s="362"/>
      <c r="AF835" s="362"/>
      <c r="AG835" s="362"/>
      <c r="AH835" s="362"/>
      <c r="AI835" s="393"/>
      <c r="AJ835" s="393"/>
      <c r="AK835" s="362"/>
      <c r="AL835" s="362"/>
      <c r="AM835" s="362"/>
      <c r="AN835" s="362"/>
      <c r="AO835" s="362"/>
      <c r="AP835" s="362"/>
      <c r="AQ835" s="362"/>
      <c r="AR835" s="362"/>
    </row>
    <row r="836" spans="1:44" ht="12.75" customHeight="1" x14ac:dyDescent="0.15">
      <c r="A836" s="431"/>
      <c r="B836" s="393"/>
      <c r="C836" s="428"/>
      <c r="D836" s="428">
        <v>560304.97900259425</v>
      </c>
      <c r="E836" s="224">
        <v>125817.72893972573</v>
      </c>
      <c r="F836" s="224">
        <v>4.7655101221728637</v>
      </c>
      <c r="G836" s="224">
        <v>3.9833257759573484</v>
      </c>
      <c r="H836" s="224">
        <v>2.7976580597608094</v>
      </c>
      <c r="I836" s="224">
        <v>2.2673661297815193</v>
      </c>
      <c r="J836" s="224"/>
      <c r="M836" s="224">
        <f t="shared" si="42"/>
        <v>434487.25006286852</v>
      </c>
      <c r="N836" s="224">
        <f t="shared" si="43"/>
        <v>0.78218434621551536</v>
      </c>
      <c r="O836" s="224">
        <f t="shared" si="44"/>
        <v>0.53029192997929009</v>
      </c>
      <c r="Q836" s="224"/>
      <c r="R836" s="224"/>
      <c r="S836" s="429"/>
      <c r="Z836" s="362"/>
      <c r="AA836" s="421"/>
      <c r="AB836" s="362"/>
      <c r="AC836" s="362"/>
      <c r="AD836" s="362"/>
      <c r="AE836" s="362"/>
      <c r="AF836" s="362"/>
      <c r="AG836" s="362"/>
      <c r="AH836" s="362"/>
      <c r="AI836" s="393"/>
      <c r="AJ836" s="393"/>
      <c r="AK836" s="362"/>
      <c r="AL836" s="362"/>
      <c r="AM836" s="362"/>
      <c r="AN836" s="362"/>
      <c r="AO836" s="362"/>
      <c r="AP836" s="362"/>
      <c r="AQ836" s="362"/>
      <c r="AR836" s="362"/>
    </row>
    <row r="837" spans="1:44" ht="12.75" customHeight="1" x14ac:dyDescent="0.15">
      <c r="A837" s="431"/>
      <c r="B837" s="393"/>
      <c r="C837" s="428"/>
      <c r="D837" s="428">
        <v>653052.86013744853</v>
      </c>
      <c r="E837" s="224">
        <v>132695.98075683272</v>
      </c>
      <c r="F837" s="224">
        <v>4.3198757640892271</v>
      </c>
      <c r="G837" s="224">
        <v>3.7528679629206767</v>
      </c>
      <c r="H837" s="224">
        <v>2.6697243832253292</v>
      </c>
      <c r="I837" s="224">
        <v>2.229612615817314</v>
      </c>
      <c r="J837" s="224"/>
      <c r="M837" s="224">
        <f t="shared" si="42"/>
        <v>520356.87938061578</v>
      </c>
      <c r="N837" s="224">
        <f t="shared" si="43"/>
        <v>0.56700780116855043</v>
      </c>
      <c r="O837" s="224">
        <f t="shared" si="44"/>
        <v>0.44011176740801528</v>
      </c>
      <c r="Q837" s="224"/>
      <c r="R837" s="224"/>
      <c r="S837" s="429"/>
      <c r="Z837" s="362"/>
      <c r="AA837" s="421"/>
      <c r="AB837" s="362"/>
      <c r="AC837" s="362"/>
      <c r="AD837" s="362"/>
      <c r="AE837" s="362"/>
      <c r="AF837" s="362"/>
      <c r="AG837" s="362"/>
      <c r="AH837" s="362"/>
      <c r="AI837" s="393"/>
      <c r="AJ837" s="393"/>
      <c r="AK837" s="362"/>
      <c r="AL837" s="362"/>
      <c r="AM837" s="362"/>
      <c r="AN837" s="362"/>
      <c r="AO837" s="362"/>
      <c r="AP837" s="362"/>
      <c r="AQ837" s="362"/>
      <c r="AR837" s="362"/>
    </row>
    <row r="838" spans="1:44" ht="12.75" customHeight="1" x14ac:dyDescent="0.15">
      <c r="A838" s="431"/>
      <c r="B838" s="393"/>
      <c r="C838" s="428"/>
      <c r="D838" s="428">
        <v>603434.81977330078</v>
      </c>
      <c r="E838" s="224">
        <v>118230.58827762322</v>
      </c>
      <c r="F838" s="224">
        <v>3.8839654973085076</v>
      </c>
      <c r="G838" s="224">
        <v>4.0645309902958573</v>
      </c>
      <c r="H838" s="224">
        <v>2.2008493902255002</v>
      </c>
      <c r="I838" s="224">
        <v>2.0934562628714746</v>
      </c>
      <c r="J838" s="224"/>
      <c r="M838" s="224">
        <f t="shared" si="42"/>
        <v>485204.23149567755</v>
      </c>
      <c r="N838" s="224">
        <f t="shared" si="43"/>
        <v>-0.1805654929873497</v>
      </c>
      <c r="O838" s="224">
        <f t="shared" si="44"/>
        <v>0.10739312735402562</v>
      </c>
      <c r="Q838" s="224"/>
      <c r="R838" s="224"/>
      <c r="S838" s="429"/>
      <c r="Z838" s="362"/>
      <c r="AA838" s="421"/>
      <c r="AB838" s="362"/>
      <c r="AC838" s="362"/>
      <c r="AD838" s="362"/>
      <c r="AE838" s="362"/>
      <c r="AF838" s="362"/>
      <c r="AG838" s="362"/>
      <c r="AH838" s="362"/>
      <c r="AI838" s="393"/>
      <c r="AJ838" s="393"/>
      <c r="AK838" s="362"/>
      <c r="AL838" s="362"/>
      <c r="AM838" s="362"/>
      <c r="AN838" s="362"/>
      <c r="AO838" s="362"/>
      <c r="AP838" s="362"/>
      <c r="AQ838" s="362"/>
      <c r="AR838" s="362"/>
    </row>
    <row r="839" spans="1:44" ht="12.75" customHeight="1" x14ac:dyDescent="0.15">
      <c r="A839" s="431"/>
      <c r="B839" s="393"/>
      <c r="C839" s="428"/>
      <c r="D839" s="428">
        <v>546425.18226633768</v>
      </c>
      <c r="E839" s="224">
        <v>126915.0045543179</v>
      </c>
      <c r="F839" s="224">
        <v>4.8555685953742289</v>
      </c>
      <c r="G839" s="224">
        <v>3.6607448370356694</v>
      </c>
      <c r="H839" s="224">
        <v>2.6315887727683194</v>
      </c>
      <c r="I839" s="224">
        <v>1.8822159226357338</v>
      </c>
      <c r="J839" s="224"/>
      <c r="M839" s="224">
        <f t="shared" si="42"/>
        <v>419510.17771201977</v>
      </c>
      <c r="N839" s="224">
        <f t="shared" si="43"/>
        <v>1.1948237583385595</v>
      </c>
      <c r="O839" s="224">
        <f t="shared" si="44"/>
        <v>0.74937285013258559</v>
      </c>
      <c r="Q839" s="224"/>
      <c r="R839" s="224"/>
      <c r="S839" s="429"/>
      <c r="Z839" s="362"/>
      <c r="AA839" s="421"/>
      <c r="AB839" s="362"/>
      <c r="AC839" s="362"/>
      <c r="AD839" s="362"/>
      <c r="AE839" s="362"/>
      <c r="AF839" s="362"/>
      <c r="AG839" s="362"/>
      <c r="AH839" s="362"/>
      <c r="AI839" s="393"/>
      <c r="AJ839" s="393"/>
      <c r="AK839" s="362"/>
      <c r="AL839" s="362"/>
      <c r="AM839" s="362"/>
      <c r="AN839" s="362"/>
      <c r="AO839" s="362"/>
      <c r="AP839" s="362"/>
      <c r="AQ839" s="362"/>
      <c r="AR839" s="362"/>
    </row>
    <row r="840" spans="1:44" ht="12.75" customHeight="1" x14ac:dyDescent="0.15">
      <c r="A840" s="431"/>
      <c r="B840" s="393"/>
      <c r="C840" s="428"/>
      <c r="D840" s="428">
        <v>569096.25230671489</v>
      </c>
      <c r="E840" s="224">
        <v>142737.34992394623</v>
      </c>
      <c r="F840" s="224">
        <v>4.3763720381508442</v>
      </c>
      <c r="G840" s="224">
        <v>4.3262407787327053</v>
      </c>
      <c r="H840" s="224">
        <v>2.578757785579199</v>
      </c>
      <c r="I840" s="224">
        <v>2.3849506610991043</v>
      </c>
      <c r="J840" s="224"/>
      <c r="M840" s="224">
        <f t="shared" si="42"/>
        <v>426358.90238276869</v>
      </c>
      <c r="N840" s="224">
        <f t="shared" si="43"/>
        <v>5.0131259418138896E-2</v>
      </c>
      <c r="O840" s="224">
        <f t="shared" si="44"/>
        <v>0.19380712448009474</v>
      </c>
      <c r="Q840" s="224"/>
      <c r="R840" s="224"/>
      <c r="S840" s="429"/>
      <c r="Z840" s="362"/>
      <c r="AA840" s="421"/>
      <c r="AB840" s="362"/>
      <c r="AC840" s="362"/>
      <c r="AD840" s="362"/>
      <c r="AE840" s="362"/>
      <c r="AF840" s="362"/>
      <c r="AG840" s="362"/>
      <c r="AH840" s="362"/>
      <c r="AI840" s="393"/>
      <c r="AJ840" s="393"/>
      <c r="AK840" s="362"/>
      <c r="AL840" s="362"/>
      <c r="AM840" s="362"/>
      <c r="AN840" s="362"/>
      <c r="AO840" s="362"/>
      <c r="AP840" s="362"/>
      <c r="AQ840" s="362"/>
      <c r="AR840" s="362"/>
    </row>
    <row r="841" spans="1:44" ht="12.75" customHeight="1" x14ac:dyDescent="0.15">
      <c r="A841" s="431"/>
      <c r="B841" s="393"/>
      <c r="C841" s="428"/>
      <c r="D841" s="428">
        <v>653106.54574234074</v>
      </c>
      <c r="E841" s="224">
        <v>177343.93337356849</v>
      </c>
      <c r="F841" s="224">
        <v>4.8591260111474242</v>
      </c>
      <c r="G841" s="224">
        <v>4.4206422127639255</v>
      </c>
      <c r="H841" s="224">
        <v>2.9869548567415056</v>
      </c>
      <c r="I841" s="224">
        <v>2.5398064835031335</v>
      </c>
      <c r="J841" s="224"/>
      <c r="M841" s="224">
        <f t="shared" si="42"/>
        <v>475762.61236877227</v>
      </c>
      <c r="N841" s="224">
        <f t="shared" si="43"/>
        <v>0.4384837983834986</v>
      </c>
      <c r="O841" s="224">
        <f t="shared" si="44"/>
        <v>0.44714837323837209</v>
      </c>
      <c r="Q841" s="224"/>
      <c r="R841" s="224"/>
      <c r="S841" s="429"/>
      <c r="Z841" s="362"/>
      <c r="AA841" s="421"/>
      <c r="AB841" s="362"/>
      <c r="AC841" s="362"/>
      <c r="AD841" s="362"/>
      <c r="AE841" s="362"/>
      <c r="AF841" s="362"/>
      <c r="AG841" s="362"/>
      <c r="AH841" s="362"/>
      <c r="AI841" s="393"/>
      <c r="AJ841" s="393"/>
      <c r="AK841" s="362"/>
      <c r="AL841" s="362"/>
      <c r="AM841" s="362"/>
      <c r="AN841" s="362"/>
      <c r="AO841" s="362"/>
      <c r="AP841" s="362"/>
      <c r="AQ841" s="362"/>
      <c r="AR841" s="362"/>
    </row>
    <row r="842" spans="1:44" ht="12.75" customHeight="1" x14ac:dyDescent="0.15">
      <c r="A842" s="431"/>
      <c r="B842" s="393"/>
      <c r="C842" s="428"/>
      <c r="D842" s="428">
        <v>552301.16947744146</v>
      </c>
      <c r="E842" s="224">
        <v>108583.16332640522</v>
      </c>
      <c r="F842" s="224">
        <v>4.1688775158593181</v>
      </c>
      <c r="G842" s="224">
        <v>3.5417196573794367</v>
      </c>
      <c r="H842" s="224">
        <v>2.6227957852054637</v>
      </c>
      <c r="I842" s="224">
        <v>2.0472835741712281</v>
      </c>
      <c r="J842" s="224"/>
      <c r="M842" s="224">
        <f t="shared" si="42"/>
        <v>443718.00615103624</v>
      </c>
      <c r="N842" s="224">
        <f t="shared" si="43"/>
        <v>0.62715785847988137</v>
      </c>
      <c r="O842" s="224">
        <f t="shared" si="44"/>
        <v>0.57551221103423567</v>
      </c>
      <c r="Q842" s="224"/>
      <c r="R842" s="224"/>
      <c r="S842" s="429"/>
      <c r="Z842" s="362"/>
      <c r="AA842" s="421"/>
      <c r="AB842" s="362"/>
      <c r="AC842" s="362"/>
      <c r="AD842" s="362"/>
      <c r="AE842" s="362"/>
      <c r="AF842" s="362"/>
      <c r="AG842" s="362"/>
      <c r="AH842" s="362"/>
      <c r="AI842" s="393"/>
      <c r="AJ842" s="393"/>
      <c r="AK842" s="362"/>
      <c r="AL842" s="362"/>
      <c r="AM842" s="362"/>
      <c r="AN842" s="362"/>
      <c r="AO842" s="362"/>
      <c r="AP842" s="362"/>
      <c r="AQ842" s="362"/>
      <c r="AR842" s="362"/>
    </row>
    <row r="843" spans="1:44" ht="12.75" customHeight="1" x14ac:dyDescent="0.15">
      <c r="A843" s="431"/>
      <c r="B843" s="393"/>
      <c r="C843" s="428"/>
      <c r="D843" s="428">
        <v>677357.36831555679</v>
      </c>
      <c r="E843" s="224">
        <v>199999.05178501172</v>
      </c>
      <c r="F843" s="224">
        <v>4.4877021702786344</v>
      </c>
      <c r="G843" s="224">
        <v>3.8801874816505917</v>
      </c>
      <c r="H843" s="224">
        <v>2.8652161363221436</v>
      </c>
      <c r="I843" s="224">
        <v>2.3781432028563319</v>
      </c>
      <c r="J843" s="224"/>
      <c r="M843" s="224">
        <f t="shared" si="42"/>
        <v>477358.31653054507</v>
      </c>
      <c r="N843" s="224">
        <f t="shared" si="43"/>
        <v>0.6075146886280427</v>
      </c>
      <c r="O843" s="224">
        <f t="shared" si="44"/>
        <v>0.48707293346581171</v>
      </c>
      <c r="Q843" s="224"/>
      <c r="R843" s="224"/>
      <c r="S843" s="429"/>
      <c r="Z843" s="362"/>
      <c r="AA843" s="421"/>
      <c r="AB843" s="362"/>
      <c r="AC843" s="362"/>
      <c r="AD843" s="362"/>
      <c r="AE843" s="362"/>
      <c r="AF843" s="362"/>
      <c r="AG843" s="362"/>
      <c r="AH843" s="362"/>
      <c r="AI843" s="393"/>
      <c r="AJ843" s="393"/>
      <c r="AK843" s="362"/>
      <c r="AL843" s="362"/>
      <c r="AM843" s="362"/>
      <c r="AN843" s="362"/>
      <c r="AO843" s="362"/>
      <c r="AP843" s="362"/>
      <c r="AQ843" s="362"/>
      <c r="AR843" s="362"/>
    </row>
    <row r="844" spans="1:44" ht="12.75" customHeight="1" x14ac:dyDescent="0.15">
      <c r="A844" s="431"/>
      <c r="B844" s="393"/>
      <c r="C844" s="428"/>
      <c r="D844" s="428">
        <v>635667.95482718945</v>
      </c>
      <c r="E844" s="224">
        <v>209644.93133698797</v>
      </c>
      <c r="F844" s="224">
        <v>4.4249121593206233</v>
      </c>
      <c r="G844" s="224">
        <v>4.8009191878578115</v>
      </c>
      <c r="H844" s="224">
        <v>2.6639729262436558</v>
      </c>
      <c r="I844" s="224">
        <v>2.3945466608763391</v>
      </c>
      <c r="J844" s="224"/>
      <c r="M844" s="224">
        <f t="shared" si="42"/>
        <v>426023.02349020145</v>
      </c>
      <c r="N844" s="224">
        <f t="shared" si="43"/>
        <v>-0.37600702853718815</v>
      </c>
      <c r="O844" s="224">
        <f t="shared" si="44"/>
        <v>0.26942626536731673</v>
      </c>
      <c r="Q844" s="224"/>
      <c r="R844" s="224"/>
      <c r="S844" s="429"/>
      <c r="Z844" s="362"/>
      <c r="AA844" s="421"/>
      <c r="AB844" s="362"/>
      <c r="AC844" s="362"/>
      <c r="AD844" s="362"/>
      <c r="AE844" s="362"/>
      <c r="AF844" s="362"/>
      <c r="AG844" s="362"/>
      <c r="AH844" s="362"/>
      <c r="AI844" s="393"/>
      <c r="AJ844" s="393"/>
      <c r="AK844" s="362"/>
      <c r="AL844" s="362"/>
      <c r="AM844" s="362"/>
      <c r="AN844" s="362"/>
      <c r="AO844" s="362"/>
      <c r="AP844" s="362"/>
      <c r="AQ844" s="362"/>
      <c r="AR844" s="362"/>
    </row>
    <row r="845" spans="1:44" ht="12.75" customHeight="1" x14ac:dyDescent="0.15">
      <c r="A845" s="431"/>
      <c r="B845" s="393"/>
      <c r="C845" s="428"/>
      <c r="D845" s="428">
        <v>510642.13584983931</v>
      </c>
      <c r="E845" s="224">
        <v>101722.60745664928</v>
      </c>
      <c r="F845" s="224">
        <v>4.2099339325826923</v>
      </c>
      <c r="G845" s="224">
        <v>3.7192332334762788</v>
      </c>
      <c r="H845" s="224">
        <v>2.6451967931816509</v>
      </c>
      <c r="I845" s="224">
        <v>2.311616418445662</v>
      </c>
      <c r="J845" s="224"/>
      <c r="M845" s="224">
        <f t="shared" si="42"/>
        <v>408919.52839319</v>
      </c>
      <c r="N845" s="224">
        <f t="shared" si="43"/>
        <v>0.49070069910641356</v>
      </c>
      <c r="O845" s="224">
        <f t="shared" si="44"/>
        <v>0.33358037473598889</v>
      </c>
      <c r="Q845" s="224"/>
      <c r="R845" s="224"/>
      <c r="S845" s="429"/>
      <c r="Z845" s="362"/>
      <c r="AA845" s="421"/>
      <c r="AB845" s="362"/>
      <c r="AC845" s="362"/>
      <c r="AD845" s="362"/>
      <c r="AE845" s="362"/>
      <c r="AF845" s="362"/>
      <c r="AG845" s="362"/>
      <c r="AH845" s="362"/>
      <c r="AI845" s="393"/>
      <c r="AJ845" s="393"/>
      <c r="AK845" s="362"/>
      <c r="AL845" s="362"/>
      <c r="AM845" s="362"/>
      <c r="AN845" s="362"/>
      <c r="AO845" s="362"/>
      <c r="AP845" s="362"/>
      <c r="AQ845" s="362"/>
      <c r="AR845" s="362"/>
    </row>
    <row r="846" spans="1:44" ht="12.75" customHeight="1" x14ac:dyDescent="0.15">
      <c r="A846" s="431"/>
      <c r="B846" s="393"/>
      <c r="C846" s="428"/>
      <c r="D846" s="428">
        <v>553550.55204254598</v>
      </c>
      <c r="E846" s="224">
        <v>154920.24499168614</v>
      </c>
      <c r="F846" s="224">
        <v>3.7124991797275877</v>
      </c>
      <c r="G846" s="224">
        <v>4.1898604967977571</v>
      </c>
      <c r="H846" s="224">
        <v>2.1694554929559149</v>
      </c>
      <c r="I846" s="224">
        <v>2.3489839263092116</v>
      </c>
      <c r="J846" s="224"/>
      <c r="M846" s="224">
        <f t="shared" si="42"/>
        <v>398630.30705085985</v>
      </c>
      <c r="N846" s="224">
        <f t="shared" si="43"/>
        <v>-0.47736131707016938</v>
      </c>
      <c r="O846" s="224">
        <f t="shared" si="44"/>
        <v>-0.17952843335329671</v>
      </c>
      <c r="Q846" s="224"/>
      <c r="R846" s="224"/>
      <c r="S846" s="429"/>
      <c r="Z846" s="362"/>
      <c r="AA846" s="421"/>
      <c r="AB846" s="362"/>
      <c r="AC846" s="362"/>
      <c r="AD846" s="362"/>
      <c r="AE846" s="362"/>
      <c r="AF846" s="362"/>
      <c r="AG846" s="362"/>
      <c r="AH846" s="362"/>
      <c r="AI846" s="393"/>
      <c r="AJ846" s="393"/>
      <c r="AK846" s="362"/>
      <c r="AL846" s="362"/>
      <c r="AM846" s="362"/>
      <c r="AN846" s="362"/>
      <c r="AO846" s="362"/>
      <c r="AP846" s="362"/>
      <c r="AQ846" s="362"/>
      <c r="AR846" s="362"/>
    </row>
    <row r="847" spans="1:44" ht="12.75" customHeight="1" x14ac:dyDescent="0.15">
      <c r="A847" s="431"/>
      <c r="B847" s="393"/>
      <c r="C847" s="428"/>
      <c r="D847" s="428">
        <v>613592.13128391514</v>
      </c>
      <c r="E847" s="224">
        <v>175237.11414432584</v>
      </c>
      <c r="F847" s="224">
        <v>4.2513449100648604</v>
      </c>
      <c r="G847" s="224">
        <v>4.0377881989554822</v>
      </c>
      <c r="H847" s="224">
        <v>2.7657757724862284</v>
      </c>
      <c r="I847" s="224">
        <v>2.5022992724858693</v>
      </c>
      <c r="J847" s="224"/>
      <c r="M847" s="224">
        <f t="shared" si="42"/>
        <v>438355.0171395893</v>
      </c>
      <c r="N847" s="224">
        <f t="shared" si="43"/>
        <v>0.21355671110937813</v>
      </c>
      <c r="O847" s="224">
        <f t="shared" si="44"/>
        <v>0.26347650000035916</v>
      </c>
      <c r="Q847" s="224"/>
      <c r="R847" s="224"/>
      <c r="S847" s="429"/>
      <c r="Z847" s="362"/>
      <c r="AA847" s="421"/>
      <c r="AB847" s="362"/>
      <c r="AC847" s="362"/>
      <c r="AD847" s="362"/>
      <c r="AE847" s="362"/>
      <c r="AF847" s="362"/>
      <c r="AG847" s="362"/>
      <c r="AH847" s="362"/>
      <c r="AI847" s="393"/>
      <c r="AJ847" s="393"/>
      <c r="AK847" s="362"/>
      <c r="AL847" s="362"/>
      <c r="AM847" s="362"/>
      <c r="AN847" s="362"/>
      <c r="AO847" s="362"/>
      <c r="AP847" s="362"/>
      <c r="AQ847" s="362"/>
      <c r="AR847" s="362"/>
    </row>
    <row r="848" spans="1:44" ht="12.75" customHeight="1" x14ac:dyDescent="0.15">
      <c r="A848" s="431"/>
      <c r="B848" s="393"/>
      <c r="C848" s="428"/>
      <c r="D848" s="428">
        <v>557764.54568330839</v>
      </c>
      <c r="E848" s="224">
        <v>152182.08772255291</v>
      </c>
      <c r="F848" s="224">
        <v>4.3760182475262788</v>
      </c>
      <c r="G848" s="224">
        <v>4.0448798243088167</v>
      </c>
      <c r="H848" s="224">
        <v>2.9140196112013608</v>
      </c>
      <c r="I848" s="224">
        <v>2.5507330754094757</v>
      </c>
      <c r="J848" s="224"/>
      <c r="M848" s="224">
        <f t="shared" si="42"/>
        <v>405582.45796075545</v>
      </c>
      <c r="N848" s="224">
        <f t="shared" si="43"/>
        <v>0.33113842321746212</v>
      </c>
      <c r="O848" s="224">
        <f t="shared" si="44"/>
        <v>0.36328653579188508</v>
      </c>
      <c r="Q848" s="224"/>
      <c r="R848" s="224"/>
      <c r="S848" s="429"/>
      <c r="Z848" s="362"/>
      <c r="AA848" s="421"/>
      <c r="AB848" s="362"/>
      <c r="AC848" s="362"/>
      <c r="AD848" s="362"/>
      <c r="AE848" s="362"/>
      <c r="AF848" s="362"/>
      <c r="AG848" s="362"/>
      <c r="AH848" s="362"/>
      <c r="AI848" s="393"/>
      <c r="AJ848" s="393"/>
      <c r="AK848" s="362"/>
      <c r="AL848" s="362"/>
      <c r="AM848" s="362"/>
      <c r="AN848" s="362"/>
      <c r="AO848" s="362"/>
      <c r="AP848" s="362"/>
      <c r="AQ848" s="362"/>
      <c r="AR848" s="362"/>
    </row>
    <row r="849" spans="1:44" ht="12.75" customHeight="1" x14ac:dyDescent="0.15">
      <c r="A849" s="431"/>
      <c r="B849" s="393"/>
      <c r="C849" s="428"/>
      <c r="D849" s="428">
        <v>581846.73455189727</v>
      </c>
      <c r="E849" s="224">
        <v>159048.50389008765</v>
      </c>
      <c r="F849" s="224">
        <v>4.3086879974932462</v>
      </c>
      <c r="G849" s="224">
        <v>3.6836883435182703</v>
      </c>
      <c r="H849" s="224">
        <v>2.4761852317117143</v>
      </c>
      <c r="I849" s="224">
        <v>1.887088334007192</v>
      </c>
      <c r="J849" s="224"/>
      <c r="M849" s="224">
        <f t="shared" si="42"/>
        <v>422798.23066180962</v>
      </c>
      <c r="N849" s="224">
        <f t="shared" si="43"/>
        <v>0.62499965397497581</v>
      </c>
      <c r="O849" s="224">
        <f t="shared" si="44"/>
        <v>0.58909689770452234</v>
      </c>
      <c r="Q849" s="224"/>
      <c r="R849" s="224"/>
      <c r="S849" s="429"/>
      <c r="Z849" s="362"/>
      <c r="AA849" s="421"/>
      <c r="AB849" s="362"/>
      <c r="AC849" s="362"/>
      <c r="AD849" s="362"/>
      <c r="AE849" s="362"/>
      <c r="AF849" s="362"/>
      <c r="AG849" s="362"/>
      <c r="AH849" s="362"/>
      <c r="AI849" s="393"/>
      <c r="AJ849" s="393"/>
      <c r="AK849" s="362"/>
      <c r="AL849" s="362"/>
      <c r="AM849" s="362"/>
      <c r="AN849" s="362"/>
      <c r="AO849" s="362"/>
      <c r="AP849" s="362"/>
      <c r="AQ849" s="362"/>
      <c r="AR849" s="362"/>
    </row>
    <row r="850" spans="1:44" ht="12.75" customHeight="1" x14ac:dyDescent="0.15">
      <c r="A850" s="431"/>
      <c r="B850" s="393"/>
      <c r="C850" s="428"/>
      <c r="D850" s="428">
        <v>534122.23915618646</v>
      </c>
      <c r="E850" s="224">
        <v>105437.35611437149</v>
      </c>
      <c r="F850" s="224">
        <v>4.4288411383991413</v>
      </c>
      <c r="G850" s="224">
        <v>4.2178256939067849</v>
      </c>
      <c r="H850" s="224">
        <v>2.6865074042697321</v>
      </c>
      <c r="I850" s="224">
        <v>2.1939272904362177</v>
      </c>
      <c r="J850" s="224"/>
      <c r="M850" s="224">
        <f t="shared" ref="M850:M913" si="45">+D850-E850</f>
        <v>428684.88304181496</v>
      </c>
      <c r="N850" s="224">
        <f t="shared" ref="N850:N913" si="46">+F850-G850</f>
        <v>0.21101544449235643</v>
      </c>
      <c r="O850" s="224">
        <f t="shared" ref="O850:O913" si="47">+H850-I850</f>
        <v>0.49258011383351441</v>
      </c>
      <c r="Q850" s="224"/>
      <c r="R850" s="224"/>
      <c r="S850" s="429"/>
      <c r="Z850" s="362"/>
      <c r="AA850" s="421"/>
      <c r="AB850" s="362"/>
      <c r="AC850" s="362"/>
      <c r="AD850" s="362"/>
      <c r="AE850" s="362"/>
      <c r="AF850" s="362"/>
      <c r="AG850" s="362"/>
      <c r="AH850" s="362"/>
      <c r="AI850" s="393"/>
      <c r="AJ850" s="393"/>
      <c r="AK850" s="362"/>
      <c r="AL850" s="362"/>
      <c r="AM850" s="362"/>
      <c r="AN850" s="362"/>
      <c r="AO850" s="362"/>
      <c r="AP850" s="362"/>
      <c r="AQ850" s="362"/>
      <c r="AR850" s="362"/>
    </row>
    <row r="851" spans="1:44" ht="12.75" customHeight="1" x14ac:dyDescent="0.15">
      <c r="A851" s="431"/>
      <c r="B851" s="393"/>
      <c r="C851" s="428"/>
      <c r="D851" s="428">
        <v>585727.93054736103</v>
      </c>
      <c r="E851" s="224">
        <v>152232.80134669592</v>
      </c>
      <c r="F851" s="224">
        <v>4.5494638341910028</v>
      </c>
      <c r="G851" s="224">
        <v>4.3294445574281806</v>
      </c>
      <c r="H851" s="224">
        <v>2.8804165020710006</v>
      </c>
      <c r="I851" s="224">
        <v>2.4496412119175179</v>
      </c>
      <c r="J851" s="224"/>
      <c r="M851" s="224">
        <f t="shared" si="45"/>
        <v>433495.12920066511</v>
      </c>
      <c r="N851" s="224">
        <f t="shared" si="46"/>
        <v>0.22001927676282218</v>
      </c>
      <c r="O851" s="224">
        <f t="shared" si="47"/>
        <v>0.4307752901534827</v>
      </c>
      <c r="Q851" s="224"/>
      <c r="R851" s="224"/>
      <c r="S851" s="429"/>
      <c r="Z851" s="362"/>
      <c r="AA851" s="421"/>
      <c r="AB851" s="362"/>
      <c r="AC851" s="362"/>
      <c r="AD851" s="362"/>
      <c r="AE851" s="362"/>
      <c r="AF851" s="362"/>
      <c r="AG851" s="362"/>
      <c r="AH851" s="362"/>
      <c r="AI851" s="393"/>
      <c r="AJ851" s="393"/>
      <c r="AK851" s="362"/>
      <c r="AL851" s="362"/>
      <c r="AM851" s="362"/>
      <c r="AN851" s="362"/>
      <c r="AO851" s="362"/>
      <c r="AP851" s="362"/>
      <c r="AQ851" s="362"/>
      <c r="AR851" s="362"/>
    </row>
    <row r="852" spans="1:44" ht="12.75" customHeight="1" x14ac:dyDescent="0.15">
      <c r="A852" s="431"/>
      <c r="B852" s="393"/>
      <c r="C852" s="428"/>
      <c r="D852" s="428">
        <v>650294.10394044383</v>
      </c>
      <c r="E852" s="224">
        <v>137487.24921196836</v>
      </c>
      <c r="F852" s="224">
        <v>4.0505091082312701</v>
      </c>
      <c r="G852" s="224">
        <v>4.0551450195611425</v>
      </c>
      <c r="H852" s="224">
        <v>2.4873130794995997</v>
      </c>
      <c r="I852" s="224">
        <v>2.2197894345717426</v>
      </c>
      <c r="J852" s="224"/>
      <c r="M852" s="224">
        <f t="shared" si="45"/>
        <v>512806.85472847545</v>
      </c>
      <c r="N852" s="224">
        <f t="shared" si="46"/>
        <v>-4.6359113298723997E-3</v>
      </c>
      <c r="O852" s="224">
        <f t="shared" si="47"/>
        <v>0.26752364492785707</v>
      </c>
      <c r="Q852" s="224"/>
      <c r="R852" s="224"/>
      <c r="S852" s="429"/>
      <c r="Z852" s="362"/>
      <c r="AA852" s="421"/>
      <c r="AB852" s="362"/>
      <c r="AC852" s="362"/>
      <c r="AD852" s="362"/>
      <c r="AE852" s="362"/>
      <c r="AF852" s="362"/>
      <c r="AG852" s="362"/>
      <c r="AH852" s="362"/>
      <c r="AI852" s="393"/>
      <c r="AJ852" s="393"/>
      <c r="AK852" s="362"/>
      <c r="AL852" s="362"/>
      <c r="AM852" s="362"/>
      <c r="AN852" s="362"/>
      <c r="AO852" s="362"/>
      <c r="AP852" s="362"/>
      <c r="AQ852" s="362"/>
      <c r="AR852" s="362"/>
    </row>
    <row r="853" spans="1:44" ht="12.75" customHeight="1" x14ac:dyDescent="0.15">
      <c r="A853" s="431"/>
      <c r="B853" s="393"/>
      <c r="C853" s="428"/>
      <c r="D853" s="428">
        <v>657034.62125671201</v>
      </c>
      <c r="E853" s="224">
        <v>127399.45922880167</v>
      </c>
      <c r="F853" s="224">
        <v>4.5581084307508517</v>
      </c>
      <c r="G853" s="224">
        <v>3.6645217955312659</v>
      </c>
      <c r="H853" s="224">
        <v>2.8812413414929181</v>
      </c>
      <c r="I853" s="224">
        <v>2.0391764581544036</v>
      </c>
      <c r="J853" s="224"/>
      <c r="M853" s="224">
        <f t="shared" si="45"/>
        <v>529635.16202791035</v>
      </c>
      <c r="N853" s="224">
        <f t="shared" si="46"/>
        <v>0.89358663521958581</v>
      </c>
      <c r="O853" s="224">
        <f t="shared" si="47"/>
        <v>0.84206488333851448</v>
      </c>
      <c r="Q853" s="224"/>
      <c r="R853" s="224"/>
      <c r="S853" s="429"/>
      <c r="Z853" s="362"/>
      <c r="AA853" s="421"/>
      <c r="AB853" s="362"/>
      <c r="AC853" s="362"/>
      <c r="AD853" s="362"/>
      <c r="AE853" s="362"/>
      <c r="AF853" s="362"/>
      <c r="AG853" s="362"/>
      <c r="AH853" s="362"/>
      <c r="AI853" s="393"/>
      <c r="AJ853" s="393"/>
      <c r="AK853" s="362"/>
      <c r="AL853" s="362"/>
      <c r="AM853" s="362"/>
      <c r="AN853" s="362"/>
      <c r="AO853" s="362"/>
      <c r="AP853" s="362"/>
      <c r="AQ853" s="362"/>
      <c r="AR853" s="362"/>
    </row>
    <row r="854" spans="1:44" ht="12.75" customHeight="1" x14ac:dyDescent="0.15">
      <c r="A854" s="431"/>
      <c r="B854" s="393"/>
      <c r="C854" s="428"/>
      <c r="D854" s="428">
        <v>515442.25253946049</v>
      </c>
      <c r="E854" s="224">
        <v>151805.71264976746</v>
      </c>
      <c r="F854" s="224">
        <v>4.3059083546682801</v>
      </c>
      <c r="G854" s="224">
        <v>3.9867988521449664</v>
      </c>
      <c r="H854" s="224">
        <v>2.3940019209676886</v>
      </c>
      <c r="I854" s="224">
        <v>2.2117413768241367</v>
      </c>
      <c r="J854" s="224"/>
      <c r="M854" s="224">
        <f t="shared" si="45"/>
        <v>363636.53988969303</v>
      </c>
      <c r="N854" s="224">
        <f t="shared" si="46"/>
        <v>0.31910950252331372</v>
      </c>
      <c r="O854" s="224">
        <f t="shared" si="47"/>
        <v>0.18226054414355186</v>
      </c>
      <c r="Q854" s="224"/>
      <c r="R854" s="224"/>
      <c r="S854" s="429"/>
      <c r="Z854" s="362"/>
      <c r="AA854" s="421"/>
      <c r="AB854" s="362"/>
      <c r="AC854" s="362"/>
      <c r="AD854" s="362"/>
      <c r="AE854" s="362"/>
      <c r="AF854" s="362"/>
      <c r="AG854" s="362"/>
      <c r="AH854" s="362"/>
      <c r="AI854" s="393"/>
      <c r="AJ854" s="393"/>
      <c r="AK854" s="362"/>
      <c r="AL854" s="362"/>
      <c r="AM854" s="362"/>
      <c r="AN854" s="362"/>
      <c r="AO854" s="362"/>
      <c r="AP854" s="362"/>
      <c r="AQ854" s="362"/>
      <c r="AR854" s="362"/>
    </row>
    <row r="855" spans="1:44" ht="12.75" customHeight="1" x14ac:dyDescent="0.15">
      <c r="A855" s="431"/>
      <c r="B855" s="393"/>
      <c r="C855" s="428"/>
      <c r="D855" s="428">
        <v>562326.58404195006</v>
      </c>
      <c r="E855" s="224">
        <v>121511.2658856256</v>
      </c>
      <c r="F855" s="224">
        <v>4.4486651192622615</v>
      </c>
      <c r="G855" s="224">
        <v>3.6803421474323263</v>
      </c>
      <c r="H855" s="224">
        <v>2.613003219639384</v>
      </c>
      <c r="I855" s="224">
        <v>2.0835374792400785</v>
      </c>
      <c r="J855" s="224"/>
      <c r="M855" s="224">
        <f t="shared" si="45"/>
        <v>440815.31815632444</v>
      </c>
      <c r="N855" s="224">
        <f t="shared" si="46"/>
        <v>0.76832297182993514</v>
      </c>
      <c r="O855" s="224">
        <f t="shared" si="47"/>
        <v>0.5294657403993055</v>
      </c>
      <c r="Q855" s="224"/>
      <c r="R855" s="224"/>
      <c r="S855" s="429"/>
      <c r="Z855" s="362"/>
      <c r="AA855" s="421"/>
      <c r="AB855" s="362"/>
      <c r="AC855" s="362"/>
      <c r="AD855" s="362"/>
      <c r="AE855" s="362"/>
      <c r="AF855" s="362"/>
      <c r="AG855" s="362"/>
      <c r="AH855" s="362"/>
      <c r="AI855" s="393"/>
      <c r="AJ855" s="393"/>
      <c r="AK855" s="362"/>
      <c r="AL855" s="362"/>
      <c r="AM855" s="362"/>
      <c r="AN855" s="362"/>
      <c r="AO855" s="362"/>
      <c r="AP855" s="362"/>
      <c r="AQ855" s="362"/>
      <c r="AR855" s="362"/>
    </row>
    <row r="856" spans="1:44" ht="12.75" customHeight="1" x14ac:dyDescent="0.15">
      <c r="A856" s="431"/>
      <c r="B856" s="393"/>
      <c r="C856" s="428"/>
      <c r="D856" s="428">
        <v>642048.48412272125</v>
      </c>
      <c r="E856" s="224">
        <v>115517.7320476865</v>
      </c>
      <c r="F856" s="224">
        <v>4.1732601959814648</v>
      </c>
      <c r="G856" s="224">
        <v>3.5607039807131984</v>
      </c>
      <c r="H856" s="224">
        <v>2.9136412100230045</v>
      </c>
      <c r="I856" s="224">
        <v>2.3207806130876225</v>
      </c>
      <c r="J856" s="224"/>
      <c r="M856" s="224">
        <f t="shared" si="45"/>
        <v>526530.75207503478</v>
      </c>
      <c r="N856" s="224">
        <f t="shared" si="46"/>
        <v>0.61255621526826642</v>
      </c>
      <c r="O856" s="224">
        <f t="shared" si="47"/>
        <v>0.59286059693538196</v>
      </c>
      <c r="Q856" s="224"/>
      <c r="R856" s="224"/>
      <c r="S856" s="429"/>
      <c r="Z856" s="362"/>
      <c r="AA856" s="421"/>
      <c r="AB856" s="362"/>
      <c r="AC856" s="362"/>
      <c r="AD856" s="362"/>
      <c r="AE856" s="362"/>
      <c r="AF856" s="362"/>
      <c r="AG856" s="362"/>
      <c r="AH856" s="362"/>
      <c r="AI856" s="393"/>
      <c r="AJ856" s="393"/>
      <c r="AK856" s="362"/>
      <c r="AL856" s="362"/>
      <c r="AM856" s="362"/>
      <c r="AN856" s="362"/>
      <c r="AO856" s="362"/>
      <c r="AP856" s="362"/>
      <c r="AQ856" s="362"/>
      <c r="AR856" s="362"/>
    </row>
    <row r="857" spans="1:44" ht="12.75" customHeight="1" x14ac:dyDescent="0.15">
      <c r="A857" s="431"/>
      <c r="B857" s="393"/>
      <c r="C857" s="428"/>
      <c r="D857" s="428">
        <v>682077.19287903165</v>
      </c>
      <c r="E857" s="224">
        <v>173093.10933617153</v>
      </c>
      <c r="F857" s="224">
        <v>4.2795242211601057</v>
      </c>
      <c r="G857" s="224">
        <v>4.3779316911189632</v>
      </c>
      <c r="H857" s="224">
        <v>2.92868088408233</v>
      </c>
      <c r="I857" s="224">
        <v>2.6599170867649788</v>
      </c>
      <c r="J857" s="224"/>
      <c r="M857" s="224">
        <f t="shared" si="45"/>
        <v>508984.08354286011</v>
      </c>
      <c r="N857" s="224">
        <f t="shared" si="46"/>
        <v>-9.8407469958857519E-2</v>
      </c>
      <c r="O857" s="224">
        <f t="shared" si="47"/>
        <v>0.26876379731735112</v>
      </c>
      <c r="Q857" s="224"/>
      <c r="R857" s="224"/>
      <c r="S857" s="429"/>
      <c r="Z857" s="362"/>
      <c r="AA857" s="421"/>
      <c r="AB857" s="362"/>
      <c r="AC857" s="362"/>
      <c r="AD857" s="362"/>
      <c r="AE857" s="362"/>
      <c r="AF857" s="362"/>
      <c r="AG857" s="362"/>
      <c r="AH857" s="362"/>
      <c r="AI857" s="393"/>
      <c r="AJ857" s="393"/>
      <c r="AK857" s="362"/>
      <c r="AL857" s="362"/>
      <c r="AM857" s="362"/>
      <c r="AN857" s="362"/>
      <c r="AO857" s="362"/>
      <c r="AP857" s="362"/>
      <c r="AQ857" s="362"/>
      <c r="AR857" s="362"/>
    </row>
    <row r="858" spans="1:44" ht="12.75" customHeight="1" x14ac:dyDescent="0.15">
      <c r="A858" s="431"/>
      <c r="B858" s="393"/>
      <c r="C858" s="428"/>
      <c r="D858" s="428">
        <v>744903.97885951318</v>
      </c>
      <c r="E858" s="224">
        <v>135697.32862399449</v>
      </c>
      <c r="F858" s="224">
        <v>4.8474772963093988</v>
      </c>
      <c r="G858" s="224">
        <v>3.0103895040043458</v>
      </c>
      <c r="H858" s="224">
        <v>3.5649556473634876</v>
      </c>
      <c r="I858" s="224">
        <v>2.1353493720621715</v>
      </c>
      <c r="J858" s="224"/>
      <c r="M858" s="224">
        <f t="shared" si="45"/>
        <v>609206.6502355187</v>
      </c>
      <c r="N858" s="224">
        <f t="shared" si="46"/>
        <v>1.837087792305053</v>
      </c>
      <c r="O858" s="224">
        <f t="shared" si="47"/>
        <v>1.4296062753013161</v>
      </c>
      <c r="Q858" s="224"/>
      <c r="R858" s="224"/>
      <c r="S858" s="429"/>
      <c r="Z858" s="362"/>
      <c r="AA858" s="421"/>
      <c r="AB858" s="362"/>
      <c r="AC858" s="362"/>
      <c r="AD858" s="362"/>
      <c r="AE858" s="362"/>
      <c r="AF858" s="362"/>
      <c r="AG858" s="362"/>
      <c r="AH858" s="362"/>
      <c r="AI858" s="393"/>
      <c r="AJ858" s="393"/>
      <c r="AK858" s="362"/>
      <c r="AL858" s="362"/>
      <c r="AM858" s="362"/>
      <c r="AN858" s="362"/>
      <c r="AO858" s="362"/>
      <c r="AP858" s="362"/>
      <c r="AQ858" s="362"/>
      <c r="AR858" s="362"/>
    </row>
    <row r="859" spans="1:44" ht="12.75" customHeight="1" x14ac:dyDescent="0.15">
      <c r="A859" s="431"/>
      <c r="B859" s="393"/>
      <c r="C859" s="428"/>
      <c r="D859" s="428">
        <v>495325.23586803593</v>
      </c>
      <c r="E859" s="224">
        <v>108668.30268384801</v>
      </c>
      <c r="F859" s="224">
        <v>4.7622770326577823</v>
      </c>
      <c r="G859" s="224">
        <v>3.6701334507815173</v>
      </c>
      <c r="H859" s="224">
        <v>3.1038756985037184</v>
      </c>
      <c r="I859" s="224">
        <v>2.3195602869757237</v>
      </c>
      <c r="J859" s="224"/>
      <c r="M859" s="224">
        <f t="shared" si="45"/>
        <v>386656.93318418792</v>
      </c>
      <c r="N859" s="224">
        <f t="shared" si="46"/>
        <v>1.092143581876265</v>
      </c>
      <c r="O859" s="224">
        <f t="shared" si="47"/>
        <v>0.78431541152799467</v>
      </c>
      <c r="Q859" s="224"/>
      <c r="R859" s="224"/>
      <c r="S859" s="429"/>
      <c r="Z859" s="362"/>
      <c r="AA859" s="421"/>
      <c r="AB859" s="362"/>
      <c r="AC859" s="362"/>
      <c r="AD859" s="362"/>
      <c r="AE859" s="362"/>
      <c r="AF859" s="362"/>
      <c r="AG859" s="362"/>
      <c r="AH859" s="362"/>
      <c r="AI859" s="393"/>
      <c r="AJ859" s="393"/>
      <c r="AK859" s="362"/>
      <c r="AL859" s="362"/>
      <c r="AM859" s="362"/>
      <c r="AN859" s="362"/>
      <c r="AO859" s="362"/>
      <c r="AP859" s="362"/>
      <c r="AQ859" s="362"/>
      <c r="AR859" s="362"/>
    </row>
    <row r="860" spans="1:44" ht="12.75" customHeight="1" x14ac:dyDescent="0.15">
      <c r="A860" s="431"/>
      <c r="B860" s="393"/>
      <c r="C860" s="428"/>
      <c r="D860" s="428">
        <v>549764.90151775361</v>
      </c>
      <c r="E860" s="224">
        <v>133063.65542359903</v>
      </c>
      <c r="F860" s="224">
        <v>4.6832784226555608</v>
      </c>
      <c r="G860" s="224">
        <v>3.5811726242353421</v>
      </c>
      <c r="H860" s="224">
        <v>2.6986878532284417</v>
      </c>
      <c r="I860" s="224">
        <v>2.0153742578591611</v>
      </c>
      <c r="J860" s="224"/>
      <c r="M860" s="224">
        <f t="shared" si="45"/>
        <v>416701.24609415454</v>
      </c>
      <c r="N860" s="224">
        <f t="shared" si="46"/>
        <v>1.1021057984202187</v>
      </c>
      <c r="O860" s="224">
        <f t="shared" si="47"/>
        <v>0.6833135953692806</v>
      </c>
      <c r="Q860" s="224"/>
      <c r="R860" s="224"/>
      <c r="S860" s="429"/>
      <c r="Z860" s="362"/>
      <c r="AA860" s="421"/>
      <c r="AB860" s="362"/>
      <c r="AC860" s="362"/>
      <c r="AD860" s="362"/>
      <c r="AE860" s="362"/>
      <c r="AF860" s="362"/>
      <c r="AG860" s="362"/>
      <c r="AH860" s="362"/>
      <c r="AI860" s="393"/>
      <c r="AJ860" s="393"/>
      <c r="AK860" s="362"/>
      <c r="AL860" s="362"/>
      <c r="AM860" s="362"/>
      <c r="AN860" s="362"/>
      <c r="AO860" s="362"/>
      <c r="AP860" s="362"/>
      <c r="AQ860" s="362"/>
      <c r="AR860" s="362"/>
    </row>
    <row r="861" spans="1:44" ht="12.75" customHeight="1" x14ac:dyDescent="0.15">
      <c r="A861" s="431"/>
      <c r="B861" s="393"/>
      <c r="C861" s="428"/>
      <c r="D861" s="428">
        <v>679567.63312499423</v>
      </c>
      <c r="E861" s="224">
        <v>208396.59312217886</v>
      </c>
      <c r="F861" s="224">
        <v>4.4733090301530316</v>
      </c>
      <c r="G861" s="224">
        <v>3.8388039794196183</v>
      </c>
      <c r="H861" s="224">
        <v>2.8441899184584023</v>
      </c>
      <c r="I861" s="224">
        <v>2.357747883080584</v>
      </c>
      <c r="J861" s="224"/>
      <c r="M861" s="224">
        <f t="shared" si="45"/>
        <v>471171.04000281537</v>
      </c>
      <c r="N861" s="224">
        <f t="shared" si="46"/>
        <v>0.63450505073341334</v>
      </c>
      <c r="O861" s="224">
        <f t="shared" si="47"/>
        <v>0.48644203537781827</v>
      </c>
      <c r="Q861" s="224"/>
      <c r="R861" s="224"/>
      <c r="S861" s="429"/>
      <c r="Z861" s="362"/>
      <c r="AA861" s="421"/>
      <c r="AB861" s="362"/>
      <c r="AC861" s="362"/>
      <c r="AD861" s="362"/>
      <c r="AE861" s="362"/>
      <c r="AF861" s="362"/>
      <c r="AG861" s="362"/>
      <c r="AH861" s="362"/>
      <c r="AI861" s="393"/>
      <c r="AJ861" s="393"/>
      <c r="AK861" s="362"/>
      <c r="AL861" s="362"/>
      <c r="AM861" s="362"/>
      <c r="AN861" s="362"/>
      <c r="AO861" s="362"/>
      <c r="AP861" s="362"/>
      <c r="AQ861" s="362"/>
      <c r="AR861" s="362"/>
    </row>
    <row r="862" spans="1:44" ht="12.75" customHeight="1" x14ac:dyDescent="0.15">
      <c r="A862" s="431"/>
      <c r="B862" s="393"/>
      <c r="C862" s="428"/>
      <c r="D862" s="428">
        <v>551858.04296134482</v>
      </c>
      <c r="E862" s="224">
        <v>123831.35273597413</v>
      </c>
      <c r="F862" s="224">
        <v>3.9550807791350771</v>
      </c>
      <c r="G862" s="224">
        <v>3.8630991168093947</v>
      </c>
      <c r="H862" s="224">
        <v>2.348912130464659</v>
      </c>
      <c r="I862" s="224">
        <v>1.9420745245835662</v>
      </c>
      <c r="J862" s="224"/>
      <c r="M862" s="224">
        <f t="shared" si="45"/>
        <v>428026.69022537069</v>
      </c>
      <c r="N862" s="224">
        <f t="shared" si="46"/>
        <v>9.198166232568239E-2</v>
      </c>
      <c r="O862" s="224">
        <f t="shared" si="47"/>
        <v>0.40683760588109275</v>
      </c>
      <c r="Q862" s="224"/>
      <c r="R862" s="224"/>
      <c r="S862" s="429"/>
      <c r="Z862" s="362"/>
      <c r="AA862" s="421"/>
      <c r="AB862" s="362"/>
      <c r="AC862" s="362"/>
      <c r="AD862" s="362"/>
      <c r="AE862" s="362"/>
      <c r="AF862" s="362"/>
      <c r="AG862" s="362"/>
      <c r="AH862" s="362"/>
      <c r="AI862" s="393"/>
      <c r="AJ862" s="393"/>
      <c r="AK862" s="362"/>
      <c r="AL862" s="362"/>
      <c r="AM862" s="362"/>
      <c r="AN862" s="362"/>
      <c r="AO862" s="362"/>
      <c r="AP862" s="362"/>
      <c r="AQ862" s="362"/>
      <c r="AR862" s="362"/>
    </row>
    <row r="863" spans="1:44" ht="12.75" customHeight="1" x14ac:dyDescent="0.15">
      <c r="A863" s="431"/>
      <c r="B863" s="393"/>
      <c r="C863" s="428"/>
      <c r="D863" s="428">
        <v>629480.92650646134</v>
      </c>
      <c r="E863" s="224">
        <v>200387.01236379443</v>
      </c>
      <c r="F863" s="224">
        <v>4.8223998314517251</v>
      </c>
      <c r="G863" s="224">
        <v>3.8240788634072298</v>
      </c>
      <c r="H863" s="224">
        <v>2.8985977823953393</v>
      </c>
      <c r="I863" s="224">
        <v>2.2262389772325291</v>
      </c>
      <c r="J863" s="224"/>
      <c r="M863" s="224">
        <f t="shared" si="45"/>
        <v>429093.91414266691</v>
      </c>
      <c r="N863" s="224">
        <f t="shared" si="46"/>
        <v>0.99832096804449533</v>
      </c>
      <c r="O863" s="224">
        <f t="shared" si="47"/>
        <v>0.67235880516281021</v>
      </c>
      <c r="Q863" s="224"/>
      <c r="R863" s="224"/>
      <c r="S863" s="429"/>
      <c r="Z863" s="362"/>
      <c r="AA863" s="421"/>
      <c r="AB863" s="362"/>
      <c r="AC863" s="362"/>
      <c r="AD863" s="362"/>
      <c r="AE863" s="362"/>
      <c r="AF863" s="362"/>
      <c r="AG863" s="362"/>
      <c r="AH863" s="362"/>
      <c r="AI863" s="393"/>
      <c r="AJ863" s="393"/>
      <c r="AK863" s="362"/>
      <c r="AL863" s="362"/>
      <c r="AM863" s="362"/>
      <c r="AN863" s="362"/>
      <c r="AO863" s="362"/>
      <c r="AP863" s="362"/>
      <c r="AQ863" s="362"/>
      <c r="AR863" s="362"/>
    </row>
    <row r="864" spans="1:44" ht="12.75" customHeight="1" x14ac:dyDescent="0.15">
      <c r="A864" s="431"/>
      <c r="B864" s="393"/>
      <c r="C864" s="428"/>
      <c r="D864" s="428">
        <v>586546.3382006454</v>
      </c>
      <c r="E864" s="224">
        <v>156335.49935762965</v>
      </c>
      <c r="F864" s="224">
        <v>4.8277916491292068</v>
      </c>
      <c r="G864" s="224">
        <v>4.2367895111982792</v>
      </c>
      <c r="H864" s="224">
        <v>2.8763274544544624</v>
      </c>
      <c r="I864" s="224">
        <v>2.2819021098060039</v>
      </c>
      <c r="J864" s="224"/>
      <c r="M864" s="224">
        <f t="shared" si="45"/>
        <v>430210.83884301572</v>
      </c>
      <c r="N864" s="224">
        <f t="shared" si="46"/>
        <v>0.5910021379309276</v>
      </c>
      <c r="O864" s="224">
        <f t="shared" si="47"/>
        <v>0.59442534464845842</v>
      </c>
      <c r="Q864" s="224"/>
      <c r="R864" s="224"/>
      <c r="S864" s="429"/>
      <c r="Z864" s="362"/>
      <c r="AA864" s="421"/>
      <c r="AB864" s="362"/>
      <c r="AC864" s="362"/>
      <c r="AD864" s="362"/>
      <c r="AE864" s="362"/>
      <c r="AF864" s="362"/>
      <c r="AG864" s="362"/>
      <c r="AH864" s="362"/>
      <c r="AI864" s="393"/>
      <c r="AJ864" s="393"/>
      <c r="AK864" s="362"/>
      <c r="AL864" s="362"/>
      <c r="AM864" s="362"/>
      <c r="AN864" s="362"/>
      <c r="AO864" s="362"/>
      <c r="AP864" s="362"/>
      <c r="AQ864" s="362"/>
      <c r="AR864" s="362"/>
    </row>
    <row r="865" spans="1:44" ht="12.75" customHeight="1" x14ac:dyDescent="0.15">
      <c r="A865" s="431"/>
      <c r="B865" s="393"/>
      <c r="C865" s="428"/>
      <c r="D865" s="428">
        <v>632140.01348663901</v>
      </c>
      <c r="E865" s="224">
        <v>177426.43410385281</v>
      </c>
      <c r="F865" s="224">
        <v>4.7458435961863108</v>
      </c>
      <c r="G865" s="224">
        <v>3.9864835684127167</v>
      </c>
      <c r="H865" s="224">
        <v>2.7070606729362128</v>
      </c>
      <c r="I865" s="224">
        <v>2.1203482116366881</v>
      </c>
      <c r="J865" s="224"/>
      <c r="M865" s="224">
        <f t="shared" si="45"/>
        <v>454713.57938278618</v>
      </c>
      <c r="N865" s="224">
        <f t="shared" si="46"/>
        <v>0.75936002777359413</v>
      </c>
      <c r="O865" s="224">
        <f t="shared" si="47"/>
        <v>0.5867124612995247</v>
      </c>
      <c r="Q865" s="224"/>
      <c r="R865" s="224"/>
      <c r="S865" s="429"/>
      <c r="Z865" s="362"/>
      <c r="AA865" s="421"/>
      <c r="AB865" s="362"/>
      <c r="AC865" s="362"/>
      <c r="AD865" s="362"/>
      <c r="AE865" s="362"/>
      <c r="AF865" s="362"/>
      <c r="AG865" s="362"/>
      <c r="AH865" s="362"/>
      <c r="AI865" s="393"/>
      <c r="AJ865" s="393"/>
      <c r="AK865" s="362"/>
      <c r="AL865" s="362"/>
      <c r="AM865" s="362"/>
      <c r="AN865" s="362"/>
      <c r="AO865" s="362"/>
      <c r="AP865" s="362"/>
      <c r="AQ865" s="362"/>
      <c r="AR865" s="362"/>
    </row>
    <row r="866" spans="1:44" ht="12.75" customHeight="1" x14ac:dyDescent="0.15">
      <c r="A866" s="431"/>
      <c r="B866" s="393"/>
      <c r="C866" s="428"/>
      <c r="D866" s="428">
        <v>665586.94588900625</v>
      </c>
      <c r="E866" s="224">
        <v>158957.63962706248</v>
      </c>
      <c r="F866" s="224">
        <v>4.8188295963259291</v>
      </c>
      <c r="G866" s="224">
        <v>3.8805227602734784</v>
      </c>
      <c r="H866" s="224">
        <v>2.9383960463838297</v>
      </c>
      <c r="I866" s="224">
        <v>2.3948199040679254</v>
      </c>
      <c r="J866" s="224"/>
      <c r="M866" s="224">
        <f t="shared" si="45"/>
        <v>506629.30626194377</v>
      </c>
      <c r="N866" s="224">
        <f t="shared" si="46"/>
        <v>0.93830683605245069</v>
      </c>
      <c r="O866" s="224">
        <f t="shared" si="47"/>
        <v>0.54357614231590423</v>
      </c>
      <c r="Q866" s="224"/>
      <c r="R866" s="224"/>
      <c r="S866" s="429"/>
      <c r="Z866" s="362"/>
      <c r="AA866" s="421"/>
      <c r="AB866" s="362"/>
      <c r="AC866" s="362"/>
      <c r="AD866" s="362"/>
      <c r="AE866" s="362"/>
      <c r="AF866" s="362"/>
      <c r="AG866" s="362"/>
      <c r="AH866" s="362"/>
      <c r="AI866" s="393"/>
      <c r="AJ866" s="393"/>
      <c r="AK866" s="362"/>
      <c r="AL866" s="362"/>
      <c r="AM866" s="362"/>
      <c r="AN866" s="362"/>
      <c r="AO866" s="362"/>
      <c r="AP866" s="362"/>
      <c r="AQ866" s="362"/>
      <c r="AR866" s="362"/>
    </row>
    <row r="867" spans="1:44" ht="12.75" customHeight="1" x14ac:dyDescent="0.15">
      <c r="A867" s="431"/>
      <c r="B867" s="393"/>
      <c r="C867" s="428"/>
      <c r="D867" s="428">
        <v>542115.07758237177</v>
      </c>
      <c r="E867" s="224">
        <v>113038.01162799304</v>
      </c>
      <c r="F867" s="224">
        <v>4.4365603519160519</v>
      </c>
      <c r="G867" s="224">
        <v>3.6860960728653929</v>
      </c>
      <c r="H867" s="224">
        <v>2.3608721264471164</v>
      </c>
      <c r="I867" s="224">
        <v>1.9167293050206113</v>
      </c>
      <c r="J867" s="224"/>
      <c r="M867" s="224">
        <f t="shared" si="45"/>
        <v>429077.06595437875</v>
      </c>
      <c r="N867" s="224">
        <f t="shared" si="46"/>
        <v>0.75046427905065904</v>
      </c>
      <c r="O867" s="224">
        <f t="shared" si="47"/>
        <v>0.44414282142650507</v>
      </c>
      <c r="Q867" s="224"/>
      <c r="R867" s="224"/>
      <c r="S867" s="429"/>
      <c r="Z867" s="362"/>
      <c r="AA867" s="421"/>
      <c r="AB867" s="362"/>
      <c r="AC867" s="362"/>
      <c r="AD867" s="362"/>
      <c r="AE867" s="362"/>
      <c r="AF867" s="362"/>
      <c r="AG867" s="362"/>
      <c r="AH867" s="362"/>
      <c r="AI867" s="393"/>
      <c r="AJ867" s="393"/>
      <c r="AK867" s="362"/>
      <c r="AL867" s="362"/>
      <c r="AM867" s="362"/>
      <c r="AN867" s="362"/>
      <c r="AO867" s="362"/>
      <c r="AP867" s="362"/>
      <c r="AQ867" s="362"/>
      <c r="AR867" s="362"/>
    </row>
    <row r="868" spans="1:44" ht="12.75" customHeight="1" x14ac:dyDescent="0.15">
      <c r="A868" s="431"/>
      <c r="B868" s="393"/>
      <c r="C868" s="428"/>
      <c r="D868" s="428">
        <v>625903.07693778386</v>
      </c>
      <c r="E868" s="224">
        <v>137164.54933776849</v>
      </c>
      <c r="F868" s="224">
        <v>4.2139532957431278</v>
      </c>
      <c r="G868" s="224">
        <v>3.8089880602842805</v>
      </c>
      <c r="H868" s="224">
        <v>2.1698770024605798</v>
      </c>
      <c r="I868" s="224">
        <v>1.8779951103077488</v>
      </c>
      <c r="J868" s="224"/>
      <c r="M868" s="224">
        <f t="shared" si="45"/>
        <v>488738.5276000154</v>
      </c>
      <c r="N868" s="224">
        <f t="shared" si="46"/>
        <v>0.40496523545884733</v>
      </c>
      <c r="O868" s="224">
        <f t="shared" si="47"/>
        <v>0.291881892152831</v>
      </c>
      <c r="Q868" s="224"/>
      <c r="R868" s="224"/>
      <c r="S868" s="429"/>
      <c r="Z868" s="362"/>
      <c r="AA868" s="421"/>
      <c r="AB868" s="362"/>
      <c r="AC868" s="362"/>
      <c r="AD868" s="362"/>
      <c r="AE868" s="362"/>
      <c r="AF868" s="362"/>
      <c r="AG868" s="362"/>
      <c r="AH868" s="362"/>
      <c r="AI868" s="393"/>
      <c r="AJ868" s="393"/>
      <c r="AK868" s="362"/>
      <c r="AL868" s="362"/>
      <c r="AM868" s="362"/>
      <c r="AN868" s="362"/>
      <c r="AO868" s="362"/>
      <c r="AP868" s="362"/>
      <c r="AQ868" s="362"/>
      <c r="AR868" s="362"/>
    </row>
    <row r="869" spans="1:44" ht="12.75" customHeight="1" x14ac:dyDescent="0.15">
      <c r="A869" s="431"/>
      <c r="B869" s="393"/>
      <c r="C869" s="428"/>
      <c r="D869" s="428">
        <v>528228.4482504453</v>
      </c>
      <c r="E869" s="224">
        <v>147096.20325141062</v>
      </c>
      <c r="F869" s="224">
        <v>4.3529177125810961</v>
      </c>
      <c r="G869" s="224">
        <v>3.7612763869663302</v>
      </c>
      <c r="H869" s="224">
        <v>2.4084079859514751</v>
      </c>
      <c r="I869" s="224">
        <v>1.9138454854706437</v>
      </c>
      <c r="J869" s="224"/>
      <c r="M869" s="224">
        <f t="shared" si="45"/>
        <v>381132.24499903468</v>
      </c>
      <c r="N869" s="224">
        <f t="shared" si="46"/>
        <v>0.5916413256147659</v>
      </c>
      <c r="O869" s="224">
        <f t="shared" si="47"/>
        <v>0.49456250048083139</v>
      </c>
      <c r="Q869" s="224"/>
      <c r="R869" s="224"/>
      <c r="S869" s="429"/>
      <c r="Z869" s="362"/>
      <c r="AA869" s="421"/>
      <c r="AB869" s="362"/>
      <c r="AC869" s="362"/>
      <c r="AD869" s="362"/>
      <c r="AE869" s="362"/>
      <c r="AF869" s="362"/>
      <c r="AG869" s="362"/>
      <c r="AH869" s="362"/>
      <c r="AI869" s="393"/>
      <c r="AJ869" s="393"/>
      <c r="AK869" s="362"/>
      <c r="AL869" s="362"/>
      <c r="AM869" s="362"/>
      <c r="AN869" s="362"/>
      <c r="AO869" s="362"/>
      <c r="AP869" s="362"/>
      <c r="AQ869" s="362"/>
      <c r="AR869" s="362"/>
    </row>
    <row r="870" spans="1:44" ht="12.75" customHeight="1" x14ac:dyDescent="0.15">
      <c r="A870" s="431"/>
      <c r="B870" s="393"/>
      <c r="C870" s="428"/>
      <c r="D870" s="428">
        <v>546128.38313768117</v>
      </c>
      <c r="E870" s="224">
        <v>154769.34946988837</v>
      </c>
      <c r="F870" s="224">
        <v>4.4932340658900989</v>
      </c>
      <c r="G870" s="224">
        <v>4.4431348666766661</v>
      </c>
      <c r="H870" s="224">
        <v>2.9228740982048125</v>
      </c>
      <c r="I870" s="224">
        <v>2.4991653881640454</v>
      </c>
      <c r="J870" s="224"/>
      <c r="M870" s="224">
        <f t="shared" si="45"/>
        <v>391359.0336677928</v>
      </c>
      <c r="N870" s="224">
        <f t="shared" si="46"/>
        <v>5.0099199213432755E-2</v>
      </c>
      <c r="O870" s="224">
        <f t="shared" si="47"/>
        <v>0.42370871004076704</v>
      </c>
      <c r="Q870" s="224"/>
      <c r="R870" s="224"/>
      <c r="S870" s="429"/>
      <c r="Z870" s="362"/>
      <c r="AA870" s="421"/>
      <c r="AB870" s="362"/>
      <c r="AC870" s="362"/>
      <c r="AD870" s="362"/>
      <c r="AE870" s="362"/>
      <c r="AF870" s="362"/>
      <c r="AG870" s="362"/>
      <c r="AH870" s="362"/>
      <c r="AI870" s="393"/>
      <c r="AJ870" s="393"/>
      <c r="AK870" s="362"/>
      <c r="AL870" s="362"/>
      <c r="AM870" s="362"/>
      <c r="AN870" s="362"/>
      <c r="AO870" s="362"/>
      <c r="AP870" s="362"/>
      <c r="AQ870" s="362"/>
      <c r="AR870" s="362"/>
    </row>
    <row r="871" spans="1:44" ht="12.75" customHeight="1" x14ac:dyDescent="0.15">
      <c r="A871" s="431"/>
      <c r="B871" s="393"/>
      <c r="C871" s="428"/>
      <c r="D871" s="428">
        <v>549320.42757107771</v>
      </c>
      <c r="E871" s="224">
        <v>167584.4083977523</v>
      </c>
      <c r="F871" s="224">
        <v>4.7474254584812048</v>
      </c>
      <c r="G871" s="224">
        <v>3.9144703135600469</v>
      </c>
      <c r="H871" s="224">
        <v>2.6592603403483794</v>
      </c>
      <c r="I871" s="224">
        <v>2.2754686569594904</v>
      </c>
      <c r="J871" s="224"/>
      <c r="M871" s="224">
        <f t="shared" si="45"/>
        <v>381736.01917332539</v>
      </c>
      <c r="N871" s="224">
        <f t="shared" si="46"/>
        <v>0.83295514492115785</v>
      </c>
      <c r="O871" s="224">
        <f t="shared" si="47"/>
        <v>0.38379168338888903</v>
      </c>
      <c r="Q871" s="224"/>
      <c r="R871" s="224"/>
      <c r="S871" s="429"/>
      <c r="Z871" s="362"/>
      <c r="AA871" s="421"/>
      <c r="AB871" s="362"/>
      <c r="AC871" s="362"/>
      <c r="AD871" s="362"/>
      <c r="AE871" s="362"/>
      <c r="AF871" s="362"/>
      <c r="AG871" s="362"/>
      <c r="AH871" s="362"/>
      <c r="AI871" s="393"/>
      <c r="AJ871" s="393"/>
      <c r="AK871" s="362"/>
      <c r="AL871" s="362"/>
      <c r="AM871" s="362"/>
      <c r="AN871" s="362"/>
      <c r="AO871" s="362"/>
      <c r="AP871" s="362"/>
      <c r="AQ871" s="362"/>
      <c r="AR871" s="362"/>
    </row>
    <row r="872" spans="1:44" ht="12.75" customHeight="1" x14ac:dyDescent="0.15">
      <c r="A872" s="431"/>
      <c r="B872" s="393"/>
      <c r="C872" s="428"/>
      <c r="D872" s="428">
        <v>553360.0681719553</v>
      </c>
      <c r="E872" s="224">
        <v>137098.78311356116</v>
      </c>
      <c r="F872" s="224">
        <v>4.230245237201367</v>
      </c>
      <c r="G872" s="224">
        <v>4.0619308485403876</v>
      </c>
      <c r="H872" s="224">
        <v>2.6571480166895265</v>
      </c>
      <c r="I872" s="224">
        <v>2.1068007365885819</v>
      </c>
      <c r="J872" s="224"/>
      <c r="M872" s="224">
        <f t="shared" si="45"/>
        <v>416261.28505839413</v>
      </c>
      <c r="N872" s="224">
        <f t="shared" si="46"/>
        <v>0.16831438866097947</v>
      </c>
      <c r="O872" s="224">
        <f t="shared" si="47"/>
        <v>0.55034728010094458</v>
      </c>
      <c r="Q872" s="224"/>
      <c r="R872" s="224"/>
      <c r="S872" s="429"/>
      <c r="Z872" s="362"/>
      <c r="AA872" s="421"/>
      <c r="AB872" s="362"/>
      <c r="AC872" s="362"/>
      <c r="AD872" s="362"/>
      <c r="AE872" s="362"/>
      <c r="AF872" s="362"/>
      <c r="AG872" s="362"/>
      <c r="AH872" s="362"/>
      <c r="AI872" s="393"/>
      <c r="AJ872" s="393"/>
      <c r="AK872" s="362"/>
      <c r="AL872" s="362"/>
      <c r="AM872" s="362"/>
      <c r="AN872" s="362"/>
      <c r="AO872" s="362"/>
      <c r="AP872" s="362"/>
      <c r="AQ872" s="362"/>
      <c r="AR872" s="362"/>
    </row>
    <row r="873" spans="1:44" ht="12.75" customHeight="1" x14ac:dyDescent="0.15">
      <c r="A873" s="431"/>
      <c r="B873" s="393"/>
      <c r="C873" s="428"/>
      <c r="D873" s="428">
        <v>633471.77437175077</v>
      </c>
      <c r="E873" s="224">
        <v>142198.11540056483</v>
      </c>
      <c r="F873" s="224">
        <v>4.2318978546301285</v>
      </c>
      <c r="G873" s="224">
        <v>3.7861264841817381</v>
      </c>
      <c r="H873" s="224">
        <v>2.7194949922810201</v>
      </c>
      <c r="I873" s="224">
        <v>2.1155793379868233</v>
      </c>
      <c r="J873" s="224"/>
      <c r="M873" s="224">
        <f t="shared" si="45"/>
        <v>491273.65897118591</v>
      </c>
      <c r="N873" s="224">
        <f t="shared" si="46"/>
        <v>0.44577137044839032</v>
      </c>
      <c r="O873" s="224">
        <f t="shared" si="47"/>
        <v>0.6039156542941968</v>
      </c>
      <c r="Q873" s="224"/>
      <c r="R873" s="224"/>
      <c r="S873" s="429"/>
      <c r="Z873" s="362"/>
      <c r="AA873" s="421"/>
      <c r="AB873" s="362"/>
      <c r="AC873" s="362"/>
      <c r="AD873" s="362"/>
      <c r="AE873" s="362"/>
      <c r="AF873" s="362"/>
      <c r="AG873" s="362"/>
      <c r="AH873" s="362"/>
      <c r="AI873" s="393"/>
      <c r="AJ873" s="393"/>
      <c r="AK873" s="362"/>
      <c r="AL873" s="362"/>
      <c r="AM873" s="362"/>
      <c r="AN873" s="362"/>
      <c r="AO873" s="362"/>
      <c r="AP873" s="362"/>
      <c r="AQ873" s="362"/>
      <c r="AR873" s="362"/>
    </row>
    <row r="874" spans="1:44" ht="12.75" customHeight="1" x14ac:dyDescent="0.15">
      <c r="A874" s="431"/>
      <c r="B874" s="393"/>
      <c r="C874" s="428"/>
      <c r="D874" s="428">
        <v>537171.59284666379</v>
      </c>
      <c r="E874" s="224">
        <v>82932.942138324433</v>
      </c>
      <c r="F874" s="224">
        <v>4.3967229235134564</v>
      </c>
      <c r="G874" s="224">
        <v>3.5072486432411139</v>
      </c>
      <c r="H874" s="224">
        <v>2.8651418142812868</v>
      </c>
      <c r="I874" s="224">
        <v>1.9393637217546282</v>
      </c>
      <c r="J874" s="224"/>
      <c r="M874" s="224">
        <f t="shared" si="45"/>
        <v>454238.65070833935</v>
      </c>
      <c r="N874" s="224">
        <f t="shared" si="46"/>
        <v>0.88947428027234254</v>
      </c>
      <c r="O874" s="224">
        <f t="shared" si="47"/>
        <v>0.92577809252665855</v>
      </c>
      <c r="Q874" s="224"/>
      <c r="R874" s="224"/>
      <c r="S874" s="429"/>
      <c r="Z874" s="362"/>
      <c r="AA874" s="421"/>
      <c r="AB874" s="362"/>
      <c r="AC874" s="362"/>
      <c r="AD874" s="362"/>
      <c r="AE874" s="362"/>
      <c r="AF874" s="362"/>
      <c r="AG874" s="362"/>
      <c r="AH874" s="362"/>
      <c r="AI874" s="393"/>
      <c r="AJ874" s="393"/>
      <c r="AK874" s="362"/>
      <c r="AL874" s="362"/>
      <c r="AM874" s="362"/>
      <c r="AN874" s="362"/>
      <c r="AO874" s="362"/>
      <c r="AP874" s="362"/>
      <c r="AQ874" s="362"/>
      <c r="AR874" s="362"/>
    </row>
    <row r="875" spans="1:44" ht="12.75" customHeight="1" x14ac:dyDescent="0.15">
      <c r="A875" s="431"/>
      <c r="B875" s="393"/>
      <c r="C875" s="428"/>
      <c r="D875" s="428">
        <v>570118.42814414296</v>
      </c>
      <c r="E875" s="224">
        <v>173940.71359766414</v>
      </c>
      <c r="F875" s="224">
        <v>3.8400115894146096</v>
      </c>
      <c r="G875" s="224">
        <v>4.184070360121587</v>
      </c>
      <c r="H875" s="224">
        <v>2.1187417572566249</v>
      </c>
      <c r="I875" s="224">
        <v>2.2153673284779605</v>
      </c>
      <c r="J875" s="224"/>
      <c r="M875" s="224">
        <f t="shared" si="45"/>
        <v>396177.71454647882</v>
      </c>
      <c r="N875" s="224">
        <f t="shared" si="46"/>
        <v>-0.34405877070697732</v>
      </c>
      <c r="O875" s="224">
        <f t="shared" si="47"/>
        <v>-9.6625571221335527E-2</v>
      </c>
      <c r="Q875" s="224"/>
      <c r="R875" s="224"/>
      <c r="S875" s="429"/>
      <c r="Z875" s="362"/>
      <c r="AA875" s="421"/>
      <c r="AB875" s="362"/>
      <c r="AC875" s="362"/>
      <c r="AD875" s="362"/>
      <c r="AE875" s="362"/>
      <c r="AF875" s="362"/>
      <c r="AG875" s="362"/>
      <c r="AH875" s="362"/>
      <c r="AI875" s="393"/>
      <c r="AJ875" s="393"/>
      <c r="AK875" s="362"/>
      <c r="AL875" s="362"/>
      <c r="AM875" s="362"/>
      <c r="AN875" s="362"/>
      <c r="AO875" s="362"/>
      <c r="AP875" s="362"/>
      <c r="AQ875" s="362"/>
      <c r="AR875" s="362"/>
    </row>
    <row r="876" spans="1:44" ht="12.75" customHeight="1" x14ac:dyDescent="0.15">
      <c r="A876" s="431"/>
      <c r="B876" s="393"/>
      <c r="C876" s="428"/>
      <c r="D876" s="428">
        <v>655832.94190964266</v>
      </c>
      <c r="E876" s="224">
        <v>171650.07527620051</v>
      </c>
      <c r="F876" s="224">
        <v>4.569828380637265</v>
      </c>
      <c r="G876" s="224">
        <v>3.9796867977207739</v>
      </c>
      <c r="H876" s="224">
        <v>2.683024771777907</v>
      </c>
      <c r="I876" s="224">
        <v>1.9992101538333191</v>
      </c>
      <c r="J876" s="224"/>
      <c r="M876" s="224">
        <f t="shared" si="45"/>
        <v>484182.86663344211</v>
      </c>
      <c r="N876" s="224">
        <f t="shared" si="46"/>
        <v>0.5901415829164911</v>
      </c>
      <c r="O876" s="224">
        <f t="shared" si="47"/>
        <v>0.68381461794458787</v>
      </c>
      <c r="Q876" s="224"/>
      <c r="R876" s="224"/>
      <c r="S876" s="429"/>
      <c r="Z876" s="362"/>
      <c r="AA876" s="421"/>
      <c r="AB876" s="362"/>
      <c r="AC876" s="362"/>
      <c r="AD876" s="362"/>
      <c r="AE876" s="362"/>
      <c r="AF876" s="362"/>
      <c r="AG876" s="362"/>
      <c r="AH876" s="362"/>
      <c r="AI876" s="393"/>
      <c r="AJ876" s="393"/>
      <c r="AK876" s="362"/>
      <c r="AL876" s="362"/>
      <c r="AM876" s="362"/>
      <c r="AN876" s="362"/>
      <c r="AO876" s="362"/>
      <c r="AP876" s="362"/>
      <c r="AQ876" s="362"/>
      <c r="AR876" s="362"/>
    </row>
    <row r="877" spans="1:44" ht="12.75" customHeight="1" x14ac:dyDescent="0.15">
      <c r="A877" s="431"/>
      <c r="B877" s="393"/>
      <c r="C877" s="428"/>
      <c r="D877" s="428">
        <v>637991.77811952657</v>
      </c>
      <c r="E877" s="224">
        <v>190348.34414998663</v>
      </c>
      <c r="F877" s="224">
        <v>3.8791801122129788</v>
      </c>
      <c r="G877" s="224">
        <v>4.1506254996019774</v>
      </c>
      <c r="H877" s="224">
        <v>2.4683157336523767</v>
      </c>
      <c r="I877" s="224">
        <v>2.473634163987009</v>
      </c>
      <c r="J877" s="224"/>
      <c r="M877" s="224">
        <f t="shared" si="45"/>
        <v>447643.43396953994</v>
      </c>
      <c r="N877" s="224">
        <f t="shared" si="46"/>
        <v>-0.27144538738899859</v>
      </c>
      <c r="O877" s="224">
        <f t="shared" si="47"/>
        <v>-5.318430334632307E-3</v>
      </c>
      <c r="Q877" s="224"/>
      <c r="R877" s="224"/>
      <c r="S877" s="429"/>
      <c r="Z877" s="362"/>
      <c r="AA877" s="421"/>
      <c r="AB877" s="362"/>
      <c r="AC877" s="362"/>
      <c r="AD877" s="362"/>
      <c r="AE877" s="362"/>
      <c r="AF877" s="362"/>
      <c r="AG877" s="362"/>
      <c r="AH877" s="362"/>
      <c r="AI877" s="393"/>
      <c r="AJ877" s="393"/>
      <c r="AK877" s="362"/>
      <c r="AL877" s="362"/>
      <c r="AM877" s="362"/>
      <c r="AN877" s="362"/>
      <c r="AO877" s="362"/>
      <c r="AP877" s="362"/>
      <c r="AQ877" s="362"/>
      <c r="AR877" s="362"/>
    </row>
    <row r="878" spans="1:44" ht="12.75" customHeight="1" x14ac:dyDescent="0.15">
      <c r="A878" s="431"/>
      <c r="B878" s="393"/>
      <c r="C878" s="428"/>
      <c r="D878" s="428">
        <v>550089.00626550056</v>
      </c>
      <c r="E878" s="224">
        <v>167142.36014537833</v>
      </c>
      <c r="F878" s="224">
        <v>4.4445473299987519</v>
      </c>
      <c r="G878" s="224">
        <v>3.8646744802406814</v>
      </c>
      <c r="H878" s="224">
        <v>2.3831820696005228</v>
      </c>
      <c r="I878" s="224">
        <v>1.9714998499714922</v>
      </c>
      <c r="J878" s="224"/>
      <c r="M878" s="224">
        <f t="shared" si="45"/>
        <v>382946.64612012223</v>
      </c>
      <c r="N878" s="224">
        <f t="shared" si="46"/>
        <v>0.57987284975807052</v>
      </c>
      <c r="O878" s="224">
        <f t="shared" si="47"/>
        <v>0.41168221962903062</v>
      </c>
      <c r="Q878" s="224"/>
      <c r="R878" s="224"/>
      <c r="S878" s="429"/>
      <c r="Z878" s="362"/>
      <c r="AA878" s="421"/>
      <c r="AB878" s="362"/>
      <c r="AC878" s="362"/>
      <c r="AD878" s="362"/>
      <c r="AE878" s="362"/>
      <c r="AF878" s="362"/>
      <c r="AG878" s="362"/>
      <c r="AH878" s="362"/>
      <c r="AI878" s="393"/>
      <c r="AJ878" s="393"/>
      <c r="AK878" s="362"/>
      <c r="AL878" s="362"/>
      <c r="AM878" s="362"/>
      <c r="AN878" s="362"/>
      <c r="AO878" s="362"/>
      <c r="AP878" s="362"/>
      <c r="AQ878" s="362"/>
      <c r="AR878" s="362"/>
    </row>
    <row r="879" spans="1:44" ht="12.75" customHeight="1" x14ac:dyDescent="0.15">
      <c r="A879" s="431"/>
      <c r="B879" s="393"/>
      <c r="C879" s="428"/>
      <c r="D879" s="428">
        <v>646487.42853884771</v>
      </c>
      <c r="E879" s="224">
        <v>171321.94765968577</v>
      </c>
      <c r="F879" s="224">
        <v>4.40091116801523</v>
      </c>
      <c r="G879" s="224">
        <v>3.7611701448667514</v>
      </c>
      <c r="H879" s="224">
        <v>3.0358192250665148</v>
      </c>
      <c r="I879" s="224">
        <v>2.3839594423529609</v>
      </c>
      <c r="J879" s="224"/>
      <c r="M879" s="224">
        <f t="shared" si="45"/>
        <v>475165.48087916197</v>
      </c>
      <c r="N879" s="224">
        <f t="shared" si="46"/>
        <v>0.63974102314847858</v>
      </c>
      <c r="O879" s="224">
        <f t="shared" si="47"/>
        <v>0.65185978271355394</v>
      </c>
      <c r="Q879" s="224"/>
      <c r="R879" s="224"/>
      <c r="S879" s="429"/>
      <c r="Z879" s="362"/>
      <c r="AA879" s="421"/>
      <c r="AB879" s="362"/>
      <c r="AC879" s="362"/>
      <c r="AD879" s="362"/>
      <c r="AE879" s="362"/>
      <c r="AF879" s="362"/>
      <c r="AG879" s="362"/>
      <c r="AH879" s="362"/>
      <c r="AI879" s="393"/>
      <c r="AJ879" s="393"/>
      <c r="AK879" s="362"/>
      <c r="AL879" s="362"/>
      <c r="AM879" s="362"/>
      <c r="AN879" s="362"/>
      <c r="AO879" s="362"/>
      <c r="AP879" s="362"/>
      <c r="AQ879" s="362"/>
      <c r="AR879" s="362"/>
    </row>
    <row r="880" spans="1:44" ht="12.75" customHeight="1" x14ac:dyDescent="0.15">
      <c r="A880" s="431"/>
      <c r="B880" s="393"/>
      <c r="C880" s="428"/>
      <c r="D880" s="428">
        <v>580137.61942868354</v>
      </c>
      <c r="E880" s="224">
        <v>143711.39326380505</v>
      </c>
      <c r="F880" s="224">
        <v>4.0782506369171276</v>
      </c>
      <c r="G880" s="224">
        <v>3.7306162993548777</v>
      </c>
      <c r="H880" s="224">
        <v>2.4901020781366485</v>
      </c>
      <c r="I880" s="224">
        <v>2.095903476378739</v>
      </c>
      <c r="J880" s="224"/>
      <c r="M880" s="224">
        <f t="shared" si="45"/>
        <v>436426.22616487846</v>
      </c>
      <c r="N880" s="224">
        <f t="shared" si="46"/>
        <v>0.34763433756224993</v>
      </c>
      <c r="O880" s="224">
        <f t="shared" si="47"/>
        <v>0.39419860175790955</v>
      </c>
      <c r="Q880" s="224"/>
      <c r="R880" s="224"/>
      <c r="S880" s="429"/>
      <c r="Z880" s="362"/>
      <c r="AA880" s="421"/>
      <c r="AB880" s="362"/>
      <c r="AC880" s="362"/>
      <c r="AD880" s="362"/>
      <c r="AE880" s="362"/>
      <c r="AF880" s="362"/>
      <c r="AG880" s="362"/>
      <c r="AH880" s="362"/>
      <c r="AI880" s="393"/>
      <c r="AJ880" s="393"/>
      <c r="AK880" s="362"/>
      <c r="AL880" s="362"/>
      <c r="AM880" s="362"/>
      <c r="AN880" s="362"/>
      <c r="AO880" s="362"/>
      <c r="AP880" s="362"/>
      <c r="AQ880" s="362"/>
      <c r="AR880" s="362"/>
    </row>
    <row r="881" spans="1:44" ht="12.75" customHeight="1" x14ac:dyDescent="0.15">
      <c r="A881" s="431"/>
      <c r="B881" s="393"/>
      <c r="C881" s="428"/>
      <c r="D881" s="428">
        <v>576186.18267943733</v>
      </c>
      <c r="E881" s="224">
        <v>133957.93547832931</v>
      </c>
      <c r="F881" s="224">
        <v>4.441422743989766</v>
      </c>
      <c r="G881" s="224">
        <v>3.6591880789184748</v>
      </c>
      <c r="H881" s="224">
        <v>2.4456957975508806</v>
      </c>
      <c r="I881" s="224">
        <v>1.9126963330619655</v>
      </c>
      <c r="J881" s="224"/>
      <c r="M881" s="224">
        <f t="shared" si="45"/>
        <v>442228.24720110802</v>
      </c>
      <c r="N881" s="224">
        <f t="shared" si="46"/>
        <v>0.78223466507129125</v>
      </c>
      <c r="O881" s="224">
        <f t="shared" si="47"/>
        <v>0.53299946448891511</v>
      </c>
      <c r="Q881" s="224"/>
      <c r="R881" s="224"/>
      <c r="S881" s="429"/>
      <c r="Z881" s="362"/>
      <c r="AA881" s="421"/>
      <c r="AB881" s="362"/>
      <c r="AC881" s="362"/>
      <c r="AD881" s="362"/>
      <c r="AE881" s="362"/>
      <c r="AF881" s="362"/>
      <c r="AG881" s="362"/>
      <c r="AH881" s="362"/>
      <c r="AI881" s="393"/>
      <c r="AJ881" s="393"/>
      <c r="AK881" s="362"/>
      <c r="AL881" s="362"/>
      <c r="AM881" s="362"/>
      <c r="AN881" s="362"/>
      <c r="AO881" s="362"/>
      <c r="AP881" s="362"/>
      <c r="AQ881" s="362"/>
      <c r="AR881" s="362"/>
    </row>
    <row r="882" spans="1:44" ht="12.75" customHeight="1" x14ac:dyDescent="0.15">
      <c r="A882" s="431"/>
      <c r="B882" s="393"/>
      <c r="C882" s="428"/>
      <c r="D882" s="428">
        <v>607388.33539688063</v>
      </c>
      <c r="E882" s="224">
        <v>154360.86991365597</v>
      </c>
      <c r="F882" s="224">
        <v>4.5520994196928877</v>
      </c>
      <c r="G882" s="224">
        <v>3.7766185413507944</v>
      </c>
      <c r="H882" s="224">
        <v>2.9981191552187765</v>
      </c>
      <c r="I882" s="224">
        <v>2.1720488622627836</v>
      </c>
      <c r="J882" s="224"/>
      <c r="M882" s="224">
        <f t="shared" si="45"/>
        <v>453027.46548322466</v>
      </c>
      <c r="N882" s="224">
        <f t="shared" si="46"/>
        <v>0.77548087834209323</v>
      </c>
      <c r="O882" s="224">
        <f t="shared" si="47"/>
        <v>0.82607029295599288</v>
      </c>
      <c r="Q882" s="224"/>
      <c r="R882" s="224"/>
      <c r="S882" s="429"/>
      <c r="Z882" s="362"/>
      <c r="AA882" s="421"/>
      <c r="AB882" s="362"/>
      <c r="AC882" s="362"/>
      <c r="AD882" s="362"/>
      <c r="AE882" s="362"/>
      <c r="AF882" s="362"/>
      <c r="AG882" s="362"/>
      <c r="AH882" s="362"/>
      <c r="AI882" s="393"/>
      <c r="AJ882" s="393"/>
      <c r="AK882" s="362"/>
      <c r="AL882" s="362"/>
      <c r="AM882" s="362"/>
      <c r="AN882" s="362"/>
      <c r="AO882" s="362"/>
      <c r="AP882" s="362"/>
      <c r="AQ882" s="362"/>
      <c r="AR882" s="362"/>
    </row>
    <row r="883" spans="1:44" ht="12.75" customHeight="1" x14ac:dyDescent="0.15">
      <c r="A883" s="431"/>
      <c r="B883" s="393"/>
      <c r="C883" s="428"/>
      <c r="D883" s="428">
        <v>553765.64962640055</v>
      </c>
      <c r="E883" s="224">
        <v>131059.1817518571</v>
      </c>
      <c r="F883" s="224">
        <v>3.9860992495948651</v>
      </c>
      <c r="G883" s="224">
        <v>3.740503343188283</v>
      </c>
      <c r="H883" s="224">
        <v>2.2640291496979552</v>
      </c>
      <c r="I883" s="224">
        <v>2.0182032221663899</v>
      </c>
      <c r="J883" s="224"/>
      <c r="M883" s="224">
        <f t="shared" si="45"/>
        <v>422706.46787454345</v>
      </c>
      <c r="N883" s="224">
        <f t="shared" si="46"/>
        <v>0.24559590640658202</v>
      </c>
      <c r="O883" s="224">
        <f t="shared" si="47"/>
        <v>0.24582592753156529</v>
      </c>
      <c r="Q883" s="224"/>
      <c r="R883" s="224"/>
      <c r="S883" s="429"/>
      <c r="Z883" s="362"/>
      <c r="AA883" s="421"/>
      <c r="AB883" s="362"/>
      <c r="AC883" s="362"/>
      <c r="AD883" s="362"/>
      <c r="AE883" s="362"/>
      <c r="AF883" s="362"/>
      <c r="AG883" s="362"/>
      <c r="AH883" s="362"/>
      <c r="AI883" s="393"/>
      <c r="AJ883" s="393"/>
      <c r="AK883" s="362"/>
      <c r="AL883" s="362"/>
      <c r="AM883" s="362"/>
      <c r="AN883" s="362"/>
      <c r="AO883" s="362"/>
      <c r="AP883" s="362"/>
      <c r="AQ883" s="362"/>
      <c r="AR883" s="362"/>
    </row>
    <row r="884" spans="1:44" ht="12.75" customHeight="1" x14ac:dyDescent="0.15">
      <c r="A884" s="431"/>
      <c r="B884" s="393"/>
      <c r="C884" s="428"/>
      <c r="D884" s="428">
        <v>587203.69799271377</v>
      </c>
      <c r="E884" s="224">
        <v>137047.66437696293</v>
      </c>
      <c r="F884" s="224">
        <v>4.4919152089099121</v>
      </c>
      <c r="G884" s="224">
        <v>4.1849328853640575</v>
      </c>
      <c r="H884" s="224">
        <v>2.4094946039709315</v>
      </c>
      <c r="I884" s="224">
        <v>2.0185161427968898</v>
      </c>
      <c r="J884" s="224"/>
      <c r="M884" s="224">
        <f t="shared" si="45"/>
        <v>450156.03361575084</v>
      </c>
      <c r="N884" s="224">
        <f t="shared" si="46"/>
        <v>0.30698232354585464</v>
      </c>
      <c r="O884" s="224">
        <f t="shared" si="47"/>
        <v>0.39097846117404167</v>
      </c>
      <c r="Q884" s="224"/>
      <c r="R884" s="224"/>
      <c r="S884" s="429"/>
      <c r="Z884" s="362"/>
      <c r="AA884" s="421"/>
      <c r="AB884" s="362"/>
      <c r="AC884" s="362"/>
      <c r="AD884" s="362"/>
      <c r="AE884" s="362"/>
      <c r="AF884" s="362"/>
      <c r="AG884" s="362"/>
      <c r="AH884" s="362"/>
      <c r="AI884" s="393"/>
      <c r="AJ884" s="393"/>
      <c r="AK884" s="362"/>
      <c r="AL884" s="362"/>
      <c r="AM884" s="362"/>
      <c r="AN884" s="362"/>
      <c r="AO884" s="362"/>
      <c r="AP884" s="362"/>
      <c r="AQ884" s="362"/>
      <c r="AR884" s="362"/>
    </row>
    <row r="885" spans="1:44" ht="12.75" customHeight="1" x14ac:dyDescent="0.15">
      <c r="A885" s="431"/>
      <c r="B885" s="393"/>
      <c r="C885" s="428"/>
      <c r="D885" s="428">
        <v>544521.33176519605</v>
      </c>
      <c r="E885" s="224">
        <v>124163.84017967035</v>
      </c>
      <c r="F885" s="224">
        <v>3.9651601671784409</v>
      </c>
      <c r="G885" s="224">
        <v>4.1230542063392006</v>
      </c>
      <c r="H885" s="224">
        <v>2.457474551241837</v>
      </c>
      <c r="I885" s="224">
        <v>2.3555352987230602</v>
      </c>
      <c r="J885" s="224"/>
      <c r="M885" s="224">
        <f t="shared" si="45"/>
        <v>420357.49158552568</v>
      </c>
      <c r="N885" s="224">
        <f t="shared" si="46"/>
        <v>-0.15789403916075972</v>
      </c>
      <c r="O885" s="224">
        <f t="shared" si="47"/>
        <v>0.10193925251877678</v>
      </c>
      <c r="Q885" s="224"/>
      <c r="R885" s="224"/>
      <c r="S885" s="429"/>
      <c r="Z885" s="362"/>
      <c r="AA885" s="421"/>
      <c r="AB885" s="362"/>
      <c r="AC885" s="362"/>
      <c r="AD885" s="362"/>
      <c r="AE885" s="362"/>
      <c r="AF885" s="362"/>
      <c r="AG885" s="362"/>
      <c r="AH885" s="362"/>
      <c r="AI885" s="393"/>
      <c r="AJ885" s="393"/>
      <c r="AK885" s="362"/>
      <c r="AL885" s="362"/>
      <c r="AM885" s="362"/>
      <c r="AN885" s="362"/>
      <c r="AO885" s="362"/>
      <c r="AP885" s="362"/>
      <c r="AQ885" s="362"/>
      <c r="AR885" s="362"/>
    </row>
    <row r="886" spans="1:44" ht="12.75" customHeight="1" x14ac:dyDescent="0.15">
      <c r="A886" s="431"/>
      <c r="B886" s="393"/>
      <c r="C886" s="428"/>
      <c r="D886" s="428">
        <v>788515.10922972974</v>
      </c>
      <c r="E886" s="224">
        <v>125309.83824087179</v>
      </c>
      <c r="F886" s="224">
        <v>4.8099152588039935</v>
      </c>
      <c r="G886" s="224">
        <v>4.079504591726181</v>
      </c>
      <c r="H886" s="224">
        <v>3.0079912162886253</v>
      </c>
      <c r="I886" s="224">
        <v>2.2462596396677923</v>
      </c>
      <c r="J886" s="224"/>
      <c r="M886" s="224">
        <f t="shared" si="45"/>
        <v>663205.27098885796</v>
      </c>
      <c r="N886" s="224">
        <f t="shared" si="46"/>
        <v>0.73041066707781255</v>
      </c>
      <c r="O886" s="224">
        <f t="shared" si="47"/>
        <v>0.76173157662083302</v>
      </c>
      <c r="Q886" s="224"/>
      <c r="R886" s="224"/>
      <c r="S886" s="429"/>
      <c r="Z886" s="362"/>
      <c r="AA886" s="421"/>
      <c r="AB886" s="362"/>
      <c r="AC886" s="362"/>
      <c r="AD886" s="362"/>
      <c r="AE886" s="362"/>
      <c r="AF886" s="362"/>
      <c r="AG886" s="362"/>
      <c r="AH886" s="362"/>
      <c r="AI886" s="393"/>
      <c r="AJ886" s="393"/>
      <c r="AK886" s="362"/>
      <c r="AL886" s="362"/>
      <c r="AM886" s="362"/>
      <c r="AN886" s="362"/>
      <c r="AO886" s="362"/>
      <c r="AP886" s="362"/>
      <c r="AQ886" s="362"/>
      <c r="AR886" s="362"/>
    </row>
    <row r="887" spans="1:44" ht="12.75" customHeight="1" x14ac:dyDescent="0.15">
      <c r="A887" s="431"/>
      <c r="B887" s="393"/>
      <c r="C887" s="428"/>
      <c r="D887" s="428">
        <v>674621.69935706409</v>
      </c>
      <c r="E887" s="224">
        <v>238842.63711896617</v>
      </c>
      <c r="F887" s="224">
        <v>4.6522524247364174</v>
      </c>
      <c r="G887" s="224">
        <v>4.1811053845010822</v>
      </c>
      <c r="H887" s="224">
        <v>2.5908422380763869</v>
      </c>
      <c r="I887" s="224">
        <v>2.0850369348816189</v>
      </c>
      <c r="J887" s="224"/>
      <c r="M887" s="224">
        <f t="shared" si="45"/>
        <v>435779.06223809789</v>
      </c>
      <c r="N887" s="224">
        <f t="shared" si="46"/>
        <v>0.47114704023533527</v>
      </c>
      <c r="O887" s="224">
        <f t="shared" si="47"/>
        <v>0.50580530319476802</v>
      </c>
      <c r="Q887" s="224"/>
      <c r="R887" s="224"/>
      <c r="S887" s="429"/>
      <c r="Z887" s="362"/>
      <c r="AA887" s="421"/>
      <c r="AB887" s="362"/>
      <c r="AC887" s="362"/>
      <c r="AD887" s="362"/>
      <c r="AE887" s="362"/>
      <c r="AF887" s="362"/>
      <c r="AG887" s="362"/>
      <c r="AH887" s="362"/>
      <c r="AI887" s="393"/>
      <c r="AJ887" s="393"/>
      <c r="AK887" s="362"/>
      <c r="AL887" s="362"/>
      <c r="AM887" s="362"/>
      <c r="AN887" s="362"/>
      <c r="AO887" s="362"/>
      <c r="AP887" s="362"/>
      <c r="AQ887" s="362"/>
      <c r="AR887" s="362"/>
    </row>
    <row r="888" spans="1:44" ht="12.75" customHeight="1" x14ac:dyDescent="0.15">
      <c r="A888" s="431"/>
      <c r="B888" s="393"/>
      <c r="C888" s="428"/>
      <c r="D888" s="428">
        <v>637792.02745219145</v>
      </c>
      <c r="E888" s="224">
        <v>179964.77426402771</v>
      </c>
      <c r="F888" s="224">
        <v>4.4484234688144575</v>
      </c>
      <c r="G888" s="224">
        <v>4.2837006784613676</v>
      </c>
      <c r="H888" s="224">
        <v>2.6887866174698676</v>
      </c>
      <c r="I888" s="224">
        <v>2.2065167770764562</v>
      </c>
      <c r="J888" s="224"/>
      <c r="M888" s="224">
        <f t="shared" si="45"/>
        <v>457827.25318816374</v>
      </c>
      <c r="N888" s="224">
        <f t="shared" si="46"/>
        <v>0.1647227903530899</v>
      </c>
      <c r="O888" s="224">
        <f t="shared" si="47"/>
        <v>0.48226984039341136</v>
      </c>
      <c r="Q888" s="224"/>
      <c r="R888" s="224"/>
      <c r="S888" s="429"/>
      <c r="Z888" s="362"/>
      <c r="AA888" s="421"/>
      <c r="AB888" s="362"/>
      <c r="AC888" s="362"/>
      <c r="AD888" s="362"/>
      <c r="AE888" s="362"/>
      <c r="AF888" s="362"/>
      <c r="AG888" s="362"/>
      <c r="AH888" s="362"/>
      <c r="AI888" s="393"/>
      <c r="AJ888" s="393"/>
      <c r="AK888" s="362"/>
      <c r="AL888" s="362"/>
      <c r="AM888" s="362"/>
      <c r="AN888" s="362"/>
      <c r="AO888" s="362"/>
      <c r="AP888" s="362"/>
      <c r="AQ888" s="362"/>
      <c r="AR888" s="362"/>
    </row>
    <row r="889" spans="1:44" ht="12.75" customHeight="1" x14ac:dyDescent="0.15">
      <c r="A889" s="431"/>
      <c r="B889" s="393"/>
      <c r="C889" s="428"/>
      <c r="D889" s="428">
        <v>616785.47730043798</v>
      </c>
      <c r="E889" s="224">
        <v>122026.01269458684</v>
      </c>
      <c r="F889" s="224">
        <v>4.1547450829000763</v>
      </c>
      <c r="G889" s="224">
        <v>3.2350864654389957</v>
      </c>
      <c r="H889" s="224">
        <v>2.5265171802914326</v>
      </c>
      <c r="I889" s="224">
        <v>1.7741411342564775</v>
      </c>
      <c r="J889" s="224"/>
      <c r="M889" s="224">
        <f t="shared" si="45"/>
        <v>494759.46460585116</v>
      </c>
      <c r="N889" s="224">
        <f t="shared" si="46"/>
        <v>0.91965861746108057</v>
      </c>
      <c r="O889" s="224">
        <f t="shared" si="47"/>
        <v>0.75237604603495511</v>
      </c>
      <c r="Q889" s="224"/>
      <c r="R889" s="224"/>
      <c r="S889" s="429"/>
      <c r="Z889" s="362"/>
      <c r="AA889" s="421"/>
      <c r="AB889" s="362"/>
      <c r="AC889" s="362"/>
      <c r="AD889" s="362"/>
      <c r="AE889" s="362"/>
      <c r="AF889" s="362"/>
      <c r="AG889" s="362"/>
      <c r="AH889" s="362"/>
      <c r="AI889" s="393"/>
      <c r="AJ889" s="393"/>
      <c r="AK889" s="362"/>
      <c r="AL889" s="362"/>
      <c r="AM889" s="362"/>
      <c r="AN889" s="362"/>
      <c r="AO889" s="362"/>
      <c r="AP889" s="362"/>
      <c r="AQ889" s="362"/>
      <c r="AR889" s="362"/>
    </row>
    <row r="890" spans="1:44" ht="12.75" customHeight="1" x14ac:dyDescent="0.15">
      <c r="A890" s="431"/>
      <c r="B890" s="393"/>
      <c r="C890" s="428"/>
      <c r="D890" s="428">
        <v>602790.22851144569</v>
      </c>
      <c r="E890" s="224">
        <v>132678.37329010456</v>
      </c>
      <c r="F890" s="224">
        <v>4.1417985908334973</v>
      </c>
      <c r="G890" s="224">
        <v>4.1935329406422532</v>
      </c>
      <c r="H890" s="224">
        <v>2.5788249528319218</v>
      </c>
      <c r="I890" s="224">
        <v>2.3296701205050607</v>
      </c>
      <c r="J890" s="224"/>
      <c r="M890" s="224">
        <f t="shared" si="45"/>
        <v>470111.85522134113</v>
      </c>
      <c r="N890" s="224">
        <f t="shared" si="46"/>
        <v>-5.1734349808755908E-2</v>
      </c>
      <c r="O890" s="224">
        <f t="shared" si="47"/>
        <v>0.24915483232686109</v>
      </c>
      <c r="Q890" s="224"/>
      <c r="R890" s="224"/>
      <c r="S890" s="429"/>
      <c r="Z890" s="362"/>
      <c r="AA890" s="421"/>
      <c r="AB890" s="362"/>
      <c r="AC890" s="362"/>
      <c r="AD890" s="362"/>
      <c r="AE890" s="362"/>
      <c r="AF890" s="362"/>
      <c r="AG890" s="362"/>
      <c r="AH890" s="362"/>
      <c r="AI890" s="393"/>
      <c r="AJ890" s="393"/>
      <c r="AK890" s="362"/>
      <c r="AL890" s="362"/>
      <c r="AM890" s="362"/>
      <c r="AN890" s="362"/>
      <c r="AO890" s="362"/>
      <c r="AP890" s="362"/>
      <c r="AQ890" s="362"/>
      <c r="AR890" s="362"/>
    </row>
    <row r="891" spans="1:44" ht="12.75" customHeight="1" x14ac:dyDescent="0.15">
      <c r="A891" s="431"/>
      <c r="B891" s="393"/>
      <c r="C891" s="428"/>
      <c r="D891" s="428">
        <v>645157.83774863172</v>
      </c>
      <c r="E891" s="224">
        <v>212562.48126361202</v>
      </c>
      <c r="F891" s="224">
        <v>4.1545888330785825</v>
      </c>
      <c r="G891" s="224">
        <v>3.8418502758286568</v>
      </c>
      <c r="H891" s="224">
        <v>2.2564926961752043</v>
      </c>
      <c r="I891" s="224">
        <v>1.9826245095411481</v>
      </c>
      <c r="J891" s="224"/>
      <c r="M891" s="224">
        <f t="shared" si="45"/>
        <v>432595.35648501967</v>
      </c>
      <c r="N891" s="224">
        <f t="shared" si="46"/>
        <v>0.31273855724992572</v>
      </c>
      <c r="O891" s="224">
        <f t="shared" si="47"/>
        <v>0.27386818663405621</v>
      </c>
      <c r="Q891" s="224"/>
      <c r="R891" s="224"/>
      <c r="S891" s="429"/>
      <c r="Z891" s="362"/>
      <c r="AA891" s="421"/>
      <c r="AB891" s="362"/>
      <c r="AC891" s="362"/>
      <c r="AD891" s="362"/>
      <c r="AE891" s="362"/>
      <c r="AF891" s="362"/>
      <c r="AG891" s="362"/>
      <c r="AH891" s="362"/>
      <c r="AI891" s="393"/>
      <c r="AJ891" s="393"/>
      <c r="AK891" s="362"/>
      <c r="AL891" s="362"/>
      <c r="AM891" s="362"/>
      <c r="AN891" s="362"/>
      <c r="AO891" s="362"/>
      <c r="AP891" s="362"/>
      <c r="AQ891" s="362"/>
      <c r="AR891" s="362"/>
    </row>
    <row r="892" spans="1:44" ht="12.75" customHeight="1" x14ac:dyDescent="0.15">
      <c r="A892" s="431"/>
      <c r="B892" s="393"/>
      <c r="C892" s="428"/>
      <c r="D892" s="428">
        <v>580478.28804223868</v>
      </c>
      <c r="E892" s="224">
        <v>179270.97544369273</v>
      </c>
      <c r="F892" s="224">
        <v>3.7797870945027174</v>
      </c>
      <c r="G892" s="224">
        <v>4.5021634432190423</v>
      </c>
      <c r="H892" s="224">
        <v>2.5164155980103118</v>
      </c>
      <c r="I892" s="224">
        <v>2.6765892385187833</v>
      </c>
      <c r="J892" s="224"/>
      <c r="M892" s="224">
        <f t="shared" si="45"/>
        <v>401207.31259854592</v>
      </c>
      <c r="N892" s="224">
        <f t="shared" si="46"/>
        <v>-0.72237634871632483</v>
      </c>
      <c r="O892" s="224">
        <f t="shared" si="47"/>
        <v>-0.16017364050847149</v>
      </c>
      <c r="Q892" s="224"/>
      <c r="R892" s="224"/>
      <c r="S892" s="429"/>
      <c r="Z892" s="362"/>
      <c r="AA892" s="421"/>
      <c r="AB892" s="362"/>
      <c r="AC892" s="362"/>
      <c r="AD892" s="362"/>
      <c r="AE892" s="362"/>
      <c r="AF892" s="362"/>
      <c r="AG892" s="362"/>
      <c r="AH892" s="362"/>
      <c r="AI892" s="393"/>
      <c r="AJ892" s="393"/>
      <c r="AK892" s="362"/>
      <c r="AL892" s="362"/>
      <c r="AM892" s="362"/>
      <c r="AN892" s="362"/>
      <c r="AO892" s="362"/>
      <c r="AP892" s="362"/>
      <c r="AQ892" s="362"/>
      <c r="AR892" s="362"/>
    </row>
    <row r="893" spans="1:44" ht="12.75" customHeight="1" x14ac:dyDescent="0.15">
      <c r="A893" s="431"/>
      <c r="B893" s="393"/>
      <c r="C893" s="428"/>
      <c r="D893" s="428">
        <v>651578.44986239751</v>
      </c>
      <c r="E893" s="224">
        <v>193387.76964835916</v>
      </c>
      <c r="F893" s="224">
        <v>4.3061128423385302</v>
      </c>
      <c r="G893" s="224">
        <v>3.7094953093745615</v>
      </c>
      <c r="H893" s="224">
        <v>2.7180897195958753</v>
      </c>
      <c r="I893" s="224">
        <v>2.204907648173537</v>
      </c>
      <c r="J893" s="224"/>
      <c r="M893" s="224">
        <f t="shared" si="45"/>
        <v>458190.68021403835</v>
      </c>
      <c r="N893" s="224">
        <f t="shared" si="46"/>
        <v>0.59661753296396869</v>
      </c>
      <c r="O893" s="224">
        <f t="shared" si="47"/>
        <v>0.51318207142233829</v>
      </c>
      <c r="Q893" s="224"/>
      <c r="R893" s="224"/>
      <c r="S893" s="429"/>
      <c r="Z893" s="362"/>
      <c r="AA893" s="421"/>
      <c r="AB893" s="362"/>
      <c r="AC893" s="362"/>
      <c r="AD893" s="362"/>
      <c r="AE893" s="362"/>
      <c r="AF893" s="362"/>
      <c r="AG893" s="362"/>
      <c r="AH893" s="362"/>
      <c r="AI893" s="393"/>
      <c r="AJ893" s="393"/>
      <c r="AK893" s="362"/>
      <c r="AL893" s="362"/>
      <c r="AM893" s="362"/>
      <c r="AN893" s="362"/>
      <c r="AO893" s="362"/>
      <c r="AP893" s="362"/>
      <c r="AQ893" s="362"/>
      <c r="AR893" s="362"/>
    </row>
    <row r="894" spans="1:44" ht="12.75" customHeight="1" x14ac:dyDescent="0.15">
      <c r="A894" s="431"/>
      <c r="B894" s="393"/>
      <c r="C894" s="428"/>
      <c r="D894" s="428">
        <v>586968.31878283573</v>
      </c>
      <c r="E894" s="224">
        <v>120978.36682899261</v>
      </c>
      <c r="F894" s="224">
        <v>3.6462200351179734</v>
      </c>
      <c r="G894" s="224">
        <v>3.6892891386665956</v>
      </c>
      <c r="H894" s="224">
        <v>2.2055289827776785</v>
      </c>
      <c r="I894" s="224">
        <v>2.0770103742374322</v>
      </c>
      <c r="J894" s="224"/>
      <c r="M894" s="224">
        <f t="shared" si="45"/>
        <v>465989.95195384312</v>
      </c>
      <c r="N894" s="224">
        <f t="shared" si="46"/>
        <v>-4.3069103548622145E-2</v>
      </c>
      <c r="O894" s="224">
        <f t="shared" si="47"/>
        <v>0.12851860854024633</v>
      </c>
      <c r="Q894" s="224"/>
      <c r="R894" s="224"/>
      <c r="S894" s="429"/>
      <c r="Z894" s="362"/>
      <c r="AA894" s="421"/>
      <c r="AB894" s="362"/>
      <c r="AC894" s="362"/>
      <c r="AD894" s="362"/>
      <c r="AE894" s="362"/>
      <c r="AF894" s="362"/>
      <c r="AG894" s="362"/>
      <c r="AH894" s="362"/>
      <c r="AI894" s="393"/>
      <c r="AJ894" s="393"/>
      <c r="AK894" s="362"/>
      <c r="AL894" s="362"/>
      <c r="AM894" s="362"/>
      <c r="AN894" s="362"/>
      <c r="AO894" s="362"/>
      <c r="AP894" s="362"/>
      <c r="AQ894" s="362"/>
      <c r="AR894" s="362"/>
    </row>
    <row r="895" spans="1:44" ht="12.75" customHeight="1" x14ac:dyDescent="0.15">
      <c r="A895" s="431"/>
      <c r="B895" s="393"/>
      <c r="C895" s="428"/>
      <c r="D895" s="428">
        <v>457203.07434392354</v>
      </c>
      <c r="E895" s="224">
        <v>93775.655493334576</v>
      </c>
      <c r="F895" s="224">
        <v>4.6671318966234603</v>
      </c>
      <c r="G895" s="224">
        <v>4.3524606984175831</v>
      </c>
      <c r="H895" s="224">
        <v>2.5469157207602748</v>
      </c>
      <c r="I895" s="224">
        <v>2.2699652302219091</v>
      </c>
      <c r="J895" s="224"/>
      <c r="M895" s="224">
        <f t="shared" si="45"/>
        <v>363427.41885058896</v>
      </c>
      <c r="N895" s="224">
        <f t="shared" si="46"/>
        <v>0.31467119820587719</v>
      </c>
      <c r="O895" s="224">
        <f t="shared" si="47"/>
        <v>0.27695049053836573</v>
      </c>
      <c r="Q895" s="224"/>
      <c r="R895" s="224"/>
      <c r="S895" s="429"/>
      <c r="Z895" s="362"/>
      <c r="AA895" s="421"/>
      <c r="AB895" s="362"/>
      <c r="AC895" s="362"/>
      <c r="AD895" s="362"/>
      <c r="AE895" s="362"/>
      <c r="AF895" s="362"/>
      <c r="AG895" s="362"/>
      <c r="AH895" s="362"/>
      <c r="AI895" s="393"/>
      <c r="AJ895" s="393"/>
      <c r="AK895" s="362"/>
      <c r="AL895" s="362"/>
      <c r="AM895" s="362"/>
      <c r="AN895" s="362"/>
      <c r="AO895" s="362"/>
      <c r="AP895" s="362"/>
      <c r="AQ895" s="362"/>
      <c r="AR895" s="362"/>
    </row>
    <row r="896" spans="1:44" ht="12.75" customHeight="1" x14ac:dyDescent="0.15">
      <c r="A896" s="431"/>
      <c r="B896" s="393"/>
      <c r="C896" s="428"/>
      <c r="D896" s="428">
        <v>637371.68461054505</v>
      </c>
      <c r="E896" s="224">
        <v>98522.422984617835</v>
      </c>
      <c r="F896" s="224">
        <v>4.3243551905787676</v>
      </c>
      <c r="G896" s="224">
        <v>3.7499991200759517</v>
      </c>
      <c r="H896" s="224">
        <v>2.8674963962385429</v>
      </c>
      <c r="I896" s="224">
        <v>2.0750529010749958</v>
      </c>
      <c r="J896" s="224"/>
      <c r="M896" s="224">
        <f t="shared" si="45"/>
        <v>538849.26162592717</v>
      </c>
      <c r="N896" s="224">
        <f t="shared" si="46"/>
        <v>0.5743560705028159</v>
      </c>
      <c r="O896" s="224">
        <f t="shared" si="47"/>
        <v>0.79244349516354706</v>
      </c>
      <c r="Q896" s="224"/>
      <c r="R896" s="224"/>
      <c r="S896" s="429"/>
      <c r="Z896" s="362"/>
      <c r="AA896" s="421"/>
      <c r="AB896" s="362"/>
      <c r="AC896" s="362"/>
      <c r="AD896" s="362"/>
      <c r="AE896" s="362"/>
      <c r="AF896" s="362"/>
      <c r="AG896" s="362"/>
      <c r="AH896" s="362"/>
      <c r="AI896" s="393"/>
      <c r="AJ896" s="393"/>
      <c r="AK896" s="362"/>
      <c r="AL896" s="362"/>
      <c r="AM896" s="362"/>
      <c r="AN896" s="362"/>
      <c r="AO896" s="362"/>
      <c r="AP896" s="362"/>
      <c r="AQ896" s="362"/>
      <c r="AR896" s="362"/>
    </row>
    <row r="897" spans="1:44" ht="12.75" customHeight="1" x14ac:dyDescent="0.15">
      <c r="A897" s="431"/>
      <c r="B897" s="393"/>
      <c r="C897" s="428"/>
      <c r="D897" s="428">
        <v>589271.57419351884</v>
      </c>
      <c r="E897" s="224">
        <v>212386.65290547209</v>
      </c>
      <c r="F897" s="224">
        <v>4.2030856469221058</v>
      </c>
      <c r="G897" s="224">
        <v>4.3469724952734516</v>
      </c>
      <c r="H897" s="224">
        <v>2.4426993194478355</v>
      </c>
      <c r="I897" s="224">
        <v>2.5316168576411</v>
      </c>
      <c r="J897" s="224"/>
      <c r="M897" s="224">
        <f t="shared" si="45"/>
        <v>376884.92128804675</v>
      </c>
      <c r="N897" s="224">
        <f t="shared" si="46"/>
        <v>-0.1438868483513458</v>
      </c>
      <c r="O897" s="224">
        <f t="shared" si="47"/>
        <v>-8.8917538193264534E-2</v>
      </c>
      <c r="Q897" s="224"/>
      <c r="R897" s="224"/>
      <c r="S897" s="429"/>
      <c r="Z897" s="362"/>
      <c r="AA897" s="421"/>
      <c r="AB897" s="362"/>
      <c r="AC897" s="362"/>
      <c r="AD897" s="362"/>
      <c r="AE897" s="362"/>
      <c r="AF897" s="362"/>
      <c r="AG897" s="362"/>
      <c r="AH897" s="362"/>
      <c r="AI897" s="393"/>
      <c r="AJ897" s="393"/>
      <c r="AK897" s="362"/>
      <c r="AL897" s="362"/>
      <c r="AM897" s="362"/>
      <c r="AN897" s="362"/>
      <c r="AO897" s="362"/>
      <c r="AP897" s="362"/>
      <c r="AQ897" s="362"/>
      <c r="AR897" s="362"/>
    </row>
    <row r="898" spans="1:44" ht="12.75" customHeight="1" x14ac:dyDescent="0.15">
      <c r="A898" s="431"/>
      <c r="B898" s="393"/>
      <c r="C898" s="428"/>
      <c r="D898" s="428">
        <v>561878.12495771039</v>
      </c>
      <c r="E898" s="224">
        <v>125550.21495595161</v>
      </c>
      <c r="F898" s="224">
        <v>3.7933119539127103</v>
      </c>
      <c r="G898" s="224">
        <v>4.0628946841845623</v>
      </c>
      <c r="H898" s="224">
        <v>2.4387570738140707</v>
      </c>
      <c r="I898" s="224">
        <v>2.2044307783980419</v>
      </c>
      <c r="J898" s="224"/>
      <c r="M898" s="224">
        <f t="shared" si="45"/>
        <v>436327.91000175878</v>
      </c>
      <c r="N898" s="224">
        <f t="shared" si="46"/>
        <v>-0.26958273027185209</v>
      </c>
      <c r="O898" s="224">
        <f t="shared" si="47"/>
        <v>0.23432629541602878</v>
      </c>
      <c r="Q898" s="224"/>
      <c r="R898" s="224"/>
      <c r="S898" s="429"/>
      <c r="Z898" s="362"/>
      <c r="AA898" s="421"/>
      <c r="AB898" s="362"/>
      <c r="AC898" s="362"/>
      <c r="AD898" s="362"/>
      <c r="AE898" s="362"/>
      <c r="AF898" s="362"/>
      <c r="AG898" s="362"/>
      <c r="AH898" s="362"/>
      <c r="AI898" s="393"/>
      <c r="AJ898" s="393"/>
      <c r="AK898" s="362"/>
      <c r="AL898" s="362"/>
      <c r="AM898" s="362"/>
      <c r="AN898" s="362"/>
      <c r="AO898" s="362"/>
      <c r="AP898" s="362"/>
      <c r="AQ898" s="362"/>
      <c r="AR898" s="362"/>
    </row>
    <row r="899" spans="1:44" ht="12.75" customHeight="1" x14ac:dyDescent="0.15">
      <c r="A899" s="431"/>
      <c r="B899" s="393"/>
      <c r="C899" s="428"/>
      <c r="D899" s="428">
        <v>490974.64991443616</v>
      </c>
      <c r="E899" s="224">
        <v>109233.38582081674</v>
      </c>
      <c r="F899" s="224">
        <v>4.2628749878355601</v>
      </c>
      <c r="G899" s="224">
        <v>4.1325897454130196</v>
      </c>
      <c r="H899" s="224">
        <v>2.4709827280291012</v>
      </c>
      <c r="I899" s="224">
        <v>2.2989128695806178</v>
      </c>
      <c r="J899" s="224"/>
      <c r="M899" s="224">
        <f t="shared" si="45"/>
        <v>381741.26409361942</v>
      </c>
      <c r="N899" s="224">
        <f t="shared" si="46"/>
        <v>0.13028524242254047</v>
      </c>
      <c r="O899" s="224">
        <f t="shared" si="47"/>
        <v>0.17206985844848344</v>
      </c>
      <c r="Q899" s="224"/>
      <c r="R899" s="224"/>
      <c r="S899" s="429"/>
      <c r="Z899" s="362"/>
      <c r="AA899" s="421"/>
      <c r="AB899" s="362"/>
      <c r="AC899" s="362"/>
      <c r="AD899" s="362"/>
      <c r="AE899" s="362"/>
      <c r="AF899" s="362"/>
      <c r="AG899" s="362"/>
      <c r="AH899" s="362"/>
      <c r="AI899" s="393"/>
      <c r="AJ899" s="393"/>
      <c r="AK899" s="362"/>
      <c r="AL899" s="362"/>
      <c r="AM899" s="362"/>
      <c r="AN899" s="362"/>
      <c r="AO899" s="362"/>
      <c r="AP899" s="362"/>
      <c r="AQ899" s="362"/>
      <c r="AR899" s="362"/>
    </row>
    <row r="900" spans="1:44" ht="12.75" customHeight="1" x14ac:dyDescent="0.15">
      <c r="A900" s="431"/>
      <c r="B900" s="393"/>
      <c r="C900" s="428"/>
      <c r="D900" s="428">
        <v>617432.8376682502</v>
      </c>
      <c r="E900" s="224">
        <v>143421.12909017614</v>
      </c>
      <c r="F900" s="224">
        <v>4.4261385023211144</v>
      </c>
      <c r="G900" s="224">
        <v>3.9211830628867723</v>
      </c>
      <c r="H900" s="224">
        <v>2.4523789876081574</v>
      </c>
      <c r="I900" s="224">
        <v>2.0756707771247349</v>
      </c>
      <c r="J900" s="224"/>
      <c r="M900" s="224">
        <f t="shared" si="45"/>
        <v>474011.70857807406</v>
      </c>
      <c r="N900" s="224">
        <f t="shared" si="46"/>
        <v>0.50495543943434207</v>
      </c>
      <c r="O900" s="224">
        <f t="shared" si="47"/>
        <v>0.37670821048342251</v>
      </c>
      <c r="Q900" s="224"/>
      <c r="R900" s="224"/>
      <c r="S900" s="429"/>
      <c r="Z900" s="362"/>
      <c r="AA900" s="421"/>
      <c r="AB900" s="362"/>
      <c r="AC900" s="362"/>
      <c r="AD900" s="362"/>
      <c r="AE900" s="362"/>
      <c r="AF900" s="362"/>
      <c r="AG900" s="362"/>
      <c r="AH900" s="362"/>
      <c r="AI900" s="393"/>
      <c r="AJ900" s="393"/>
      <c r="AK900" s="362"/>
      <c r="AL900" s="362"/>
      <c r="AM900" s="362"/>
      <c r="AN900" s="362"/>
      <c r="AO900" s="362"/>
      <c r="AP900" s="362"/>
      <c r="AQ900" s="362"/>
      <c r="AR900" s="362"/>
    </row>
    <row r="901" spans="1:44" ht="12.75" customHeight="1" x14ac:dyDescent="0.15">
      <c r="A901" s="431"/>
      <c r="B901" s="393"/>
      <c r="C901" s="428"/>
      <c r="D901" s="428">
        <v>645080.32042741845</v>
      </c>
      <c r="E901" s="224">
        <v>110542.21984013941</v>
      </c>
      <c r="F901" s="224">
        <v>4.3286170264669526</v>
      </c>
      <c r="G901" s="224">
        <v>3.4641356731032285</v>
      </c>
      <c r="H901" s="224">
        <v>2.6969423199335707</v>
      </c>
      <c r="I901" s="224">
        <v>1.9121454779915246</v>
      </c>
      <c r="J901" s="224"/>
      <c r="M901" s="224">
        <f t="shared" si="45"/>
        <v>534538.10058727907</v>
      </c>
      <c r="N901" s="224">
        <f t="shared" si="46"/>
        <v>0.86448135336372411</v>
      </c>
      <c r="O901" s="224">
        <f t="shared" si="47"/>
        <v>0.78479684194204613</v>
      </c>
      <c r="Q901" s="224"/>
      <c r="R901" s="224"/>
      <c r="S901" s="429"/>
      <c r="Z901" s="362"/>
      <c r="AA901" s="421"/>
      <c r="AB901" s="362"/>
      <c r="AC901" s="362"/>
      <c r="AD901" s="362"/>
      <c r="AE901" s="362"/>
      <c r="AF901" s="362"/>
      <c r="AG901" s="362"/>
      <c r="AH901" s="362"/>
      <c r="AI901" s="393"/>
      <c r="AJ901" s="393"/>
      <c r="AK901" s="362"/>
      <c r="AL901" s="362"/>
      <c r="AM901" s="362"/>
      <c r="AN901" s="362"/>
      <c r="AO901" s="362"/>
      <c r="AP901" s="362"/>
      <c r="AQ901" s="362"/>
      <c r="AR901" s="362"/>
    </row>
    <row r="902" spans="1:44" ht="12.75" customHeight="1" x14ac:dyDescent="0.15">
      <c r="A902" s="431"/>
      <c r="B902" s="393"/>
      <c r="C902" s="428"/>
      <c r="D902" s="428">
        <v>607824.77985507553</v>
      </c>
      <c r="E902" s="224">
        <v>134666.62276548427</v>
      </c>
      <c r="F902" s="224">
        <v>4.6627208383251704</v>
      </c>
      <c r="G902" s="224">
        <v>3.5144761732094985</v>
      </c>
      <c r="H902" s="224">
        <v>2.929958257058467</v>
      </c>
      <c r="I902" s="224">
        <v>2.0714111662552637</v>
      </c>
      <c r="J902" s="224"/>
      <c r="M902" s="224">
        <f t="shared" si="45"/>
        <v>473158.15708959126</v>
      </c>
      <c r="N902" s="224">
        <f t="shared" si="46"/>
        <v>1.1482446651156719</v>
      </c>
      <c r="O902" s="224">
        <f t="shared" si="47"/>
        <v>0.85854709080320335</v>
      </c>
      <c r="Q902" s="224"/>
      <c r="R902" s="224"/>
      <c r="S902" s="429"/>
      <c r="Z902" s="362"/>
      <c r="AA902" s="421"/>
      <c r="AB902" s="362"/>
      <c r="AC902" s="362"/>
      <c r="AD902" s="362"/>
      <c r="AE902" s="362"/>
      <c r="AF902" s="362"/>
      <c r="AG902" s="362"/>
      <c r="AH902" s="362"/>
      <c r="AI902" s="393"/>
      <c r="AJ902" s="393"/>
      <c r="AK902" s="362"/>
      <c r="AL902" s="362"/>
      <c r="AM902" s="362"/>
      <c r="AN902" s="362"/>
      <c r="AO902" s="362"/>
      <c r="AP902" s="362"/>
      <c r="AQ902" s="362"/>
      <c r="AR902" s="362"/>
    </row>
    <row r="903" spans="1:44" ht="12.75" customHeight="1" x14ac:dyDescent="0.15">
      <c r="A903" s="431"/>
      <c r="B903" s="393"/>
      <c r="C903" s="428"/>
      <c r="D903" s="428">
        <v>759357.3892140747</v>
      </c>
      <c r="E903" s="224">
        <v>208017.42306615866</v>
      </c>
      <c r="F903" s="224">
        <v>4.6438034745172532</v>
      </c>
      <c r="G903" s="224">
        <v>4.6375366577749917</v>
      </c>
      <c r="H903" s="224">
        <v>3.0102478255194884</v>
      </c>
      <c r="I903" s="224">
        <v>2.6153937259273397</v>
      </c>
      <c r="J903" s="224"/>
      <c r="M903" s="224">
        <f t="shared" si="45"/>
        <v>551339.96614791604</v>
      </c>
      <c r="N903" s="224">
        <f t="shared" si="46"/>
        <v>6.2668167422614829E-3</v>
      </c>
      <c r="O903" s="224">
        <f t="shared" si="47"/>
        <v>0.39485409959214879</v>
      </c>
      <c r="Q903" s="224"/>
      <c r="R903" s="224"/>
      <c r="S903" s="429"/>
      <c r="Z903" s="362"/>
      <c r="AA903" s="421"/>
      <c r="AB903" s="362"/>
      <c r="AC903" s="362"/>
      <c r="AD903" s="362"/>
      <c r="AE903" s="362"/>
      <c r="AF903" s="362"/>
      <c r="AG903" s="362"/>
      <c r="AH903" s="362"/>
      <c r="AI903" s="393"/>
      <c r="AJ903" s="393"/>
      <c r="AK903" s="362"/>
      <c r="AL903" s="362"/>
      <c r="AM903" s="362"/>
      <c r="AN903" s="362"/>
      <c r="AO903" s="362"/>
      <c r="AP903" s="362"/>
      <c r="AQ903" s="362"/>
      <c r="AR903" s="362"/>
    </row>
    <row r="904" spans="1:44" ht="12.75" customHeight="1" x14ac:dyDescent="0.15">
      <c r="A904" s="431"/>
      <c r="B904" s="393"/>
      <c r="C904" s="428"/>
      <c r="D904" s="428">
        <v>545063.06094545592</v>
      </c>
      <c r="E904" s="224">
        <v>168971.19464805647</v>
      </c>
      <c r="F904" s="224">
        <v>4.4161530798382538</v>
      </c>
      <c r="G904" s="224">
        <v>4.3773463803380777</v>
      </c>
      <c r="H904" s="224">
        <v>2.3655306179858937</v>
      </c>
      <c r="I904" s="224">
        <v>2.2058833072445405</v>
      </c>
      <c r="J904" s="224"/>
      <c r="M904" s="224">
        <f t="shared" si="45"/>
        <v>376091.86629739945</v>
      </c>
      <c r="N904" s="224">
        <f t="shared" si="46"/>
        <v>3.8806699500176123E-2</v>
      </c>
      <c r="O904" s="224">
        <f t="shared" si="47"/>
        <v>0.15964731074135319</v>
      </c>
      <c r="Q904" s="224"/>
      <c r="R904" s="224"/>
      <c r="S904" s="429"/>
      <c r="Z904" s="362"/>
      <c r="AA904" s="421"/>
      <c r="AB904" s="362"/>
      <c r="AC904" s="362"/>
      <c r="AD904" s="362"/>
      <c r="AE904" s="362"/>
      <c r="AF904" s="362"/>
      <c r="AG904" s="362"/>
      <c r="AH904" s="362"/>
      <c r="AI904" s="393"/>
      <c r="AJ904" s="393"/>
      <c r="AK904" s="362"/>
      <c r="AL904" s="362"/>
      <c r="AM904" s="362"/>
      <c r="AN904" s="362"/>
      <c r="AO904" s="362"/>
      <c r="AP904" s="362"/>
      <c r="AQ904" s="362"/>
      <c r="AR904" s="362"/>
    </row>
    <row r="905" spans="1:44" ht="12.75" customHeight="1" x14ac:dyDescent="0.15">
      <c r="A905" s="431"/>
      <c r="B905" s="393"/>
      <c r="C905" s="428"/>
      <c r="D905" s="428">
        <v>669219.21950995876</v>
      </c>
      <c r="E905" s="224">
        <v>199966.84979120412</v>
      </c>
      <c r="F905" s="224">
        <v>4.4649849688831713</v>
      </c>
      <c r="G905" s="224">
        <v>3.7658597096365098</v>
      </c>
      <c r="H905" s="224">
        <v>3.0449234402435632</v>
      </c>
      <c r="I905" s="224">
        <v>2.4166053560176057</v>
      </c>
      <c r="J905" s="224"/>
      <c r="M905" s="224">
        <f t="shared" si="45"/>
        <v>469252.36971875466</v>
      </c>
      <c r="N905" s="224">
        <f t="shared" si="46"/>
        <v>0.69912525924666147</v>
      </c>
      <c r="O905" s="224">
        <f t="shared" si="47"/>
        <v>0.62831808422595747</v>
      </c>
      <c r="Q905" s="224"/>
      <c r="R905" s="224"/>
      <c r="S905" s="429"/>
      <c r="Z905" s="362"/>
      <c r="AA905" s="421"/>
      <c r="AB905" s="362"/>
      <c r="AC905" s="362"/>
      <c r="AD905" s="362"/>
      <c r="AE905" s="362"/>
      <c r="AF905" s="362"/>
      <c r="AG905" s="362"/>
      <c r="AH905" s="362"/>
      <c r="AI905" s="393"/>
      <c r="AJ905" s="393"/>
      <c r="AK905" s="362"/>
      <c r="AL905" s="362"/>
      <c r="AM905" s="362"/>
      <c r="AN905" s="362"/>
      <c r="AO905" s="362"/>
      <c r="AP905" s="362"/>
      <c r="AQ905" s="362"/>
      <c r="AR905" s="362"/>
    </row>
    <row r="906" spans="1:44" ht="12.75" customHeight="1" x14ac:dyDescent="0.15">
      <c r="A906" s="431"/>
      <c r="B906" s="393"/>
      <c r="C906" s="428"/>
      <c r="D906" s="428">
        <v>551912.45964756585</v>
      </c>
      <c r="E906" s="224">
        <v>128232.27830924964</v>
      </c>
      <c r="F906" s="224">
        <v>4.2340370215746601</v>
      </c>
      <c r="G906" s="224">
        <v>4.031389106767147</v>
      </c>
      <c r="H906" s="224">
        <v>2.4720997065885069</v>
      </c>
      <c r="I906" s="224">
        <v>2.2622180010051047</v>
      </c>
      <c r="J906" s="224"/>
      <c r="M906" s="224">
        <f t="shared" si="45"/>
        <v>423680.18133831618</v>
      </c>
      <c r="N906" s="224">
        <f t="shared" si="46"/>
        <v>0.2026479148075131</v>
      </c>
      <c r="O906" s="224">
        <f t="shared" si="47"/>
        <v>0.20988170558340213</v>
      </c>
      <c r="Q906" s="224"/>
      <c r="R906" s="224"/>
      <c r="S906" s="429"/>
      <c r="Z906" s="362"/>
      <c r="AA906" s="421"/>
      <c r="AB906" s="362"/>
      <c r="AC906" s="362"/>
      <c r="AD906" s="362"/>
      <c r="AE906" s="362"/>
      <c r="AF906" s="362"/>
      <c r="AG906" s="362"/>
      <c r="AH906" s="362"/>
      <c r="AI906" s="393"/>
      <c r="AJ906" s="393"/>
      <c r="AK906" s="362"/>
      <c r="AL906" s="362"/>
      <c r="AM906" s="362"/>
      <c r="AN906" s="362"/>
      <c r="AO906" s="362"/>
      <c r="AP906" s="362"/>
      <c r="AQ906" s="362"/>
      <c r="AR906" s="362"/>
    </row>
    <row r="907" spans="1:44" ht="12.75" customHeight="1" x14ac:dyDescent="0.15">
      <c r="A907" s="431"/>
      <c r="B907" s="393"/>
      <c r="C907" s="428"/>
      <c r="D907" s="428">
        <v>537538.44438028208</v>
      </c>
      <c r="E907" s="224">
        <v>146381.61187002528</v>
      </c>
      <c r="F907" s="224">
        <v>4.1512224715086266</v>
      </c>
      <c r="G907" s="224">
        <v>4.1792857546817972</v>
      </c>
      <c r="H907" s="224">
        <v>2.6503379184700417</v>
      </c>
      <c r="I907" s="224">
        <v>2.669819163790033</v>
      </c>
      <c r="J907" s="224"/>
      <c r="M907" s="224">
        <f t="shared" si="45"/>
        <v>391156.83251025679</v>
      </c>
      <c r="N907" s="224">
        <f t="shared" si="46"/>
        <v>-2.8063283173170639E-2</v>
      </c>
      <c r="O907" s="224">
        <f t="shared" si="47"/>
        <v>-1.9481245319991292E-2</v>
      </c>
      <c r="Q907" s="224"/>
      <c r="R907" s="224"/>
      <c r="S907" s="429"/>
      <c r="Z907" s="362"/>
      <c r="AA907" s="421"/>
      <c r="AB907" s="362"/>
      <c r="AC907" s="362"/>
      <c r="AD907" s="362"/>
      <c r="AE907" s="362"/>
      <c r="AF907" s="362"/>
      <c r="AG907" s="362"/>
      <c r="AH907" s="362"/>
      <c r="AI907" s="393"/>
      <c r="AJ907" s="393"/>
      <c r="AK907" s="362"/>
      <c r="AL907" s="362"/>
      <c r="AM907" s="362"/>
      <c r="AN907" s="362"/>
      <c r="AO907" s="362"/>
      <c r="AP907" s="362"/>
      <c r="AQ907" s="362"/>
      <c r="AR907" s="362"/>
    </row>
    <row r="908" spans="1:44" ht="12.75" customHeight="1" x14ac:dyDescent="0.15">
      <c r="A908" s="431"/>
      <c r="B908" s="393"/>
      <c r="C908" s="428"/>
      <c r="D908" s="428">
        <v>525506.50368584471</v>
      </c>
      <c r="E908" s="224">
        <v>127185.51759289941</v>
      </c>
      <c r="F908" s="224">
        <v>3.7990050985292241</v>
      </c>
      <c r="G908" s="224">
        <v>4.5406198979998722</v>
      </c>
      <c r="H908" s="224">
        <v>2.1467212916457994</v>
      </c>
      <c r="I908" s="224">
        <v>2.3254113695913436</v>
      </c>
      <c r="J908" s="224"/>
      <c r="M908" s="224">
        <f t="shared" si="45"/>
        <v>398320.98609294533</v>
      </c>
      <c r="N908" s="224">
        <f t="shared" si="46"/>
        <v>-0.74161479947064812</v>
      </c>
      <c r="O908" s="224">
        <f t="shared" si="47"/>
        <v>-0.17869007794554426</v>
      </c>
      <c r="Q908" s="224"/>
      <c r="R908" s="224"/>
      <c r="S908" s="429"/>
      <c r="Z908" s="362"/>
      <c r="AA908" s="421"/>
      <c r="AB908" s="362"/>
      <c r="AC908" s="362"/>
      <c r="AD908" s="362"/>
      <c r="AE908" s="362"/>
      <c r="AF908" s="362"/>
      <c r="AG908" s="362"/>
      <c r="AH908" s="362"/>
      <c r="AI908" s="393"/>
      <c r="AJ908" s="393"/>
      <c r="AK908" s="362"/>
      <c r="AL908" s="362"/>
      <c r="AM908" s="362"/>
      <c r="AN908" s="362"/>
      <c r="AO908" s="362"/>
      <c r="AP908" s="362"/>
      <c r="AQ908" s="362"/>
      <c r="AR908" s="362"/>
    </row>
    <row r="909" spans="1:44" ht="12.75" customHeight="1" x14ac:dyDescent="0.15">
      <c r="A909" s="431"/>
      <c r="B909" s="393"/>
      <c r="C909" s="428"/>
      <c r="D909" s="428">
        <v>590020.48119579453</v>
      </c>
      <c r="E909" s="224">
        <v>151049.33855062252</v>
      </c>
      <c r="F909" s="224">
        <v>4.9495630059256204</v>
      </c>
      <c r="G909" s="224">
        <v>3.9650793194122689</v>
      </c>
      <c r="H909" s="224">
        <v>2.7170931310137769</v>
      </c>
      <c r="I909" s="224">
        <v>2.1798715991210975</v>
      </c>
      <c r="J909" s="224"/>
      <c r="M909" s="224">
        <f t="shared" si="45"/>
        <v>438971.14264517202</v>
      </c>
      <c r="N909" s="224">
        <f t="shared" si="46"/>
        <v>0.9844836865133515</v>
      </c>
      <c r="O909" s="224">
        <f t="shared" si="47"/>
        <v>0.5372215318926794</v>
      </c>
      <c r="Q909" s="224"/>
      <c r="R909" s="224"/>
      <c r="S909" s="429"/>
      <c r="Z909" s="362"/>
      <c r="AA909" s="421"/>
      <c r="AB909" s="362"/>
      <c r="AC909" s="362"/>
      <c r="AD909" s="362"/>
      <c r="AE909" s="362"/>
      <c r="AF909" s="362"/>
      <c r="AG909" s="362"/>
      <c r="AH909" s="362"/>
      <c r="AI909" s="393"/>
      <c r="AJ909" s="393"/>
      <c r="AK909" s="362"/>
      <c r="AL909" s="362"/>
      <c r="AM909" s="362"/>
      <c r="AN909" s="362"/>
      <c r="AO909" s="362"/>
      <c r="AP909" s="362"/>
      <c r="AQ909" s="362"/>
      <c r="AR909" s="362"/>
    </row>
    <row r="910" spans="1:44" ht="12.75" customHeight="1" x14ac:dyDescent="0.15">
      <c r="A910" s="431"/>
      <c r="B910" s="393"/>
      <c r="C910" s="428"/>
      <c r="D910" s="428">
        <v>795051.18404716323</v>
      </c>
      <c r="E910" s="224">
        <v>227842.63072533859</v>
      </c>
      <c r="F910" s="224">
        <v>4.9396871070184263</v>
      </c>
      <c r="G910" s="224">
        <v>4.2423431605479518</v>
      </c>
      <c r="H910" s="224">
        <v>3.2099071805985959</v>
      </c>
      <c r="I910" s="224">
        <v>2.3982775900183633</v>
      </c>
      <c r="J910" s="224"/>
      <c r="M910" s="224">
        <f t="shared" si="45"/>
        <v>567208.55332182464</v>
      </c>
      <c r="N910" s="224">
        <f t="shared" si="46"/>
        <v>0.69734394647047449</v>
      </c>
      <c r="O910" s="224">
        <f t="shared" si="47"/>
        <v>0.81162959058023265</v>
      </c>
      <c r="Q910" s="224"/>
      <c r="R910" s="224"/>
      <c r="S910" s="429"/>
      <c r="Z910" s="362"/>
      <c r="AA910" s="421"/>
      <c r="AB910" s="362"/>
      <c r="AC910" s="362"/>
      <c r="AD910" s="362"/>
      <c r="AE910" s="362"/>
      <c r="AF910" s="362"/>
      <c r="AG910" s="362"/>
      <c r="AH910" s="362"/>
      <c r="AI910" s="393"/>
      <c r="AJ910" s="393"/>
      <c r="AK910" s="362"/>
      <c r="AL910" s="362"/>
      <c r="AM910" s="362"/>
      <c r="AN910" s="362"/>
      <c r="AO910" s="362"/>
      <c r="AP910" s="362"/>
      <c r="AQ910" s="362"/>
      <c r="AR910" s="362"/>
    </row>
    <row r="911" spans="1:44" ht="12.75" customHeight="1" x14ac:dyDescent="0.15">
      <c r="A911" s="431"/>
      <c r="B911" s="393"/>
      <c r="C911" s="428"/>
      <c r="D911" s="428">
        <v>621305.07293167594</v>
      </c>
      <c r="E911" s="224">
        <v>194400.67889844652</v>
      </c>
      <c r="F911" s="224">
        <v>4.1654357909940067</v>
      </c>
      <c r="G911" s="224">
        <v>4.025024500940404</v>
      </c>
      <c r="H911" s="224">
        <v>2.5636132339319442</v>
      </c>
      <c r="I911" s="224">
        <v>2.2851847922187676</v>
      </c>
      <c r="J911" s="224"/>
      <c r="M911" s="224">
        <f t="shared" si="45"/>
        <v>426904.39403322944</v>
      </c>
      <c r="N911" s="224">
        <f t="shared" si="46"/>
        <v>0.14041129005360276</v>
      </c>
      <c r="O911" s="224">
        <f t="shared" si="47"/>
        <v>0.2784284417131766</v>
      </c>
      <c r="Q911" s="224"/>
      <c r="R911" s="224"/>
      <c r="S911" s="429"/>
      <c r="Z911" s="362"/>
      <c r="AA911" s="421"/>
      <c r="AB911" s="362"/>
      <c r="AC911" s="362"/>
      <c r="AD911" s="362"/>
      <c r="AE911" s="362"/>
      <c r="AF911" s="362"/>
      <c r="AG911" s="362"/>
      <c r="AH911" s="362"/>
      <c r="AI911" s="393"/>
      <c r="AJ911" s="393"/>
      <c r="AK911" s="362"/>
      <c r="AL911" s="362"/>
      <c r="AM911" s="362"/>
      <c r="AN911" s="362"/>
      <c r="AO911" s="362"/>
      <c r="AP911" s="362"/>
      <c r="AQ911" s="362"/>
      <c r="AR911" s="362"/>
    </row>
    <row r="912" spans="1:44" ht="12.75" customHeight="1" x14ac:dyDescent="0.15">
      <c r="A912" s="431"/>
      <c r="B912" s="393"/>
      <c r="C912" s="428"/>
      <c r="D912" s="428">
        <v>732156.22500557825</v>
      </c>
      <c r="E912" s="224">
        <v>180551.46341198063</v>
      </c>
      <c r="F912" s="224">
        <v>4.4196554782423112</v>
      </c>
      <c r="G912" s="224">
        <v>4.1704169897580012</v>
      </c>
      <c r="H912" s="224">
        <v>2.9655646940460891</v>
      </c>
      <c r="I912" s="224">
        <v>2.6153420462476418</v>
      </c>
      <c r="J912" s="224"/>
      <c r="M912" s="224">
        <f t="shared" si="45"/>
        <v>551604.76159359759</v>
      </c>
      <c r="N912" s="224">
        <f t="shared" si="46"/>
        <v>0.24923848848430996</v>
      </c>
      <c r="O912" s="224">
        <f t="shared" si="47"/>
        <v>0.35022264779844736</v>
      </c>
      <c r="Q912" s="224"/>
      <c r="R912" s="224"/>
      <c r="S912" s="429"/>
      <c r="Z912" s="362"/>
      <c r="AA912" s="421"/>
      <c r="AB912" s="362"/>
      <c r="AC912" s="362"/>
      <c r="AD912" s="362"/>
      <c r="AE912" s="362"/>
      <c r="AF912" s="362"/>
      <c r="AG912" s="362"/>
      <c r="AH912" s="362"/>
      <c r="AI912" s="393"/>
      <c r="AJ912" s="393"/>
      <c r="AK912" s="362"/>
      <c r="AL912" s="362"/>
      <c r="AM912" s="362"/>
      <c r="AN912" s="362"/>
      <c r="AO912" s="362"/>
      <c r="AP912" s="362"/>
      <c r="AQ912" s="362"/>
      <c r="AR912" s="362"/>
    </row>
    <row r="913" spans="1:44" ht="12.75" customHeight="1" x14ac:dyDescent="0.15">
      <c r="A913" s="431"/>
      <c r="B913" s="393"/>
      <c r="C913" s="428"/>
      <c r="D913" s="428">
        <v>637992.62508171529</v>
      </c>
      <c r="E913" s="224">
        <v>142189.56684438893</v>
      </c>
      <c r="F913" s="224">
        <v>3.9659620178157891</v>
      </c>
      <c r="G913" s="224">
        <v>3.5859596523382056</v>
      </c>
      <c r="H913" s="224">
        <v>2.3704820568472531</v>
      </c>
      <c r="I913" s="224">
        <v>1.9131449110960181</v>
      </c>
      <c r="J913" s="224"/>
      <c r="M913" s="224">
        <f t="shared" si="45"/>
        <v>495803.05823732633</v>
      </c>
      <c r="N913" s="224">
        <f t="shared" si="46"/>
        <v>0.38000236547758348</v>
      </c>
      <c r="O913" s="224">
        <f t="shared" si="47"/>
        <v>0.45733714575123496</v>
      </c>
      <c r="Q913" s="224"/>
      <c r="R913" s="224"/>
      <c r="S913" s="429"/>
      <c r="Z913" s="362"/>
      <c r="AA913" s="421"/>
      <c r="AB913" s="362"/>
      <c r="AC913" s="362"/>
      <c r="AD913" s="362"/>
      <c r="AE913" s="362"/>
      <c r="AF913" s="362"/>
      <c r="AG913" s="362"/>
      <c r="AH913" s="362"/>
      <c r="AI913" s="393"/>
      <c r="AJ913" s="393"/>
      <c r="AK913" s="362"/>
      <c r="AL913" s="362"/>
      <c r="AM913" s="362"/>
      <c r="AN913" s="362"/>
      <c r="AO913" s="362"/>
      <c r="AP913" s="362"/>
      <c r="AQ913" s="362"/>
      <c r="AR913" s="362"/>
    </row>
    <row r="914" spans="1:44" ht="12.75" customHeight="1" x14ac:dyDescent="0.15">
      <c r="A914" s="431"/>
      <c r="B914" s="393"/>
      <c r="C914" s="428"/>
      <c r="D914" s="428">
        <v>639543.56320216286</v>
      </c>
      <c r="E914" s="224">
        <v>118092.74542841761</v>
      </c>
      <c r="F914" s="224">
        <v>4.208893109890818</v>
      </c>
      <c r="G914" s="224">
        <v>3.7695469886687589</v>
      </c>
      <c r="H914" s="224">
        <v>2.6129540651875813</v>
      </c>
      <c r="I914" s="224">
        <v>1.9869222826020352</v>
      </c>
      <c r="J914" s="224"/>
      <c r="M914" s="224">
        <f t="shared" ref="M914:M977" si="48">+D914-E914</f>
        <v>521450.81777374528</v>
      </c>
      <c r="N914" s="224">
        <f t="shared" ref="N914:N977" si="49">+F914-G914</f>
        <v>0.43934612122205907</v>
      </c>
      <c r="O914" s="224">
        <f t="shared" ref="O914:O977" si="50">+H914-I914</f>
        <v>0.62603178258554615</v>
      </c>
      <c r="Q914" s="224"/>
      <c r="R914" s="224"/>
      <c r="S914" s="429"/>
      <c r="Z914" s="362"/>
      <c r="AA914" s="421"/>
      <c r="AB914" s="362"/>
      <c r="AC914" s="362"/>
      <c r="AD914" s="362"/>
      <c r="AE914" s="362"/>
      <c r="AF914" s="362"/>
      <c r="AG914" s="362"/>
      <c r="AH914" s="362"/>
      <c r="AI914" s="393"/>
      <c r="AJ914" s="393"/>
      <c r="AK914" s="362"/>
      <c r="AL914" s="362"/>
      <c r="AM914" s="362"/>
      <c r="AN914" s="362"/>
      <c r="AO914" s="362"/>
      <c r="AP914" s="362"/>
      <c r="AQ914" s="362"/>
      <c r="AR914" s="362"/>
    </row>
    <row r="915" spans="1:44" ht="12.75" customHeight="1" x14ac:dyDescent="0.15">
      <c r="A915" s="431"/>
      <c r="B915" s="393"/>
      <c r="C915" s="428"/>
      <c r="D915" s="428">
        <v>549970.63877676928</v>
      </c>
      <c r="E915" s="224">
        <v>152213.6012268753</v>
      </c>
      <c r="F915" s="224">
        <v>4.7974240263910808</v>
      </c>
      <c r="G915" s="224">
        <v>4.2348728458684519</v>
      </c>
      <c r="H915" s="224">
        <v>2.1112451172137852</v>
      </c>
      <c r="I915" s="224">
        <v>1.879497708080814</v>
      </c>
      <c r="J915" s="224"/>
      <c r="M915" s="224">
        <f t="shared" si="48"/>
        <v>397757.03754989395</v>
      </c>
      <c r="N915" s="224">
        <f t="shared" si="49"/>
        <v>0.56255118052262887</v>
      </c>
      <c r="O915" s="224">
        <f t="shared" si="50"/>
        <v>0.2317474091329712</v>
      </c>
      <c r="Q915" s="224"/>
      <c r="R915" s="224"/>
      <c r="S915" s="429"/>
      <c r="Z915" s="362"/>
      <c r="AA915" s="421"/>
      <c r="AB915" s="362"/>
      <c r="AC915" s="362"/>
      <c r="AD915" s="362"/>
      <c r="AE915" s="362"/>
      <c r="AF915" s="362"/>
      <c r="AG915" s="362"/>
      <c r="AH915" s="362"/>
      <c r="AI915" s="393"/>
      <c r="AJ915" s="393"/>
      <c r="AK915" s="362"/>
      <c r="AL915" s="362"/>
      <c r="AM915" s="362"/>
      <c r="AN915" s="362"/>
      <c r="AO915" s="362"/>
      <c r="AP915" s="362"/>
      <c r="AQ915" s="362"/>
      <c r="AR915" s="362"/>
    </row>
    <row r="916" spans="1:44" ht="12.75" customHeight="1" x14ac:dyDescent="0.15">
      <c r="A916" s="431"/>
      <c r="B916" s="393"/>
      <c r="C916" s="428"/>
      <c r="D916" s="428">
        <v>705246.73591283895</v>
      </c>
      <c r="E916" s="224">
        <v>187670.50761629641</v>
      </c>
      <c r="F916" s="224">
        <v>5.4681695773789176</v>
      </c>
      <c r="G916" s="224">
        <v>3.9814537000834673</v>
      </c>
      <c r="H916" s="224">
        <v>3.620967165244549</v>
      </c>
      <c r="I916" s="224">
        <v>2.4157706068855829</v>
      </c>
      <c r="J916" s="224"/>
      <c r="M916" s="224">
        <f t="shared" si="48"/>
        <v>517576.22829654254</v>
      </c>
      <c r="N916" s="224">
        <f t="shared" si="49"/>
        <v>1.4867158772954503</v>
      </c>
      <c r="O916" s="224">
        <f t="shared" si="50"/>
        <v>1.2051965583589661</v>
      </c>
      <c r="Q916" s="224"/>
      <c r="R916" s="224"/>
      <c r="S916" s="429"/>
      <c r="Z916" s="362"/>
      <c r="AA916" s="421"/>
      <c r="AB916" s="362"/>
      <c r="AC916" s="362"/>
      <c r="AD916" s="362"/>
      <c r="AE916" s="362"/>
      <c r="AF916" s="362"/>
      <c r="AG916" s="362"/>
      <c r="AH916" s="362"/>
      <c r="AI916" s="393"/>
      <c r="AJ916" s="393"/>
      <c r="AK916" s="362"/>
      <c r="AL916" s="362"/>
      <c r="AM916" s="362"/>
      <c r="AN916" s="362"/>
      <c r="AO916" s="362"/>
      <c r="AP916" s="362"/>
      <c r="AQ916" s="362"/>
      <c r="AR916" s="362"/>
    </row>
    <row r="917" spans="1:44" ht="12.75" customHeight="1" x14ac:dyDescent="0.15">
      <c r="A917" s="431"/>
      <c r="B917" s="393"/>
      <c r="C917" s="428"/>
      <c r="D917" s="428">
        <v>716478.97425034049</v>
      </c>
      <c r="E917" s="224">
        <v>167371.15134648164</v>
      </c>
      <c r="F917" s="224">
        <v>4.3982964815216157</v>
      </c>
      <c r="G917" s="224">
        <v>4.0577856582939056</v>
      </c>
      <c r="H917" s="224">
        <v>2.7103756816753215</v>
      </c>
      <c r="I917" s="224">
        <v>2.2992388127278294</v>
      </c>
      <c r="J917" s="224"/>
      <c r="M917" s="224">
        <f t="shared" si="48"/>
        <v>549107.82290385885</v>
      </c>
      <c r="N917" s="224">
        <f t="shared" si="49"/>
        <v>0.34051082322771009</v>
      </c>
      <c r="O917" s="224">
        <f t="shared" si="50"/>
        <v>0.41113686894749213</v>
      </c>
      <c r="Q917" s="224"/>
      <c r="R917" s="224"/>
      <c r="S917" s="429"/>
      <c r="Z917" s="362"/>
      <c r="AA917" s="421"/>
      <c r="AB917" s="362"/>
      <c r="AC917" s="362"/>
      <c r="AD917" s="362"/>
      <c r="AE917" s="362"/>
      <c r="AF917" s="362"/>
      <c r="AG917" s="362"/>
      <c r="AH917" s="362"/>
      <c r="AI917" s="393"/>
      <c r="AJ917" s="393"/>
      <c r="AK917" s="362"/>
      <c r="AL917" s="362"/>
      <c r="AM917" s="362"/>
      <c r="AN917" s="362"/>
      <c r="AO917" s="362"/>
      <c r="AP917" s="362"/>
      <c r="AQ917" s="362"/>
      <c r="AR917" s="362"/>
    </row>
    <row r="918" spans="1:44" ht="12.75" customHeight="1" x14ac:dyDescent="0.15">
      <c r="A918" s="431"/>
      <c r="B918" s="393"/>
      <c r="C918" s="428"/>
      <c r="D918" s="428">
        <v>543295.78841477842</v>
      </c>
      <c r="E918" s="224">
        <v>169234.85642381315</v>
      </c>
      <c r="F918" s="224">
        <v>5.2232702029983855</v>
      </c>
      <c r="G918" s="224">
        <v>3.4132457910200853</v>
      </c>
      <c r="H918" s="224">
        <v>2.7734436826403135</v>
      </c>
      <c r="I918" s="224">
        <v>2.1667826039372282</v>
      </c>
      <c r="J918" s="224"/>
      <c r="M918" s="224">
        <f t="shared" si="48"/>
        <v>374060.93199096527</v>
      </c>
      <c r="N918" s="224">
        <f t="shared" si="49"/>
        <v>1.8100244119783002</v>
      </c>
      <c r="O918" s="224">
        <f t="shared" si="50"/>
        <v>0.60666107870308528</v>
      </c>
      <c r="Q918" s="224"/>
      <c r="R918" s="224"/>
      <c r="S918" s="429"/>
      <c r="Z918" s="362"/>
      <c r="AA918" s="421"/>
      <c r="AB918" s="362"/>
      <c r="AC918" s="362"/>
      <c r="AD918" s="362"/>
      <c r="AE918" s="362"/>
      <c r="AF918" s="362"/>
      <c r="AG918" s="362"/>
      <c r="AH918" s="362"/>
      <c r="AI918" s="393"/>
      <c r="AJ918" s="393"/>
      <c r="AK918" s="362"/>
      <c r="AL918" s="362"/>
      <c r="AM918" s="362"/>
      <c r="AN918" s="362"/>
      <c r="AO918" s="362"/>
      <c r="AP918" s="362"/>
      <c r="AQ918" s="362"/>
      <c r="AR918" s="362"/>
    </row>
    <row r="919" spans="1:44" ht="12.75" customHeight="1" x14ac:dyDescent="0.15">
      <c r="A919" s="431"/>
      <c r="B919" s="393"/>
      <c r="C919" s="428"/>
      <c r="D919" s="428">
        <v>707236.29277468647</v>
      </c>
      <c r="E919" s="224">
        <v>139949.38702163036</v>
      </c>
      <c r="F919" s="224">
        <v>4.5849947409222391</v>
      </c>
      <c r="G919" s="224">
        <v>3.7684754249541772</v>
      </c>
      <c r="H919" s="224">
        <v>2.6666141093768307</v>
      </c>
      <c r="I919" s="224">
        <v>1.9381508996297545</v>
      </c>
      <c r="J919" s="224"/>
      <c r="M919" s="224">
        <f t="shared" si="48"/>
        <v>567286.90575305605</v>
      </c>
      <c r="N919" s="224">
        <f t="shared" si="49"/>
        <v>0.81651931596806193</v>
      </c>
      <c r="O919" s="224">
        <f t="shared" si="50"/>
        <v>0.72846320974707623</v>
      </c>
      <c r="Q919" s="224"/>
      <c r="R919" s="224"/>
      <c r="S919" s="429"/>
      <c r="Z919" s="362"/>
      <c r="AA919" s="421"/>
      <c r="AB919" s="362"/>
      <c r="AC919" s="362"/>
      <c r="AD919" s="362"/>
      <c r="AE919" s="362"/>
      <c r="AF919" s="362"/>
      <c r="AG919" s="362"/>
      <c r="AH919" s="362"/>
      <c r="AI919" s="393"/>
      <c r="AJ919" s="393"/>
      <c r="AK919" s="362"/>
      <c r="AL919" s="362"/>
      <c r="AM919" s="362"/>
      <c r="AN919" s="362"/>
      <c r="AO919" s="362"/>
      <c r="AP919" s="362"/>
      <c r="AQ919" s="362"/>
      <c r="AR919" s="362"/>
    </row>
    <row r="920" spans="1:44" ht="12.75" customHeight="1" x14ac:dyDescent="0.15">
      <c r="A920" s="431"/>
      <c r="B920" s="393"/>
      <c r="C920" s="428"/>
      <c r="D920" s="428">
        <v>586805.96441501088</v>
      </c>
      <c r="E920" s="224">
        <v>105772.26795666541</v>
      </c>
      <c r="F920" s="224">
        <v>4.5989539768021013</v>
      </c>
      <c r="G920" s="224">
        <v>3.3592148635778538</v>
      </c>
      <c r="H920" s="224">
        <v>2.7011741650028509</v>
      </c>
      <c r="I920" s="224">
        <v>1.9621610114247825</v>
      </c>
      <c r="J920" s="224"/>
      <c r="M920" s="224">
        <f t="shared" si="48"/>
        <v>481033.69645834545</v>
      </c>
      <c r="N920" s="224">
        <f t="shared" si="49"/>
        <v>1.2397391132242475</v>
      </c>
      <c r="O920" s="224">
        <f t="shared" si="50"/>
        <v>0.7390131535780684</v>
      </c>
      <c r="Q920" s="224"/>
      <c r="R920" s="224"/>
      <c r="S920" s="429"/>
      <c r="Z920" s="362"/>
      <c r="AA920" s="421"/>
      <c r="AB920" s="362"/>
      <c r="AC920" s="362"/>
      <c r="AD920" s="362"/>
      <c r="AE920" s="362"/>
      <c r="AF920" s="362"/>
      <c r="AG920" s="362"/>
      <c r="AH920" s="362"/>
      <c r="AI920" s="393"/>
      <c r="AJ920" s="393"/>
      <c r="AK920" s="362"/>
      <c r="AL920" s="362"/>
      <c r="AM920" s="362"/>
      <c r="AN920" s="362"/>
      <c r="AO920" s="362"/>
      <c r="AP920" s="362"/>
      <c r="AQ920" s="362"/>
      <c r="AR920" s="362"/>
    </row>
    <row r="921" spans="1:44" ht="12.75" customHeight="1" x14ac:dyDescent="0.15">
      <c r="A921" s="431"/>
      <c r="B921" s="393"/>
      <c r="C921" s="428"/>
      <c r="D921" s="428">
        <v>748844.91215357638</v>
      </c>
      <c r="E921" s="224">
        <v>229220.07637555915</v>
      </c>
      <c r="F921" s="224">
        <v>4.8068244425180202</v>
      </c>
      <c r="G921" s="224">
        <v>3.8521380112613839</v>
      </c>
      <c r="H921" s="224">
        <v>2.4360879498743286</v>
      </c>
      <c r="I921" s="224">
        <v>1.8301270630528592</v>
      </c>
      <c r="J921" s="224"/>
      <c r="M921" s="224">
        <f t="shared" si="48"/>
        <v>519624.83577801724</v>
      </c>
      <c r="N921" s="224">
        <f t="shared" si="49"/>
        <v>0.95468643125663633</v>
      </c>
      <c r="O921" s="224">
        <f t="shared" si="50"/>
        <v>0.60596088682146942</v>
      </c>
      <c r="Q921" s="224"/>
      <c r="R921" s="224"/>
      <c r="S921" s="429"/>
      <c r="Z921" s="362"/>
      <c r="AA921" s="421"/>
      <c r="AB921" s="362"/>
      <c r="AC921" s="362"/>
      <c r="AD921" s="362"/>
      <c r="AE921" s="362"/>
      <c r="AF921" s="362"/>
      <c r="AG921" s="362"/>
      <c r="AH921" s="362"/>
      <c r="AI921" s="393"/>
      <c r="AJ921" s="393"/>
      <c r="AK921" s="362"/>
      <c r="AL921" s="362"/>
      <c r="AM921" s="362"/>
      <c r="AN921" s="362"/>
      <c r="AO921" s="362"/>
      <c r="AP921" s="362"/>
      <c r="AQ921" s="362"/>
      <c r="AR921" s="362"/>
    </row>
    <row r="922" spans="1:44" ht="12.75" customHeight="1" x14ac:dyDescent="0.15">
      <c r="A922" s="431"/>
      <c r="B922" s="393"/>
      <c r="C922" s="428"/>
      <c r="D922" s="428">
        <v>602262.05511016736</v>
      </c>
      <c r="E922" s="224">
        <v>172383.77412870375</v>
      </c>
      <c r="F922" s="224">
        <v>4.6965291454972018</v>
      </c>
      <c r="G922" s="224">
        <v>4.1838623227116507</v>
      </c>
      <c r="H922" s="224">
        <v>2.5987632603514141</v>
      </c>
      <c r="I922" s="224">
        <v>2.2142047933259241</v>
      </c>
      <c r="J922" s="224"/>
      <c r="M922" s="224">
        <f t="shared" si="48"/>
        <v>429878.28098146361</v>
      </c>
      <c r="N922" s="224">
        <f t="shared" si="49"/>
        <v>0.51266682278555109</v>
      </c>
      <c r="O922" s="224">
        <f t="shared" si="50"/>
        <v>0.38455846702549001</v>
      </c>
      <c r="Q922" s="224"/>
      <c r="R922" s="224"/>
      <c r="S922" s="429"/>
      <c r="Z922" s="362"/>
      <c r="AA922" s="421"/>
      <c r="AB922" s="362"/>
      <c r="AC922" s="362"/>
      <c r="AD922" s="362"/>
      <c r="AE922" s="362"/>
      <c r="AF922" s="362"/>
      <c r="AG922" s="362"/>
      <c r="AH922" s="362"/>
      <c r="AI922" s="393"/>
      <c r="AJ922" s="393"/>
      <c r="AK922" s="362"/>
      <c r="AL922" s="362"/>
      <c r="AM922" s="362"/>
      <c r="AN922" s="362"/>
      <c r="AO922" s="362"/>
      <c r="AP922" s="362"/>
      <c r="AQ922" s="362"/>
      <c r="AR922" s="362"/>
    </row>
    <row r="923" spans="1:44" ht="12.75" customHeight="1" x14ac:dyDescent="0.15">
      <c r="A923" s="431"/>
      <c r="B923" s="393"/>
      <c r="C923" s="428"/>
      <c r="D923" s="428">
        <v>632283.69339292624</v>
      </c>
      <c r="E923" s="224">
        <v>176228.16598695976</v>
      </c>
      <c r="F923" s="224">
        <v>5.015065931986471</v>
      </c>
      <c r="G923" s="224">
        <v>3.9260864951421186</v>
      </c>
      <c r="H923" s="224">
        <v>3.0184890763469872</v>
      </c>
      <c r="I923" s="224">
        <v>2.3296900047445197</v>
      </c>
      <c r="J923" s="224"/>
      <c r="M923" s="224">
        <f t="shared" si="48"/>
        <v>456055.52740596648</v>
      </c>
      <c r="N923" s="224">
        <f t="shared" si="49"/>
        <v>1.0889794368443524</v>
      </c>
      <c r="O923" s="224">
        <f t="shared" si="50"/>
        <v>0.68879907160246745</v>
      </c>
      <c r="Q923" s="224"/>
      <c r="R923" s="224"/>
      <c r="S923" s="429"/>
      <c r="Z923" s="362"/>
      <c r="AA923" s="421"/>
      <c r="AB923" s="362"/>
      <c r="AC923" s="362"/>
      <c r="AD923" s="362"/>
      <c r="AE923" s="362"/>
      <c r="AF923" s="362"/>
      <c r="AG923" s="362"/>
      <c r="AH923" s="362"/>
      <c r="AI923" s="393"/>
      <c r="AJ923" s="393"/>
      <c r="AK923" s="362"/>
      <c r="AL923" s="362"/>
      <c r="AM923" s="362"/>
      <c r="AN923" s="362"/>
      <c r="AO923" s="362"/>
      <c r="AP923" s="362"/>
      <c r="AQ923" s="362"/>
      <c r="AR923" s="362"/>
    </row>
    <row r="924" spans="1:44" ht="12.75" customHeight="1" x14ac:dyDescent="0.15">
      <c r="A924" s="431"/>
      <c r="B924" s="393"/>
      <c r="C924" s="428"/>
      <c r="D924" s="428">
        <v>600935.37547344249</v>
      </c>
      <c r="E924" s="224">
        <v>169084.87458712026</v>
      </c>
      <c r="F924" s="224">
        <v>4.561691600318162</v>
      </c>
      <c r="G924" s="224">
        <v>3.7815801035677574</v>
      </c>
      <c r="H924" s="224">
        <v>2.6981930474454825</v>
      </c>
      <c r="I924" s="224">
        <v>2.1672160518591754</v>
      </c>
      <c r="J924" s="224"/>
      <c r="M924" s="224">
        <f t="shared" si="48"/>
        <v>431850.50088632223</v>
      </c>
      <c r="N924" s="224">
        <f t="shared" si="49"/>
        <v>0.78011149675040459</v>
      </c>
      <c r="O924" s="224">
        <f t="shared" si="50"/>
        <v>0.53097699558630707</v>
      </c>
      <c r="Q924" s="224"/>
      <c r="R924" s="224"/>
      <c r="S924" s="429"/>
      <c r="Z924" s="362"/>
      <c r="AA924" s="421"/>
      <c r="AB924" s="362"/>
      <c r="AC924" s="362"/>
      <c r="AD924" s="362"/>
      <c r="AE924" s="362"/>
      <c r="AF924" s="362"/>
      <c r="AG924" s="362"/>
      <c r="AH924" s="362"/>
      <c r="AI924" s="393"/>
      <c r="AJ924" s="393"/>
      <c r="AK924" s="362"/>
      <c r="AL924" s="362"/>
      <c r="AM924" s="362"/>
      <c r="AN924" s="362"/>
      <c r="AO924" s="362"/>
      <c r="AP924" s="362"/>
      <c r="AQ924" s="362"/>
      <c r="AR924" s="362"/>
    </row>
    <row r="925" spans="1:44" ht="12.75" customHeight="1" x14ac:dyDescent="0.15">
      <c r="A925" s="431"/>
      <c r="B925" s="393"/>
      <c r="C925" s="428"/>
      <c r="D925" s="428">
        <v>571593.26667168108</v>
      </c>
      <c r="E925" s="224">
        <v>207591.49480465354</v>
      </c>
      <c r="F925" s="224">
        <v>4.770180661091187</v>
      </c>
      <c r="G925" s="224">
        <v>4.2889390752611334</v>
      </c>
      <c r="H925" s="224">
        <v>2.7324251237714381</v>
      </c>
      <c r="I925" s="224">
        <v>2.4313897933414013</v>
      </c>
      <c r="J925" s="224"/>
      <c r="M925" s="224">
        <f t="shared" si="48"/>
        <v>364001.77186702751</v>
      </c>
      <c r="N925" s="224">
        <f t="shared" si="49"/>
        <v>0.48124158583005361</v>
      </c>
      <c r="O925" s="224">
        <f t="shared" si="50"/>
        <v>0.30103533043003683</v>
      </c>
      <c r="Q925" s="224"/>
      <c r="R925" s="224"/>
      <c r="S925" s="429"/>
      <c r="Z925" s="362"/>
      <c r="AA925" s="421"/>
      <c r="AB925" s="362"/>
      <c r="AC925" s="362"/>
      <c r="AD925" s="362"/>
      <c r="AE925" s="362"/>
      <c r="AF925" s="362"/>
      <c r="AG925" s="362"/>
      <c r="AH925" s="362"/>
      <c r="AI925" s="393"/>
      <c r="AJ925" s="393"/>
      <c r="AK925" s="362"/>
      <c r="AL925" s="362"/>
      <c r="AM925" s="362"/>
      <c r="AN925" s="362"/>
      <c r="AO925" s="362"/>
      <c r="AP925" s="362"/>
      <c r="AQ925" s="362"/>
      <c r="AR925" s="362"/>
    </row>
    <row r="926" spans="1:44" ht="12.75" customHeight="1" x14ac:dyDescent="0.15">
      <c r="A926" s="431"/>
      <c r="B926" s="393"/>
      <c r="C926" s="428"/>
      <c r="D926" s="428">
        <v>550612.5025504306</v>
      </c>
      <c r="E926" s="224">
        <v>174899.13427599747</v>
      </c>
      <c r="F926" s="224">
        <v>4.5790314469183215</v>
      </c>
      <c r="G926" s="224">
        <v>4.0160890144698778</v>
      </c>
      <c r="H926" s="224">
        <v>2.8260554309500616</v>
      </c>
      <c r="I926" s="224">
        <v>2.4379827252781028</v>
      </c>
      <c r="J926" s="224"/>
      <c r="M926" s="224">
        <f t="shared" si="48"/>
        <v>375713.36827443313</v>
      </c>
      <c r="N926" s="224">
        <f t="shared" si="49"/>
        <v>0.56294243244844377</v>
      </c>
      <c r="O926" s="224">
        <f t="shared" si="50"/>
        <v>0.38807270567195884</v>
      </c>
      <c r="Q926" s="224"/>
      <c r="R926" s="224"/>
      <c r="S926" s="429"/>
      <c r="Z926" s="362"/>
      <c r="AA926" s="421"/>
      <c r="AB926" s="362"/>
      <c r="AC926" s="362"/>
      <c r="AD926" s="362"/>
      <c r="AE926" s="362"/>
      <c r="AF926" s="362"/>
      <c r="AG926" s="362"/>
      <c r="AH926" s="362"/>
      <c r="AI926" s="393"/>
      <c r="AJ926" s="393"/>
      <c r="AK926" s="362"/>
      <c r="AL926" s="362"/>
      <c r="AM926" s="362"/>
      <c r="AN926" s="362"/>
      <c r="AO926" s="362"/>
      <c r="AP926" s="362"/>
      <c r="AQ926" s="362"/>
      <c r="AR926" s="362"/>
    </row>
    <row r="927" spans="1:44" ht="12.75" customHeight="1" x14ac:dyDescent="0.15">
      <c r="A927" s="431"/>
      <c r="B927" s="393"/>
      <c r="C927" s="428"/>
      <c r="D927" s="428">
        <v>545866.23798298708</v>
      </c>
      <c r="E927" s="224">
        <v>144263.47766112216</v>
      </c>
      <c r="F927" s="224">
        <v>4.1519276975880288</v>
      </c>
      <c r="G927" s="224">
        <v>3.9723852977867242</v>
      </c>
      <c r="H927" s="224">
        <v>2.4320024932632518</v>
      </c>
      <c r="I927" s="224">
        <v>2.3829236657382462</v>
      </c>
      <c r="J927" s="224"/>
      <c r="M927" s="224">
        <f t="shared" si="48"/>
        <v>401602.76032186492</v>
      </c>
      <c r="N927" s="224">
        <f t="shared" si="49"/>
        <v>0.1795423998013046</v>
      </c>
      <c r="O927" s="224">
        <f t="shared" si="50"/>
        <v>4.9078827525005586E-2</v>
      </c>
      <c r="Q927" s="224"/>
      <c r="R927" s="224"/>
      <c r="S927" s="429"/>
      <c r="Z927" s="362"/>
      <c r="AA927" s="421"/>
      <c r="AB927" s="362"/>
      <c r="AC927" s="362"/>
      <c r="AD927" s="362"/>
      <c r="AE927" s="362"/>
      <c r="AF927" s="362"/>
      <c r="AG927" s="362"/>
      <c r="AH927" s="362"/>
      <c r="AI927" s="393"/>
      <c r="AJ927" s="393"/>
      <c r="AK927" s="362"/>
      <c r="AL927" s="362"/>
      <c r="AM927" s="362"/>
      <c r="AN927" s="362"/>
      <c r="AO927" s="362"/>
      <c r="AP927" s="362"/>
      <c r="AQ927" s="362"/>
      <c r="AR927" s="362"/>
    </row>
    <row r="928" spans="1:44" ht="12.75" customHeight="1" x14ac:dyDescent="0.15">
      <c r="A928" s="431"/>
      <c r="B928" s="393"/>
      <c r="C928" s="428"/>
      <c r="D928" s="428">
        <v>628455.43644103885</v>
      </c>
      <c r="E928" s="224">
        <v>125130.12272485031</v>
      </c>
      <c r="F928" s="224">
        <v>4.7549080389352154</v>
      </c>
      <c r="G928" s="224">
        <v>3.946591380899398</v>
      </c>
      <c r="H928" s="224">
        <v>2.8687435966251353</v>
      </c>
      <c r="I928" s="224">
        <v>2.2587729684543492</v>
      </c>
      <c r="J928" s="224"/>
      <c r="M928" s="224">
        <f t="shared" si="48"/>
        <v>503325.31371618854</v>
      </c>
      <c r="N928" s="224">
        <f t="shared" si="49"/>
        <v>0.80831665803581743</v>
      </c>
      <c r="O928" s="224">
        <f t="shared" si="50"/>
        <v>0.60997062817078618</v>
      </c>
      <c r="Q928" s="224"/>
      <c r="R928" s="224"/>
      <c r="S928" s="429"/>
      <c r="Z928" s="362"/>
      <c r="AA928" s="421"/>
      <c r="AB928" s="362"/>
      <c r="AC928" s="362"/>
      <c r="AD928" s="362"/>
      <c r="AE928" s="362"/>
      <c r="AF928" s="362"/>
      <c r="AG928" s="362"/>
      <c r="AH928" s="362"/>
      <c r="AI928" s="393"/>
      <c r="AJ928" s="393"/>
      <c r="AK928" s="362"/>
      <c r="AL928" s="362"/>
      <c r="AM928" s="362"/>
      <c r="AN928" s="362"/>
      <c r="AO928" s="362"/>
      <c r="AP928" s="362"/>
      <c r="AQ928" s="362"/>
      <c r="AR928" s="362"/>
    </row>
    <row r="929" spans="1:44" ht="12.75" customHeight="1" x14ac:dyDescent="0.15">
      <c r="A929" s="431"/>
      <c r="B929" s="393"/>
      <c r="C929" s="428"/>
      <c r="D929" s="428">
        <v>568846.96265819529</v>
      </c>
      <c r="E929" s="224">
        <v>129617.95671214041</v>
      </c>
      <c r="F929" s="224">
        <v>5.0666149013625255</v>
      </c>
      <c r="G929" s="224">
        <v>3.8626365090009616</v>
      </c>
      <c r="H929" s="224">
        <v>2.9828655107249604</v>
      </c>
      <c r="I929" s="224">
        <v>2.2667046658906234</v>
      </c>
      <c r="J929" s="224"/>
      <c r="M929" s="224">
        <f t="shared" si="48"/>
        <v>439229.00594605488</v>
      </c>
      <c r="N929" s="224">
        <f t="shared" si="49"/>
        <v>1.2039783923615639</v>
      </c>
      <c r="O929" s="224">
        <f t="shared" si="50"/>
        <v>0.71616084483433706</v>
      </c>
      <c r="Q929" s="224"/>
      <c r="R929" s="224"/>
      <c r="S929" s="429"/>
      <c r="Z929" s="362"/>
      <c r="AA929" s="421"/>
      <c r="AB929" s="362"/>
      <c r="AC929" s="362"/>
      <c r="AD929" s="362"/>
      <c r="AE929" s="362"/>
      <c r="AF929" s="362"/>
      <c r="AG929" s="362"/>
      <c r="AH929" s="362"/>
      <c r="AI929" s="393"/>
      <c r="AJ929" s="393"/>
      <c r="AK929" s="362"/>
      <c r="AL929" s="362"/>
      <c r="AM929" s="362"/>
      <c r="AN929" s="362"/>
      <c r="AO929" s="362"/>
      <c r="AP929" s="362"/>
      <c r="AQ929" s="362"/>
      <c r="AR929" s="362"/>
    </row>
    <row r="930" spans="1:44" ht="12.75" customHeight="1" x14ac:dyDescent="0.15">
      <c r="A930" s="431"/>
      <c r="B930" s="393"/>
      <c r="C930" s="428"/>
      <c r="D930" s="428">
        <v>590318.65467371338</v>
      </c>
      <c r="E930" s="224">
        <v>144304.02381430755</v>
      </c>
      <c r="F930" s="224">
        <v>4.7781929994411589</v>
      </c>
      <c r="G930" s="224">
        <v>3.5549339710147425</v>
      </c>
      <c r="H930" s="224">
        <v>2.9661821532317139</v>
      </c>
      <c r="I930" s="224">
        <v>2.1277617368674928</v>
      </c>
      <c r="J930" s="224"/>
      <c r="M930" s="224">
        <f t="shared" si="48"/>
        <v>446014.63085940585</v>
      </c>
      <c r="N930" s="224">
        <f t="shared" si="49"/>
        <v>1.2232590284264164</v>
      </c>
      <c r="O930" s="224">
        <f t="shared" si="50"/>
        <v>0.83842041636422104</v>
      </c>
      <c r="Q930" s="224"/>
      <c r="R930" s="224"/>
      <c r="S930" s="429"/>
      <c r="Z930" s="362"/>
      <c r="AA930" s="421"/>
      <c r="AB930" s="362"/>
      <c r="AC930" s="362"/>
      <c r="AD930" s="362"/>
      <c r="AE930" s="362"/>
      <c r="AF930" s="362"/>
      <c r="AG930" s="362"/>
      <c r="AH930" s="362"/>
      <c r="AI930" s="393"/>
      <c r="AJ930" s="393"/>
      <c r="AK930" s="362"/>
      <c r="AL930" s="362"/>
      <c r="AM930" s="362"/>
      <c r="AN930" s="362"/>
      <c r="AO930" s="362"/>
      <c r="AP930" s="362"/>
      <c r="AQ930" s="362"/>
      <c r="AR930" s="362"/>
    </row>
    <row r="931" spans="1:44" ht="12.75" customHeight="1" x14ac:dyDescent="0.15">
      <c r="A931" s="431"/>
      <c r="B931" s="393"/>
      <c r="C931" s="428"/>
      <c r="D931" s="428">
        <v>699780.1328609616</v>
      </c>
      <c r="E931" s="224">
        <v>169263.98761864839</v>
      </c>
      <c r="F931" s="224">
        <v>4.1375493817050941</v>
      </c>
      <c r="G931" s="224">
        <v>3.9813559252605568</v>
      </c>
      <c r="H931" s="224">
        <v>2.7233878187572675</v>
      </c>
      <c r="I931" s="224">
        <v>2.2218398160169635</v>
      </c>
      <c r="J931" s="224"/>
      <c r="M931" s="224">
        <f t="shared" si="48"/>
        <v>530516.14524231316</v>
      </c>
      <c r="N931" s="224">
        <f t="shared" si="49"/>
        <v>0.1561934564445373</v>
      </c>
      <c r="O931" s="224">
        <f t="shared" si="50"/>
        <v>0.50154800274030409</v>
      </c>
      <c r="Q931" s="224"/>
      <c r="R931" s="224"/>
      <c r="S931" s="429"/>
      <c r="Z931" s="362"/>
      <c r="AA931" s="421"/>
      <c r="AB931" s="362"/>
      <c r="AC931" s="362"/>
      <c r="AD931" s="362"/>
      <c r="AE931" s="362"/>
      <c r="AF931" s="362"/>
      <c r="AG931" s="362"/>
      <c r="AH931" s="362"/>
      <c r="AI931" s="393"/>
      <c r="AJ931" s="393"/>
      <c r="AK931" s="362"/>
      <c r="AL931" s="362"/>
      <c r="AM931" s="362"/>
      <c r="AN931" s="362"/>
      <c r="AO931" s="362"/>
      <c r="AP931" s="362"/>
      <c r="AQ931" s="362"/>
      <c r="AR931" s="362"/>
    </row>
    <row r="932" spans="1:44" ht="12.75" customHeight="1" x14ac:dyDescent="0.15">
      <c r="A932" s="431"/>
      <c r="B932" s="393"/>
      <c r="C932" s="428"/>
      <c r="D932" s="428">
        <v>577977.29694330925</v>
      </c>
      <c r="E932" s="224">
        <v>110275.77863756992</v>
      </c>
      <c r="F932" s="224">
        <v>4.4150745716172528</v>
      </c>
      <c r="G932" s="224">
        <v>3.4100017194585117</v>
      </c>
      <c r="H932" s="224">
        <v>2.60397568384934</v>
      </c>
      <c r="I932" s="224">
        <v>1.8927527308257674</v>
      </c>
      <c r="J932" s="224"/>
      <c r="M932" s="224">
        <f t="shared" si="48"/>
        <v>467701.51830573933</v>
      </c>
      <c r="N932" s="224">
        <f t="shared" si="49"/>
        <v>1.0050728521587411</v>
      </c>
      <c r="O932" s="224">
        <f t="shared" si="50"/>
        <v>0.71122295302357252</v>
      </c>
      <c r="Q932" s="224"/>
      <c r="R932" s="224"/>
      <c r="S932" s="429"/>
      <c r="Z932" s="362"/>
      <c r="AA932" s="421"/>
      <c r="AB932" s="362"/>
      <c r="AC932" s="362"/>
      <c r="AD932" s="362"/>
      <c r="AE932" s="362"/>
      <c r="AF932" s="362"/>
      <c r="AG932" s="362"/>
      <c r="AH932" s="362"/>
      <c r="AI932" s="393"/>
      <c r="AJ932" s="393"/>
      <c r="AK932" s="362"/>
      <c r="AL932" s="362"/>
      <c r="AM932" s="362"/>
      <c r="AN932" s="362"/>
      <c r="AO932" s="362"/>
      <c r="AP932" s="362"/>
      <c r="AQ932" s="362"/>
      <c r="AR932" s="362"/>
    </row>
    <row r="933" spans="1:44" ht="12.75" customHeight="1" x14ac:dyDescent="0.15">
      <c r="A933" s="431"/>
      <c r="B933" s="393"/>
      <c r="C933" s="428"/>
      <c r="D933" s="428">
        <v>497697.41357163456</v>
      </c>
      <c r="E933" s="224">
        <v>107446.65112823657</v>
      </c>
      <c r="F933" s="224">
        <v>4.4966782504214713</v>
      </c>
      <c r="G933" s="224">
        <v>3.9329745420136422</v>
      </c>
      <c r="H933" s="224">
        <v>2.5679557933622923</v>
      </c>
      <c r="I933" s="224">
        <v>2.1280107074578765</v>
      </c>
      <c r="J933" s="224"/>
      <c r="M933" s="224">
        <f t="shared" si="48"/>
        <v>390250.76244339801</v>
      </c>
      <c r="N933" s="224">
        <f t="shared" si="49"/>
        <v>0.56370370840782913</v>
      </c>
      <c r="O933" s="224">
        <f t="shared" si="50"/>
        <v>0.43994508590441583</v>
      </c>
      <c r="Q933" s="224"/>
      <c r="R933" s="224"/>
      <c r="S933" s="429"/>
      <c r="Z933" s="362"/>
      <c r="AA933" s="421"/>
      <c r="AB933" s="362"/>
      <c r="AC933" s="362"/>
      <c r="AD933" s="362"/>
      <c r="AE933" s="362"/>
      <c r="AF933" s="362"/>
      <c r="AG933" s="362"/>
      <c r="AH933" s="362"/>
      <c r="AI933" s="393"/>
      <c r="AJ933" s="393"/>
      <c r="AK933" s="362"/>
      <c r="AL933" s="362"/>
      <c r="AM933" s="362"/>
      <c r="AN933" s="362"/>
      <c r="AO933" s="362"/>
      <c r="AP933" s="362"/>
      <c r="AQ933" s="362"/>
      <c r="AR933" s="362"/>
    </row>
    <row r="934" spans="1:44" ht="12.75" customHeight="1" x14ac:dyDescent="0.15">
      <c r="A934" s="431"/>
      <c r="B934" s="393"/>
      <c r="C934" s="428"/>
      <c r="D934" s="428">
        <v>670435.24934346962</v>
      </c>
      <c r="E934" s="224">
        <v>193275.3651770736</v>
      </c>
      <c r="F934" s="224">
        <v>4.506005204737404</v>
      </c>
      <c r="G934" s="224">
        <v>3.7240210337968578</v>
      </c>
      <c r="H934" s="224">
        <v>2.85945410894124</v>
      </c>
      <c r="I934" s="224">
        <v>2.2786190585537502</v>
      </c>
      <c r="J934" s="224"/>
      <c r="M934" s="224">
        <f t="shared" si="48"/>
        <v>477159.88416639599</v>
      </c>
      <c r="N934" s="224">
        <f t="shared" si="49"/>
        <v>0.78198417094054617</v>
      </c>
      <c r="O934" s="224">
        <f t="shared" si="50"/>
        <v>0.58083505038748973</v>
      </c>
      <c r="Q934" s="224"/>
      <c r="R934" s="224"/>
      <c r="S934" s="429"/>
      <c r="Z934" s="362"/>
      <c r="AA934" s="421"/>
      <c r="AB934" s="362"/>
      <c r="AC934" s="362"/>
      <c r="AD934" s="362"/>
      <c r="AE934" s="362"/>
      <c r="AF934" s="362"/>
      <c r="AG934" s="362"/>
      <c r="AH934" s="362"/>
      <c r="AI934" s="393"/>
      <c r="AJ934" s="393"/>
      <c r="AK934" s="362"/>
      <c r="AL934" s="362"/>
      <c r="AM934" s="362"/>
      <c r="AN934" s="362"/>
      <c r="AO934" s="362"/>
      <c r="AP934" s="362"/>
      <c r="AQ934" s="362"/>
      <c r="AR934" s="362"/>
    </row>
    <row r="935" spans="1:44" ht="12.75" customHeight="1" x14ac:dyDescent="0.15">
      <c r="A935" s="431"/>
      <c r="B935" s="393"/>
      <c r="C935" s="428"/>
      <c r="D935" s="428">
        <v>660336.54612705321</v>
      </c>
      <c r="E935" s="224">
        <v>155485.18241738839</v>
      </c>
      <c r="F935" s="224">
        <v>4.1233251838656848</v>
      </c>
      <c r="G935" s="224">
        <v>3.6189431511276378</v>
      </c>
      <c r="H935" s="224">
        <v>3.0664946694335113</v>
      </c>
      <c r="I935" s="224">
        <v>2.2329300467654418</v>
      </c>
      <c r="J935" s="224"/>
      <c r="M935" s="224">
        <f t="shared" si="48"/>
        <v>504851.36370966479</v>
      </c>
      <c r="N935" s="224">
        <f t="shared" si="49"/>
        <v>0.50438203273804705</v>
      </c>
      <c r="O935" s="224">
        <f t="shared" si="50"/>
        <v>0.83356462266806952</v>
      </c>
      <c r="Q935" s="224"/>
      <c r="R935" s="224"/>
      <c r="S935" s="429"/>
      <c r="Z935" s="362"/>
      <c r="AA935" s="421"/>
      <c r="AB935" s="362"/>
      <c r="AC935" s="362"/>
      <c r="AD935" s="362"/>
      <c r="AE935" s="362"/>
      <c r="AF935" s="362"/>
      <c r="AG935" s="362"/>
      <c r="AH935" s="362"/>
      <c r="AI935" s="393"/>
      <c r="AJ935" s="393"/>
      <c r="AK935" s="362"/>
      <c r="AL935" s="362"/>
      <c r="AM935" s="362"/>
      <c r="AN935" s="362"/>
      <c r="AO935" s="362"/>
      <c r="AP935" s="362"/>
      <c r="AQ935" s="362"/>
      <c r="AR935" s="362"/>
    </row>
    <row r="936" spans="1:44" ht="12.75" customHeight="1" x14ac:dyDescent="0.15">
      <c r="A936" s="431"/>
      <c r="B936" s="393"/>
      <c r="C936" s="428"/>
      <c r="D936" s="428">
        <v>693831.84104249161</v>
      </c>
      <c r="E936" s="224">
        <v>229523.1581298596</v>
      </c>
      <c r="F936" s="224">
        <v>4.5188548513075872</v>
      </c>
      <c r="G936" s="224">
        <v>4.4039290072259538</v>
      </c>
      <c r="H936" s="224">
        <v>2.8393067786779103</v>
      </c>
      <c r="I936" s="224">
        <v>2.7108040525237675</v>
      </c>
      <c r="J936" s="224"/>
      <c r="M936" s="224">
        <f t="shared" si="48"/>
        <v>464308.68291263201</v>
      </c>
      <c r="N936" s="224">
        <f t="shared" si="49"/>
        <v>0.11492584408163342</v>
      </c>
      <c r="O936" s="224">
        <f t="shared" si="50"/>
        <v>0.12850272615414271</v>
      </c>
      <c r="Q936" s="224"/>
      <c r="R936" s="224"/>
      <c r="S936" s="429"/>
      <c r="Z936" s="362"/>
      <c r="AA936" s="421"/>
      <c r="AB936" s="362"/>
      <c r="AC936" s="362"/>
      <c r="AD936" s="362"/>
      <c r="AE936" s="362"/>
      <c r="AF936" s="362"/>
      <c r="AG936" s="362"/>
      <c r="AH936" s="362"/>
      <c r="AI936" s="393"/>
      <c r="AJ936" s="393"/>
      <c r="AK936" s="362"/>
      <c r="AL936" s="362"/>
      <c r="AM936" s="362"/>
      <c r="AN936" s="362"/>
      <c r="AO936" s="362"/>
      <c r="AP936" s="362"/>
      <c r="AQ936" s="362"/>
      <c r="AR936" s="362"/>
    </row>
    <row r="937" spans="1:44" ht="12.75" customHeight="1" x14ac:dyDescent="0.15">
      <c r="A937" s="431"/>
      <c r="B937" s="393"/>
      <c r="C937" s="428"/>
      <c r="D937" s="428">
        <v>682109.64992071502</v>
      </c>
      <c r="E937" s="224">
        <v>114198.90826395123</v>
      </c>
      <c r="F937" s="224">
        <v>4.5719480986636407</v>
      </c>
      <c r="G937" s="224">
        <v>4.0483379785806326</v>
      </c>
      <c r="H937" s="224">
        <v>2.8984368126046705</v>
      </c>
      <c r="I937" s="224">
        <v>2.1841457580789507</v>
      </c>
      <c r="J937" s="224"/>
      <c r="M937" s="224">
        <f t="shared" si="48"/>
        <v>567910.74165676383</v>
      </c>
      <c r="N937" s="224">
        <f t="shared" si="49"/>
        <v>0.52361012008300811</v>
      </c>
      <c r="O937" s="224">
        <f t="shared" si="50"/>
        <v>0.71429105452571973</v>
      </c>
      <c r="Q937" s="224"/>
      <c r="R937" s="224"/>
      <c r="S937" s="429"/>
      <c r="Z937" s="362"/>
      <c r="AA937" s="421"/>
      <c r="AB937" s="362"/>
      <c r="AC937" s="362"/>
      <c r="AD937" s="362"/>
      <c r="AE937" s="362"/>
      <c r="AF937" s="362"/>
      <c r="AG937" s="362"/>
      <c r="AH937" s="362"/>
      <c r="AI937" s="393"/>
      <c r="AJ937" s="393"/>
      <c r="AK937" s="362"/>
      <c r="AL937" s="362"/>
      <c r="AM937" s="362"/>
      <c r="AN937" s="362"/>
      <c r="AO937" s="362"/>
      <c r="AP937" s="362"/>
      <c r="AQ937" s="362"/>
      <c r="AR937" s="362"/>
    </row>
    <row r="938" spans="1:44" ht="12.75" customHeight="1" x14ac:dyDescent="0.15">
      <c r="A938" s="431"/>
      <c r="B938" s="393"/>
      <c r="C938" s="428"/>
      <c r="D938" s="428">
        <v>686214.20158953767</v>
      </c>
      <c r="E938" s="224">
        <v>160676.41178937806</v>
      </c>
      <c r="F938" s="224">
        <v>3.7005861746773352</v>
      </c>
      <c r="G938" s="224">
        <v>3.3274478645432661</v>
      </c>
      <c r="H938" s="224">
        <v>2.5719997226243629</v>
      </c>
      <c r="I938" s="224">
        <v>1.8987210081582786</v>
      </c>
      <c r="J938" s="224"/>
      <c r="M938" s="224">
        <f t="shared" si="48"/>
        <v>525537.78980015963</v>
      </c>
      <c r="N938" s="224">
        <f t="shared" si="49"/>
        <v>0.37313831013406906</v>
      </c>
      <c r="O938" s="224">
        <f t="shared" si="50"/>
        <v>0.67327871446608434</v>
      </c>
      <c r="Q938" s="224"/>
      <c r="R938" s="224"/>
      <c r="S938" s="429"/>
      <c r="Z938" s="362"/>
      <c r="AA938" s="421"/>
      <c r="AB938" s="362"/>
      <c r="AC938" s="362"/>
      <c r="AD938" s="362"/>
      <c r="AE938" s="362"/>
      <c r="AF938" s="362"/>
      <c r="AG938" s="362"/>
      <c r="AH938" s="362"/>
      <c r="AI938" s="393"/>
      <c r="AJ938" s="393"/>
      <c r="AK938" s="362"/>
      <c r="AL938" s="362"/>
      <c r="AM938" s="362"/>
      <c r="AN938" s="362"/>
      <c r="AO938" s="362"/>
      <c r="AP938" s="362"/>
      <c r="AQ938" s="362"/>
      <c r="AR938" s="362"/>
    </row>
    <row r="939" spans="1:44" ht="12.75" customHeight="1" x14ac:dyDescent="0.15">
      <c r="A939" s="431"/>
      <c r="B939" s="393"/>
      <c r="C939" s="428"/>
      <c r="D939" s="428">
        <v>614557.1125558113</v>
      </c>
      <c r="E939" s="224">
        <v>136347.47872932028</v>
      </c>
      <c r="F939" s="224">
        <v>4.3128394165416513</v>
      </c>
      <c r="G939" s="224">
        <v>3.3593180773307698</v>
      </c>
      <c r="H939" s="224">
        <v>2.5386149686678556</v>
      </c>
      <c r="I939" s="224">
        <v>1.8293534902707564</v>
      </c>
      <c r="J939" s="224"/>
      <c r="M939" s="224">
        <f t="shared" si="48"/>
        <v>478209.63382649102</v>
      </c>
      <c r="N939" s="224">
        <f t="shared" si="49"/>
        <v>0.95352133921088145</v>
      </c>
      <c r="O939" s="224">
        <f t="shared" si="50"/>
        <v>0.70926147839709919</v>
      </c>
      <c r="Q939" s="224"/>
      <c r="R939" s="224"/>
      <c r="S939" s="429"/>
      <c r="Z939" s="362"/>
      <c r="AA939" s="421"/>
      <c r="AB939" s="362"/>
      <c r="AC939" s="362"/>
      <c r="AD939" s="362"/>
      <c r="AE939" s="362"/>
      <c r="AF939" s="362"/>
      <c r="AG939" s="362"/>
      <c r="AH939" s="362"/>
      <c r="AI939" s="393"/>
      <c r="AJ939" s="393"/>
      <c r="AK939" s="362"/>
      <c r="AL939" s="362"/>
      <c r="AM939" s="362"/>
      <c r="AN939" s="362"/>
      <c r="AO939" s="362"/>
      <c r="AP939" s="362"/>
      <c r="AQ939" s="362"/>
      <c r="AR939" s="362"/>
    </row>
    <row r="940" spans="1:44" ht="12.75" customHeight="1" x14ac:dyDescent="0.15">
      <c r="A940" s="431"/>
      <c r="B940" s="393"/>
      <c r="C940" s="428"/>
      <c r="D940" s="428">
        <v>496678.77507143666</v>
      </c>
      <c r="E940" s="224">
        <v>110388.50036849693</v>
      </c>
      <c r="F940" s="224">
        <v>4.235604822254194</v>
      </c>
      <c r="G940" s="224">
        <v>3.2947425480613193</v>
      </c>
      <c r="H940" s="224">
        <v>2.3425822731100072</v>
      </c>
      <c r="I940" s="224">
        <v>1.8274215900946582</v>
      </c>
      <c r="J940" s="224"/>
      <c r="M940" s="224">
        <f t="shared" si="48"/>
        <v>386290.27470293973</v>
      </c>
      <c r="N940" s="224">
        <f t="shared" si="49"/>
        <v>0.94086227419287471</v>
      </c>
      <c r="O940" s="224">
        <f t="shared" si="50"/>
        <v>0.51516068301534901</v>
      </c>
      <c r="Q940" s="224"/>
      <c r="R940" s="224"/>
      <c r="S940" s="429"/>
      <c r="Z940" s="362"/>
      <c r="AA940" s="421"/>
      <c r="AB940" s="362"/>
      <c r="AC940" s="362"/>
      <c r="AD940" s="362"/>
      <c r="AE940" s="362"/>
      <c r="AF940" s="362"/>
      <c r="AG940" s="362"/>
      <c r="AH940" s="362"/>
      <c r="AI940" s="393"/>
      <c r="AJ940" s="393"/>
      <c r="AK940" s="362"/>
      <c r="AL940" s="362"/>
      <c r="AM940" s="362"/>
      <c r="AN940" s="362"/>
      <c r="AO940" s="362"/>
      <c r="AP940" s="362"/>
      <c r="AQ940" s="362"/>
      <c r="AR940" s="362"/>
    </row>
    <row r="941" spans="1:44" ht="12.75" customHeight="1" x14ac:dyDescent="0.15">
      <c r="A941" s="431"/>
      <c r="B941" s="393"/>
      <c r="C941" s="428"/>
      <c r="D941" s="428">
        <v>583865.44529508753</v>
      </c>
      <c r="E941" s="224">
        <v>119651.79647505902</v>
      </c>
      <c r="F941" s="224">
        <v>4.7342945907471945</v>
      </c>
      <c r="G941" s="224">
        <v>3.80870253998871</v>
      </c>
      <c r="H941" s="224">
        <v>2.8723124167232745</v>
      </c>
      <c r="I941" s="224">
        <v>2.3399348116638214</v>
      </c>
      <c r="J941" s="224"/>
      <c r="M941" s="224">
        <f t="shared" si="48"/>
        <v>464213.64882002852</v>
      </c>
      <c r="N941" s="224">
        <f t="shared" si="49"/>
        <v>0.9255920507584845</v>
      </c>
      <c r="O941" s="224">
        <f t="shared" si="50"/>
        <v>0.53237760505945309</v>
      </c>
      <c r="Q941" s="224"/>
      <c r="R941" s="224"/>
      <c r="S941" s="429"/>
      <c r="Z941" s="362"/>
      <c r="AA941" s="421"/>
      <c r="AB941" s="362"/>
      <c r="AC941" s="362"/>
      <c r="AD941" s="362"/>
      <c r="AE941" s="362"/>
      <c r="AF941" s="362"/>
      <c r="AG941" s="362"/>
      <c r="AH941" s="362"/>
      <c r="AI941" s="393"/>
      <c r="AJ941" s="393"/>
      <c r="AK941" s="362"/>
      <c r="AL941" s="362"/>
      <c r="AM941" s="362"/>
      <c r="AN941" s="362"/>
      <c r="AO941" s="362"/>
      <c r="AP941" s="362"/>
      <c r="AQ941" s="362"/>
      <c r="AR941" s="362"/>
    </row>
    <row r="942" spans="1:44" ht="12.75" customHeight="1" x14ac:dyDescent="0.15">
      <c r="A942" s="431"/>
      <c r="B942" s="393"/>
      <c r="C942" s="428"/>
      <c r="D942" s="428">
        <v>610029.3485541984</v>
      </c>
      <c r="E942" s="224">
        <v>193323.06541301147</v>
      </c>
      <c r="F942" s="224">
        <v>3.6968893753725323</v>
      </c>
      <c r="G942" s="224">
        <v>3.8880537382950271</v>
      </c>
      <c r="H942" s="224">
        <v>2.2312224348192093</v>
      </c>
      <c r="I942" s="224">
        <v>2.030623669322472</v>
      </c>
      <c r="J942" s="224"/>
      <c r="M942" s="224">
        <f t="shared" si="48"/>
        <v>416706.28314118693</v>
      </c>
      <c r="N942" s="224">
        <f t="shared" si="49"/>
        <v>-0.19116436292249483</v>
      </c>
      <c r="O942" s="224">
        <f t="shared" si="50"/>
        <v>0.20059876549673739</v>
      </c>
      <c r="Q942" s="224"/>
      <c r="R942" s="224"/>
      <c r="S942" s="429"/>
      <c r="Z942" s="362"/>
      <c r="AA942" s="421"/>
      <c r="AB942" s="362"/>
      <c r="AC942" s="362"/>
      <c r="AD942" s="362"/>
      <c r="AE942" s="362"/>
      <c r="AF942" s="362"/>
      <c r="AG942" s="362"/>
      <c r="AH942" s="362"/>
      <c r="AI942" s="393"/>
      <c r="AJ942" s="393"/>
      <c r="AK942" s="362"/>
      <c r="AL942" s="362"/>
      <c r="AM942" s="362"/>
      <c r="AN942" s="362"/>
      <c r="AO942" s="362"/>
      <c r="AP942" s="362"/>
      <c r="AQ942" s="362"/>
      <c r="AR942" s="362"/>
    </row>
    <row r="943" spans="1:44" ht="12.75" customHeight="1" x14ac:dyDescent="0.15">
      <c r="A943" s="431"/>
      <c r="B943" s="393"/>
      <c r="C943" s="428"/>
      <c r="D943" s="428">
        <v>649450.89587652986</v>
      </c>
      <c r="E943" s="224">
        <v>174470.08801026508</v>
      </c>
      <c r="F943" s="224">
        <v>4.2686321553732638</v>
      </c>
      <c r="G943" s="224">
        <v>4.1763749013880425</v>
      </c>
      <c r="H943" s="224">
        <v>2.6894130477252625</v>
      </c>
      <c r="I943" s="224">
        <v>2.4214309819687601</v>
      </c>
      <c r="J943" s="224"/>
      <c r="M943" s="224">
        <f t="shared" si="48"/>
        <v>474980.80786626477</v>
      </c>
      <c r="N943" s="224">
        <f t="shared" si="49"/>
        <v>9.2257253985221332E-2</v>
      </c>
      <c r="O943" s="224">
        <f t="shared" si="50"/>
        <v>0.26798206575650241</v>
      </c>
      <c r="Q943" s="224"/>
      <c r="R943" s="224"/>
      <c r="S943" s="429"/>
      <c r="Z943" s="362"/>
      <c r="AA943" s="421"/>
      <c r="AB943" s="362"/>
      <c r="AC943" s="362"/>
      <c r="AD943" s="362"/>
      <c r="AE943" s="362"/>
      <c r="AF943" s="362"/>
      <c r="AG943" s="362"/>
      <c r="AH943" s="362"/>
      <c r="AI943" s="393"/>
      <c r="AJ943" s="393"/>
      <c r="AK943" s="362"/>
      <c r="AL943" s="362"/>
      <c r="AM943" s="362"/>
      <c r="AN943" s="362"/>
      <c r="AO943" s="362"/>
      <c r="AP943" s="362"/>
      <c r="AQ943" s="362"/>
      <c r="AR943" s="362"/>
    </row>
    <row r="944" spans="1:44" ht="12.75" customHeight="1" x14ac:dyDescent="0.15">
      <c r="A944" s="431"/>
      <c r="B944" s="393"/>
      <c r="C944" s="428"/>
      <c r="D944" s="428">
        <v>643126.99207567878</v>
      </c>
      <c r="E944" s="224">
        <v>172201.49660381311</v>
      </c>
      <c r="F944" s="224">
        <v>4.5504516581922374</v>
      </c>
      <c r="G944" s="224">
        <v>3.5213697708791347</v>
      </c>
      <c r="H944" s="224">
        <v>2.9454542216499138</v>
      </c>
      <c r="I944" s="224">
        <v>2.1381521463286619</v>
      </c>
      <c r="J944" s="224"/>
      <c r="M944" s="224">
        <f t="shared" si="48"/>
        <v>470925.49547186564</v>
      </c>
      <c r="N944" s="224">
        <f t="shared" si="49"/>
        <v>1.0290818873131027</v>
      </c>
      <c r="O944" s="224">
        <f t="shared" si="50"/>
        <v>0.80730207532125187</v>
      </c>
      <c r="Q944" s="224"/>
      <c r="R944" s="224"/>
      <c r="S944" s="429"/>
      <c r="Z944" s="362"/>
      <c r="AA944" s="421"/>
      <c r="AB944" s="362"/>
      <c r="AC944" s="362"/>
      <c r="AD944" s="362"/>
      <c r="AE944" s="362"/>
      <c r="AF944" s="362"/>
      <c r="AG944" s="362"/>
      <c r="AH944" s="362"/>
      <c r="AI944" s="393"/>
      <c r="AJ944" s="393"/>
      <c r="AK944" s="362"/>
      <c r="AL944" s="362"/>
      <c r="AM944" s="362"/>
      <c r="AN944" s="362"/>
      <c r="AO944" s="362"/>
      <c r="AP944" s="362"/>
      <c r="AQ944" s="362"/>
      <c r="AR944" s="362"/>
    </row>
    <row r="945" spans="1:44" ht="12.75" customHeight="1" x14ac:dyDescent="0.15">
      <c r="A945" s="431"/>
      <c r="B945" s="393"/>
      <c r="C945" s="428"/>
      <c r="D945" s="428">
        <v>535795.92615485785</v>
      </c>
      <c r="E945" s="224">
        <v>134588.34477860504</v>
      </c>
      <c r="F945" s="224">
        <v>4.5943684518385863</v>
      </c>
      <c r="G945" s="224">
        <v>3.9743687819235807</v>
      </c>
      <c r="H945" s="224">
        <v>2.8939167765974676</v>
      </c>
      <c r="I945" s="224">
        <v>2.2810409352047887</v>
      </c>
      <c r="J945" s="224"/>
      <c r="M945" s="224">
        <f t="shared" si="48"/>
        <v>401207.58137625281</v>
      </c>
      <c r="N945" s="224">
        <f t="shared" si="49"/>
        <v>0.61999966991500566</v>
      </c>
      <c r="O945" s="224">
        <f t="shared" si="50"/>
        <v>0.61287584139267892</v>
      </c>
      <c r="Q945" s="224"/>
      <c r="R945" s="224"/>
      <c r="S945" s="429"/>
      <c r="Z945" s="362"/>
      <c r="AA945" s="421"/>
      <c r="AB945" s="362"/>
      <c r="AC945" s="362"/>
      <c r="AD945" s="362"/>
      <c r="AE945" s="362"/>
      <c r="AF945" s="362"/>
      <c r="AG945" s="362"/>
      <c r="AH945" s="362"/>
      <c r="AI945" s="393"/>
      <c r="AJ945" s="393"/>
      <c r="AK945" s="362"/>
      <c r="AL945" s="362"/>
      <c r="AM945" s="362"/>
      <c r="AN945" s="362"/>
      <c r="AO945" s="362"/>
      <c r="AP945" s="362"/>
      <c r="AQ945" s="362"/>
      <c r="AR945" s="362"/>
    </row>
    <row r="946" spans="1:44" ht="12.75" customHeight="1" x14ac:dyDescent="0.15">
      <c r="A946" s="431"/>
      <c r="B946" s="393"/>
      <c r="C946" s="428"/>
      <c r="D946" s="428">
        <v>626821.19577502005</v>
      </c>
      <c r="E946" s="224">
        <v>142302.81058057246</v>
      </c>
      <c r="F946" s="224">
        <v>3.7231071401032092</v>
      </c>
      <c r="G946" s="224">
        <v>4.0487933210980618</v>
      </c>
      <c r="H946" s="224">
        <v>2.5630768048478627</v>
      </c>
      <c r="I946" s="224">
        <v>2.3051099732823213</v>
      </c>
      <c r="J946" s="224"/>
      <c r="M946" s="224">
        <f t="shared" si="48"/>
        <v>484518.38519444759</v>
      </c>
      <c r="N946" s="224">
        <f t="shared" si="49"/>
        <v>-0.32568618099485258</v>
      </c>
      <c r="O946" s="224">
        <f t="shared" si="50"/>
        <v>0.25796683156554145</v>
      </c>
      <c r="Q946" s="224"/>
      <c r="R946" s="224"/>
      <c r="S946" s="429"/>
      <c r="Z946" s="362"/>
      <c r="AA946" s="421"/>
      <c r="AB946" s="362"/>
      <c r="AC946" s="362"/>
      <c r="AD946" s="362"/>
      <c r="AE946" s="362"/>
      <c r="AF946" s="362"/>
      <c r="AG946" s="362"/>
      <c r="AH946" s="362"/>
      <c r="AI946" s="393"/>
      <c r="AJ946" s="393"/>
      <c r="AK946" s="362"/>
      <c r="AL946" s="362"/>
      <c r="AM946" s="362"/>
      <c r="AN946" s="362"/>
      <c r="AO946" s="362"/>
      <c r="AP946" s="362"/>
      <c r="AQ946" s="362"/>
      <c r="AR946" s="362"/>
    </row>
    <row r="947" spans="1:44" ht="12.75" customHeight="1" x14ac:dyDescent="0.15">
      <c r="A947" s="431"/>
      <c r="B947" s="393"/>
      <c r="C947" s="428"/>
      <c r="D947" s="428">
        <v>692649.17876423022</v>
      </c>
      <c r="E947" s="224">
        <v>236922.52490563801</v>
      </c>
      <c r="F947" s="224">
        <v>4.4825719515097742</v>
      </c>
      <c r="G947" s="224">
        <v>4.125644784075539</v>
      </c>
      <c r="H947" s="224">
        <v>2.7872208228864221</v>
      </c>
      <c r="I947" s="224">
        <v>2.3676387998998383</v>
      </c>
      <c r="J947" s="224"/>
      <c r="M947" s="224">
        <f t="shared" si="48"/>
        <v>455726.65385859221</v>
      </c>
      <c r="N947" s="224">
        <f t="shared" si="49"/>
        <v>0.35692716743423514</v>
      </c>
      <c r="O947" s="224">
        <f t="shared" si="50"/>
        <v>0.41958202298658387</v>
      </c>
      <c r="Q947" s="224"/>
      <c r="R947" s="224"/>
      <c r="S947" s="429"/>
      <c r="Z947" s="362"/>
      <c r="AA947" s="421"/>
      <c r="AB947" s="362"/>
      <c r="AC947" s="362"/>
      <c r="AD947" s="362"/>
      <c r="AE947" s="362"/>
      <c r="AF947" s="362"/>
      <c r="AG947" s="362"/>
      <c r="AH947" s="362"/>
      <c r="AI947" s="393"/>
      <c r="AJ947" s="393"/>
      <c r="AK947" s="362"/>
      <c r="AL947" s="362"/>
      <c r="AM947" s="362"/>
      <c r="AN947" s="362"/>
      <c r="AO947" s="362"/>
      <c r="AP947" s="362"/>
      <c r="AQ947" s="362"/>
      <c r="AR947" s="362"/>
    </row>
    <row r="948" spans="1:44" ht="12.75" customHeight="1" x14ac:dyDescent="0.15">
      <c r="A948" s="431"/>
      <c r="B948" s="393"/>
      <c r="C948" s="428"/>
      <c r="D948" s="428">
        <v>698542.84317372355</v>
      </c>
      <c r="E948" s="224">
        <v>144836.61273201142</v>
      </c>
      <c r="F948" s="224">
        <v>4.7401794063165941</v>
      </c>
      <c r="G948" s="224">
        <v>4.4191471884144224</v>
      </c>
      <c r="H948" s="224">
        <v>2.8359305688926844</v>
      </c>
      <c r="I948" s="224">
        <v>2.3883189949801236</v>
      </c>
      <c r="J948" s="224"/>
      <c r="M948" s="224">
        <f t="shared" si="48"/>
        <v>553706.23044171208</v>
      </c>
      <c r="N948" s="224">
        <f t="shared" si="49"/>
        <v>0.32103221790217162</v>
      </c>
      <c r="O948" s="224">
        <f t="shared" si="50"/>
        <v>0.44761157391256079</v>
      </c>
      <c r="Q948" s="224"/>
      <c r="R948" s="224"/>
      <c r="S948" s="429"/>
      <c r="Z948" s="362"/>
      <c r="AA948" s="421"/>
      <c r="AB948" s="362"/>
      <c r="AC948" s="362"/>
      <c r="AD948" s="362"/>
      <c r="AE948" s="362"/>
      <c r="AF948" s="362"/>
      <c r="AG948" s="362"/>
      <c r="AH948" s="362"/>
      <c r="AI948" s="393"/>
      <c r="AJ948" s="393"/>
      <c r="AK948" s="362"/>
      <c r="AL948" s="362"/>
      <c r="AM948" s="362"/>
      <c r="AN948" s="362"/>
      <c r="AO948" s="362"/>
      <c r="AP948" s="362"/>
      <c r="AQ948" s="362"/>
      <c r="AR948" s="362"/>
    </row>
    <row r="949" spans="1:44" ht="12.75" customHeight="1" x14ac:dyDescent="0.15">
      <c r="A949" s="431"/>
      <c r="B949" s="393"/>
      <c r="C949" s="428"/>
      <c r="D949" s="428">
        <v>669326.9557144267</v>
      </c>
      <c r="E949" s="224">
        <v>189096.84917071875</v>
      </c>
      <c r="F949" s="224">
        <v>4.754940567502314</v>
      </c>
      <c r="G949" s="224">
        <v>3.9646315416378228</v>
      </c>
      <c r="H949" s="224">
        <v>2.7054863107937051</v>
      </c>
      <c r="I949" s="224">
        <v>2.2037623182408521</v>
      </c>
      <c r="J949" s="224"/>
      <c r="M949" s="224">
        <f t="shared" si="48"/>
        <v>480230.10654370795</v>
      </c>
      <c r="N949" s="224">
        <f t="shared" si="49"/>
        <v>0.79030902586449114</v>
      </c>
      <c r="O949" s="224">
        <f t="shared" si="50"/>
        <v>0.50172399255285294</v>
      </c>
      <c r="Q949" s="224"/>
      <c r="R949" s="224"/>
      <c r="S949" s="429"/>
      <c r="Z949" s="362"/>
      <c r="AA949" s="421"/>
      <c r="AB949" s="362"/>
      <c r="AC949" s="362"/>
      <c r="AD949" s="362"/>
      <c r="AE949" s="362"/>
      <c r="AF949" s="362"/>
      <c r="AG949" s="362"/>
      <c r="AH949" s="362"/>
      <c r="AI949" s="393"/>
      <c r="AJ949" s="393"/>
      <c r="AK949" s="362"/>
      <c r="AL949" s="362"/>
      <c r="AM949" s="362"/>
      <c r="AN949" s="362"/>
      <c r="AO949" s="362"/>
      <c r="AP949" s="362"/>
      <c r="AQ949" s="362"/>
      <c r="AR949" s="362"/>
    </row>
    <row r="950" spans="1:44" ht="12.75" customHeight="1" x14ac:dyDescent="0.15">
      <c r="A950" s="431"/>
      <c r="B950" s="393"/>
      <c r="C950" s="428"/>
      <c r="D950" s="428">
        <v>510630.05252249661</v>
      </c>
      <c r="E950" s="224">
        <v>110379.41988046348</v>
      </c>
      <c r="F950" s="224">
        <v>4.5500637769439347</v>
      </c>
      <c r="G950" s="224">
        <v>3.8809663716451435</v>
      </c>
      <c r="H950" s="224">
        <v>2.3548835992790647</v>
      </c>
      <c r="I950" s="224">
        <v>2.0298669956797268</v>
      </c>
      <c r="J950" s="224"/>
      <c r="M950" s="224">
        <f t="shared" si="48"/>
        <v>400250.63264203316</v>
      </c>
      <c r="N950" s="224">
        <f t="shared" si="49"/>
        <v>0.66909740529879125</v>
      </c>
      <c r="O950" s="224">
        <f t="shared" si="50"/>
        <v>0.32501660359933782</v>
      </c>
      <c r="Q950" s="224"/>
      <c r="R950" s="224"/>
      <c r="S950" s="429"/>
      <c r="Z950" s="362"/>
      <c r="AA950" s="421"/>
      <c r="AB950" s="362"/>
      <c r="AC950" s="362"/>
      <c r="AD950" s="362"/>
      <c r="AE950" s="362"/>
      <c r="AF950" s="362"/>
      <c r="AG950" s="362"/>
      <c r="AH950" s="362"/>
      <c r="AI950" s="393"/>
      <c r="AJ950" s="393"/>
      <c r="AK950" s="362"/>
      <c r="AL950" s="362"/>
      <c r="AM950" s="362"/>
      <c r="AN950" s="362"/>
      <c r="AO950" s="362"/>
      <c r="AP950" s="362"/>
      <c r="AQ950" s="362"/>
      <c r="AR950" s="362"/>
    </row>
    <row r="951" spans="1:44" ht="12.75" customHeight="1" x14ac:dyDescent="0.15">
      <c r="A951" s="431"/>
      <c r="B951" s="393"/>
      <c r="C951" s="428"/>
      <c r="D951" s="428">
        <v>645719.73377221636</v>
      </c>
      <c r="E951" s="224">
        <v>153106.11863520145</v>
      </c>
      <c r="F951" s="224">
        <v>4.3921901295974584</v>
      </c>
      <c r="G951" s="224">
        <v>3.6043452778473082</v>
      </c>
      <c r="H951" s="224">
        <v>2.4719389409111687</v>
      </c>
      <c r="I951" s="224">
        <v>1.9885058002497618</v>
      </c>
      <c r="J951" s="224"/>
      <c r="M951" s="224">
        <f t="shared" si="48"/>
        <v>492613.61513701489</v>
      </c>
      <c r="N951" s="224">
        <f t="shared" si="49"/>
        <v>0.78784485175015018</v>
      </c>
      <c r="O951" s="224">
        <f t="shared" si="50"/>
        <v>0.48343314066140697</v>
      </c>
      <c r="Q951" s="224"/>
      <c r="R951" s="224"/>
      <c r="S951" s="429"/>
      <c r="Z951" s="362"/>
      <c r="AA951" s="421"/>
      <c r="AB951" s="362"/>
      <c r="AC951" s="362"/>
      <c r="AD951" s="362"/>
      <c r="AE951" s="362"/>
      <c r="AF951" s="362"/>
      <c r="AG951" s="362"/>
      <c r="AH951" s="362"/>
      <c r="AI951" s="393"/>
      <c r="AJ951" s="393"/>
      <c r="AK951" s="362"/>
      <c r="AL951" s="362"/>
      <c r="AM951" s="362"/>
      <c r="AN951" s="362"/>
      <c r="AO951" s="362"/>
      <c r="AP951" s="362"/>
      <c r="AQ951" s="362"/>
      <c r="AR951" s="362"/>
    </row>
    <row r="952" spans="1:44" ht="12.75" customHeight="1" x14ac:dyDescent="0.15">
      <c r="A952" s="431"/>
      <c r="B952" s="393"/>
      <c r="C952" s="428"/>
      <c r="D952" s="428">
        <v>617077.96578285424</v>
      </c>
      <c r="E952" s="224">
        <v>145174.76257142192</v>
      </c>
      <c r="F952" s="224">
        <v>4.1445408950606835</v>
      </c>
      <c r="G952" s="224">
        <v>3.9386113063606549</v>
      </c>
      <c r="H952" s="224">
        <v>2.6920922258417979</v>
      </c>
      <c r="I952" s="224">
        <v>2.3186332022178973</v>
      </c>
      <c r="J952" s="224"/>
      <c r="M952" s="224">
        <f t="shared" si="48"/>
        <v>471903.20321143232</v>
      </c>
      <c r="N952" s="224">
        <f t="shared" si="49"/>
        <v>0.20592958870002853</v>
      </c>
      <c r="O952" s="224">
        <f t="shared" si="50"/>
        <v>0.3734590236239006</v>
      </c>
      <c r="Q952" s="224"/>
      <c r="R952" s="224"/>
      <c r="S952" s="429"/>
      <c r="Z952" s="362"/>
      <c r="AA952" s="421"/>
      <c r="AB952" s="362"/>
      <c r="AC952" s="362"/>
      <c r="AD952" s="362"/>
      <c r="AE952" s="362"/>
      <c r="AF952" s="362"/>
      <c r="AG952" s="362"/>
      <c r="AH952" s="362"/>
      <c r="AI952" s="393"/>
      <c r="AJ952" s="393"/>
      <c r="AK952" s="362"/>
      <c r="AL952" s="362"/>
      <c r="AM952" s="362"/>
      <c r="AN952" s="362"/>
      <c r="AO952" s="362"/>
      <c r="AP952" s="362"/>
      <c r="AQ952" s="362"/>
      <c r="AR952" s="362"/>
    </row>
    <row r="953" spans="1:44" ht="12.75" customHeight="1" x14ac:dyDescent="0.15">
      <c r="A953" s="431"/>
      <c r="B953" s="393"/>
      <c r="C953" s="428"/>
      <c r="D953" s="428">
        <v>581100.67161854857</v>
      </c>
      <c r="E953" s="224">
        <v>121614.28971179017</v>
      </c>
      <c r="F953" s="224">
        <v>4.5604515750746906</v>
      </c>
      <c r="G953" s="224">
        <v>4.4073832423762243</v>
      </c>
      <c r="H953" s="224">
        <v>2.7506436349723575</v>
      </c>
      <c r="I953" s="224">
        <v>2.4736227527216004</v>
      </c>
      <c r="J953" s="224"/>
      <c r="M953" s="224">
        <f t="shared" si="48"/>
        <v>459486.38190675841</v>
      </c>
      <c r="N953" s="224">
        <f t="shared" si="49"/>
        <v>0.15306833269846631</v>
      </c>
      <c r="O953" s="224">
        <f t="shared" si="50"/>
        <v>0.27702088225075716</v>
      </c>
      <c r="Q953" s="224"/>
      <c r="R953" s="224"/>
      <c r="S953" s="429"/>
      <c r="Z953" s="362"/>
      <c r="AA953" s="421"/>
      <c r="AB953" s="362"/>
      <c r="AC953" s="362"/>
      <c r="AD953" s="362"/>
      <c r="AE953" s="362"/>
      <c r="AF953" s="362"/>
      <c r="AG953" s="362"/>
      <c r="AH953" s="362"/>
      <c r="AI953" s="393"/>
      <c r="AJ953" s="393"/>
      <c r="AK953" s="362"/>
      <c r="AL953" s="362"/>
      <c r="AM953" s="362"/>
      <c r="AN953" s="362"/>
      <c r="AO953" s="362"/>
      <c r="AP953" s="362"/>
      <c r="AQ953" s="362"/>
      <c r="AR953" s="362"/>
    </row>
    <row r="954" spans="1:44" ht="12.75" customHeight="1" x14ac:dyDescent="0.15">
      <c r="A954" s="431"/>
      <c r="B954" s="393"/>
      <c r="C954" s="428"/>
      <c r="D954" s="428">
        <v>578403.451034197</v>
      </c>
      <c r="E954" s="224">
        <v>167241.61969556994</v>
      </c>
      <c r="F954" s="224">
        <v>4.1645624959626826</v>
      </c>
      <c r="G954" s="224">
        <v>4.4780167101706079</v>
      </c>
      <c r="H954" s="224">
        <v>2.5432555326193058</v>
      </c>
      <c r="I954" s="224">
        <v>2.6070535121476603</v>
      </c>
      <c r="J954" s="224"/>
      <c r="M954" s="224">
        <f t="shared" si="48"/>
        <v>411161.83133862703</v>
      </c>
      <c r="N954" s="224">
        <f t="shared" si="49"/>
        <v>-0.3134542142079253</v>
      </c>
      <c r="O954" s="224">
        <f t="shared" si="50"/>
        <v>-6.3797979528354531E-2</v>
      </c>
      <c r="Q954" s="224"/>
      <c r="R954" s="224"/>
      <c r="S954" s="429"/>
      <c r="Z954" s="362"/>
      <c r="AA954" s="421"/>
      <c r="AB954" s="362"/>
      <c r="AC954" s="362"/>
      <c r="AD954" s="362"/>
      <c r="AE954" s="362"/>
      <c r="AF954" s="362"/>
      <c r="AG954" s="362"/>
      <c r="AH954" s="362"/>
      <c r="AI954" s="393"/>
      <c r="AJ954" s="393"/>
      <c r="AK954" s="362"/>
      <c r="AL954" s="362"/>
      <c r="AM954" s="362"/>
      <c r="AN954" s="362"/>
      <c r="AO954" s="362"/>
      <c r="AP954" s="362"/>
      <c r="AQ954" s="362"/>
      <c r="AR954" s="362"/>
    </row>
    <row r="955" spans="1:44" ht="12.75" customHeight="1" x14ac:dyDescent="0.15">
      <c r="A955" s="431"/>
      <c r="B955" s="393"/>
      <c r="C955" s="428"/>
      <c r="D955" s="428">
        <v>610170.5476935053</v>
      </c>
      <c r="E955" s="224">
        <v>162387.72466789657</v>
      </c>
      <c r="F955" s="224">
        <v>4.6265507773632368</v>
      </c>
      <c r="G955" s="224">
        <v>3.6683463547620652</v>
      </c>
      <c r="H955" s="224">
        <v>2.637677754625364</v>
      </c>
      <c r="I955" s="224">
        <v>1.9132656640769061</v>
      </c>
      <c r="J955" s="224"/>
      <c r="M955" s="224">
        <f t="shared" si="48"/>
        <v>447782.82302560873</v>
      </c>
      <c r="N955" s="224">
        <f t="shared" si="49"/>
        <v>0.95820442260117167</v>
      </c>
      <c r="O955" s="224">
        <f t="shared" si="50"/>
        <v>0.7244120905484579</v>
      </c>
      <c r="Q955" s="224"/>
      <c r="R955" s="224"/>
      <c r="S955" s="429"/>
      <c r="Z955" s="362"/>
      <c r="AA955" s="421"/>
      <c r="AB955" s="362"/>
      <c r="AC955" s="362"/>
      <c r="AD955" s="362"/>
      <c r="AE955" s="362"/>
      <c r="AF955" s="362"/>
      <c r="AG955" s="362"/>
      <c r="AH955" s="362"/>
      <c r="AI955" s="393"/>
      <c r="AJ955" s="393"/>
      <c r="AK955" s="362"/>
      <c r="AL955" s="362"/>
      <c r="AM955" s="362"/>
      <c r="AN955" s="362"/>
      <c r="AO955" s="362"/>
      <c r="AP955" s="362"/>
      <c r="AQ955" s="362"/>
      <c r="AR955" s="362"/>
    </row>
    <row r="956" spans="1:44" ht="12.75" customHeight="1" x14ac:dyDescent="0.15">
      <c r="A956" s="431"/>
      <c r="B956" s="393"/>
      <c r="C956" s="428"/>
      <c r="D956" s="428">
        <v>591020.10310718615</v>
      </c>
      <c r="E956" s="224">
        <v>179070.78316737703</v>
      </c>
      <c r="F956" s="224">
        <v>4.5218938532735589</v>
      </c>
      <c r="G956" s="224">
        <v>4.1546291446520582</v>
      </c>
      <c r="H956" s="224">
        <v>2.606952262876431</v>
      </c>
      <c r="I956" s="224">
        <v>2.3163125440635466</v>
      </c>
      <c r="J956" s="224"/>
      <c r="M956" s="224">
        <f t="shared" si="48"/>
        <v>411949.31993980915</v>
      </c>
      <c r="N956" s="224">
        <f t="shared" si="49"/>
        <v>0.36726470862150062</v>
      </c>
      <c r="O956" s="224">
        <f t="shared" si="50"/>
        <v>0.29063971881288442</v>
      </c>
      <c r="Q956" s="224"/>
      <c r="R956" s="224"/>
      <c r="S956" s="429"/>
      <c r="Z956" s="362"/>
      <c r="AA956" s="421"/>
      <c r="AB956" s="362"/>
      <c r="AC956" s="362"/>
      <c r="AD956" s="362"/>
      <c r="AE956" s="362"/>
      <c r="AF956" s="362"/>
      <c r="AG956" s="362"/>
      <c r="AH956" s="362"/>
      <c r="AI956" s="393"/>
      <c r="AJ956" s="393"/>
      <c r="AK956" s="362"/>
      <c r="AL956" s="362"/>
      <c r="AM956" s="362"/>
      <c r="AN956" s="362"/>
      <c r="AO956" s="362"/>
      <c r="AP956" s="362"/>
      <c r="AQ956" s="362"/>
      <c r="AR956" s="362"/>
    </row>
    <row r="957" spans="1:44" ht="12.75" customHeight="1" x14ac:dyDescent="0.15">
      <c r="A957" s="431"/>
      <c r="B957" s="393"/>
      <c r="C957" s="428"/>
      <c r="D957" s="428">
        <v>575662.75917278521</v>
      </c>
      <c r="E957" s="224">
        <v>164778.06904064032</v>
      </c>
      <c r="F957" s="224">
        <v>3.9780967566216692</v>
      </c>
      <c r="G957" s="224">
        <v>3.9056721675131554</v>
      </c>
      <c r="H957" s="224">
        <v>2.0132481787624346</v>
      </c>
      <c r="I957" s="224">
        <v>1.9487017287349864</v>
      </c>
      <c r="J957" s="224"/>
      <c r="M957" s="224">
        <f t="shared" si="48"/>
        <v>410884.6901321449</v>
      </c>
      <c r="N957" s="224">
        <f t="shared" si="49"/>
        <v>7.2424589108513793E-2</v>
      </c>
      <c r="O957" s="224">
        <f t="shared" si="50"/>
        <v>6.4546450027448188E-2</v>
      </c>
      <c r="Q957" s="224"/>
      <c r="R957" s="224"/>
      <c r="S957" s="429"/>
      <c r="Z957" s="362"/>
      <c r="AA957" s="421"/>
      <c r="AB957" s="362"/>
      <c r="AC957" s="362"/>
      <c r="AD957" s="362"/>
      <c r="AE957" s="362"/>
      <c r="AF957" s="362"/>
      <c r="AG957" s="362"/>
      <c r="AH957" s="362"/>
      <c r="AI957" s="393"/>
      <c r="AJ957" s="393"/>
      <c r="AK957" s="362"/>
      <c r="AL957" s="362"/>
      <c r="AM957" s="362"/>
      <c r="AN957" s="362"/>
      <c r="AO957" s="362"/>
      <c r="AP957" s="362"/>
      <c r="AQ957" s="362"/>
      <c r="AR957" s="362"/>
    </row>
    <row r="958" spans="1:44" ht="12.75" customHeight="1" x14ac:dyDescent="0.15">
      <c r="A958" s="431"/>
      <c r="B958" s="393"/>
      <c r="C958" s="428"/>
      <c r="D958" s="428">
        <v>564750.18232634966</v>
      </c>
      <c r="E958" s="224">
        <v>119737.4944019778</v>
      </c>
      <c r="F958" s="224">
        <v>4.7057133138293024</v>
      </c>
      <c r="G958" s="224">
        <v>4.263316511436483</v>
      </c>
      <c r="H958" s="224">
        <v>2.7086709599712386</v>
      </c>
      <c r="I958" s="224">
        <v>2.3895233593781655</v>
      </c>
      <c r="J958" s="224"/>
      <c r="M958" s="224">
        <f t="shared" si="48"/>
        <v>445012.68792437186</v>
      </c>
      <c r="N958" s="224">
        <f t="shared" si="49"/>
        <v>0.44239680239281931</v>
      </c>
      <c r="O958" s="224">
        <f t="shared" si="50"/>
        <v>0.31914760059307312</v>
      </c>
      <c r="Q958" s="224"/>
      <c r="R958" s="224"/>
      <c r="S958" s="429"/>
      <c r="Z958" s="362"/>
      <c r="AA958" s="421"/>
      <c r="AB958" s="362"/>
      <c r="AC958" s="362"/>
      <c r="AD958" s="362"/>
      <c r="AE958" s="362"/>
      <c r="AF958" s="362"/>
      <c r="AG958" s="362"/>
      <c r="AH958" s="362"/>
      <c r="AI958" s="393"/>
      <c r="AJ958" s="393"/>
      <c r="AK958" s="362"/>
      <c r="AL958" s="362"/>
      <c r="AM958" s="362"/>
      <c r="AN958" s="362"/>
      <c r="AO958" s="362"/>
      <c r="AP958" s="362"/>
      <c r="AQ958" s="362"/>
      <c r="AR958" s="362"/>
    </row>
    <row r="959" spans="1:44" ht="12.75" customHeight="1" x14ac:dyDescent="0.15">
      <c r="A959" s="431"/>
      <c r="B959" s="393"/>
      <c r="C959" s="428"/>
      <c r="D959" s="428">
        <v>567555.66208271089</v>
      </c>
      <c r="E959" s="224">
        <v>133287.0364486624</v>
      </c>
      <c r="F959" s="224">
        <v>3.859480758346816</v>
      </c>
      <c r="G959" s="224">
        <v>4.214537628778622</v>
      </c>
      <c r="H959" s="224">
        <v>2.4756653327866727</v>
      </c>
      <c r="I959" s="224">
        <v>2.3855963471980282</v>
      </c>
      <c r="J959" s="224"/>
      <c r="M959" s="224">
        <f t="shared" si="48"/>
        <v>434268.62563404848</v>
      </c>
      <c r="N959" s="224">
        <f t="shared" si="49"/>
        <v>-0.355056870431806</v>
      </c>
      <c r="O959" s="224">
        <f t="shared" si="50"/>
        <v>9.0068985588644512E-2</v>
      </c>
      <c r="Q959" s="224"/>
      <c r="R959" s="224"/>
      <c r="S959" s="429"/>
      <c r="Z959" s="362"/>
      <c r="AA959" s="421"/>
      <c r="AB959" s="362"/>
      <c r="AC959" s="362"/>
      <c r="AD959" s="362"/>
      <c r="AE959" s="362"/>
      <c r="AF959" s="362"/>
      <c r="AG959" s="362"/>
      <c r="AH959" s="362"/>
      <c r="AI959" s="393"/>
      <c r="AJ959" s="393"/>
      <c r="AK959" s="362"/>
      <c r="AL959" s="362"/>
      <c r="AM959" s="362"/>
      <c r="AN959" s="362"/>
      <c r="AO959" s="362"/>
      <c r="AP959" s="362"/>
      <c r="AQ959" s="362"/>
      <c r="AR959" s="362"/>
    </row>
    <row r="960" spans="1:44" ht="12.75" customHeight="1" x14ac:dyDescent="0.15">
      <c r="A960" s="431"/>
      <c r="B960" s="393"/>
      <c r="C960" s="428"/>
      <c r="D960" s="428">
        <v>593523.13858256035</v>
      </c>
      <c r="E960" s="224">
        <v>138544.58664576203</v>
      </c>
      <c r="F960" s="224">
        <v>3.9651918708413021</v>
      </c>
      <c r="G960" s="224">
        <v>3.3270474456965307</v>
      </c>
      <c r="H960" s="224">
        <v>2.5910996362514926</v>
      </c>
      <c r="I960" s="224">
        <v>2.1449223978771252</v>
      </c>
      <c r="J960" s="224"/>
      <c r="M960" s="224">
        <f t="shared" si="48"/>
        <v>454978.55193679832</v>
      </c>
      <c r="N960" s="224">
        <f t="shared" si="49"/>
        <v>0.63814442514477143</v>
      </c>
      <c r="O960" s="224">
        <f t="shared" si="50"/>
        <v>0.4461772383743674</v>
      </c>
      <c r="Q960" s="224"/>
      <c r="R960" s="224"/>
      <c r="S960" s="429"/>
      <c r="Z960" s="362"/>
      <c r="AA960" s="421"/>
      <c r="AB960" s="362"/>
      <c r="AC960" s="362"/>
      <c r="AD960" s="362"/>
      <c r="AE960" s="362"/>
      <c r="AF960" s="362"/>
      <c r="AG960" s="362"/>
      <c r="AH960" s="362"/>
      <c r="AI960" s="393"/>
      <c r="AJ960" s="393"/>
      <c r="AK960" s="362"/>
      <c r="AL960" s="362"/>
      <c r="AM960" s="362"/>
      <c r="AN960" s="362"/>
      <c r="AO960" s="362"/>
      <c r="AP960" s="362"/>
      <c r="AQ960" s="362"/>
      <c r="AR960" s="362"/>
    </row>
    <row r="961" spans="1:44" ht="12.75" customHeight="1" x14ac:dyDescent="0.15">
      <c r="A961" s="431"/>
      <c r="B961" s="393"/>
      <c r="C961" s="428"/>
      <c r="D961" s="428">
        <v>672558.6450764914</v>
      </c>
      <c r="E961" s="224">
        <v>131772.34774707185</v>
      </c>
      <c r="F961" s="224">
        <v>4.3603162173540948</v>
      </c>
      <c r="G961" s="224">
        <v>3.2989524870402107</v>
      </c>
      <c r="H961" s="224">
        <v>2.6294712454947602</v>
      </c>
      <c r="I961" s="224">
        <v>1.8599247726682873</v>
      </c>
      <c r="J961" s="224"/>
      <c r="M961" s="224">
        <f t="shared" si="48"/>
        <v>540786.29732941953</v>
      </c>
      <c r="N961" s="224">
        <f t="shared" si="49"/>
        <v>1.0613637303138841</v>
      </c>
      <c r="O961" s="224">
        <f t="shared" si="50"/>
        <v>0.76954647282647293</v>
      </c>
      <c r="Q961" s="224"/>
      <c r="R961" s="224"/>
      <c r="S961" s="429"/>
      <c r="Z961" s="362"/>
      <c r="AA961" s="421"/>
      <c r="AB961" s="362"/>
      <c r="AC961" s="362"/>
      <c r="AD961" s="362"/>
      <c r="AE961" s="362"/>
      <c r="AF961" s="362"/>
      <c r="AG961" s="362"/>
      <c r="AH961" s="362"/>
      <c r="AI961" s="393"/>
      <c r="AJ961" s="393"/>
      <c r="AK961" s="362"/>
      <c r="AL961" s="362"/>
      <c r="AM961" s="362"/>
      <c r="AN961" s="362"/>
      <c r="AO961" s="362"/>
      <c r="AP961" s="362"/>
      <c r="AQ961" s="362"/>
      <c r="AR961" s="362"/>
    </row>
    <row r="962" spans="1:44" ht="12.75" customHeight="1" x14ac:dyDescent="0.15">
      <c r="A962" s="431"/>
      <c r="B962" s="393"/>
      <c r="C962" s="428"/>
      <c r="D962" s="428">
        <v>457576.62702326907</v>
      </c>
      <c r="E962" s="224">
        <v>106752.90528454189</v>
      </c>
      <c r="F962" s="224">
        <v>4.2446831525099951</v>
      </c>
      <c r="G962" s="224">
        <v>4.4142312628643454</v>
      </c>
      <c r="H962" s="224">
        <v>2.4042941477261461</v>
      </c>
      <c r="I962" s="224">
        <v>2.355767815063317</v>
      </c>
      <c r="J962" s="224"/>
      <c r="M962" s="224">
        <f t="shared" si="48"/>
        <v>350823.72173872718</v>
      </c>
      <c r="N962" s="224">
        <f t="shared" si="49"/>
        <v>-0.16954811035435036</v>
      </c>
      <c r="O962" s="224">
        <f t="shared" si="50"/>
        <v>4.852633266282913E-2</v>
      </c>
      <c r="Q962" s="224"/>
      <c r="R962" s="224"/>
      <c r="S962" s="429"/>
      <c r="Z962" s="362"/>
      <c r="AA962" s="421"/>
      <c r="AB962" s="362"/>
      <c r="AC962" s="362"/>
      <c r="AD962" s="362"/>
      <c r="AE962" s="362"/>
      <c r="AF962" s="362"/>
      <c r="AG962" s="362"/>
      <c r="AH962" s="362"/>
      <c r="AI962" s="393"/>
      <c r="AJ962" s="393"/>
      <c r="AK962" s="362"/>
      <c r="AL962" s="362"/>
      <c r="AM962" s="362"/>
      <c r="AN962" s="362"/>
      <c r="AO962" s="362"/>
      <c r="AP962" s="362"/>
      <c r="AQ962" s="362"/>
      <c r="AR962" s="362"/>
    </row>
    <row r="963" spans="1:44" ht="12.75" customHeight="1" x14ac:dyDescent="0.15">
      <c r="A963" s="431"/>
      <c r="B963" s="393"/>
      <c r="C963" s="428"/>
      <c r="D963" s="428">
        <v>600389.98409358854</v>
      </c>
      <c r="E963" s="224">
        <v>135180.06031986821</v>
      </c>
      <c r="F963" s="224">
        <v>5.0580242329409995</v>
      </c>
      <c r="G963" s="224">
        <v>3.6306191889019761</v>
      </c>
      <c r="H963" s="224">
        <v>2.8373769477303763</v>
      </c>
      <c r="I963" s="224">
        <v>1.9640400481028983</v>
      </c>
      <c r="J963" s="224"/>
      <c r="M963" s="224">
        <f t="shared" si="48"/>
        <v>465209.92377372034</v>
      </c>
      <c r="N963" s="224">
        <f t="shared" si="49"/>
        <v>1.4274050440390234</v>
      </c>
      <c r="O963" s="224">
        <f t="shared" si="50"/>
        <v>0.87333689962747796</v>
      </c>
      <c r="Q963" s="224"/>
      <c r="R963" s="224"/>
      <c r="S963" s="429"/>
      <c r="Z963" s="362"/>
      <c r="AA963" s="421"/>
      <c r="AB963" s="362"/>
      <c r="AC963" s="362"/>
      <c r="AD963" s="362"/>
      <c r="AE963" s="362"/>
      <c r="AF963" s="362"/>
      <c r="AG963" s="362"/>
      <c r="AH963" s="362"/>
      <c r="AI963" s="393"/>
      <c r="AJ963" s="393"/>
      <c r="AK963" s="362"/>
      <c r="AL963" s="362"/>
      <c r="AM963" s="362"/>
      <c r="AN963" s="362"/>
      <c r="AO963" s="362"/>
      <c r="AP963" s="362"/>
      <c r="AQ963" s="362"/>
      <c r="AR963" s="362"/>
    </row>
    <row r="964" spans="1:44" ht="12.75" customHeight="1" x14ac:dyDescent="0.15">
      <c r="A964" s="431"/>
      <c r="B964" s="393"/>
      <c r="C964" s="428"/>
      <c r="D964" s="428">
        <v>638277.49906434072</v>
      </c>
      <c r="E964" s="224">
        <v>259707.17631264182</v>
      </c>
      <c r="F964" s="224">
        <v>4.431766873024765</v>
      </c>
      <c r="G964" s="224">
        <v>3.861079802774936</v>
      </c>
      <c r="H964" s="224">
        <v>2.6404604381718664</v>
      </c>
      <c r="I964" s="224">
        <v>2.1880510255865104</v>
      </c>
      <c r="J964" s="224"/>
      <c r="M964" s="224">
        <f t="shared" si="48"/>
        <v>378570.3227516989</v>
      </c>
      <c r="N964" s="224">
        <f t="shared" si="49"/>
        <v>0.57068707024982901</v>
      </c>
      <c r="O964" s="224">
        <f t="shared" si="50"/>
        <v>0.45240941258535594</v>
      </c>
      <c r="Q964" s="224"/>
      <c r="R964" s="224"/>
      <c r="S964" s="429"/>
      <c r="Z964" s="362"/>
      <c r="AA964" s="421"/>
      <c r="AB964" s="362"/>
      <c r="AC964" s="362"/>
      <c r="AD964" s="362"/>
      <c r="AE964" s="362"/>
      <c r="AF964" s="362"/>
      <c r="AG964" s="362"/>
      <c r="AH964" s="362"/>
      <c r="AI964" s="393"/>
      <c r="AJ964" s="393"/>
      <c r="AK964" s="362"/>
      <c r="AL964" s="362"/>
      <c r="AM964" s="362"/>
      <c r="AN964" s="362"/>
      <c r="AO964" s="362"/>
      <c r="AP964" s="362"/>
      <c r="AQ964" s="362"/>
      <c r="AR964" s="362"/>
    </row>
    <row r="965" spans="1:44" ht="12.75" customHeight="1" x14ac:dyDescent="0.15">
      <c r="A965" s="431"/>
      <c r="B965" s="393"/>
      <c r="C965" s="428"/>
      <c r="D965" s="428">
        <v>630254.20821883611</v>
      </c>
      <c r="E965" s="224">
        <v>128881.52558518594</v>
      </c>
      <c r="F965" s="224">
        <v>4.4668677000002548</v>
      </c>
      <c r="G965" s="224">
        <v>3.5431673581409977</v>
      </c>
      <c r="H965" s="224">
        <v>2.4315990490978745</v>
      </c>
      <c r="I965" s="224">
        <v>1.8543064489833874</v>
      </c>
      <c r="J965" s="224"/>
      <c r="M965" s="224">
        <f t="shared" si="48"/>
        <v>501372.68263365014</v>
      </c>
      <c r="N965" s="224">
        <f t="shared" si="49"/>
        <v>0.92370034185925709</v>
      </c>
      <c r="O965" s="224">
        <f t="shared" si="50"/>
        <v>0.57729260011448713</v>
      </c>
      <c r="Q965" s="224"/>
      <c r="R965" s="224"/>
      <c r="S965" s="429"/>
      <c r="Z965" s="362"/>
      <c r="AA965" s="421"/>
      <c r="AB965" s="362"/>
      <c r="AC965" s="362"/>
      <c r="AD965" s="362"/>
      <c r="AE965" s="362"/>
      <c r="AF965" s="362"/>
      <c r="AG965" s="362"/>
      <c r="AH965" s="362"/>
      <c r="AI965" s="393"/>
      <c r="AJ965" s="393"/>
      <c r="AK965" s="362"/>
      <c r="AL965" s="362"/>
      <c r="AM965" s="362"/>
      <c r="AN965" s="362"/>
      <c r="AO965" s="362"/>
      <c r="AP965" s="362"/>
      <c r="AQ965" s="362"/>
      <c r="AR965" s="362"/>
    </row>
    <row r="966" spans="1:44" ht="12.75" customHeight="1" x14ac:dyDescent="0.15">
      <c r="A966" s="431"/>
      <c r="B966" s="393"/>
      <c r="C966" s="428"/>
      <c r="D966" s="428">
        <v>609468.73642802553</v>
      </c>
      <c r="E966" s="224">
        <v>138915.85667339846</v>
      </c>
      <c r="F966" s="224">
        <v>4.0589959460070961</v>
      </c>
      <c r="G966" s="224">
        <v>3.6819300178385754</v>
      </c>
      <c r="H966" s="224">
        <v>2.4970604926920759</v>
      </c>
      <c r="I966" s="224">
        <v>2.0347887337777859</v>
      </c>
      <c r="J966" s="224"/>
      <c r="M966" s="224">
        <f t="shared" si="48"/>
        <v>470552.87975462707</v>
      </c>
      <c r="N966" s="224">
        <f t="shared" si="49"/>
        <v>0.37706592816852069</v>
      </c>
      <c r="O966" s="224">
        <f t="shared" si="50"/>
        <v>0.46227175891428995</v>
      </c>
      <c r="Q966" s="224"/>
      <c r="R966" s="224"/>
      <c r="S966" s="429"/>
      <c r="Z966" s="362"/>
      <c r="AA966" s="421"/>
      <c r="AB966" s="362"/>
      <c r="AC966" s="362"/>
      <c r="AD966" s="362"/>
      <c r="AE966" s="362"/>
      <c r="AF966" s="362"/>
      <c r="AG966" s="362"/>
      <c r="AH966" s="362"/>
      <c r="AI966" s="393"/>
      <c r="AJ966" s="393"/>
      <c r="AK966" s="362"/>
      <c r="AL966" s="362"/>
      <c r="AM966" s="362"/>
      <c r="AN966" s="362"/>
      <c r="AO966" s="362"/>
      <c r="AP966" s="362"/>
      <c r="AQ966" s="362"/>
      <c r="AR966" s="362"/>
    </row>
    <row r="967" spans="1:44" ht="12.75" customHeight="1" x14ac:dyDescent="0.15">
      <c r="A967" s="431"/>
      <c r="B967" s="393"/>
      <c r="C967" s="428"/>
      <c r="D967" s="428">
        <v>535028.87621919694</v>
      </c>
      <c r="E967" s="224">
        <v>149046.17838517672</v>
      </c>
      <c r="F967" s="224">
        <v>4.3118364746932878</v>
      </c>
      <c r="G967" s="224">
        <v>4.4358355936413396</v>
      </c>
      <c r="H967" s="224">
        <v>2.6417559068229481</v>
      </c>
      <c r="I967" s="224">
        <v>2.6145395471552639</v>
      </c>
      <c r="J967" s="224"/>
      <c r="M967" s="224">
        <f t="shared" si="48"/>
        <v>385982.69783402025</v>
      </c>
      <c r="N967" s="224">
        <f t="shared" si="49"/>
        <v>-0.12399911894805182</v>
      </c>
      <c r="O967" s="224">
        <f t="shared" si="50"/>
        <v>2.7216359667684209E-2</v>
      </c>
      <c r="Q967" s="224"/>
      <c r="R967" s="224"/>
      <c r="S967" s="429"/>
      <c r="Z967" s="362"/>
      <c r="AA967" s="421"/>
      <c r="AB967" s="362"/>
      <c r="AC967" s="362"/>
      <c r="AD967" s="362"/>
      <c r="AE967" s="362"/>
      <c r="AF967" s="362"/>
      <c r="AG967" s="362"/>
      <c r="AH967" s="362"/>
      <c r="AI967" s="393"/>
      <c r="AJ967" s="393"/>
      <c r="AK967" s="362"/>
      <c r="AL967" s="362"/>
      <c r="AM967" s="362"/>
      <c r="AN967" s="362"/>
      <c r="AO967" s="362"/>
      <c r="AP967" s="362"/>
      <c r="AQ967" s="362"/>
      <c r="AR967" s="362"/>
    </row>
    <row r="968" spans="1:44" ht="12.75" customHeight="1" x14ac:dyDescent="0.15">
      <c r="A968" s="431"/>
      <c r="B968" s="393"/>
      <c r="C968" s="428"/>
      <c r="D968" s="428">
        <v>665642.56618398672</v>
      </c>
      <c r="E968" s="224">
        <v>232353.82845653041</v>
      </c>
      <c r="F968" s="224">
        <v>5.0987174880213626</v>
      </c>
      <c r="G968" s="224">
        <v>3.8945523435765965</v>
      </c>
      <c r="H968" s="224">
        <v>2.4728642721018197</v>
      </c>
      <c r="I968" s="224">
        <v>1.8456190584997727</v>
      </c>
      <c r="J968" s="224"/>
      <c r="M968" s="224">
        <f t="shared" si="48"/>
        <v>433288.73772745632</v>
      </c>
      <c r="N968" s="224">
        <f t="shared" si="49"/>
        <v>1.2041651444447661</v>
      </c>
      <c r="O968" s="224">
        <f t="shared" si="50"/>
        <v>0.62724521360204699</v>
      </c>
      <c r="Q968" s="224"/>
      <c r="R968" s="224"/>
      <c r="S968" s="429"/>
      <c r="Z968" s="362"/>
      <c r="AA968" s="421"/>
      <c r="AB968" s="362"/>
      <c r="AC968" s="362"/>
      <c r="AD968" s="362"/>
      <c r="AE968" s="362"/>
      <c r="AF968" s="362"/>
      <c r="AG968" s="362"/>
      <c r="AH968" s="362"/>
      <c r="AI968" s="393"/>
      <c r="AJ968" s="393"/>
      <c r="AK968" s="362"/>
      <c r="AL968" s="362"/>
      <c r="AM968" s="362"/>
      <c r="AN968" s="362"/>
      <c r="AO968" s="362"/>
      <c r="AP968" s="362"/>
      <c r="AQ968" s="362"/>
      <c r="AR968" s="362"/>
    </row>
    <row r="969" spans="1:44" ht="12.75" customHeight="1" x14ac:dyDescent="0.15">
      <c r="A969" s="431"/>
      <c r="B969" s="393"/>
      <c r="C969" s="428"/>
      <c r="D969" s="428">
        <v>704555.85717710364</v>
      </c>
      <c r="E969" s="224">
        <v>127706.08945192414</v>
      </c>
      <c r="F969" s="224">
        <v>4.343679089825546</v>
      </c>
      <c r="G969" s="224">
        <v>4.1558052829026844</v>
      </c>
      <c r="H969" s="224">
        <v>3.1368057295259373</v>
      </c>
      <c r="I969" s="224">
        <v>2.4508714441697763</v>
      </c>
      <c r="J969" s="224"/>
      <c r="M969" s="224">
        <f t="shared" si="48"/>
        <v>576849.76772517944</v>
      </c>
      <c r="N969" s="224">
        <f t="shared" si="49"/>
        <v>0.1878738069228616</v>
      </c>
      <c r="O969" s="224">
        <f t="shared" si="50"/>
        <v>0.68593428535616097</v>
      </c>
      <c r="Q969" s="224"/>
      <c r="R969" s="224"/>
      <c r="S969" s="429"/>
      <c r="Z969" s="362"/>
      <c r="AA969" s="421"/>
      <c r="AB969" s="362"/>
      <c r="AC969" s="362"/>
      <c r="AD969" s="362"/>
      <c r="AE969" s="362"/>
      <c r="AF969" s="362"/>
      <c r="AG969" s="362"/>
      <c r="AH969" s="362"/>
      <c r="AI969" s="393"/>
      <c r="AJ969" s="393"/>
      <c r="AK969" s="362"/>
      <c r="AL969" s="362"/>
      <c r="AM969" s="362"/>
      <c r="AN969" s="362"/>
      <c r="AO969" s="362"/>
      <c r="AP969" s="362"/>
      <c r="AQ969" s="362"/>
      <c r="AR969" s="362"/>
    </row>
    <row r="970" spans="1:44" ht="12.75" customHeight="1" x14ac:dyDescent="0.15">
      <c r="A970" s="431"/>
      <c r="B970" s="393"/>
      <c r="C970" s="428"/>
      <c r="D970" s="428">
        <v>634421.34439479711</v>
      </c>
      <c r="E970" s="224">
        <v>187684.8996296874</v>
      </c>
      <c r="F970" s="224">
        <v>4.4788256781086888</v>
      </c>
      <c r="G970" s="224">
        <v>4.1123592728801022</v>
      </c>
      <c r="H970" s="224">
        <v>2.5142297432417808</v>
      </c>
      <c r="I970" s="224">
        <v>2.2946529568624632</v>
      </c>
      <c r="J970" s="224"/>
      <c r="M970" s="224">
        <f t="shared" si="48"/>
        <v>446736.44476510969</v>
      </c>
      <c r="N970" s="224">
        <f t="shared" si="49"/>
        <v>0.36646640522858664</v>
      </c>
      <c r="O970" s="224">
        <f t="shared" si="50"/>
        <v>0.21957678637931766</v>
      </c>
      <c r="Q970" s="224"/>
      <c r="R970" s="224"/>
      <c r="S970" s="429"/>
      <c r="Z970" s="362"/>
      <c r="AA970" s="421"/>
      <c r="AB970" s="362"/>
      <c r="AC970" s="362"/>
      <c r="AD970" s="362"/>
      <c r="AE970" s="362"/>
      <c r="AF970" s="362"/>
      <c r="AG970" s="362"/>
      <c r="AH970" s="362"/>
      <c r="AI970" s="393"/>
      <c r="AJ970" s="393"/>
      <c r="AK970" s="362"/>
      <c r="AL970" s="362"/>
      <c r="AM970" s="362"/>
      <c r="AN970" s="362"/>
      <c r="AO970" s="362"/>
      <c r="AP970" s="362"/>
      <c r="AQ970" s="362"/>
      <c r="AR970" s="362"/>
    </row>
    <row r="971" spans="1:44" ht="12.75" customHeight="1" x14ac:dyDescent="0.15">
      <c r="A971" s="431"/>
      <c r="B971" s="393"/>
      <c r="C971" s="428"/>
      <c r="D971" s="428">
        <v>522673.42198893579</v>
      </c>
      <c r="E971" s="224">
        <v>157223.73946447059</v>
      </c>
      <c r="F971" s="224">
        <v>3.7376735392548568</v>
      </c>
      <c r="G971" s="224">
        <v>3.9849711181009169</v>
      </c>
      <c r="H971" s="224">
        <v>2.264336532804136</v>
      </c>
      <c r="I971" s="224">
        <v>2.2275243466003056</v>
      </c>
      <c r="J971" s="224"/>
      <c r="M971" s="224">
        <f t="shared" si="48"/>
        <v>365449.6825244652</v>
      </c>
      <c r="N971" s="224">
        <f t="shared" si="49"/>
        <v>-0.24729757884606007</v>
      </c>
      <c r="O971" s="224">
        <f t="shared" si="50"/>
        <v>3.6812186203830422E-2</v>
      </c>
      <c r="Q971" s="224"/>
      <c r="R971" s="224"/>
      <c r="S971" s="429"/>
      <c r="Z971" s="362"/>
      <c r="AA971" s="421"/>
      <c r="AB971" s="362"/>
      <c r="AC971" s="362"/>
      <c r="AD971" s="362"/>
      <c r="AE971" s="362"/>
      <c r="AF971" s="362"/>
      <c r="AG971" s="362"/>
      <c r="AH971" s="362"/>
      <c r="AI971" s="393"/>
      <c r="AJ971" s="393"/>
      <c r="AK971" s="362"/>
      <c r="AL971" s="362"/>
      <c r="AM971" s="362"/>
      <c r="AN971" s="362"/>
      <c r="AO971" s="362"/>
      <c r="AP971" s="362"/>
      <c r="AQ971" s="362"/>
      <c r="AR971" s="362"/>
    </row>
    <row r="972" spans="1:44" ht="12.75" customHeight="1" x14ac:dyDescent="0.15">
      <c r="A972" s="431"/>
      <c r="B972" s="393"/>
      <c r="C972" s="428"/>
      <c r="D972" s="428">
        <v>624782.28780483257</v>
      </c>
      <c r="E972" s="224">
        <v>112463.12866956856</v>
      </c>
      <c r="F972" s="224">
        <v>4.3474095261286987</v>
      </c>
      <c r="G972" s="224">
        <v>3.9094115451307632</v>
      </c>
      <c r="H972" s="224">
        <v>2.6363687966276861</v>
      </c>
      <c r="I972" s="224">
        <v>1.9818404682850801</v>
      </c>
      <c r="J972" s="224"/>
      <c r="M972" s="224">
        <f t="shared" si="48"/>
        <v>512319.159135264</v>
      </c>
      <c r="N972" s="224">
        <f t="shared" si="49"/>
        <v>0.43799798099793552</v>
      </c>
      <c r="O972" s="224">
        <f t="shared" si="50"/>
        <v>0.65452832834260599</v>
      </c>
      <c r="Q972" s="224"/>
      <c r="R972" s="224"/>
      <c r="S972" s="429"/>
      <c r="Z972" s="362"/>
      <c r="AA972" s="421"/>
      <c r="AB972" s="362"/>
      <c r="AC972" s="362"/>
      <c r="AD972" s="362"/>
      <c r="AE972" s="362"/>
      <c r="AF972" s="362"/>
      <c r="AG972" s="362"/>
      <c r="AH972" s="362"/>
      <c r="AI972" s="393"/>
      <c r="AJ972" s="393"/>
      <c r="AK972" s="362"/>
      <c r="AL972" s="362"/>
      <c r="AM972" s="362"/>
      <c r="AN972" s="362"/>
      <c r="AO972" s="362"/>
      <c r="AP972" s="362"/>
      <c r="AQ972" s="362"/>
      <c r="AR972" s="362"/>
    </row>
    <row r="973" spans="1:44" ht="12.75" customHeight="1" x14ac:dyDescent="0.15">
      <c r="A973" s="431"/>
      <c r="B973" s="393"/>
      <c r="C973" s="428"/>
      <c r="D973" s="428">
        <v>557166.93056034343</v>
      </c>
      <c r="E973" s="224">
        <v>136781.37135550499</v>
      </c>
      <c r="F973" s="224">
        <v>4.6090872958668418</v>
      </c>
      <c r="G973" s="224">
        <v>3.9921367265307008</v>
      </c>
      <c r="H973" s="224">
        <v>2.550042867837917</v>
      </c>
      <c r="I973" s="224">
        <v>2.1496213008036786</v>
      </c>
      <c r="J973" s="224"/>
      <c r="M973" s="224">
        <f t="shared" si="48"/>
        <v>420385.55920483847</v>
      </c>
      <c r="N973" s="224">
        <f t="shared" si="49"/>
        <v>0.61695056933614101</v>
      </c>
      <c r="O973" s="224">
        <f t="shared" si="50"/>
        <v>0.40042156703423837</v>
      </c>
      <c r="Q973" s="224"/>
      <c r="R973" s="224"/>
      <c r="S973" s="429"/>
      <c r="Z973" s="362"/>
      <c r="AA973" s="421"/>
      <c r="AB973" s="362"/>
      <c r="AC973" s="362"/>
      <c r="AD973" s="362"/>
      <c r="AE973" s="362"/>
      <c r="AF973" s="362"/>
      <c r="AG973" s="362"/>
      <c r="AH973" s="362"/>
      <c r="AI973" s="393"/>
      <c r="AJ973" s="393"/>
      <c r="AK973" s="362"/>
      <c r="AL973" s="362"/>
      <c r="AM973" s="362"/>
      <c r="AN973" s="362"/>
      <c r="AO973" s="362"/>
      <c r="AP973" s="362"/>
      <c r="AQ973" s="362"/>
      <c r="AR973" s="362"/>
    </row>
    <row r="974" spans="1:44" ht="12.75" customHeight="1" x14ac:dyDescent="0.15">
      <c r="A974" s="431"/>
      <c r="B974" s="393"/>
      <c r="C974" s="428"/>
      <c r="D974" s="428">
        <v>660859.28075873398</v>
      </c>
      <c r="E974" s="224">
        <v>136373.67902480316</v>
      </c>
      <c r="F974" s="224">
        <v>4.4542923646334964</v>
      </c>
      <c r="G974" s="224">
        <v>4.0966562357136906</v>
      </c>
      <c r="H974" s="224">
        <v>2.0512445316372396</v>
      </c>
      <c r="I974" s="224">
        <v>1.680710187160104</v>
      </c>
      <c r="J974" s="224"/>
      <c r="M974" s="224">
        <f t="shared" si="48"/>
        <v>524485.60173393087</v>
      </c>
      <c r="N974" s="224">
        <f t="shared" si="49"/>
        <v>0.35763612891980578</v>
      </c>
      <c r="O974" s="224">
        <f t="shared" si="50"/>
        <v>0.37053434447713562</v>
      </c>
      <c r="Q974" s="224"/>
      <c r="R974" s="224"/>
      <c r="S974" s="429"/>
      <c r="Z974" s="362"/>
      <c r="AA974" s="421"/>
      <c r="AB974" s="362"/>
      <c r="AC974" s="362"/>
      <c r="AD974" s="362"/>
      <c r="AE974" s="362"/>
      <c r="AF974" s="362"/>
      <c r="AG974" s="362"/>
      <c r="AH974" s="362"/>
      <c r="AI974" s="393"/>
      <c r="AJ974" s="393"/>
      <c r="AK974" s="362"/>
      <c r="AL974" s="362"/>
      <c r="AM974" s="362"/>
      <c r="AN974" s="362"/>
      <c r="AO974" s="362"/>
      <c r="AP974" s="362"/>
      <c r="AQ974" s="362"/>
      <c r="AR974" s="362"/>
    </row>
    <row r="975" spans="1:44" ht="12.75" customHeight="1" x14ac:dyDescent="0.15">
      <c r="A975" s="431"/>
      <c r="B975" s="393"/>
      <c r="C975" s="428"/>
      <c r="D975" s="428">
        <v>666368.33662944392</v>
      </c>
      <c r="E975" s="224">
        <v>130703.30899197445</v>
      </c>
      <c r="F975" s="224">
        <v>4.3969422630121073</v>
      </c>
      <c r="G975" s="224">
        <v>4.011913372336056</v>
      </c>
      <c r="H975" s="224">
        <v>2.6282701278938361</v>
      </c>
      <c r="I975" s="224">
        <v>2.0189806157622692</v>
      </c>
      <c r="J975" s="224"/>
      <c r="M975" s="224">
        <f t="shared" si="48"/>
        <v>535665.02763746947</v>
      </c>
      <c r="N975" s="224">
        <f t="shared" si="49"/>
        <v>0.38502889067605128</v>
      </c>
      <c r="O975" s="224">
        <f t="shared" si="50"/>
        <v>0.6092895121315669</v>
      </c>
      <c r="Q975" s="224"/>
      <c r="R975" s="224"/>
      <c r="S975" s="429"/>
      <c r="Z975" s="362"/>
      <c r="AA975" s="421"/>
      <c r="AB975" s="362"/>
      <c r="AC975" s="362"/>
      <c r="AD975" s="362"/>
      <c r="AE975" s="362"/>
      <c r="AF975" s="362"/>
      <c r="AG975" s="362"/>
      <c r="AH975" s="362"/>
      <c r="AI975" s="393"/>
      <c r="AJ975" s="393"/>
      <c r="AK975" s="362"/>
      <c r="AL975" s="362"/>
      <c r="AM975" s="362"/>
      <c r="AN975" s="362"/>
      <c r="AO975" s="362"/>
      <c r="AP975" s="362"/>
      <c r="AQ975" s="362"/>
      <c r="AR975" s="362"/>
    </row>
    <row r="976" spans="1:44" ht="12.75" customHeight="1" x14ac:dyDescent="0.15">
      <c r="A976" s="431"/>
      <c r="B976" s="393"/>
      <c r="C976" s="428"/>
      <c r="D976" s="428">
        <v>674914.68855470465</v>
      </c>
      <c r="E976" s="224">
        <v>150243.34391788478</v>
      </c>
      <c r="F976" s="224">
        <v>5.1463941861938727</v>
      </c>
      <c r="G976" s="224">
        <v>4.2870203525964579</v>
      </c>
      <c r="H976" s="224">
        <v>3.2442814771458264</v>
      </c>
      <c r="I976" s="224">
        <v>2.5009310659988988</v>
      </c>
      <c r="J976" s="224"/>
      <c r="M976" s="224">
        <f t="shared" si="48"/>
        <v>524671.34463681991</v>
      </c>
      <c r="N976" s="224">
        <f t="shared" si="49"/>
        <v>0.85937383359741482</v>
      </c>
      <c r="O976" s="224">
        <f t="shared" si="50"/>
        <v>0.74335041114692757</v>
      </c>
      <c r="Q976" s="224"/>
      <c r="R976" s="224"/>
      <c r="S976" s="429"/>
      <c r="Z976" s="362"/>
      <c r="AA976" s="421"/>
      <c r="AB976" s="362"/>
      <c r="AC976" s="362"/>
      <c r="AD976" s="362"/>
      <c r="AE976" s="362"/>
      <c r="AF976" s="362"/>
      <c r="AG976" s="362"/>
      <c r="AH976" s="362"/>
      <c r="AI976" s="393"/>
      <c r="AJ976" s="393"/>
      <c r="AK976" s="362"/>
      <c r="AL976" s="362"/>
      <c r="AM976" s="362"/>
      <c r="AN976" s="362"/>
      <c r="AO976" s="362"/>
      <c r="AP976" s="362"/>
      <c r="AQ976" s="362"/>
      <c r="AR976" s="362"/>
    </row>
    <row r="977" spans="1:44" ht="12.75" customHeight="1" x14ac:dyDescent="0.15">
      <c r="A977" s="431"/>
      <c r="B977" s="393"/>
      <c r="C977" s="428"/>
      <c r="D977" s="428">
        <v>569413.05608266825</v>
      </c>
      <c r="E977" s="224">
        <v>146794.59764684355</v>
      </c>
      <c r="F977" s="224">
        <v>4.4494642442668022</v>
      </c>
      <c r="G977" s="224">
        <v>3.6699087916885365</v>
      </c>
      <c r="H977" s="224">
        <v>2.2321588740143179</v>
      </c>
      <c r="I977" s="224">
        <v>1.7875514929455085</v>
      </c>
      <c r="J977" s="224"/>
      <c r="M977" s="224">
        <f t="shared" si="48"/>
        <v>422618.45843582472</v>
      </c>
      <c r="N977" s="224">
        <f t="shared" si="49"/>
        <v>0.77955545257826575</v>
      </c>
      <c r="O977" s="224">
        <f t="shared" si="50"/>
        <v>0.44460738106880937</v>
      </c>
      <c r="Q977" s="224"/>
      <c r="R977" s="224"/>
      <c r="S977" s="429"/>
      <c r="Z977" s="362"/>
      <c r="AA977" s="421"/>
      <c r="AB977" s="362"/>
      <c r="AC977" s="362"/>
      <c r="AD977" s="362"/>
      <c r="AE977" s="362"/>
      <c r="AF977" s="362"/>
      <c r="AG977" s="362"/>
      <c r="AH977" s="362"/>
      <c r="AI977" s="393"/>
      <c r="AJ977" s="393"/>
      <c r="AK977" s="362"/>
      <c r="AL977" s="362"/>
      <c r="AM977" s="362"/>
      <c r="AN977" s="362"/>
      <c r="AO977" s="362"/>
      <c r="AP977" s="362"/>
      <c r="AQ977" s="362"/>
      <c r="AR977" s="362"/>
    </row>
    <row r="978" spans="1:44" ht="12.75" customHeight="1" x14ac:dyDescent="0.15">
      <c r="A978" s="431"/>
      <c r="B978" s="393"/>
      <c r="C978" s="428"/>
      <c r="D978" s="428">
        <v>589895.70005565346</v>
      </c>
      <c r="E978" s="224">
        <v>140813.00051124007</v>
      </c>
      <c r="F978" s="224">
        <v>4.3334324593680416</v>
      </c>
      <c r="G978" s="224">
        <v>4.2654685757598196</v>
      </c>
      <c r="H978" s="224">
        <v>2.78113228589068</v>
      </c>
      <c r="I978" s="224">
        <v>2.6068540835413687</v>
      </c>
      <c r="J978" s="224"/>
      <c r="M978" s="224">
        <f t="shared" ref="M978:M1017" si="51">+D978-E978</f>
        <v>449082.69954441336</v>
      </c>
      <c r="N978" s="224">
        <f t="shared" ref="N978:N1017" si="52">+F978-G978</f>
        <v>6.796388360822192E-2</v>
      </c>
      <c r="O978" s="224">
        <f t="shared" ref="O978:O1017" si="53">+H978-I978</f>
        <v>0.17427820234931124</v>
      </c>
      <c r="Q978" s="224"/>
      <c r="R978" s="224"/>
      <c r="S978" s="429"/>
      <c r="Z978" s="362"/>
      <c r="AA978" s="421"/>
      <c r="AB978" s="362"/>
      <c r="AC978" s="362"/>
      <c r="AD978" s="362"/>
      <c r="AE978" s="362"/>
      <c r="AF978" s="362"/>
      <c r="AG978" s="362"/>
      <c r="AH978" s="362"/>
      <c r="AI978" s="393"/>
      <c r="AJ978" s="393"/>
      <c r="AK978" s="362"/>
      <c r="AL978" s="362"/>
      <c r="AM978" s="362"/>
      <c r="AN978" s="362"/>
      <c r="AO978" s="362"/>
      <c r="AP978" s="362"/>
      <c r="AQ978" s="362"/>
      <c r="AR978" s="362"/>
    </row>
    <row r="979" spans="1:44" ht="12.75" customHeight="1" x14ac:dyDescent="0.15">
      <c r="A979" s="431"/>
      <c r="B979" s="393"/>
      <c r="C979" s="428"/>
      <c r="D979" s="428">
        <v>606269.83961751126</v>
      </c>
      <c r="E979" s="224">
        <v>159953.67319256777</v>
      </c>
      <c r="F979" s="224">
        <v>4.5818103276026703</v>
      </c>
      <c r="G979" s="224">
        <v>4.145420742401738</v>
      </c>
      <c r="H979" s="224">
        <v>2.7783801433622939</v>
      </c>
      <c r="I979" s="224">
        <v>2.2735450591988897</v>
      </c>
      <c r="J979" s="224"/>
      <c r="M979" s="224">
        <f t="shared" si="51"/>
        <v>446316.16642494348</v>
      </c>
      <c r="N979" s="224">
        <f t="shared" si="52"/>
        <v>0.4363895852009323</v>
      </c>
      <c r="O979" s="224">
        <f t="shared" si="53"/>
        <v>0.50483508416340417</v>
      </c>
      <c r="Q979" s="224"/>
      <c r="R979" s="224"/>
      <c r="S979" s="429"/>
      <c r="Z979" s="362"/>
      <c r="AA979" s="421"/>
      <c r="AB979" s="362"/>
      <c r="AC979" s="362"/>
      <c r="AD979" s="362"/>
      <c r="AE979" s="362"/>
      <c r="AF979" s="362"/>
      <c r="AG979" s="362"/>
      <c r="AH979" s="362"/>
      <c r="AI979" s="393"/>
      <c r="AJ979" s="393"/>
      <c r="AK979" s="362"/>
      <c r="AL979" s="362"/>
      <c r="AM979" s="362"/>
      <c r="AN979" s="362"/>
      <c r="AO979" s="362"/>
      <c r="AP979" s="362"/>
      <c r="AQ979" s="362"/>
      <c r="AR979" s="362"/>
    </row>
    <row r="980" spans="1:44" ht="12.75" customHeight="1" x14ac:dyDescent="0.15">
      <c r="A980" s="431"/>
      <c r="B980" s="393"/>
      <c r="C980" s="428"/>
      <c r="D980" s="428">
        <v>570496.06451261358</v>
      </c>
      <c r="E980" s="224">
        <v>105751.01206140261</v>
      </c>
      <c r="F980" s="224">
        <v>3.8172039902193369</v>
      </c>
      <c r="G980" s="224">
        <v>3.7369561008660037</v>
      </c>
      <c r="H980" s="224">
        <v>2.5748609043267536</v>
      </c>
      <c r="I980" s="224">
        <v>2.0014008907897964</v>
      </c>
      <c r="J980" s="224"/>
      <c r="M980" s="224">
        <f t="shared" si="51"/>
        <v>464745.05245121097</v>
      </c>
      <c r="N980" s="224">
        <f t="shared" si="52"/>
        <v>8.0247889353333157E-2</v>
      </c>
      <c r="O980" s="224">
        <f t="shared" si="53"/>
        <v>0.57346001353695719</v>
      </c>
      <c r="Q980" s="224"/>
      <c r="R980" s="224"/>
      <c r="S980" s="429"/>
      <c r="Z980" s="362"/>
      <c r="AA980" s="421"/>
      <c r="AB980" s="362"/>
      <c r="AC980" s="362"/>
      <c r="AD980" s="362"/>
      <c r="AE980" s="362"/>
      <c r="AF980" s="362"/>
      <c r="AG980" s="362"/>
      <c r="AH980" s="362"/>
      <c r="AI980" s="393"/>
      <c r="AJ980" s="393"/>
      <c r="AK980" s="362"/>
      <c r="AL980" s="362"/>
      <c r="AM980" s="362"/>
      <c r="AN980" s="362"/>
      <c r="AO980" s="362"/>
      <c r="AP980" s="362"/>
      <c r="AQ980" s="362"/>
      <c r="AR980" s="362"/>
    </row>
    <row r="981" spans="1:44" ht="12.75" customHeight="1" x14ac:dyDescent="0.15">
      <c r="A981" s="431"/>
      <c r="B981" s="393"/>
      <c r="C981" s="428"/>
      <c r="D981" s="428">
        <v>597924.84783249302</v>
      </c>
      <c r="E981" s="224">
        <v>178959.87033553002</v>
      </c>
      <c r="F981" s="224">
        <v>4.6691369322014573</v>
      </c>
      <c r="G981" s="224">
        <v>4.010489473221309</v>
      </c>
      <c r="H981" s="224">
        <v>2.6723359068445554</v>
      </c>
      <c r="I981" s="224">
        <v>2.2423688238258936</v>
      </c>
      <c r="J981" s="224"/>
      <c r="M981" s="224">
        <f t="shared" si="51"/>
        <v>418964.97749696299</v>
      </c>
      <c r="N981" s="224">
        <f t="shared" si="52"/>
        <v>0.65864745898014831</v>
      </c>
      <c r="O981" s="224">
        <f t="shared" si="53"/>
        <v>0.42996708301866171</v>
      </c>
      <c r="Q981" s="224"/>
      <c r="R981" s="224"/>
      <c r="S981" s="429"/>
      <c r="Z981" s="362"/>
      <c r="AA981" s="421"/>
      <c r="AB981" s="362"/>
      <c r="AC981" s="362"/>
      <c r="AD981" s="362"/>
      <c r="AE981" s="362"/>
      <c r="AF981" s="362"/>
      <c r="AG981" s="362"/>
      <c r="AH981" s="362"/>
      <c r="AI981" s="393"/>
      <c r="AJ981" s="393"/>
      <c r="AK981" s="362"/>
      <c r="AL981" s="362"/>
      <c r="AM981" s="362"/>
      <c r="AN981" s="362"/>
      <c r="AO981" s="362"/>
      <c r="AP981" s="362"/>
      <c r="AQ981" s="362"/>
      <c r="AR981" s="362"/>
    </row>
    <row r="982" spans="1:44" ht="12.75" customHeight="1" x14ac:dyDescent="0.15">
      <c r="A982" s="431"/>
      <c r="B982" s="393"/>
      <c r="C982" s="428"/>
      <c r="D982" s="428">
        <v>747774.16905476747</v>
      </c>
      <c r="E982" s="224">
        <v>302980.98038466246</v>
      </c>
      <c r="F982" s="224">
        <v>4.5854842360840689</v>
      </c>
      <c r="G982" s="224">
        <v>3.6361402890772023</v>
      </c>
      <c r="H982" s="224">
        <v>2.2405762413513588</v>
      </c>
      <c r="I982" s="224">
        <v>1.71507956627528</v>
      </c>
      <c r="J982" s="224"/>
      <c r="M982" s="224">
        <f t="shared" si="51"/>
        <v>444793.18867010501</v>
      </c>
      <c r="N982" s="224">
        <f t="shared" si="52"/>
        <v>0.94934394700686653</v>
      </c>
      <c r="O982" s="224">
        <f t="shared" si="53"/>
        <v>0.52549667507607878</v>
      </c>
      <c r="Q982" s="224"/>
      <c r="R982" s="224"/>
      <c r="S982" s="429"/>
      <c r="Z982" s="362"/>
      <c r="AA982" s="421"/>
      <c r="AB982" s="362"/>
      <c r="AC982" s="362"/>
      <c r="AD982" s="362"/>
      <c r="AE982" s="362"/>
      <c r="AF982" s="362"/>
      <c r="AG982" s="362"/>
      <c r="AH982" s="362"/>
      <c r="AI982" s="393"/>
      <c r="AJ982" s="393"/>
      <c r="AK982" s="362"/>
      <c r="AL982" s="362"/>
      <c r="AM982" s="362"/>
      <c r="AN982" s="362"/>
      <c r="AO982" s="362"/>
      <c r="AP982" s="362"/>
      <c r="AQ982" s="362"/>
      <c r="AR982" s="362"/>
    </row>
    <row r="983" spans="1:44" ht="12.75" customHeight="1" x14ac:dyDescent="0.15">
      <c r="A983" s="431"/>
      <c r="B983" s="393"/>
      <c r="C983" s="428"/>
      <c r="D983" s="428">
        <v>582732.83833224315</v>
      </c>
      <c r="E983" s="224">
        <v>130812.39760687706</v>
      </c>
      <c r="F983" s="224">
        <v>5.0578143820481873</v>
      </c>
      <c r="G983" s="224">
        <v>3.4163863522027969</v>
      </c>
      <c r="H983" s="224">
        <v>2.8887618469606791</v>
      </c>
      <c r="I983" s="224">
        <v>2.1085281511527754</v>
      </c>
      <c r="J983" s="224"/>
      <c r="M983" s="224">
        <f t="shared" si="51"/>
        <v>451920.44072536612</v>
      </c>
      <c r="N983" s="224">
        <f t="shared" si="52"/>
        <v>1.6414280298453905</v>
      </c>
      <c r="O983" s="224">
        <f t="shared" si="53"/>
        <v>0.78023369580790369</v>
      </c>
      <c r="Q983" s="224"/>
      <c r="R983" s="224"/>
      <c r="S983" s="429"/>
      <c r="Z983" s="362"/>
      <c r="AA983" s="421"/>
      <c r="AB983" s="362"/>
      <c r="AC983" s="362"/>
      <c r="AD983" s="362"/>
      <c r="AE983" s="362"/>
      <c r="AF983" s="362"/>
      <c r="AG983" s="362"/>
      <c r="AH983" s="362"/>
      <c r="AI983" s="393"/>
      <c r="AJ983" s="393"/>
      <c r="AK983" s="362"/>
      <c r="AL983" s="362"/>
      <c r="AM983" s="362"/>
      <c r="AN983" s="362"/>
      <c r="AO983" s="362"/>
      <c r="AP983" s="362"/>
      <c r="AQ983" s="362"/>
      <c r="AR983" s="362"/>
    </row>
    <row r="984" spans="1:44" ht="12.75" customHeight="1" x14ac:dyDescent="0.15">
      <c r="A984" s="431"/>
      <c r="B984" s="393"/>
      <c r="C984" s="428"/>
      <c r="D984" s="428">
        <v>621867.84851696936</v>
      </c>
      <c r="E984" s="224">
        <v>149569.68989885011</v>
      </c>
      <c r="F984" s="224">
        <v>4.2677256342549601</v>
      </c>
      <c r="G984" s="224">
        <v>3.8588688849196533</v>
      </c>
      <c r="H984" s="224">
        <v>2.8928299708505927</v>
      </c>
      <c r="I984" s="224">
        <v>2.7187130281385099</v>
      </c>
      <c r="J984" s="224"/>
      <c r="M984" s="224">
        <f t="shared" si="51"/>
        <v>472298.15861811925</v>
      </c>
      <c r="N984" s="224">
        <f t="shared" si="52"/>
        <v>0.4088567493353068</v>
      </c>
      <c r="O984" s="224">
        <f t="shared" si="53"/>
        <v>0.17411694271208278</v>
      </c>
      <c r="Q984" s="224"/>
      <c r="R984" s="224"/>
      <c r="S984" s="429"/>
      <c r="Z984" s="362"/>
      <c r="AA984" s="421"/>
      <c r="AB984" s="362"/>
      <c r="AC984" s="362"/>
      <c r="AD984" s="362"/>
      <c r="AE984" s="362"/>
      <c r="AF984" s="362"/>
      <c r="AG984" s="362"/>
      <c r="AH984" s="362"/>
      <c r="AI984" s="393"/>
      <c r="AJ984" s="393"/>
      <c r="AK984" s="362"/>
      <c r="AL984" s="362"/>
      <c r="AM984" s="362"/>
      <c r="AN984" s="362"/>
      <c r="AO984" s="362"/>
      <c r="AP984" s="362"/>
      <c r="AQ984" s="362"/>
      <c r="AR984" s="362"/>
    </row>
    <row r="985" spans="1:44" ht="12.75" customHeight="1" x14ac:dyDescent="0.15">
      <c r="A985" s="431"/>
      <c r="B985" s="393"/>
      <c r="C985" s="428"/>
      <c r="D985" s="428">
        <v>528729.61914806021</v>
      </c>
      <c r="E985" s="224">
        <v>121734.33501842072</v>
      </c>
      <c r="F985" s="224">
        <v>4.4492437896721615</v>
      </c>
      <c r="G985" s="224">
        <v>4.1189997965317566</v>
      </c>
      <c r="H985" s="224">
        <v>2.6884034538682275</v>
      </c>
      <c r="I985" s="224">
        <v>2.3145515583423273</v>
      </c>
      <c r="J985" s="224"/>
      <c r="M985" s="224">
        <f t="shared" si="51"/>
        <v>406995.28412963951</v>
      </c>
      <c r="N985" s="224">
        <f t="shared" si="52"/>
        <v>0.33024399314040487</v>
      </c>
      <c r="O985" s="224">
        <f t="shared" si="53"/>
        <v>0.37385189552590026</v>
      </c>
      <c r="Q985" s="224"/>
      <c r="R985" s="224"/>
      <c r="S985" s="429"/>
      <c r="Z985" s="362"/>
      <c r="AA985" s="421"/>
      <c r="AB985" s="362"/>
      <c r="AC985" s="362"/>
      <c r="AD985" s="362"/>
      <c r="AE985" s="362"/>
      <c r="AF985" s="362"/>
      <c r="AG985" s="362"/>
      <c r="AH985" s="362"/>
      <c r="AI985" s="393"/>
      <c r="AJ985" s="393"/>
      <c r="AK985" s="362"/>
      <c r="AL985" s="362"/>
      <c r="AM985" s="362"/>
      <c r="AN985" s="362"/>
      <c r="AO985" s="362"/>
      <c r="AP985" s="362"/>
      <c r="AQ985" s="362"/>
      <c r="AR985" s="362"/>
    </row>
    <row r="986" spans="1:44" ht="12.75" customHeight="1" x14ac:dyDescent="0.15">
      <c r="A986" s="431"/>
      <c r="B986" s="393"/>
      <c r="C986" s="428"/>
      <c r="D986" s="428">
        <v>570258.65106921876</v>
      </c>
      <c r="E986" s="224">
        <v>139300.49062659516</v>
      </c>
      <c r="F986" s="224">
        <v>4.9584404341566461</v>
      </c>
      <c r="G986" s="224">
        <v>3.8695271598522005</v>
      </c>
      <c r="H986" s="224">
        <v>2.6832173630079561</v>
      </c>
      <c r="I986" s="224">
        <v>2.1933123005579698</v>
      </c>
      <c r="J986" s="224"/>
      <c r="M986" s="224">
        <f t="shared" si="51"/>
        <v>430958.1604426236</v>
      </c>
      <c r="N986" s="224">
        <f t="shared" si="52"/>
        <v>1.0889132743044456</v>
      </c>
      <c r="O986" s="224">
        <f t="shared" si="53"/>
        <v>0.48990506244998633</v>
      </c>
      <c r="Q986" s="224"/>
      <c r="R986" s="224"/>
      <c r="S986" s="429"/>
      <c r="Z986" s="362"/>
      <c r="AA986" s="421"/>
      <c r="AB986" s="362"/>
      <c r="AC986" s="362"/>
      <c r="AD986" s="362"/>
      <c r="AE986" s="362"/>
      <c r="AF986" s="362"/>
      <c r="AG986" s="362"/>
      <c r="AH986" s="362"/>
      <c r="AI986" s="393"/>
      <c r="AJ986" s="393"/>
      <c r="AK986" s="362"/>
      <c r="AL986" s="362"/>
      <c r="AM986" s="362"/>
      <c r="AN986" s="362"/>
      <c r="AO986" s="362"/>
      <c r="AP986" s="362"/>
      <c r="AQ986" s="362"/>
      <c r="AR986" s="362"/>
    </row>
    <row r="987" spans="1:44" ht="12.75" customHeight="1" x14ac:dyDescent="0.15">
      <c r="A987" s="431"/>
      <c r="B987" s="393"/>
      <c r="C987" s="428"/>
      <c r="D987" s="428">
        <v>561004.67636100971</v>
      </c>
      <c r="E987" s="224">
        <v>121917.93270177327</v>
      </c>
      <c r="F987" s="224">
        <v>4.2789491354746403</v>
      </c>
      <c r="G987" s="224">
        <v>4.1482531638905327</v>
      </c>
      <c r="H987" s="224">
        <v>2.6307299726407494</v>
      </c>
      <c r="I987" s="224">
        <v>2.3594667392780484</v>
      </c>
      <c r="J987" s="224"/>
      <c r="M987" s="224">
        <f t="shared" si="51"/>
        <v>439086.74365923647</v>
      </c>
      <c r="N987" s="224">
        <f t="shared" si="52"/>
        <v>0.13069597158410762</v>
      </c>
      <c r="O987" s="224">
        <f t="shared" si="53"/>
        <v>0.27126323336270097</v>
      </c>
      <c r="Q987" s="224"/>
      <c r="R987" s="224"/>
      <c r="S987" s="429"/>
      <c r="Z987" s="362"/>
      <c r="AA987" s="421"/>
      <c r="AB987" s="362"/>
      <c r="AC987" s="362"/>
      <c r="AD987" s="362"/>
      <c r="AE987" s="362"/>
      <c r="AF987" s="362"/>
      <c r="AG987" s="362"/>
      <c r="AH987" s="362"/>
      <c r="AI987" s="393"/>
      <c r="AJ987" s="393"/>
      <c r="AK987" s="362"/>
      <c r="AL987" s="362"/>
      <c r="AM987" s="362"/>
      <c r="AN987" s="362"/>
      <c r="AO987" s="362"/>
      <c r="AP987" s="362"/>
      <c r="AQ987" s="362"/>
      <c r="AR987" s="362"/>
    </row>
    <row r="988" spans="1:44" ht="12.75" customHeight="1" x14ac:dyDescent="0.15">
      <c r="A988" s="431"/>
      <c r="B988" s="393"/>
      <c r="C988" s="428"/>
      <c r="D988" s="428">
        <v>509761.34586286591</v>
      </c>
      <c r="E988" s="224">
        <v>146067.46559026765</v>
      </c>
      <c r="F988" s="224">
        <v>4.1507909033917727</v>
      </c>
      <c r="G988" s="224">
        <v>3.4948517913165191</v>
      </c>
      <c r="H988" s="224">
        <v>2.4128233730780098</v>
      </c>
      <c r="I988" s="224">
        <v>2.2431841717521115</v>
      </c>
      <c r="J988" s="224"/>
      <c r="M988" s="224">
        <f t="shared" si="51"/>
        <v>363693.88027259824</v>
      </c>
      <c r="N988" s="224">
        <f t="shared" si="52"/>
        <v>0.65593911207525357</v>
      </c>
      <c r="O988" s="224">
        <f t="shared" si="53"/>
        <v>0.16963920132589827</v>
      </c>
      <c r="Q988" s="224"/>
      <c r="R988" s="224"/>
      <c r="S988" s="429"/>
      <c r="Z988" s="362"/>
      <c r="AA988" s="421"/>
      <c r="AB988" s="362"/>
      <c r="AC988" s="362"/>
      <c r="AD988" s="362"/>
      <c r="AE988" s="362"/>
      <c r="AF988" s="362"/>
      <c r="AG988" s="362"/>
      <c r="AH988" s="362"/>
      <c r="AI988" s="393"/>
      <c r="AJ988" s="393"/>
      <c r="AK988" s="362"/>
      <c r="AL988" s="362"/>
      <c r="AM988" s="362"/>
      <c r="AN988" s="362"/>
      <c r="AO988" s="362"/>
      <c r="AP988" s="362"/>
      <c r="AQ988" s="362"/>
      <c r="AR988" s="362"/>
    </row>
    <row r="989" spans="1:44" ht="12.75" customHeight="1" x14ac:dyDescent="0.15">
      <c r="A989" s="431"/>
      <c r="B989" s="393"/>
      <c r="C989" s="428"/>
      <c r="D989" s="428">
        <v>702443.62625257554</v>
      </c>
      <c r="E989" s="224">
        <v>264411.95482344291</v>
      </c>
      <c r="F989" s="224">
        <v>4.2035081509226373</v>
      </c>
      <c r="G989" s="224">
        <v>4.3732615501016161</v>
      </c>
      <c r="H989" s="224">
        <v>2.4364652008977252</v>
      </c>
      <c r="I989" s="224">
        <v>2.3865296512036989</v>
      </c>
      <c r="J989" s="224"/>
      <c r="M989" s="224">
        <f t="shared" si="51"/>
        <v>438031.67142913264</v>
      </c>
      <c r="N989" s="224">
        <f t="shared" si="52"/>
        <v>-0.1697533991789788</v>
      </c>
      <c r="O989" s="224">
        <f t="shared" si="53"/>
        <v>4.993554969402636E-2</v>
      </c>
      <c r="Q989" s="224"/>
      <c r="R989" s="224"/>
      <c r="S989" s="429"/>
      <c r="Z989" s="362"/>
      <c r="AA989" s="421"/>
      <c r="AB989" s="362"/>
      <c r="AC989" s="362"/>
      <c r="AD989" s="362"/>
      <c r="AE989" s="362"/>
      <c r="AF989" s="362"/>
      <c r="AG989" s="362"/>
      <c r="AH989" s="362"/>
      <c r="AI989" s="393"/>
      <c r="AJ989" s="393"/>
      <c r="AK989" s="362"/>
      <c r="AL989" s="362"/>
      <c r="AM989" s="362"/>
      <c r="AN989" s="362"/>
      <c r="AO989" s="362"/>
      <c r="AP989" s="362"/>
      <c r="AQ989" s="362"/>
      <c r="AR989" s="362"/>
    </row>
    <row r="990" spans="1:44" ht="12.75" customHeight="1" x14ac:dyDescent="0.15">
      <c r="A990" s="431"/>
      <c r="B990" s="393"/>
      <c r="C990" s="428"/>
      <c r="D990" s="428">
        <v>556914.72720009938</v>
      </c>
      <c r="E990" s="224">
        <v>146521.92909007144</v>
      </c>
      <c r="F990" s="224">
        <v>3.9954526359864349</v>
      </c>
      <c r="G990" s="224">
        <v>3.4653941059123321</v>
      </c>
      <c r="H990" s="224">
        <v>2.365599875632495</v>
      </c>
      <c r="I990" s="224">
        <v>2.0167820056635981</v>
      </c>
      <c r="J990" s="224"/>
      <c r="M990" s="224">
        <f t="shared" si="51"/>
        <v>410392.79811002791</v>
      </c>
      <c r="N990" s="224">
        <f t="shared" si="52"/>
        <v>0.53005853007410275</v>
      </c>
      <c r="O990" s="224">
        <f t="shared" si="53"/>
        <v>0.34881786996889685</v>
      </c>
      <c r="Q990" s="224"/>
      <c r="R990" s="224"/>
      <c r="S990" s="429"/>
      <c r="Z990" s="362"/>
      <c r="AA990" s="421"/>
      <c r="AB990" s="362"/>
      <c r="AC990" s="362"/>
      <c r="AD990" s="362"/>
      <c r="AE990" s="362"/>
      <c r="AF990" s="362"/>
      <c r="AG990" s="362"/>
      <c r="AH990" s="362"/>
      <c r="AI990" s="393"/>
      <c r="AJ990" s="393"/>
      <c r="AK990" s="362"/>
      <c r="AL990" s="362"/>
      <c r="AM990" s="362"/>
      <c r="AN990" s="362"/>
      <c r="AO990" s="362"/>
      <c r="AP990" s="362"/>
      <c r="AQ990" s="362"/>
      <c r="AR990" s="362"/>
    </row>
    <row r="991" spans="1:44" ht="12.75" customHeight="1" x14ac:dyDescent="0.15">
      <c r="A991" s="431"/>
      <c r="B991" s="393"/>
      <c r="C991" s="428"/>
      <c r="D991" s="428">
        <v>527174.62363877252</v>
      </c>
      <c r="E991" s="224">
        <v>133340.32824008237</v>
      </c>
      <c r="F991" s="224">
        <v>4.6087333853023891</v>
      </c>
      <c r="G991" s="224">
        <v>4.2704948361415616</v>
      </c>
      <c r="H991" s="224">
        <v>2.7155594403404932</v>
      </c>
      <c r="I991" s="224">
        <v>2.4497304093744128</v>
      </c>
      <c r="J991" s="224"/>
      <c r="M991" s="224">
        <f t="shared" si="51"/>
        <v>393834.29539869016</v>
      </c>
      <c r="N991" s="224">
        <f t="shared" si="52"/>
        <v>0.33823854916082752</v>
      </c>
      <c r="O991" s="224">
        <f t="shared" si="53"/>
        <v>0.26582903096608046</v>
      </c>
      <c r="Q991" s="224"/>
      <c r="R991" s="224"/>
      <c r="S991" s="429"/>
      <c r="Z991" s="362"/>
      <c r="AA991" s="421"/>
      <c r="AB991" s="362"/>
      <c r="AC991" s="362"/>
      <c r="AD991" s="362"/>
      <c r="AE991" s="362"/>
      <c r="AF991" s="362"/>
      <c r="AG991" s="362"/>
      <c r="AH991" s="362"/>
      <c r="AI991" s="393"/>
      <c r="AJ991" s="393"/>
      <c r="AK991" s="362"/>
      <c r="AL991" s="362"/>
      <c r="AM991" s="362"/>
      <c r="AN991" s="362"/>
      <c r="AO991" s="362"/>
      <c r="AP991" s="362"/>
      <c r="AQ991" s="362"/>
      <c r="AR991" s="362"/>
    </row>
    <row r="992" spans="1:44" ht="12.75" customHeight="1" x14ac:dyDescent="0.15">
      <c r="A992" s="431"/>
      <c r="B992" s="393"/>
      <c r="C992" s="428"/>
      <c r="D992" s="428">
        <v>636855.88255324971</v>
      </c>
      <c r="E992" s="224">
        <v>154095.08960475985</v>
      </c>
      <c r="F992" s="224">
        <v>3.9300946569182793</v>
      </c>
      <c r="G992" s="224">
        <v>3.8671403786920262</v>
      </c>
      <c r="H992" s="224">
        <v>2.4181871174803282</v>
      </c>
      <c r="I992" s="224">
        <v>1.9390014766536152</v>
      </c>
      <c r="J992" s="224"/>
      <c r="M992" s="224">
        <f t="shared" si="51"/>
        <v>482760.79294848989</v>
      </c>
      <c r="N992" s="224">
        <f t="shared" si="52"/>
        <v>6.2954278226253102E-2</v>
      </c>
      <c r="O992" s="224">
        <f t="shared" si="53"/>
        <v>0.479185640826713</v>
      </c>
      <c r="Q992" s="224"/>
      <c r="R992" s="224"/>
      <c r="S992" s="429"/>
      <c r="Z992" s="362"/>
      <c r="AA992" s="421"/>
      <c r="AB992" s="362"/>
      <c r="AC992" s="362"/>
      <c r="AD992" s="362"/>
      <c r="AE992" s="362"/>
      <c r="AF992" s="362"/>
      <c r="AG992" s="362"/>
      <c r="AH992" s="362"/>
      <c r="AI992" s="393"/>
      <c r="AJ992" s="393"/>
      <c r="AK992" s="362"/>
      <c r="AL992" s="362"/>
      <c r="AM992" s="362"/>
      <c r="AN992" s="362"/>
      <c r="AO992" s="362"/>
      <c r="AP992" s="362"/>
      <c r="AQ992" s="362"/>
      <c r="AR992" s="362"/>
    </row>
    <row r="993" spans="1:44" ht="12.75" customHeight="1" x14ac:dyDescent="0.15">
      <c r="A993" s="431"/>
      <c r="B993" s="393"/>
      <c r="C993" s="428"/>
      <c r="D993" s="428">
        <v>607372.05109817605</v>
      </c>
      <c r="E993" s="224">
        <v>178568.5926451222</v>
      </c>
      <c r="F993" s="224">
        <v>4.4813042197975035</v>
      </c>
      <c r="G993" s="224">
        <v>4.0274269351539083</v>
      </c>
      <c r="H993" s="224">
        <v>2.8543954451639086</v>
      </c>
      <c r="I993" s="224">
        <v>2.4104441743407516</v>
      </c>
      <c r="J993" s="224"/>
      <c r="M993" s="224">
        <f t="shared" si="51"/>
        <v>428803.45845305384</v>
      </c>
      <c r="N993" s="224">
        <f t="shared" si="52"/>
        <v>0.45387728464359522</v>
      </c>
      <c r="O993" s="224">
        <f t="shared" si="53"/>
        <v>0.443951270823157</v>
      </c>
      <c r="Q993" s="224"/>
      <c r="R993" s="224"/>
      <c r="S993" s="429"/>
      <c r="Z993" s="362"/>
      <c r="AA993" s="421"/>
      <c r="AB993" s="362"/>
      <c r="AC993" s="362"/>
      <c r="AD993" s="362"/>
      <c r="AE993" s="362"/>
      <c r="AF993" s="362"/>
      <c r="AG993" s="362"/>
      <c r="AH993" s="362"/>
      <c r="AI993" s="393"/>
      <c r="AJ993" s="393"/>
      <c r="AK993" s="362"/>
      <c r="AL993" s="362"/>
      <c r="AM993" s="362"/>
      <c r="AN993" s="362"/>
      <c r="AO993" s="362"/>
      <c r="AP993" s="362"/>
      <c r="AQ993" s="362"/>
      <c r="AR993" s="362"/>
    </row>
    <row r="994" spans="1:44" ht="12.75" customHeight="1" x14ac:dyDescent="0.15">
      <c r="A994" s="431"/>
      <c r="B994" s="393"/>
      <c r="C994" s="428"/>
      <c r="D994" s="428">
        <v>622934.38383820746</v>
      </c>
      <c r="E994" s="224">
        <v>121004.14940422613</v>
      </c>
      <c r="F994" s="224">
        <v>4.2318869420175504</v>
      </c>
      <c r="G994" s="224">
        <v>3.7545005699037435</v>
      </c>
      <c r="H994" s="224">
        <v>2.7288433300517045</v>
      </c>
      <c r="I994" s="224">
        <v>2.1648592557431603</v>
      </c>
      <c r="J994" s="224"/>
      <c r="M994" s="224">
        <f t="shared" si="51"/>
        <v>501930.23443398136</v>
      </c>
      <c r="N994" s="224">
        <f t="shared" si="52"/>
        <v>0.47738637211380697</v>
      </c>
      <c r="O994" s="224">
        <f t="shared" si="53"/>
        <v>0.56398407430854425</v>
      </c>
      <c r="Q994" s="224"/>
      <c r="R994" s="224"/>
      <c r="S994" s="429"/>
      <c r="Z994" s="362"/>
      <c r="AA994" s="421"/>
      <c r="AB994" s="362"/>
      <c r="AC994" s="362"/>
      <c r="AD994" s="362"/>
      <c r="AE994" s="362"/>
      <c r="AF994" s="362"/>
      <c r="AG994" s="362"/>
      <c r="AH994" s="362"/>
      <c r="AI994" s="393"/>
      <c r="AJ994" s="393"/>
      <c r="AK994" s="362"/>
      <c r="AL994" s="362"/>
      <c r="AM994" s="362"/>
      <c r="AN994" s="362"/>
      <c r="AO994" s="362"/>
      <c r="AP994" s="362"/>
      <c r="AQ994" s="362"/>
      <c r="AR994" s="362"/>
    </row>
    <row r="995" spans="1:44" ht="12.75" customHeight="1" x14ac:dyDescent="0.15">
      <c r="A995" s="431"/>
      <c r="B995" s="393"/>
      <c r="C995" s="428"/>
      <c r="D995" s="428">
        <v>566443.10458990152</v>
      </c>
      <c r="E995" s="224">
        <v>170513.91981075189</v>
      </c>
      <c r="F995" s="224">
        <v>4.6031407331243228</v>
      </c>
      <c r="G995" s="224">
        <v>3.8407444298805054</v>
      </c>
      <c r="H995" s="224">
        <v>2.8030305689406383</v>
      </c>
      <c r="I995" s="224">
        <v>2.3125103798574056</v>
      </c>
      <c r="J995" s="224"/>
      <c r="M995" s="224">
        <f t="shared" si="51"/>
        <v>395929.1847791496</v>
      </c>
      <c r="N995" s="224">
        <f t="shared" si="52"/>
        <v>0.76239630324381746</v>
      </c>
      <c r="O995" s="224">
        <f t="shared" si="53"/>
        <v>0.49052018908323269</v>
      </c>
      <c r="Q995" s="224"/>
      <c r="R995" s="224"/>
      <c r="S995" s="429"/>
      <c r="Z995" s="362"/>
      <c r="AA995" s="421"/>
      <c r="AB995" s="362"/>
      <c r="AC995" s="362"/>
      <c r="AD995" s="362"/>
      <c r="AE995" s="362"/>
      <c r="AF995" s="362"/>
      <c r="AG995" s="362"/>
      <c r="AH995" s="362"/>
      <c r="AI995" s="393"/>
      <c r="AJ995" s="393"/>
      <c r="AK995" s="362"/>
      <c r="AL995" s="362"/>
      <c r="AM995" s="362"/>
      <c r="AN995" s="362"/>
      <c r="AO995" s="362"/>
      <c r="AP995" s="362"/>
      <c r="AQ995" s="362"/>
      <c r="AR995" s="362"/>
    </row>
    <row r="996" spans="1:44" ht="12.75" customHeight="1" x14ac:dyDescent="0.15">
      <c r="A996" s="431"/>
      <c r="B996" s="393"/>
      <c r="C996" s="428"/>
      <c r="D996" s="428">
        <v>588187.62714719702</v>
      </c>
      <c r="E996" s="224">
        <v>166239.687785913</v>
      </c>
      <c r="F996" s="224">
        <v>4.2466742247673004</v>
      </c>
      <c r="G996" s="224">
        <v>3.5374464150062765</v>
      </c>
      <c r="H996" s="224">
        <v>2.4872676187192044</v>
      </c>
      <c r="I996" s="224">
        <v>1.9349173740031991</v>
      </c>
      <c r="J996" s="224"/>
      <c r="M996" s="224">
        <f t="shared" si="51"/>
        <v>421947.93936128402</v>
      </c>
      <c r="N996" s="224">
        <f t="shared" si="52"/>
        <v>0.70922780976102384</v>
      </c>
      <c r="O996" s="224">
        <f t="shared" si="53"/>
        <v>0.55235024471600536</v>
      </c>
      <c r="Q996" s="224"/>
      <c r="R996" s="224"/>
      <c r="S996" s="429"/>
      <c r="Z996" s="362"/>
      <c r="AA996" s="421"/>
      <c r="AB996" s="362"/>
      <c r="AC996" s="362"/>
      <c r="AD996" s="362"/>
      <c r="AE996" s="362"/>
      <c r="AF996" s="362"/>
      <c r="AG996" s="362"/>
      <c r="AH996" s="362"/>
      <c r="AI996" s="393"/>
      <c r="AJ996" s="393"/>
      <c r="AK996" s="362"/>
      <c r="AL996" s="362"/>
      <c r="AM996" s="362"/>
      <c r="AN996" s="362"/>
      <c r="AO996" s="362"/>
      <c r="AP996" s="362"/>
      <c r="AQ996" s="362"/>
      <c r="AR996" s="362"/>
    </row>
    <row r="997" spans="1:44" ht="12.75" customHeight="1" x14ac:dyDescent="0.15">
      <c r="A997" s="431"/>
      <c r="B997" s="393"/>
      <c r="C997" s="428"/>
      <c r="D997" s="428">
        <v>588082.39294123184</v>
      </c>
      <c r="E997" s="224">
        <v>142687.03264358029</v>
      </c>
      <c r="F997" s="224">
        <v>4.3748880137270536</v>
      </c>
      <c r="G997" s="224">
        <v>3.9053950984810624</v>
      </c>
      <c r="H997" s="224">
        <v>2.567742841596953</v>
      </c>
      <c r="I997" s="224">
        <v>2.2770965077402074</v>
      </c>
      <c r="J997" s="224"/>
      <c r="M997" s="224">
        <f t="shared" si="51"/>
        <v>445395.36029765155</v>
      </c>
      <c r="N997" s="224">
        <f t="shared" si="52"/>
        <v>0.46949291524599124</v>
      </c>
      <c r="O997" s="224">
        <f t="shared" si="53"/>
        <v>0.29064633385674554</v>
      </c>
      <c r="Q997" s="224"/>
      <c r="R997" s="224"/>
      <c r="S997" s="429"/>
      <c r="Z997" s="362"/>
      <c r="AA997" s="421"/>
      <c r="AB997" s="362"/>
      <c r="AC997" s="362"/>
      <c r="AD997" s="362"/>
      <c r="AE997" s="362"/>
      <c r="AF997" s="362"/>
      <c r="AG997" s="362"/>
      <c r="AH997" s="362"/>
      <c r="AI997" s="393"/>
      <c r="AJ997" s="393"/>
      <c r="AK997" s="362"/>
      <c r="AL997" s="362"/>
      <c r="AM997" s="362"/>
      <c r="AN997" s="362"/>
      <c r="AO997" s="362"/>
      <c r="AP997" s="362"/>
      <c r="AQ997" s="362"/>
      <c r="AR997" s="362"/>
    </row>
    <row r="998" spans="1:44" ht="12.75" customHeight="1" x14ac:dyDescent="0.15">
      <c r="A998" s="431"/>
      <c r="B998" s="393"/>
      <c r="C998" s="428"/>
      <c r="D998" s="428">
        <v>608355.85128251521</v>
      </c>
      <c r="E998" s="224">
        <v>150095.90706376545</v>
      </c>
      <c r="F998" s="224">
        <v>4.7180049625077318</v>
      </c>
      <c r="G998" s="224">
        <v>3.8187848179472215</v>
      </c>
      <c r="H998" s="224">
        <v>2.7678625942157442</v>
      </c>
      <c r="I998" s="224">
        <v>2.0957505175046318</v>
      </c>
      <c r="J998" s="224"/>
      <c r="M998" s="224">
        <f t="shared" si="51"/>
        <v>458259.94421874976</v>
      </c>
      <c r="N998" s="224">
        <f t="shared" si="52"/>
        <v>0.89922014456051036</v>
      </c>
      <c r="O998" s="224">
        <f t="shared" si="53"/>
        <v>0.67211207671111239</v>
      </c>
      <c r="Q998" s="224"/>
      <c r="R998" s="224"/>
      <c r="S998" s="429"/>
      <c r="Z998" s="362"/>
      <c r="AA998" s="421"/>
      <c r="AB998" s="362"/>
      <c r="AC998" s="362"/>
      <c r="AD998" s="362"/>
      <c r="AE998" s="362"/>
      <c r="AF998" s="362"/>
      <c r="AG998" s="362"/>
      <c r="AH998" s="362"/>
      <c r="AI998" s="393"/>
      <c r="AJ998" s="393"/>
      <c r="AK998" s="362"/>
      <c r="AL998" s="362"/>
      <c r="AM998" s="362"/>
      <c r="AN998" s="362"/>
      <c r="AO998" s="362"/>
      <c r="AP998" s="362"/>
      <c r="AQ998" s="362"/>
      <c r="AR998" s="362"/>
    </row>
    <row r="999" spans="1:44" ht="12.75" customHeight="1" x14ac:dyDescent="0.15">
      <c r="A999" s="431"/>
      <c r="B999" s="393"/>
      <c r="C999" s="428"/>
      <c r="D999" s="428">
        <v>700688.13778196042</v>
      </c>
      <c r="E999" s="224">
        <v>171350.79046977047</v>
      </c>
      <c r="F999" s="224">
        <v>4.3631522953424913</v>
      </c>
      <c r="G999" s="224">
        <v>4.1067316671625429</v>
      </c>
      <c r="H999" s="224">
        <v>2.5907595290372067</v>
      </c>
      <c r="I999" s="224">
        <v>2.221223070508322</v>
      </c>
      <c r="J999" s="224"/>
      <c r="M999" s="224">
        <f t="shared" si="51"/>
        <v>529337.34731218999</v>
      </c>
      <c r="N999" s="224">
        <f t="shared" si="52"/>
        <v>0.25642062817994837</v>
      </c>
      <c r="O999" s="224">
        <f t="shared" si="53"/>
        <v>0.36953645852888473</v>
      </c>
      <c r="Q999" s="224"/>
      <c r="R999" s="224"/>
      <c r="S999" s="429"/>
      <c r="Z999" s="362"/>
      <c r="AA999" s="421"/>
      <c r="AB999" s="362"/>
      <c r="AC999" s="362"/>
      <c r="AD999" s="362"/>
      <c r="AE999" s="362"/>
      <c r="AF999" s="362"/>
      <c r="AG999" s="362"/>
      <c r="AH999" s="362"/>
      <c r="AI999" s="393"/>
      <c r="AJ999" s="393"/>
      <c r="AK999" s="362"/>
      <c r="AL999" s="362"/>
      <c r="AM999" s="362"/>
      <c r="AN999" s="362"/>
      <c r="AO999" s="362"/>
      <c r="AP999" s="362"/>
      <c r="AQ999" s="362"/>
      <c r="AR999" s="362"/>
    </row>
    <row r="1000" spans="1:44" ht="12.75" customHeight="1" x14ac:dyDescent="0.15">
      <c r="A1000" s="431"/>
      <c r="B1000" s="393"/>
      <c r="C1000" s="428"/>
      <c r="D1000" s="428">
        <v>699557.33582221053</v>
      </c>
      <c r="E1000" s="224">
        <v>270143.57063389628</v>
      </c>
      <c r="F1000" s="224">
        <v>4.2532548115733881</v>
      </c>
      <c r="G1000" s="224">
        <v>3.5952761280037651</v>
      </c>
      <c r="H1000" s="224">
        <v>2.4285366922245215</v>
      </c>
      <c r="I1000" s="224">
        <v>2.0875275212595694</v>
      </c>
      <c r="J1000" s="224"/>
      <c r="M1000" s="224">
        <f t="shared" si="51"/>
        <v>429413.76518831425</v>
      </c>
      <c r="N1000" s="224">
        <f t="shared" si="52"/>
        <v>0.65797868356962308</v>
      </c>
      <c r="O1000" s="224">
        <f t="shared" si="53"/>
        <v>0.34100917096495209</v>
      </c>
      <c r="Q1000" s="224"/>
      <c r="R1000" s="224"/>
      <c r="S1000" s="429"/>
      <c r="Z1000" s="362"/>
      <c r="AA1000" s="421"/>
      <c r="AB1000" s="362"/>
      <c r="AC1000" s="362"/>
      <c r="AD1000" s="362"/>
      <c r="AE1000" s="362"/>
      <c r="AF1000" s="362"/>
      <c r="AG1000" s="362"/>
      <c r="AH1000" s="362"/>
      <c r="AI1000" s="393"/>
      <c r="AJ1000" s="393"/>
      <c r="AK1000" s="362"/>
      <c r="AL1000" s="362"/>
      <c r="AM1000" s="362"/>
      <c r="AN1000" s="362"/>
      <c r="AO1000" s="362"/>
      <c r="AP1000" s="362"/>
      <c r="AQ1000" s="362"/>
      <c r="AR1000" s="362"/>
    </row>
    <row r="1001" spans="1:44" ht="12.75" customHeight="1" x14ac:dyDescent="0.15">
      <c r="A1001" s="431"/>
      <c r="B1001" s="393"/>
      <c r="C1001" s="428"/>
      <c r="D1001" s="428">
        <v>614935.31120219873</v>
      </c>
      <c r="E1001" s="224">
        <v>152933.13222932583</v>
      </c>
      <c r="F1001" s="224">
        <v>4.5049619097294693</v>
      </c>
      <c r="G1001" s="224">
        <v>3.7454549931831616</v>
      </c>
      <c r="H1001" s="224">
        <v>2.4764824619709453</v>
      </c>
      <c r="I1001" s="224">
        <v>2.0146805790195539</v>
      </c>
      <c r="J1001" s="224"/>
      <c r="M1001" s="224">
        <f t="shared" si="51"/>
        <v>462002.17897287291</v>
      </c>
      <c r="N1001" s="224">
        <f t="shared" si="52"/>
        <v>0.75950691654630775</v>
      </c>
      <c r="O1001" s="224">
        <f t="shared" si="53"/>
        <v>0.46180188295139146</v>
      </c>
      <c r="Q1001" s="224"/>
      <c r="R1001" s="224"/>
      <c r="S1001" s="429"/>
      <c r="Z1001" s="362"/>
      <c r="AA1001" s="421"/>
      <c r="AB1001" s="362"/>
      <c r="AC1001" s="362"/>
      <c r="AD1001" s="362"/>
      <c r="AE1001" s="362"/>
      <c r="AF1001" s="362"/>
      <c r="AG1001" s="362"/>
      <c r="AH1001" s="362"/>
      <c r="AI1001" s="393"/>
      <c r="AJ1001" s="393"/>
      <c r="AK1001" s="362"/>
      <c r="AL1001" s="362"/>
      <c r="AM1001" s="362"/>
      <c r="AN1001" s="362"/>
      <c r="AO1001" s="362"/>
      <c r="AP1001" s="362"/>
      <c r="AQ1001" s="362"/>
      <c r="AR1001" s="362"/>
    </row>
    <row r="1002" spans="1:44" ht="12.75" customHeight="1" x14ac:dyDescent="0.15">
      <c r="A1002" s="431"/>
      <c r="B1002" s="393"/>
      <c r="C1002" s="428"/>
      <c r="D1002" s="428">
        <v>501547.83642606431</v>
      </c>
      <c r="E1002" s="224">
        <v>115401.31745370022</v>
      </c>
      <c r="F1002" s="224">
        <v>3.9511430677066337</v>
      </c>
      <c r="G1002" s="224">
        <v>3.8703663220746374</v>
      </c>
      <c r="H1002" s="224">
        <v>2.0872093610424836</v>
      </c>
      <c r="I1002" s="224">
        <v>1.8513536921797509</v>
      </c>
      <c r="J1002" s="224"/>
      <c r="M1002" s="224">
        <f t="shared" si="51"/>
        <v>386146.51897236408</v>
      </c>
      <c r="N1002" s="224">
        <f t="shared" si="52"/>
        <v>8.0776745631996327E-2</v>
      </c>
      <c r="O1002" s="224">
        <f t="shared" si="53"/>
        <v>0.23585566886273268</v>
      </c>
      <c r="Q1002" s="224"/>
      <c r="R1002" s="224"/>
      <c r="S1002" s="429"/>
      <c r="Z1002" s="362"/>
      <c r="AA1002" s="421"/>
      <c r="AB1002" s="362"/>
      <c r="AC1002" s="362"/>
      <c r="AD1002" s="362"/>
      <c r="AE1002" s="362"/>
      <c r="AF1002" s="362"/>
      <c r="AG1002" s="362"/>
      <c r="AH1002" s="362"/>
      <c r="AI1002" s="393"/>
      <c r="AJ1002" s="393"/>
      <c r="AK1002" s="362"/>
      <c r="AL1002" s="362"/>
      <c r="AM1002" s="362"/>
      <c r="AN1002" s="362"/>
      <c r="AO1002" s="362"/>
      <c r="AP1002" s="362"/>
      <c r="AQ1002" s="362"/>
      <c r="AR1002" s="362"/>
    </row>
    <row r="1003" spans="1:44" ht="12.75" customHeight="1" x14ac:dyDescent="0.15">
      <c r="A1003" s="431"/>
      <c r="B1003" s="393"/>
      <c r="C1003" s="428"/>
      <c r="D1003" s="428">
        <v>500712.29217254271</v>
      </c>
      <c r="E1003" s="224">
        <v>137177.89789546072</v>
      </c>
      <c r="F1003" s="224">
        <v>4.0414253896875918</v>
      </c>
      <c r="G1003" s="224">
        <v>3.970467259013081</v>
      </c>
      <c r="H1003" s="224">
        <v>2.2674585488143033</v>
      </c>
      <c r="I1003" s="224">
        <v>2.1818397395114579</v>
      </c>
      <c r="J1003" s="224"/>
      <c r="M1003" s="224">
        <f t="shared" si="51"/>
        <v>363534.394277082</v>
      </c>
      <c r="N1003" s="224">
        <f t="shared" si="52"/>
        <v>7.0958130674510844E-2</v>
      </c>
      <c r="O1003" s="224">
        <f t="shared" si="53"/>
        <v>8.5618809302845378E-2</v>
      </c>
      <c r="Q1003" s="224"/>
      <c r="R1003" s="224"/>
      <c r="S1003" s="429"/>
      <c r="Z1003" s="362"/>
      <c r="AA1003" s="421"/>
      <c r="AB1003" s="362"/>
      <c r="AC1003" s="362"/>
      <c r="AD1003" s="362"/>
      <c r="AE1003" s="362"/>
      <c r="AF1003" s="362"/>
      <c r="AG1003" s="362"/>
      <c r="AH1003" s="362"/>
      <c r="AI1003" s="393"/>
      <c r="AJ1003" s="393"/>
      <c r="AK1003" s="362"/>
      <c r="AL1003" s="362"/>
      <c r="AM1003" s="362"/>
      <c r="AN1003" s="362"/>
      <c r="AO1003" s="362"/>
      <c r="AP1003" s="362"/>
      <c r="AQ1003" s="362"/>
      <c r="AR1003" s="362"/>
    </row>
    <row r="1004" spans="1:44" ht="12.75" customHeight="1" x14ac:dyDescent="0.15">
      <c r="A1004" s="431"/>
      <c r="B1004" s="393"/>
      <c r="C1004" s="428"/>
      <c r="D1004" s="428">
        <v>646811.34363781137</v>
      </c>
      <c r="E1004" s="224">
        <v>139678.90084030811</v>
      </c>
      <c r="F1004" s="224">
        <v>4.3162865268845731</v>
      </c>
      <c r="G1004" s="224">
        <v>3.8463082676916667</v>
      </c>
      <c r="H1004" s="224">
        <v>2.6088191282652815</v>
      </c>
      <c r="I1004" s="224">
        <v>2.0006586997491782</v>
      </c>
      <c r="J1004" s="224"/>
      <c r="M1004" s="224">
        <f t="shared" si="51"/>
        <v>507132.44279750326</v>
      </c>
      <c r="N1004" s="224">
        <f t="shared" si="52"/>
        <v>0.46997825919290648</v>
      </c>
      <c r="O1004" s="224">
        <f t="shared" si="53"/>
        <v>0.6081604285161033</v>
      </c>
      <c r="Q1004" s="224"/>
      <c r="R1004" s="224"/>
      <c r="S1004" s="429"/>
      <c r="Z1004" s="362"/>
      <c r="AA1004" s="421"/>
      <c r="AB1004" s="362"/>
      <c r="AC1004" s="362"/>
      <c r="AD1004" s="362"/>
      <c r="AE1004" s="362"/>
      <c r="AF1004" s="362"/>
      <c r="AG1004" s="362"/>
      <c r="AH1004" s="362"/>
      <c r="AI1004" s="393"/>
      <c r="AJ1004" s="393"/>
      <c r="AK1004" s="362"/>
      <c r="AL1004" s="362"/>
      <c r="AM1004" s="362"/>
      <c r="AN1004" s="362"/>
      <c r="AO1004" s="362"/>
      <c r="AP1004" s="362"/>
      <c r="AQ1004" s="362"/>
      <c r="AR1004" s="362"/>
    </row>
    <row r="1005" spans="1:44" ht="12.75" customHeight="1" x14ac:dyDescent="0.15">
      <c r="A1005" s="431"/>
      <c r="B1005" s="393"/>
      <c r="C1005" s="428"/>
      <c r="D1005" s="428">
        <v>536835.02295609994</v>
      </c>
      <c r="E1005" s="224">
        <v>137598.03711205625</v>
      </c>
      <c r="F1005" s="224">
        <v>4.4289801873042745</v>
      </c>
      <c r="G1005" s="224">
        <v>3.7210040927390855</v>
      </c>
      <c r="H1005" s="224">
        <v>2.2908552763355914</v>
      </c>
      <c r="I1005" s="224">
        <v>2.0108775632176563</v>
      </c>
      <c r="J1005" s="224"/>
      <c r="M1005" s="224">
        <f t="shared" si="51"/>
        <v>399236.98584404367</v>
      </c>
      <c r="N1005" s="224">
        <f t="shared" si="52"/>
        <v>0.70797609456518895</v>
      </c>
      <c r="O1005" s="224">
        <f t="shared" si="53"/>
        <v>0.27997771311793507</v>
      </c>
      <c r="Q1005" s="224"/>
      <c r="R1005" s="224"/>
      <c r="S1005" s="429"/>
      <c r="Z1005" s="362"/>
      <c r="AA1005" s="421"/>
      <c r="AB1005" s="362"/>
      <c r="AC1005" s="362"/>
      <c r="AD1005" s="362"/>
      <c r="AE1005" s="362"/>
      <c r="AF1005" s="362"/>
      <c r="AG1005" s="362"/>
      <c r="AH1005" s="362"/>
      <c r="AI1005" s="393"/>
      <c r="AJ1005" s="393"/>
      <c r="AK1005" s="362"/>
      <c r="AL1005" s="362"/>
      <c r="AM1005" s="362"/>
      <c r="AN1005" s="362"/>
      <c r="AO1005" s="362"/>
      <c r="AP1005" s="362"/>
      <c r="AQ1005" s="362"/>
      <c r="AR1005" s="362"/>
    </row>
    <row r="1006" spans="1:44" ht="12.75" customHeight="1" x14ac:dyDescent="0.15">
      <c r="A1006" s="431"/>
      <c r="B1006" s="393"/>
      <c r="C1006" s="428"/>
      <c r="D1006" s="428">
        <v>696844.24353078974</v>
      </c>
      <c r="E1006" s="224">
        <v>265230.28368740564</v>
      </c>
      <c r="F1006" s="224">
        <v>4.6611859868806578</v>
      </c>
      <c r="G1006" s="224">
        <v>3.9770444663612339</v>
      </c>
      <c r="H1006" s="224">
        <v>2.8158899865194531</v>
      </c>
      <c r="I1006" s="224">
        <v>2.3006978171260739</v>
      </c>
      <c r="J1006" s="224"/>
      <c r="M1006" s="224">
        <f t="shared" si="51"/>
        <v>431613.9598433841</v>
      </c>
      <c r="N1006" s="224">
        <f t="shared" si="52"/>
        <v>0.6841415205194239</v>
      </c>
      <c r="O1006" s="224">
        <f t="shared" si="53"/>
        <v>0.5151921693933792</v>
      </c>
      <c r="Q1006" s="224"/>
      <c r="R1006" s="224"/>
      <c r="S1006" s="429"/>
      <c r="Z1006" s="362"/>
      <c r="AA1006" s="421"/>
      <c r="AB1006" s="362"/>
      <c r="AC1006" s="362"/>
      <c r="AD1006" s="362"/>
      <c r="AE1006" s="362"/>
      <c r="AF1006" s="362"/>
      <c r="AG1006" s="362"/>
      <c r="AH1006" s="362"/>
      <c r="AI1006" s="393"/>
      <c r="AJ1006" s="393"/>
      <c r="AK1006" s="362"/>
      <c r="AL1006" s="362"/>
      <c r="AM1006" s="362"/>
      <c r="AN1006" s="362"/>
      <c r="AO1006" s="362"/>
      <c r="AP1006" s="362"/>
      <c r="AQ1006" s="362"/>
      <c r="AR1006" s="362"/>
    </row>
    <row r="1007" spans="1:44" ht="12.75" customHeight="1" x14ac:dyDescent="0.15">
      <c r="A1007" s="431"/>
      <c r="B1007" s="393"/>
      <c r="C1007" s="428"/>
      <c r="D1007" s="428">
        <v>583050.28016583773</v>
      </c>
      <c r="E1007" s="224">
        <v>145758.26231952885</v>
      </c>
      <c r="F1007" s="224">
        <v>3.9689992316571288</v>
      </c>
      <c r="G1007" s="224">
        <v>3.9370954095215538</v>
      </c>
      <c r="H1007" s="224">
        <v>2.3265936137572214</v>
      </c>
      <c r="I1007" s="224">
        <v>2.1792383494930307</v>
      </c>
      <c r="J1007" s="224"/>
      <c r="M1007" s="224">
        <f t="shared" si="51"/>
        <v>437292.01784630888</v>
      </c>
      <c r="N1007" s="224">
        <f t="shared" si="52"/>
        <v>3.1903822135574966E-2</v>
      </c>
      <c r="O1007" s="224">
        <f t="shared" si="53"/>
        <v>0.14735526426419066</v>
      </c>
      <c r="Q1007" s="224"/>
      <c r="R1007" s="224"/>
      <c r="S1007" s="429"/>
      <c r="Z1007" s="362"/>
      <c r="AA1007" s="421"/>
      <c r="AB1007" s="362"/>
      <c r="AC1007" s="362"/>
      <c r="AD1007" s="362"/>
      <c r="AE1007" s="362"/>
      <c r="AF1007" s="362"/>
      <c r="AG1007" s="362"/>
      <c r="AH1007" s="362"/>
      <c r="AI1007" s="393"/>
      <c r="AJ1007" s="393"/>
      <c r="AK1007" s="362"/>
      <c r="AL1007" s="362"/>
      <c r="AM1007" s="362"/>
      <c r="AN1007" s="362"/>
      <c r="AO1007" s="362"/>
      <c r="AP1007" s="362"/>
      <c r="AQ1007" s="362"/>
      <c r="AR1007" s="362"/>
    </row>
    <row r="1008" spans="1:44" ht="12.75" customHeight="1" x14ac:dyDescent="0.15">
      <c r="A1008" s="431"/>
      <c r="B1008" s="393"/>
      <c r="C1008" s="428"/>
      <c r="D1008" s="428">
        <v>555408.28875214537</v>
      </c>
      <c r="E1008" s="224">
        <v>108448.12283238221</v>
      </c>
      <c r="F1008" s="224">
        <v>4.7603002124476257</v>
      </c>
      <c r="G1008" s="224">
        <v>4.1053685504295325</v>
      </c>
      <c r="H1008" s="224">
        <v>2.8493738720798922</v>
      </c>
      <c r="I1008" s="224">
        <v>2.2050912552575936</v>
      </c>
      <c r="J1008" s="224"/>
      <c r="M1008" s="224">
        <f t="shared" si="51"/>
        <v>446960.16591976315</v>
      </c>
      <c r="N1008" s="224">
        <f t="shared" si="52"/>
        <v>0.65493166201809316</v>
      </c>
      <c r="O1008" s="224">
        <f t="shared" si="53"/>
        <v>0.64428261682229859</v>
      </c>
      <c r="Q1008" s="224"/>
      <c r="R1008" s="224"/>
      <c r="S1008" s="429"/>
      <c r="Z1008" s="362"/>
      <c r="AA1008" s="421"/>
      <c r="AB1008" s="362"/>
      <c r="AC1008" s="362"/>
      <c r="AD1008" s="362"/>
      <c r="AE1008" s="362"/>
      <c r="AF1008" s="362"/>
      <c r="AG1008" s="362"/>
      <c r="AH1008" s="362"/>
      <c r="AI1008" s="393"/>
      <c r="AJ1008" s="393"/>
      <c r="AK1008" s="362"/>
      <c r="AL1008" s="362"/>
      <c r="AM1008" s="362"/>
      <c r="AN1008" s="362"/>
      <c r="AO1008" s="362"/>
      <c r="AP1008" s="362"/>
      <c r="AQ1008" s="362"/>
      <c r="AR1008" s="362"/>
    </row>
    <row r="1009" spans="1:44" ht="12.75" customHeight="1" x14ac:dyDescent="0.15">
      <c r="A1009" s="431"/>
      <c r="B1009" s="393"/>
      <c r="C1009" s="428"/>
      <c r="D1009" s="428">
        <v>550196.56762828049</v>
      </c>
      <c r="E1009" s="224">
        <v>133535.67369829796</v>
      </c>
      <c r="F1009" s="224">
        <v>4.5853310018484663</v>
      </c>
      <c r="G1009" s="224">
        <v>3.6997616178465189</v>
      </c>
      <c r="H1009" s="224">
        <v>2.8331851754248705</v>
      </c>
      <c r="I1009" s="224">
        <v>2.2121009711172532</v>
      </c>
      <c r="J1009" s="224"/>
      <c r="M1009" s="224">
        <f t="shared" si="51"/>
        <v>416660.89392998256</v>
      </c>
      <c r="N1009" s="224">
        <f t="shared" si="52"/>
        <v>0.8855693840019474</v>
      </c>
      <c r="O1009" s="224">
        <f t="shared" si="53"/>
        <v>0.62108420430761724</v>
      </c>
      <c r="Q1009" s="224"/>
      <c r="R1009" s="224"/>
      <c r="S1009" s="429"/>
      <c r="Z1009" s="362"/>
      <c r="AA1009" s="421"/>
      <c r="AB1009" s="362"/>
      <c r="AC1009" s="362"/>
      <c r="AD1009" s="362"/>
      <c r="AE1009" s="362"/>
      <c r="AF1009" s="362"/>
      <c r="AG1009" s="362"/>
      <c r="AH1009" s="362"/>
      <c r="AI1009" s="393"/>
      <c r="AJ1009" s="393"/>
      <c r="AK1009" s="362"/>
      <c r="AL1009" s="362"/>
      <c r="AM1009" s="362"/>
      <c r="AN1009" s="362"/>
      <c r="AO1009" s="362"/>
      <c r="AP1009" s="362"/>
      <c r="AQ1009" s="362"/>
      <c r="AR1009" s="362"/>
    </row>
    <row r="1010" spans="1:44" ht="12.75" customHeight="1" x14ac:dyDescent="0.15">
      <c r="A1010" s="431"/>
      <c r="B1010" s="393"/>
      <c r="C1010" s="428"/>
      <c r="D1010" s="428">
        <v>602785.66443640983</v>
      </c>
      <c r="E1010" s="224">
        <v>122786.71689599416</v>
      </c>
      <c r="F1010" s="224">
        <v>4.3509875783966221</v>
      </c>
      <c r="G1010" s="224">
        <v>3.3508366040782587</v>
      </c>
      <c r="H1010" s="224">
        <v>2.730384243648273</v>
      </c>
      <c r="I1010" s="224">
        <v>1.9235185814509432</v>
      </c>
      <c r="J1010" s="224"/>
      <c r="M1010" s="224">
        <f t="shared" si="51"/>
        <v>479998.94754041568</v>
      </c>
      <c r="N1010" s="224">
        <f t="shared" si="52"/>
        <v>1.0001509743183634</v>
      </c>
      <c r="O1010" s="224">
        <f t="shared" si="53"/>
        <v>0.8068656621973298</v>
      </c>
      <c r="Q1010" s="224"/>
      <c r="R1010" s="224"/>
      <c r="S1010" s="429"/>
      <c r="Z1010" s="362"/>
      <c r="AA1010" s="421"/>
      <c r="AB1010" s="362"/>
      <c r="AC1010" s="362"/>
      <c r="AD1010" s="362"/>
      <c r="AE1010" s="362"/>
      <c r="AF1010" s="362"/>
      <c r="AG1010" s="362"/>
      <c r="AH1010" s="362"/>
      <c r="AI1010" s="393"/>
      <c r="AJ1010" s="393"/>
      <c r="AK1010" s="362"/>
      <c r="AL1010" s="362"/>
      <c r="AM1010" s="362"/>
      <c r="AN1010" s="362"/>
      <c r="AO1010" s="362"/>
      <c r="AP1010" s="362"/>
      <c r="AQ1010" s="362"/>
      <c r="AR1010" s="362"/>
    </row>
    <row r="1011" spans="1:44" ht="12.75" customHeight="1" x14ac:dyDescent="0.15">
      <c r="A1011" s="431"/>
      <c r="B1011" s="393"/>
      <c r="C1011" s="428"/>
      <c r="D1011" s="428">
        <v>529456.97210442624</v>
      </c>
      <c r="E1011" s="224">
        <v>143506.19982528273</v>
      </c>
      <c r="F1011" s="224">
        <v>4.2183371047835552</v>
      </c>
      <c r="G1011" s="224">
        <v>3.8881314407198686</v>
      </c>
      <c r="H1011" s="224">
        <v>2.4566791913193127</v>
      </c>
      <c r="I1011" s="224">
        <v>2.2345055004131256</v>
      </c>
      <c r="J1011" s="224"/>
      <c r="M1011" s="224">
        <f t="shared" si="51"/>
        <v>385950.77227914351</v>
      </c>
      <c r="N1011" s="224">
        <f t="shared" si="52"/>
        <v>0.33020566406368657</v>
      </c>
      <c r="O1011" s="224">
        <f t="shared" si="53"/>
        <v>0.2221736909061871</v>
      </c>
      <c r="Q1011" s="224"/>
      <c r="R1011" s="224"/>
      <c r="S1011" s="429"/>
      <c r="Z1011" s="362"/>
      <c r="AA1011" s="421"/>
      <c r="AB1011" s="362"/>
      <c r="AC1011" s="362"/>
      <c r="AD1011" s="362"/>
      <c r="AE1011" s="362"/>
      <c r="AF1011" s="362"/>
      <c r="AG1011" s="362"/>
      <c r="AH1011" s="362"/>
      <c r="AI1011" s="393"/>
      <c r="AJ1011" s="393"/>
      <c r="AK1011" s="362"/>
      <c r="AL1011" s="362"/>
      <c r="AM1011" s="362"/>
      <c r="AN1011" s="362"/>
      <c r="AO1011" s="362"/>
      <c r="AP1011" s="362"/>
      <c r="AQ1011" s="362"/>
      <c r="AR1011" s="362"/>
    </row>
    <row r="1012" spans="1:44" ht="12.75" customHeight="1" x14ac:dyDescent="0.15">
      <c r="A1012" s="431"/>
      <c r="B1012" s="393"/>
      <c r="C1012" s="428"/>
      <c r="D1012" s="428">
        <v>630977.38779190346</v>
      </c>
      <c r="E1012" s="224">
        <v>178846.01066938834</v>
      </c>
      <c r="F1012" s="224">
        <v>4.7878279025986865</v>
      </c>
      <c r="G1012" s="224">
        <v>4.1025586727503818</v>
      </c>
      <c r="H1012" s="224">
        <v>2.8344214150614269</v>
      </c>
      <c r="I1012" s="224">
        <v>2.3354680730941069</v>
      </c>
      <c r="J1012" s="224"/>
      <c r="M1012" s="224">
        <f t="shared" si="51"/>
        <v>452131.37712251511</v>
      </c>
      <c r="N1012" s="224">
        <f t="shared" si="52"/>
        <v>0.68526922984830474</v>
      </c>
      <c r="O1012" s="224">
        <f t="shared" si="53"/>
        <v>0.49895334196732</v>
      </c>
      <c r="Q1012" s="224"/>
      <c r="R1012" s="224"/>
      <c r="S1012" s="429"/>
      <c r="Z1012" s="362"/>
      <c r="AA1012" s="421"/>
      <c r="AB1012" s="362"/>
      <c r="AC1012" s="362"/>
      <c r="AD1012" s="362"/>
      <c r="AE1012" s="362"/>
      <c r="AF1012" s="362"/>
      <c r="AG1012" s="362"/>
      <c r="AH1012" s="362"/>
      <c r="AI1012" s="393"/>
      <c r="AJ1012" s="393"/>
      <c r="AK1012" s="362"/>
      <c r="AL1012" s="362"/>
      <c r="AM1012" s="362"/>
      <c r="AN1012" s="362"/>
      <c r="AO1012" s="362"/>
      <c r="AP1012" s="362"/>
      <c r="AQ1012" s="362"/>
      <c r="AR1012" s="362"/>
    </row>
    <row r="1013" spans="1:44" ht="12.75" customHeight="1" x14ac:dyDescent="0.15">
      <c r="A1013" s="431"/>
      <c r="B1013" s="393"/>
      <c r="C1013" s="428"/>
      <c r="D1013" s="428">
        <v>571033.31281271565</v>
      </c>
      <c r="E1013" s="224">
        <v>116396.45354131468</v>
      </c>
      <c r="F1013" s="224">
        <v>4.2505029178839147</v>
      </c>
      <c r="G1013" s="224">
        <v>3.7609441926927847</v>
      </c>
      <c r="H1013" s="224">
        <v>2.778973181445068</v>
      </c>
      <c r="I1013" s="224">
        <v>2.4285733219503736</v>
      </c>
      <c r="J1013" s="224"/>
      <c r="M1013" s="224">
        <f t="shared" si="51"/>
        <v>454636.85927140096</v>
      </c>
      <c r="N1013" s="224">
        <f t="shared" si="52"/>
        <v>0.48955872519112997</v>
      </c>
      <c r="O1013" s="224">
        <f t="shared" si="53"/>
        <v>0.35039985949469443</v>
      </c>
      <c r="Q1013" s="224"/>
      <c r="R1013" s="224"/>
      <c r="S1013" s="429"/>
      <c r="Z1013" s="362"/>
      <c r="AA1013" s="421"/>
      <c r="AB1013" s="362"/>
      <c r="AC1013" s="362"/>
      <c r="AD1013" s="362"/>
      <c r="AE1013" s="362"/>
      <c r="AF1013" s="362"/>
      <c r="AG1013" s="362"/>
      <c r="AH1013" s="362"/>
      <c r="AI1013" s="393"/>
      <c r="AJ1013" s="393"/>
      <c r="AK1013" s="362"/>
      <c r="AL1013" s="362"/>
      <c r="AM1013" s="362"/>
      <c r="AN1013" s="362"/>
      <c r="AO1013" s="362"/>
      <c r="AP1013" s="362"/>
      <c r="AQ1013" s="362"/>
      <c r="AR1013" s="362"/>
    </row>
    <row r="1014" spans="1:44" ht="12.75" customHeight="1" x14ac:dyDescent="0.15">
      <c r="A1014" s="431"/>
      <c r="B1014" s="393"/>
      <c r="C1014" s="428"/>
      <c r="D1014" s="428">
        <v>766721.43030664313</v>
      </c>
      <c r="E1014" s="224">
        <v>190917.497087959</v>
      </c>
      <c r="F1014" s="224">
        <v>4.4788922849150321</v>
      </c>
      <c r="G1014" s="224">
        <v>3.8009426190295841</v>
      </c>
      <c r="H1014" s="224">
        <v>2.7014357697035463</v>
      </c>
      <c r="I1014" s="224">
        <v>2.139443025725452</v>
      </c>
      <c r="J1014" s="224"/>
      <c r="M1014" s="224">
        <f t="shared" si="51"/>
        <v>575803.93321868416</v>
      </c>
      <c r="N1014" s="224">
        <f t="shared" si="52"/>
        <v>0.67794966588544803</v>
      </c>
      <c r="O1014" s="224">
        <f t="shared" si="53"/>
        <v>0.56199274397809429</v>
      </c>
      <c r="Q1014" s="224"/>
      <c r="R1014" s="224"/>
      <c r="S1014" s="429"/>
      <c r="Z1014" s="362"/>
      <c r="AA1014" s="421"/>
      <c r="AB1014" s="362"/>
      <c r="AC1014" s="362"/>
      <c r="AD1014" s="362"/>
      <c r="AE1014" s="362"/>
      <c r="AF1014" s="362"/>
      <c r="AG1014" s="362"/>
      <c r="AH1014" s="362"/>
      <c r="AI1014" s="393"/>
      <c r="AJ1014" s="393"/>
      <c r="AK1014" s="362"/>
      <c r="AL1014" s="362"/>
      <c r="AM1014" s="362"/>
      <c r="AN1014" s="362"/>
      <c r="AO1014" s="362"/>
      <c r="AP1014" s="362"/>
      <c r="AQ1014" s="362"/>
      <c r="AR1014" s="362"/>
    </row>
    <row r="1015" spans="1:44" ht="12.75" customHeight="1" x14ac:dyDescent="0.15">
      <c r="A1015" s="431"/>
      <c r="B1015" s="393"/>
      <c r="C1015" s="428"/>
      <c r="D1015" s="428">
        <v>540951.76319620782</v>
      </c>
      <c r="E1015" s="224">
        <v>119269.81777089325</v>
      </c>
      <c r="F1015" s="224">
        <v>4.7454356128610318</v>
      </c>
      <c r="G1015" s="224">
        <v>3.6366521360114681</v>
      </c>
      <c r="H1015" s="224">
        <v>2.8463257244912343</v>
      </c>
      <c r="I1015" s="224">
        <v>2.0425727807958176</v>
      </c>
      <c r="J1015" s="224"/>
      <c r="M1015" s="224">
        <f t="shared" si="51"/>
        <v>421681.9454253146</v>
      </c>
      <c r="N1015" s="224">
        <f t="shared" si="52"/>
        <v>1.1087834768495637</v>
      </c>
      <c r="O1015" s="224">
        <f t="shared" si="53"/>
        <v>0.80375294369541672</v>
      </c>
      <c r="Q1015" s="224"/>
      <c r="R1015" s="224"/>
      <c r="S1015" s="429"/>
      <c r="Z1015" s="362"/>
      <c r="AA1015" s="421"/>
      <c r="AB1015" s="362"/>
      <c r="AC1015" s="362"/>
      <c r="AD1015" s="362"/>
      <c r="AE1015" s="362"/>
      <c r="AF1015" s="362"/>
      <c r="AG1015" s="362"/>
      <c r="AH1015" s="362"/>
      <c r="AI1015" s="393"/>
      <c r="AJ1015" s="393"/>
      <c r="AK1015" s="362"/>
      <c r="AL1015" s="362"/>
      <c r="AM1015" s="362"/>
      <c r="AN1015" s="362"/>
      <c r="AO1015" s="362"/>
      <c r="AP1015" s="362"/>
      <c r="AQ1015" s="362"/>
      <c r="AR1015" s="362"/>
    </row>
    <row r="1016" spans="1:44" ht="12.75" customHeight="1" x14ac:dyDescent="0.15">
      <c r="A1016" s="431"/>
      <c r="B1016" s="393"/>
      <c r="C1016" s="428"/>
      <c r="D1016" s="428">
        <v>613620.64433386864</v>
      </c>
      <c r="E1016" s="224">
        <v>146969.1604556322</v>
      </c>
      <c r="F1016" s="224">
        <v>4.1399192639487721</v>
      </c>
      <c r="G1016" s="224">
        <v>3.9169961109080575</v>
      </c>
      <c r="H1016" s="224">
        <v>2.2563826540105958</v>
      </c>
      <c r="I1016" s="224">
        <v>2.0981257625172627</v>
      </c>
      <c r="J1016" s="224"/>
      <c r="M1016" s="224">
        <f t="shared" si="51"/>
        <v>466651.48387823644</v>
      </c>
      <c r="N1016" s="224">
        <f t="shared" si="52"/>
        <v>0.22292315304071453</v>
      </c>
      <c r="O1016" s="224">
        <f t="shared" si="53"/>
        <v>0.15825689149333311</v>
      </c>
      <c r="Q1016" s="224"/>
      <c r="R1016" s="224"/>
      <c r="S1016" s="429"/>
      <c r="Z1016" s="362"/>
      <c r="AA1016" s="421"/>
      <c r="AB1016" s="362"/>
      <c r="AC1016" s="362"/>
      <c r="AD1016" s="362"/>
      <c r="AE1016" s="362"/>
      <c r="AF1016" s="362"/>
      <c r="AG1016" s="362"/>
      <c r="AH1016" s="362"/>
      <c r="AI1016" s="393"/>
      <c r="AJ1016" s="393"/>
      <c r="AK1016" s="362"/>
      <c r="AL1016" s="362"/>
      <c r="AM1016" s="362"/>
      <c r="AN1016" s="362"/>
      <c r="AO1016" s="362"/>
      <c r="AP1016" s="362"/>
      <c r="AQ1016" s="362"/>
      <c r="AR1016" s="362"/>
    </row>
    <row r="1017" spans="1:44" ht="12.75" customHeight="1" x14ac:dyDescent="0.15">
      <c r="A1017" s="431"/>
      <c r="B1017" s="393"/>
      <c r="C1017" s="428"/>
      <c r="D1017" s="428">
        <v>536566.47036187048</v>
      </c>
      <c r="E1017" s="224">
        <v>120102.30526822543</v>
      </c>
      <c r="F1017" s="224">
        <v>4.6036866632304063</v>
      </c>
      <c r="G1017" s="224">
        <v>4.3061108607749308</v>
      </c>
      <c r="H1017" s="224">
        <v>2.738397217234624</v>
      </c>
      <c r="I1017" s="224">
        <v>2.3508426231276554</v>
      </c>
      <c r="J1017" s="224"/>
      <c r="M1017" s="224">
        <f t="shared" si="51"/>
        <v>416464.16509364505</v>
      </c>
      <c r="N1017" s="224">
        <f t="shared" si="52"/>
        <v>0.29757580245547555</v>
      </c>
      <c r="O1017" s="224">
        <f t="shared" si="53"/>
        <v>0.38755459410696869</v>
      </c>
      <c r="Q1017" s="224"/>
      <c r="R1017" s="224"/>
      <c r="S1017" s="429"/>
      <c r="Z1017" s="362"/>
      <c r="AA1017" s="421"/>
      <c r="AB1017" s="362"/>
      <c r="AC1017" s="362"/>
      <c r="AD1017" s="362"/>
      <c r="AE1017" s="362"/>
      <c r="AF1017" s="362"/>
      <c r="AG1017" s="362"/>
      <c r="AH1017" s="362"/>
      <c r="AI1017" s="393"/>
      <c r="AJ1017" s="393"/>
      <c r="AK1017" s="362"/>
      <c r="AL1017" s="362"/>
      <c r="AM1017" s="362"/>
      <c r="AN1017" s="362"/>
      <c r="AO1017" s="362"/>
      <c r="AP1017" s="362"/>
      <c r="AQ1017" s="362"/>
      <c r="AR1017" s="362"/>
    </row>
    <row r="1018" spans="1:44" ht="12.75" customHeight="1" x14ac:dyDescent="0.15">
      <c r="A1018" s="431"/>
      <c r="B1018" s="393"/>
      <c r="C1018" s="428"/>
      <c r="D1018" s="428"/>
      <c r="E1018" s="224"/>
      <c r="F1018" s="224"/>
      <c r="G1018" s="224"/>
      <c r="H1018" s="224"/>
      <c r="I1018" s="224"/>
      <c r="J1018" s="224"/>
      <c r="O1018" s="433"/>
      <c r="Z1018" s="362"/>
      <c r="AA1018" s="362"/>
      <c r="AB1018" s="362"/>
      <c r="AC1018" s="362"/>
      <c r="AD1018" s="362"/>
      <c r="AE1018" s="362"/>
      <c r="AF1018" s="362"/>
      <c r="AG1018" s="362"/>
      <c r="AH1018" s="362"/>
      <c r="AI1018" s="360"/>
      <c r="AJ1018" s="360"/>
      <c r="AK1018" s="362"/>
      <c r="AL1018" s="362"/>
      <c r="AM1018" s="362"/>
      <c r="AN1018" s="362"/>
      <c r="AO1018" s="362"/>
      <c r="AP1018" s="362"/>
      <c r="AQ1018" s="362"/>
      <c r="AR1018" s="362"/>
    </row>
    <row r="1019" spans="1:44" s="441" customFormat="1" ht="18" customHeight="1" x14ac:dyDescent="0.2">
      <c r="A1019" s="431"/>
      <c r="B1019" s="434"/>
      <c r="C1019" s="435"/>
      <c r="D1019" s="435"/>
      <c r="E1019" s="436"/>
      <c r="F1019" s="436"/>
      <c r="G1019" s="436"/>
      <c r="H1019" s="436"/>
      <c r="I1019" s="436"/>
      <c r="J1019" s="436"/>
      <c r="K1019" s="437"/>
      <c r="L1019" s="436"/>
      <c r="M1019" s="438"/>
      <c r="N1019" s="436"/>
      <c r="O1019" s="433"/>
      <c r="P1019" s="436"/>
      <c r="Q1019" s="438"/>
      <c r="R1019" s="436"/>
      <c r="S1019" s="437"/>
      <c r="T1019" s="439"/>
      <c r="U1019" s="440"/>
      <c r="V1019" s="437"/>
      <c r="W1019" s="437"/>
      <c r="X1019" s="437"/>
      <c r="Y1019" s="437"/>
      <c r="Z1019" s="437"/>
      <c r="AA1019" s="437"/>
      <c r="AB1019" s="437"/>
      <c r="AC1019" s="437"/>
      <c r="AD1019" s="437"/>
      <c r="AE1019" s="437"/>
      <c r="AF1019" s="437"/>
      <c r="AG1019" s="437"/>
      <c r="AH1019" s="437"/>
      <c r="AI1019" s="434"/>
      <c r="AJ1019" s="434"/>
      <c r="AK1019" s="437"/>
      <c r="AL1019" s="437"/>
      <c r="AM1019" s="437"/>
      <c r="AN1019" s="437"/>
      <c r="AO1019" s="437"/>
      <c r="AP1019" s="437"/>
      <c r="AQ1019" s="437"/>
      <c r="AR1019" s="437"/>
    </row>
    <row r="1020" spans="1:44" ht="17.25" customHeight="1" x14ac:dyDescent="0.2">
      <c r="A1020" s="442"/>
      <c r="B1020" s="393"/>
      <c r="C1020" s="428"/>
      <c r="D1020" s="443"/>
      <c r="E1020" s="443"/>
      <c r="F1020" s="443"/>
      <c r="G1020" s="443"/>
      <c r="H1020" s="443"/>
      <c r="I1020" s="443"/>
      <c r="J1020" s="224"/>
      <c r="M1020" s="444"/>
      <c r="N1020" s="445"/>
      <c r="O1020" s="433"/>
      <c r="Q1020" s="444"/>
      <c r="R1020" s="445"/>
      <c r="S1020" s="446"/>
      <c r="Z1020" s="362"/>
      <c r="AA1020" s="362"/>
      <c r="AB1020" s="362"/>
      <c r="AC1020" s="362"/>
      <c r="AD1020" s="362"/>
      <c r="AE1020" s="362"/>
      <c r="AF1020" s="362"/>
      <c r="AG1020" s="362"/>
      <c r="AH1020" s="362"/>
      <c r="AI1020" s="360"/>
      <c r="AJ1020" s="360"/>
      <c r="AK1020" s="362"/>
      <c r="AL1020" s="362"/>
      <c r="AM1020" s="362"/>
      <c r="AN1020" s="362"/>
      <c r="AO1020" s="362"/>
      <c r="AP1020" s="362"/>
      <c r="AQ1020" s="362"/>
      <c r="AR1020" s="362"/>
    </row>
    <row r="1021" spans="1:44" ht="12" customHeight="1" x14ac:dyDescent="0.15">
      <c r="A1021" s="447"/>
      <c r="B1021" s="393"/>
      <c r="C1021" s="428"/>
      <c r="D1021" s="443"/>
      <c r="E1021" s="443"/>
      <c r="F1021" s="443"/>
      <c r="G1021" s="443"/>
      <c r="H1021" s="443"/>
      <c r="I1021" s="443"/>
      <c r="J1021" s="224"/>
      <c r="O1021" s="433"/>
      <c r="Z1021" s="362"/>
      <c r="AA1021" s="362"/>
      <c r="AB1021" s="362"/>
      <c r="AC1021" s="362"/>
      <c r="AD1021" s="362"/>
      <c r="AE1021" s="362"/>
      <c r="AF1021" s="362"/>
      <c r="AG1021" s="362"/>
      <c r="AH1021" s="362"/>
      <c r="AI1021" s="360"/>
      <c r="AJ1021" s="360"/>
      <c r="AK1021" s="362"/>
      <c r="AL1021" s="362"/>
      <c r="AM1021" s="362"/>
      <c r="AN1021" s="362"/>
      <c r="AO1021" s="362"/>
      <c r="AP1021" s="362"/>
      <c r="AQ1021" s="362"/>
      <c r="AR1021" s="362"/>
    </row>
    <row r="1022" spans="1:44" ht="12" customHeight="1" x14ac:dyDescent="0.15">
      <c r="A1022" s="447"/>
      <c r="B1022" s="393"/>
      <c r="C1022" s="428"/>
      <c r="D1022" s="443"/>
      <c r="E1022" s="443"/>
      <c r="F1022" s="443"/>
      <c r="G1022" s="443"/>
      <c r="H1022" s="443"/>
      <c r="I1022" s="443"/>
      <c r="J1022" s="224"/>
      <c r="O1022" s="433"/>
      <c r="Z1022" s="362"/>
      <c r="AA1022" s="362"/>
      <c r="AB1022" s="362"/>
      <c r="AC1022" s="362"/>
      <c r="AD1022" s="362"/>
      <c r="AE1022" s="362"/>
      <c r="AF1022" s="362"/>
      <c r="AG1022" s="362"/>
      <c r="AH1022" s="362"/>
      <c r="AI1022" s="360"/>
      <c r="AJ1022" s="360"/>
      <c r="AK1022" s="362"/>
      <c r="AL1022" s="362"/>
      <c r="AM1022" s="362"/>
      <c r="AN1022" s="362"/>
      <c r="AO1022" s="362"/>
      <c r="AP1022" s="362"/>
      <c r="AQ1022" s="362"/>
      <c r="AR1022" s="362"/>
    </row>
    <row r="1023" spans="1:44" ht="12" customHeight="1" x14ac:dyDescent="0.15">
      <c r="A1023" s="447"/>
      <c r="B1023" s="393"/>
      <c r="C1023" s="428"/>
      <c r="D1023" s="443"/>
      <c r="E1023" s="443"/>
      <c r="F1023" s="443"/>
      <c r="G1023" s="443"/>
      <c r="H1023" s="443"/>
      <c r="I1023" s="443"/>
      <c r="J1023" s="224"/>
      <c r="O1023" s="433"/>
      <c r="Z1023" s="362"/>
      <c r="AA1023" s="362"/>
      <c r="AB1023" s="362"/>
      <c r="AC1023" s="362"/>
      <c r="AD1023" s="362"/>
      <c r="AE1023" s="362"/>
      <c r="AF1023" s="362"/>
      <c r="AG1023" s="362"/>
      <c r="AH1023" s="362"/>
      <c r="AI1023" s="360"/>
      <c r="AJ1023" s="360"/>
      <c r="AK1023" s="362"/>
      <c r="AL1023" s="362"/>
      <c r="AM1023" s="362"/>
      <c r="AN1023" s="362"/>
      <c r="AO1023" s="362"/>
      <c r="AP1023" s="362"/>
      <c r="AQ1023" s="362"/>
      <c r="AR1023" s="362"/>
    </row>
    <row r="1024" spans="1:44" ht="12" customHeight="1" x14ac:dyDescent="0.15">
      <c r="A1024" s="447"/>
      <c r="B1024" s="393"/>
      <c r="C1024" s="428"/>
      <c r="D1024" s="443"/>
      <c r="E1024" s="443"/>
      <c r="F1024" s="443"/>
      <c r="G1024" s="443"/>
      <c r="H1024" s="443"/>
      <c r="I1024" s="443"/>
      <c r="J1024" s="224"/>
      <c r="O1024" s="433"/>
      <c r="Z1024" s="362"/>
      <c r="AA1024" s="362"/>
      <c r="AB1024" s="362"/>
      <c r="AC1024" s="362"/>
      <c r="AD1024" s="362"/>
      <c r="AE1024" s="362"/>
      <c r="AF1024" s="362"/>
      <c r="AG1024" s="362"/>
      <c r="AH1024" s="362"/>
      <c r="AI1024" s="360"/>
      <c r="AJ1024" s="360"/>
      <c r="AK1024" s="362"/>
      <c r="AL1024" s="362"/>
      <c r="AM1024" s="362"/>
      <c r="AN1024" s="362"/>
      <c r="AO1024" s="362"/>
      <c r="AP1024" s="362"/>
      <c r="AQ1024" s="362"/>
      <c r="AR1024" s="362"/>
    </row>
    <row r="1025" spans="1:44" ht="12" customHeight="1" x14ac:dyDescent="0.15">
      <c r="A1025" s="447"/>
      <c r="B1025" s="393"/>
      <c r="C1025" s="428"/>
      <c r="D1025" s="443"/>
      <c r="E1025" s="443"/>
      <c r="F1025" s="443"/>
      <c r="G1025" s="443"/>
      <c r="H1025" s="443"/>
      <c r="I1025" s="443"/>
      <c r="J1025" s="224"/>
      <c r="O1025" s="433"/>
      <c r="Z1025" s="362"/>
      <c r="AA1025" s="362"/>
      <c r="AB1025" s="362"/>
      <c r="AC1025" s="362"/>
      <c r="AD1025" s="362"/>
      <c r="AE1025" s="362"/>
      <c r="AF1025" s="362"/>
      <c r="AG1025" s="362"/>
      <c r="AH1025" s="362"/>
      <c r="AI1025" s="360"/>
      <c r="AJ1025" s="360"/>
      <c r="AK1025" s="362"/>
      <c r="AL1025" s="362"/>
      <c r="AM1025" s="362"/>
      <c r="AN1025" s="362"/>
      <c r="AO1025" s="362"/>
      <c r="AP1025" s="362"/>
      <c r="AQ1025" s="362"/>
      <c r="AR1025" s="362"/>
    </row>
    <row r="1026" spans="1:44" ht="12" customHeight="1" x14ac:dyDescent="0.15">
      <c r="A1026" s="447"/>
      <c r="B1026" s="393"/>
      <c r="C1026" s="428"/>
      <c r="D1026" s="443"/>
      <c r="E1026" s="443"/>
      <c r="F1026" s="443"/>
      <c r="G1026" s="443"/>
      <c r="H1026" s="443"/>
      <c r="I1026" s="443"/>
      <c r="J1026" s="224"/>
      <c r="O1026" s="433"/>
      <c r="Z1026" s="362"/>
      <c r="AA1026" s="362"/>
      <c r="AB1026" s="362"/>
      <c r="AC1026" s="362"/>
      <c r="AD1026" s="362"/>
      <c r="AE1026" s="362"/>
      <c r="AF1026" s="362"/>
      <c r="AG1026" s="362"/>
      <c r="AH1026" s="362"/>
      <c r="AI1026" s="360"/>
      <c r="AJ1026" s="360"/>
      <c r="AK1026" s="362"/>
      <c r="AL1026" s="362"/>
      <c r="AM1026" s="362"/>
      <c r="AN1026" s="362"/>
      <c r="AO1026" s="362"/>
      <c r="AP1026" s="362"/>
      <c r="AQ1026" s="362"/>
      <c r="AR1026" s="362"/>
    </row>
    <row r="1027" spans="1:44" ht="12" customHeight="1" x14ac:dyDescent="0.15">
      <c r="A1027" s="447"/>
      <c r="B1027" s="393"/>
      <c r="C1027" s="428"/>
      <c r="D1027" s="443"/>
      <c r="E1027" s="443"/>
      <c r="F1027" s="443"/>
      <c r="G1027" s="443"/>
      <c r="H1027" s="443"/>
      <c r="I1027" s="443"/>
      <c r="J1027" s="224"/>
      <c r="O1027" s="433"/>
      <c r="Z1027" s="362"/>
      <c r="AA1027" s="362"/>
      <c r="AB1027" s="362"/>
      <c r="AC1027" s="362"/>
      <c r="AD1027" s="362"/>
      <c r="AE1027" s="362"/>
      <c r="AF1027" s="362"/>
      <c r="AG1027" s="362"/>
      <c r="AH1027" s="362"/>
      <c r="AI1027" s="360"/>
      <c r="AJ1027" s="360"/>
      <c r="AK1027" s="362"/>
      <c r="AL1027" s="362"/>
      <c r="AM1027" s="362"/>
      <c r="AN1027" s="362"/>
      <c r="AO1027" s="362"/>
      <c r="AP1027" s="362"/>
      <c r="AQ1027" s="362"/>
      <c r="AR1027" s="362"/>
    </row>
    <row r="1028" spans="1:44" ht="12" customHeight="1" x14ac:dyDescent="0.15">
      <c r="A1028" s="447"/>
      <c r="B1028" s="393"/>
      <c r="C1028" s="428"/>
      <c r="D1028" s="443"/>
      <c r="E1028" s="443"/>
      <c r="F1028" s="443"/>
      <c r="G1028" s="443"/>
      <c r="H1028" s="443"/>
      <c r="I1028" s="443"/>
      <c r="J1028" s="224"/>
      <c r="O1028" s="433"/>
      <c r="Z1028" s="362"/>
      <c r="AA1028" s="362"/>
      <c r="AB1028" s="362"/>
      <c r="AC1028" s="362"/>
      <c r="AD1028" s="362"/>
      <c r="AE1028" s="362"/>
      <c r="AF1028" s="362"/>
      <c r="AG1028" s="362"/>
      <c r="AH1028" s="362"/>
      <c r="AI1028" s="360"/>
      <c r="AJ1028" s="360"/>
      <c r="AK1028" s="362"/>
      <c r="AL1028" s="362"/>
      <c r="AM1028" s="362"/>
      <c r="AN1028" s="362"/>
      <c r="AO1028" s="362"/>
      <c r="AP1028" s="362"/>
      <c r="AQ1028" s="362"/>
      <c r="AR1028" s="362"/>
    </row>
    <row r="1029" spans="1:44" ht="12" customHeight="1" x14ac:dyDescent="0.15">
      <c r="A1029" s="447"/>
      <c r="B1029" s="393"/>
      <c r="C1029" s="428"/>
      <c r="D1029" s="443"/>
      <c r="E1029" s="443"/>
      <c r="F1029" s="443"/>
      <c r="G1029" s="443"/>
      <c r="H1029" s="443"/>
      <c r="I1029" s="443"/>
      <c r="J1029" s="224"/>
      <c r="O1029" s="433"/>
      <c r="Z1029" s="362"/>
      <c r="AA1029" s="362"/>
      <c r="AB1029" s="362"/>
      <c r="AC1029" s="362"/>
      <c r="AD1029" s="362"/>
      <c r="AE1029" s="362"/>
      <c r="AF1029" s="362"/>
      <c r="AG1029" s="362"/>
      <c r="AH1029" s="362"/>
      <c r="AI1029" s="360"/>
      <c r="AJ1029" s="360"/>
      <c r="AK1029" s="362"/>
      <c r="AL1029" s="362"/>
      <c r="AM1029" s="362"/>
      <c r="AN1029" s="362"/>
      <c r="AO1029" s="362"/>
      <c r="AP1029" s="362"/>
      <c r="AQ1029" s="362"/>
      <c r="AR1029" s="362"/>
    </row>
    <row r="1030" spans="1:44" ht="12" customHeight="1" x14ac:dyDescent="0.15">
      <c r="A1030" s="447"/>
      <c r="B1030" s="393"/>
      <c r="C1030" s="428"/>
      <c r="D1030" s="443"/>
      <c r="E1030" s="443"/>
      <c r="F1030" s="443"/>
      <c r="G1030" s="443"/>
      <c r="H1030" s="443"/>
      <c r="I1030" s="443"/>
      <c r="J1030" s="224"/>
      <c r="O1030" s="433"/>
      <c r="Z1030" s="362"/>
      <c r="AA1030" s="362"/>
      <c r="AB1030" s="362"/>
      <c r="AC1030" s="362"/>
      <c r="AD1030" s="362"/>
      <c r="AE1030" s="362"/>
      <c r="AF1030" s="362"/>
      <c r="AG1030" s="362"/>
      <c r="AH1030" s="362"/>
      <c r="AI1030" s="360"/>
      <c r="AJ1030" s="360"/>
      <c r="AK1030" s="362"/>
      <c r="AL1030" s="362"/>
      <c r="AM1030" s="362"/>
      <c r="AN1030" s="362"/>
      <c r="AO1030" s="362"/>
      <c r="AP1030" s="362"/>
      <c r="AQ1030" s="362"/>
      <c r="AR1030" s="362"/>
    </row>
    <row r="1031" spans="1:44" ht="12" customHeight="1" x14ac:dyDescent="0.15">
      <c r="A1031" s="447"/>
      <c r="B1031" s="393"/>
      <c r="C1031" s="428"/>
      <c r="D1031" s="443"/>
      <c r="E1031" s="443"/>
      <c r="F1031" s="443"/>
      <c r="G1031" s="443"/>
      <c r="H1031" s="443"/>
      <c r="I1031" s="443"/>
      <c r="J1031" s="224"/>
      <c r="O1031" s="433"/>
      <c r="Z1031" s="362"/>
      <c r="AA1031" s="362"/>
      <c r="AB1031" s="362"/>
      <c r="AC1031" s="362"/>
      <c r="AD1031" s="362"/>
      <c r="AE1031" s="362"/>
      <c r="AF1031" s="362"/>
      <c r="AG1031" s="362"/>
      <c r="AH1031" s="362"/>
      <c r="AI1031" s="360"/>
      <c r="AJ1031" s="360"/>
      <c r="AK1031" s="362"/>
      <c r="AL1031" s="362"/>
      <c r="AM1031" s="362"/>
      <c r="AN1031" s="362"/>
      <c r="AO1031" s="362"/>
      <c r="AP1031" s="362"/>
      <c r="AQ1031" s="362"/>
      <c r="AR1031" s="362"/>
    </row>
    <row r="1032" spans="1:44" ht="12" customHeight="1" x14ac:dyDescent="0.15">
      <c r="A1032" s="447"/>
      <c r="B1032" s="393"/>
      <c r="C1032" s="428"/>
      <c r="D1032" s="443"/>
      <c r="E1032" s="443"/>
      <c r="F1032" s="443"/>
      <c r="G1032" s="443"/>
      <c r="H1032" s="443"/>
      <c r="I1032" s="443"/>
      <c r="J1032" s="224"/>
      <c r="O1032" s="433"/>
      <c r="Z1032" s="362"/>
      <c r="AA1032" s="362"/>
      <c r="AB1032" s="362"/>
      <c r="AC1032" s="362"/>
      <c r="AD1032" s="362"/>
      <c r="AE1032" s="362"/>
      <c r="AF1032" s="362"/>
      <c r="AG1032" s="362"/>
      <c r="AH1032" s="362"/>
      <c r="AI1032" s="360"/>
      <c r="AJ1032" s="360"/>
      <c r="AK1032" s="362"/>
      <c r="AL1032" s="362"/>
      <c r="AM1032" s="362"/>
      <c r="AN1032" s="362"/>
      <c r="AO1032" s="362"/>
      <c r="AP1032" s="362"/>
      <c r="AQ1032" s="362"/>
      <c r="AR1032" s="362"/>
    </row>
    <row r="1033" spans="1:44" ht="12" customHeight="1" x14ac:dyDescent="0.15">
      <c r="A1033" s="447"/>
      <c r="B1033" s="393"/>
      <c r="C1033" s="428"/>
      <c r="D1033" s="443"/>
      <c r="E1033" s="443"/>
      <c r="F1033" s="443"/>
      <c r="G1033" s="443"/>
      <c r="H1033" s="443"/>
      <c r="I1033" s="443"/>
      <c r="J1033" s="224"/>
      <c r="O1033" s="433"/>
      <c r="Z1033" s="362"/>
      <c r="AA1033" s="362"/>
      <c r="AB1033" s="362"/>
      <c r="AC1033" s="362"/>
      <c r="AD1033" s="362"/>
      <c r="AE1033" s="362"/>
      <c r="AF1033" s="362"/>
      <c r="AG1033" s="362"/>
      <c r="AH1033" s="362"/>
      <c r="AI1033" s="360"/>
      <c r="AJ1033" s="360"/>
      <c r="AK1033" s="362"/>
      <c r="AL1033" s="362"/>
      <c r="AM1033" s="362"/>
      <c r="AN1033" s="362"/>
      <c r="AO1033" s="362"/>
      <c r="AP1033" s="362"/>
      <c r="AQ1033" s="362"/>
      <c r="AR1033" s="362"/>
    </row>
    <row r="1034" spans="1:44" ht="12" customHeight="1" x14ac:dyDescent="0.15">
      <c r="A1034" s="447"/>
      <c r="B1034" s="393"/>
      <c r="C1034" s="428"/>
      <c r="D1034" s="443"/>
      <c r="E1034" s="443"/>
      <c r="F1034" s="443"/>
      <c r="G1034" s="443"/>
      <c r="H1034" s="443"/>
      <c r="I1034" s="443"/>
      <c r="J1034" s="224"/>
      <c r="O1034" s="433"/>
      <c r="Z1034" s="362"/>
      <c r="AA1034" s="362"/>
      <c r="AB1034" s="362"/>
      <c r="AC1034" s="362"/>
      <c r="AD1034" s="362"/>
      <c r="AE1034" s="362"/>
      <c r="AF1034" s="362"/>
      <c r="AG1034" s="362"/>
      <c r="AH1034" s="362"/>
      <c r="AI1034" s="360"/>
      <c r="AJ1034" s="360"/>
      <c r="AK1034" s="362"/>
      <c r="AL1034" s="362"/>
      <c r="AM1034" s="362"/>
      <c r="AN1034" s="362"/>
      <c r="AO1034" s="362"/>
      <c r="AP1034" s="362"/>
      <c r="AQ1034" s="362"/>
      <c r="AR1034" s="362"/>
    </row>
    <row r="1035" spans="1:44" ht="12" customHeight="1" x14ac:dyDescent="0.15">
      <c r="A1035" s="447"/>
      <c r="B1035" s="393"/>
      <c r="C1035" s="428"/>
      <c r="D1035" s="443"/>
      <c r="E1035" s="443"/>
      <c r="F1035" s="443"/>
      <c r="G1035" s="443"/>
      <c r="H1035" s="443"/>
      <c r="I1035" s="443"/>
      <c r="J1035" s="224"/>
      <c r="O1035" s="433"/>
      <c r="Z1035" s="362"/>
      <c r="AA1035" s="362"/>
      <c r="AB1035" s="362"/>
      <c r="AC1035" s="362"/>
      <c r="AD1035" s="362"/>
      <c r="AE1035" s="362"/>
      <c r="AF1035" s="362"/>
      <c r="AG1035" s="362"/>
      <c r="AH1035" s="362"/>
      <c r="AI1035" s="360"/>
      <c r="AJ1035" s="360"/>
      <c r="AK1035" s="362"/>
      <c r="AL1035" s="362"/>
      <c r="AM1035" s="362"/>
      <c r="AN1035" s="362"/>
      <c r="AO1035" s="362"/>
      <c r="AP1035" s="362"/>
      <c r="AQ1035" s="362"/>
      <c r="AR1035" s="362"/>
    </row>
    <row r="1036" spans="1:44" ht="12" customHeight="1" x14ac:dyDescent="0.15">
      <c r="A1036" s="447"/>
      <c r="B1036" s="393"/>
      <c r="C1036" s="428"/>
      <c r="D1036" s="443"/>
      <c r="E1036" s="443"/>
      <c r="F1036" s="443"/>
      <c r="G1036" s="443"/>
      <c r="H1036" s="443"/>
      <c r="I1036" s="443"/>
      <c r="J1036" s="224"/>
      <c r="O1036" s="433"/>
      <c r="Z1036" s="362"/>
      <c r="AA1036" s="362"/>
      <c r="AB1036" s="362"/>
      <c r="AC1036" s="362"/>
      <c r="AD1036" s="362"/>
      <c r="AE1036" s="362"/>
      <c r="AF1036" s="362"/>
      <c r="AG1036" s="362"/>
      <c r="AH1036" s="362"/>
      <c r="AI1036" s="360"/>
      <c r="AJ1036" s="360"/>
      <c r="AK1036" s="362"/>
      <c r="AL1036" s="362"/>
      <c r="AM1036" s="362"/>
      <c r="AN1036" s="362"/>
      <c r="AO1036" s="362"/>
      <c r="AP1036" s="362"/>
      <c r="AQ1036" s="362"/>
      <c r="AR1036" s="362"/>
    </row>
    <row r="1037" spans="1:44" ht="12" customHeight="1" x14ac:dyDescent="0.15">
      <c r="A1037" s="447"/>
      <c r="B1037" s="393"/>
      <c r="C1037" s="428"/>
      <c r="D1037" s="443"/>
      <c r="E1037" s="443"/>
      <c r="F1037" s="443"/>
      <c r="G1037" s="443"/>
      <c r="H1037" s="443"/>
      <c r="I1037" s="443"/>
      <c r="J1037" s="224"/>
      <c r="O1037" s="433"/>
      <c r="Z1037" s="362"/>
      <c r="AA1037" s="362"/>
      <c r="AB1037" s="362"/>
      <c r="AC1037" s="362"/>
      <c r="AD1037" s="362"/>
      <c r="AE1037" s="362"/>
      <c r="AF1037" s="362"/>
      <c r="AG1037" s="362"/>
      <c r="AH1037" s="362"/>
      <c r="AI1037" s="360"/>
      <c r="AJ1037" s="360"/>
      <c r="AK1037" s="362"/>
      <c r="AL1037" s="362"/>
      <c r="AM1037" s="362"/>
      <c r="AN1037" s="362"/>
      <c r="AO1037" s="362"/>
      <c r="AP1037" s="362"/>
      <c r="AQ1037" s="362"/>
      <c r="AR1037" s="362"/>
    </row>
    <row r="1038" spans="1:44" ht="12" customHeight="1" x14ac:dyDescent="0.15">
      <c r="A1038" s="447"/>
      <c r="B1038" s="393"/>
      <c r="C1038" s="428"/>
      <c r="D1038" s="443"/>
      <c r="E1038" s="443"/>
      <c r="F1038" s="443"/>
      <c r="G1038" s="443"/>
      <c r="H1038" s="443"/>
      <c r="I1038" s="443"/>
      <c r="J1038" s="224"/>
      <c r="O1038" s="433"/>
      <c r="Z1038" s="362"/>
      <c r="AA1038" s="362"/>
      <c r="AB1038" s="362"/>
      <c r="AC1038" s="362"/>
      <c r="AD1038" s="362"/>
      <c r="AE1038" s="362"/>
      <c r="AF1038" s="362"/>
      <c r="AG1038" s="362"/>
      <c r="AH1038" s="362"/>
      <c r="AI1038" s="360"/>
      <c r="AJ1038" s="360"/>
      <c r="AK1038" s="362"/>
      <c r="AL1038" s="362"/>
      <c r="AM1038" s="362"/>
      <c r="AN1038" s="362"/>
      <c r="AO1038" s="362"/>
      <c r="AP1038" s="362"/>
      <c r="AQ1038" s="362"/>
      <c r="AR1038" s="362"/>
    </row>
    <row r="1039" spans="1:44" ht="12" customHeight="1" x14ac:dyDescent="0.15">
      <c r="A1039" s="447"/>
      <c r="B1039" s="393"/>
      <c r="C1039" s="428"/>
      <c r="D1039" s="443"/>
      <c r="E1039" s="443"/>
      <c r="F1039" s="443"/>
      <c r="G1039" s="443"/>
      <c r="H1039" s="443"/>
      <c r="I1039" s="443"/>
      <c r="J1039" s="224"/>
      <c r="O1039" s="433"/>
      <c r="Z1039" s="362"/>
      <c r="AA1039" s="362"/>
      <c r="AB1039" s="362"/>
      <c r="AC1039" s="362"/>
      <c r="AD1039" s="362"/>
      <c r="AE1039" s="362"/>
      <c r="AF1039" s="362"/>
      <c r="AG1039" s="362"/>
      <c r="AH1039" s="362"/>
      <c r="AI1039" s="360"/>
      <c r="AJ1039" s="360"/>
      <c r="AK1039" s="362"/>
      <c r="AL1039" s="362"/>
      <c r="AM1039" s="362"/>
      <c r="AN1039" s="362"/>
      <c r="AO1039" s="362"/>
      <c r="AP1039" s="362"/>
      <c r="AQ1039" s="362"/>
      <c r="AR1039" s="362"/>
    </row>
    <row r="1040" spans="1:44" ht="12" customHeight="1" x14ac:dyDescent="0.15">
      <c r="A1040" s="447"/>
      <c r="B1040" s="393"/>
      <c r="C1040" s="428"/>
      <c r="D1040" s="443"/>
      <c r="E1040" s="443"/>
      <c r="F1040" s="443"/>
      <c r="G1040" s="443"/>
      <c r="H1040" s="443"/>
      <c r="I1040" s="443"/>
      <c r="J1040" s="224"/>
      <c r="O1040" s="433"/>
      <c r="Z1040" s="362"/>
      <c r="AA1040" s="362"/>
      <c r="AB1040" s="362"/>
      <c r="AC1040" s="362"/>
      <c r="AD1040" s="362"/>
      <c r="AE1040" s="362"/>
      <c r="AF1040" s="362"/>
      <c r="AG1040" s="362"/>
      <c r="AH1040" s="362"/>
      <c r="AI1040" s="360"/>
      <c r="AJ1040" s="360"/>
      <c r="AK1040" s="362"/>
      <c r="AL1040" s="362"/>
      <c r="AM1040" s="362"/>
      <c r="AN1040" s="362"/>
      <c r="AO1040" s="362"/>
      <c r="AP1040" s="362"/>
      <c r="AQ1040" s="362"/>
      <c r="AR1040" s="362"/>
    </row>
    <row r="1041" spans="1:44" ht="12" customHeight="1" x14ac:dyDescent="0.15">
      <c r="A1041" s="447"/>
      <c r="B1041" s="393"/>
      <c r="C1041" s="428"/>
      <c r="D1041" s="443"/>
      <c r="E1041" s="443"/>
      <c r="F1041" s="443"/>
      <c r="G1041" s="443"/>
      <c r="H1041" s="443"/>
      <c r="I1041" s="443"/>
      <c r="J1041" s="224"/>
      <c r="O1041" s="433"/>
      <c r="Z1041" s="362"/>
      <c r="AA1041" s="362"/>
      <c r="AB1041" s="362"/>
      <c r="AC1041" s="362"/>
      <c r="AD1041" s="362"/>
      <c r="AE1041" s="362"/>
      <c r="AF1041" s="362"/>
      <c r="AG1041" s="362"/>
      <c r="AH1041" s="362"/>
      <c r="AI1041" s="360"/>
      <c r="AJ1041" s="360"/>
      <c r="AK1041" s="362"/>
      <c r="AL1041" s="362"/>
      <c r="AM1041" s="362"/>
      <c r="AN1041" s="362"/>
      <c r="AO1041" s="362"/>
      <c r="AP1041" s="362"/>
      <c r="AQ1041" s="362"/>
      <c r="AR1041" s="362"/>
    </row>
    <row r="1042" spans="1:44" ht="12" customHeight="1" x14ac:dyDescent="0.15">
      <c r="A1042" s="447"/>
      <c r="B1042" s="393"/>
      <c r="C1042" s="428"/>
      <c r="D1042" s="443"/>
      <c r="E1042" s="443"/>
      <c r="F1042" s="443"/>
      <c r="G1042" s="443"/>
      <c r="H1042" s="443"/>
      <c r="I1042" s="443"/>
      <c r="J1042" s="224"/>
      <c r="O1042" s="433"/>
      <c r="Z1042" s="362"/>
      <c r="AA1042" s="362"/>
      <c r="AB1042" s="362"/>
      <c r="AC1042" s="362"/>
      <c r="AD1042" s="362"/>
      <c r="AE1042" s="362"/>
      <c r="AF1042" s="362"/>
      <c r="AG1042" s="362"/>
      <c r="AH1042" s="362"/>
      <c r="AI1042" s="360"/>
      <c r="AJ1042" s="360"/>
      <c r="AK1042" s="362"/>
      <c r="AL1042" s="362"/>
      <c r="AM1042" s="362"/>
      <c r="AN1042" s="362"/>
      <c r="AO1042" s="362"/>
      <c r="AP1042" s="362"/>
      <c r="AQ1042" s="362"/>
      <c r="AR1042" s="362"/>
    </row>
    <row r="1043" spans="1:44" ht="12" customHeight="1" x14ac:dyDescent="0.15">
      <c r="A1043" s="447"/>
      <c r="B1043" s="393"/>
      <c r="C1043" s="428"/>
      <c r="D1043" s="443"/>
      <c r="E1043" s="443"/>
      <c r="F1043" s="443"/>
      <c r="G1043" s="443"/>
      <c r="H1043" s="443"/>
      <c r="I1043" s="443"/>
      <c r="J1043" s="224"/>
      <c r="O1043" s="433"/>
      <c r="Z1043" s="362"/>
      <c r="AA1043" s="362"/>
      <c r="AB1043" s="362"/>
      <c r="AC1043" s="362"/>
      <c r="AD1043" s="362"/>
      <c r="AE1043" s="362"/>
      <c r="AF1043" s="362"/>
      <c r="AG1043" s="362"/>
      <c r="AH1043" s="362"/>
      <c r="AI1043" s="360"/>
      <c r="AJ1043" s="360"/>
      <c r="AK1043" s="362"/>
      <c r="AL1043" s="362"/>
      <c r="AM1043" s="362"/>
      <c r="AN1043" s="362"/>
      <c r="AO1043" s="362"/>
      <c r="AP1043" s="362"/>
      <c r="AQ1043" s="362"/>
      <c r="AR1043" s="362"/>
    </row>
    <row r="1044" spans="1:44" ht="12" customHeight="1" x14ac:dyDescent="0.15">
      <c r="A1044" s="447"/>
      <c r="B1044" s="393"/>
      <c r="C1044" s="428"/>
      <c r="D1044" s="443"/>
      <c r="E1044" s="443"/>
      <c r="F1044" s="443"/>
      <c r="G1044" s="443"/>
      <c r="H1044" s="443"/>
      <c r="I1044" s="443"/>
      <c r="J1044" s="224"/>
      <c r="O1044" s="433"/>
      <c r="Z1044" s="362"/>
      <c r="AA1044" s="362"/>
      <c r="AB1044" s="362"/>
      <c r="AC1044" s="362"/>
      <c r="AD1044" s="362"/>
      <c r="AE1044" s="362"/>
      <c r="AF1044" s="362"/>
      <c r="AG1044" s="362"/>
      <c r="AH1044" s="362"/>
      <c r="AI1044" s="360"/>
      <c r="AJ1044" s="360"/>
      <c r="AK1044" s="362"/>
      <c r="AL1044" s="362"/>
      <c r="AM1044" s="362"/>
      <c r="AN1044" s="362"/>
      <c r="AO1044" s="362"/>
      <c r="AP1044" s="362"/>
      <c r="AQ1044" s="362"/>
      <c r="AR1044" s="362"/>
    </row>
    <row r="1045" spans="1:44" ht="12" customHeight="1" x14ac:dyDescent="0.15">
      <c r="A1045" s="447"/>
      <c r="B1045" s="393"/>
      <c r="C1045" s="428"/>
      <c r="D1045" s="443"/>
      <c r="E1045" s="443"/>
      <c r="F1045" s="443"/>
      <c r="G1045" s="443"/>
      <c r="H1045" s="443"/>
      <c r="I1045" s="443"/>
      <c r="J1045" s="224"/>
      <c r="O1045" s="433"/>
      <c r="Z1045" s="362"/>
      <c r="AA1045" s="362"/>
      <c r="AB1045" s="362"/>
      <c r="AC1045" s="362"/>
      <c r="AD1045" s="362"/>
      <c r="AE1045" s="362"/>
      <c r="AF1045" s="362"/>
      <c r="AG1045" s="362"/>
      <c r="AH1045" s="362"/>
      <c r="AI1045" s="360"/>
      <c r="AJ1045" s="360"/>
      <c r="AK1045" s="362"/>
      <c r="AL1045" s="362"/>
      <c r="AM1045" s="362"/>
      <c r="AN1045" s="362"/>
      <c r="AO1045" s="362"/>
      <c r="AP1045" s="362"/>
      <c r="AQ1045" s="362"/>
      <c r="AR1045" s="362"/>
    </row>
    <row r="1046" spans="1:44" ht="12" customHeight="1" x14ac:dyDescent="0.15">
      <c r="A1046" s="447"/>
      <c r="B1046" s="393"/>
      <c r="C1046" s="428"/>
      <c r="D1046" s="443"/>
      <c r="E1046" s="443"/>
      <c r="F1046" s="443"/>
      <c r="G1046" s="443"/>
      <c r="H1046" s="443"/>
      <c r="I1046" s="443"/>
      <c r="J1046" s="224"/>
      <c r="O1046" s="433"/>
      <c r="Z1046" s="362"/>
      <c r="AA1046" s="362"/>
      <c r="AB1046" s="362"/>
      <c r="AC1046" s="362"/>
      <c r="AD1046" s="362"/>
      <c r="AE1046" s="362"/>
      <c r="AF1046" s="362"/>
      <c r="AG1046" s="362"/>
      <c r="AH1046" s="362"/>
      <c r="AI1046" s="360"/>
      <c r="AJ1046" s="360"/>
      <c r="AK1046" s="362"/>
      <c r="AL1046" s="362"/>
      <c r="AM1046" s="362"/>
      <c r="AN1046" s="362"/>
      <c r="AO1046" s="362"/>
      <c r="AP1046" s="362"/>
      <c r="AQ1046" s="362"/>
      <c r="AR1046" s="362"/>
    </row>
    <row r="1047" spans="1:44" ht="12" customHeight="1" x14ac:dyDescent="0.15">
      <c r="A1047" s="447"/>
      <c r="B1047" s="393"/>
      <c r="C1047" s="428"/>
      <c r="D1047" s="443"/>
      <c r="E1047" s="443"/>
      <c r="F1047" s="443"/>
      <c r="G1047" s="443"/>
      <c r="H1047" s="443"/>
      <c r="I1047" s="443"/>
      <c r="J1047" s="224"/>
      <c r="O1047" s="433"/>
      <c r="Z1047" s="362"/>
      <c r="AA1047" s="362"/>
      <c r="AB1047" s="362"/>
      <c r="AC1047" s="362"/>
      <c r="AD1047" s="362"/>
      <c r="AE1047" s="362"/>
      <c r="AF1047" s="362"/>
      <c r="AG1047" s="362"/>
      <c r="AH1047" s="362"/>
      <c r="AI1047" s="360"/>
      <c r="AJ1047" s="360"/>
      <c r="AK1047" s="362"/>
      <c r="AL1047" s="362"/>
      <c r="AM1047" s="362"/>
      <c r="AN1047" s="362"/>
      <c r="AO1047" s="362"/>
      <c r="AP1047" s="362"/>
      <c r="AQ1047" s="362"/>
      <c r="AR1047" s="362"/>
    </row>
    <row r="1048" spans="1:44" ht="12" customHeight="1" x14ac:dyDescent="0.15">
      <c r="A1048" s="447"/>
      <c r="B1048" s="393"/>
      <c r="C1048" s="428"/>
      <c r="D1048" s="443"/>
      <c r="E1048" s="443"/>
      <c r="F1048" s="443"/>
      <c r="G1048" s="443"/>
      <c r="H1048" s="443"/>
      <c r="I1048" s="443"/>
      <c r="J1048" s="224"/>
      <c r="O1048" s="433"/>
      <c r="Z1048" s="362"/>
      <c r="AA1048" s="362"/>
      <c r="AB1048" s="362"/>
      <c r="AC1048" s="362"/>
      <c r="AD1048" s="362"/>
      <c r="AE1048" s="362"/>
      <c r="AF1048" s="362"/>
      <c r="AG1048" s="362"/>
      <c r="AH1048" s="362"/>
      <c r="AI1048" s="360"/>
      <c r="AJ1048" s="360"/>
      <c r="AK1048" s="362"/>
      <c r="AL1048" s="362"/>
      <c r="AM1048" s="362"/>
      <c r="AN1048" s="362"/>
      <c r="AO1048" s="362"/>
      <c r="AP1048" s="362"/>
      <c r="AQ1048" s="362"/>
      <c r="AR1048" s="362"/>
    </row>
    <row r="1049" spans="1:44" ht="12" customHeight="1" x14ac:dyDescent="0.15">
      <c r="A1049" s="447"/>
      <c r="B1049" s="393"/>
      <c r="C1049" s="428"/>
      <c r="D1049" s="443"/>
      <c r="E1049" s="443"/>
      <c r="F1049" s="443"/>
      <c r="G1049" s="443"/>
      <c r="H1049" s="443"/>
      <c r="I1049" s="443"/>
      <c r="J1049" s="224"/>
      <c r="O1049" s="433"/>
      <c r="Z1049" s="362"/>
      <c r="AA1049" s="362"/>
      <c r="AB1049" s="362"/>
      <c r="AC1049" s="362"/>
      <c r="AD1049" s="362"/>
      <c r="AE1049" s="362"/>
      <c r="AF1049" s="362"/>
      <c r="AG1049" s="362"/>
      <c r="AH1049" s="362"/>
      <c r="AI1049" s="360"/>
      <c r="AJ1049" s="360"/>
      <c r="AK1049" s="362"/>
      <c r="AL1049" s="362"/>
      <c r="AM1049" s="362"/>
      <c r="AN1049" s="362"/>
      <c r="AO1049" s="362"/>
      <c r="AP1049" s="362"/>
      <c r="AQ1049" s="362"/>
      <c r="AR1049" s="362"/>
    </row>
    <row r="1050" spans="1:44" ht="12" customHeight="1" x14ac:dyDescent="0.15">
      <c r="A1050" s="447"/>
      <c r="B1050" s="393"/>
      <c r="C1050" s="428"/>
      <c r="D1050" s="443"/>
      <c r="E1050" s="443"/>
      <c r="F1050" s="443"/>
      <c r="G1050" s="443"/>
      <c r="H1050" s="443"/>
      <c r="I1050" s="443"/>
      <c r="J1050" s="224"/>
      <c r="O1050" s="433"/>
      <c r="Z1050" s="362"/>
      <c r="AA1050" s="362"/>
      <c r="AB1050" s="362"/>
      <c r="AC1050" s="362"/>
      <c r="AD1050" s="362"/>
      <c r="AE1050" s="362"/>
      <c r="AF1050" s="362"/>
      <c r="AG1050" s="362"/>
      <c r="AH1050" s="362"/>
      <c r="AI1050" s="360"/>
      <c r="AJ1050" s="360"/>
      <c r="AK1050" s="362"/>
      <c r="AL1050" s="362"/>
      <c r="AM1050" s="362"/>
      <c r="AN1050" s="362"/>
      <c r="AO1050" s="362"/>
      <c r="AP1050" s="362"/>
      <c r="AQ1050" s="362"/>
      <c r="AR1050" s="362"/>
    </row>
    <row r="1051" spans="1:44" ht="12" customHeight="1" x14ac:dyDescent="0.15">
      <c r="A1051" s="447"/>
      <c r="B1051" s="393"/>
      <c r="C1051" s="428"/>
      <c r="D1051" s="443"/>
      <c r="E1051" s="443"/>
      <c r="F1051" s="443"/>
      <c r="G1051" s="443"/>
      <c r="H1051" s="443"/>
      <c r="I1051" s="443"/>
      <c r="J1051" s="224"/>
      <c r="O1051" s="433"/>
      <c r="Z1051" s="362"/>
      <c r="AA1051" s="362"/>
      <c r="AB1051" s="362"/>
      <c r="AC1051" s="362"/>
      <c r="AD1051" s="362"/>
      <c r="AE1051" s="362"/>
      <c r="AF1051" s="362"/>
      <c r="AG1051" s="362"/>
      <c r="AH1051" s="362"/>
      <c r="AI1051" s="360"/>
      <c r="AJ1051" s="360"/>
      <c r="AK1051" s="362"/>
      <c r="AL1051" s="362"/>
      <c r="AM1051" s="362"/>
      <c r="AN1051" s="362"/>
      <c r="AO1051" s="362"/>
      <c r="AP1051" s="362"/>
      <c r="AQ1051" s="362"/>
      <c r="AR1051" s="362"/>
    </row>
    <row r="1052" spans="1:44" ht="12" customHeight="1" x14ac:dyDescent="0.15">
      <c r="A1052" s="447"/>
      <c r="B1052" s="393"/>
      <c r="C1052" s="428"/>
      <c r="D1052" s="443"/>
      <c r="E1052" s="443"/>
      <c r="F1052" s="443"/>
      <c r="G1052" s="443"/>
      <c r="H1052" s="443"/>
      <c r="I1052" s="443"/>
      <c r="J1052" s="224"/>
      <c r="O1052" s="433"/>
      <c r="Z1052" s="362"/>
      <c r="AA1052" s="362"/>
      <c r="AB1052" s="362"/>
      <c r="AC1052" s="362"/>
      <c r="AD1052" s="362"/>
      <c r="AE1052" s="362"/>
      <c r="AF1052" s="362"/>
      <c r="AG1052" s="362"/>
      <c r="AH1052" s="362"/>
      <c r="AI1052" s="360"/>
      <c r="AJ1052" s="360"/>
      <c r="AK1052" s="362"/>
      <c r="AL1052" s="362"/>
      <c r="AM1052" s="362"/>
      <c r="AN1052" s="362"/>
      <c r="AO1052" s="362"/>
      <c r="AP1052" s="362"/>
      <c r="AQ1052" s="362"/>
      <c r="AR1052" s="362"/>
    </row>
    <row r="1053" spans="1:44" ht="12" customHeight="1" x14ac:dyDescent="0.15">
      <c r="A1053" s="447"/>
      <c r="B1053" s="393"/>
      <c r="C1053" s="428"/>
      <c r="D1053" s="443"/>
      <c r="E1053" s="443"/>
      <c r="F1053" s="443"/>
      <c r="G1053" s="443"/>
      <c r="H1053" s="443"/>
      <c r="I1053" s="443"/>
      <c r="J1053" s="224"/>
      <c r="O1053" s="433"/>
      <c r="Z1053" s="362"/>
      <c r="AA1053" s="362"/>
      <c r="AB1053" s="362"/>
      <c r="AC1053" s="362"/>
      <c r="AD1053" s="362"/>
      <c r="AE1053" s="362"/>
      <c r="AF1053" s="362"/>
      <c r="AG1053" s="362"/>
      <c r="AH1053" s="362"/>
      <c r="AI1053" s="360"/>
      <c r="AJ1053" s="360"/>
      <c r="AK1053" s="362"/>
      <c r="AL1053" s="362"/>
      <c r="AM1053" s="362"/>
      <c r="AN1053" s="362"/>
      <c r="AO1053" s="362"/>
      <c r="AP1053" s="362"/>
      <c r="AQ1053" s="362"/>
      <c r="AR1053" s="362"/>
    </row>
    <row r="1054" spans="1:44" ht="12" customHeight="1" x14ac:dyDescent="0.15">
      <c r="A1054" s="447"/>
      <c r="B1054" s="393"/>
      <c r="C1054" s="428"/>
      <c r="D1054" s="443"/>
      <c r="E1054" s="443"/>
      <c r="F1054" s="443"/>
      <c r="G1054" s="443"/>
      <c r="H1054" s="443"/>
      <c r="I1054" s="443"/>
      <c r="J1054" s="224"/>
      <c r="O1054" s="433"/>
      <c r="Z1054" s="362"/>
      <c r="AA1054" s="362"/>
      <c r="AB1054" s="362"/>
      <c r="AC1054" s="362"/>
      <c r="AD1054" s="362"/>
      <c r="AE1054" s="362"/>
      <c r="AF1054" s="362"/>
      <c r="AG1054" s="362"/>
      <c r="AH1054" s="362"/>
      <c r="AI1054" s="360"/>
      <c r="AJ1054" s="360"/>
      <c r="AK1054" s="362"/>
      <c r="AL1054" s="362"/>
      <c r="AM1054" s="362"/>
      <c r="AN1054" s="362"/>
      <c r="AO1054" s="362"/>
      <c r="AP1054" s="362"/>
      <c r="AQ1054" s="362"/>
      <c r="AR1054" s="362"/>
    </row>
    <row r="1055" spans="1:44" ht="12" customHeight="1" x14ac:dyDescent="0.15">
      <c r="A1055" s="447"/>
      <c r="B1055" s="393"/>
      <c r="C1055" s="428"/>
      <c r="D1055" s="443"/>
      <c r="E1055" s="443"/>
      <c r="F1055" s="443"/>
      <c r="G1055" s="443"/>
      <c r="H1055" s="443"/>
      <c r="I1055" s="443"/>
      <c r="J1055" s="224"/>
      <c r="O1055" s="433"/>
      <c r="Z1055" s="362"/>
      <c r="AA1055" s="362"/>
      <c r="AB1055" s="362"/>
      <c r="AC1055" s="362"/>
      <c r="AD1055" s="362"/>
      <c r="AE1055" s="362"/>
      <c r="AF1055" s="362"/>
      <c r="AG1055" s="362"/>
      <c r="AH1055" s="362"/>
      <c r="AI1055" s="360"/>
      <c r="AJ1055" s="360"/>
      <c r="AK1055" s="362"/>
      <c r="AL1055" s="362"/>
      <c r="AM1055" s="362"/>
      <c r="AN1055" s="362"/>
      <c r="AO1055" s="362"/>
      <c r="AP1055" s="362"/>
      <c r="AQ1055" s="362"/>
      <c r="AR1055" s="362"/>
    </row>
    <row r="1056" spans="1:44" ht="12" customHeight="1" x14ac:dyDescent="0.15">
      <c r="A1056" s="447"/>
      <c r="B1056" s="393"/>
      <c r="C1056" s="428"/>
      <c r="D1056" s="443"/>
      <c r="E1056" s="443"/>
      <c r="F1056" s="443"/>
      <c r="G1056" s="443"/>
      <c r="H1056" s="443"/>
      <c r="I1056" s="443"/>
      <c r="J1056" s="224"/>
      <c r="O1056" s="433"/>
      <c r="Z1056" s="362"/>
      <c r="AA1056" s="362"/>
      <c r="AB1056" s="362"/>
      <c r="AC1056" s="362"/>
      <c r="AD1056" s="362"/>
      <c r="AE1056" s="362"/>
      <c r="AF1056" s="362"/>
      <c r="AG1056" s="362"/>
      <c r="AH1056" s="362"/>
      <c r="AI1056" s="360"/>
      <c r="AJ1056" s="360"/>
      <c r="AK1056" s="362"/>
      <c r="AL1056" s="362"/>
      <c r="AM1056" s="362"/>
      <c r="AN1056" s="362"/>
      <c r="AO1056" s="362"/>
      <c r="AP1056" s="362"/>
      <c r="AQ1056" s="362"/>
      <c r="AR1056" s="362"/>
    </row>
    <row r="1057" spans="1:44" ht="12" customHeight="1" x14ac:dyDescent="0.15">
      <c r="A1057" s="447"/>
      <c r="B1057" s="393"/>
      <c r="C1057" s="428"/>
      <c r="D1057" s="443"/>
      <c r="E1057" s="443"/>
      <c r="F1057" s="443"/>
      <c r="G1057" s="443"/>
      <c r="H1057" s="443"/>
      <c r="I1057" s="443"/>
      <c r="J1057" s="224"/>
      <c r="O1057" s="433"/>
      <c r="Z1057" s="362"/>
      <c r="AA1057" s="362"/>
      <c r="AB1057" s="362"/>
      <c r="AC1057" s="362"/>
      <c r="AD1057" s="362"/>
      <c r="AE1057" s="362"/>
      <c r="AF1057" s="362"/>
      <c r="AG1057" s="362"/>
      <c r="AH1057" s="362"/>
      <c r="AI1057" s="360"/>
      <c r="AJ1057" s="360"/>
      <c r="AK1057" s="362"/>
      <c r="AL1057" s="362"/>
      <c r="AM1057" s="362"/>
      <c r="AN1057" s="362"/>
      <c r="AO1057" s="362"/>
      <c r="AP1057" s="362"/>
      <c r="AQ1057" s="362"/>
      <c r="AR1057" s="362"/>
    </row>
    <row r="1058" spans="1:44" ht="12" customHeight="1" x14ac:dyDescent="0.15">
      <c r="A1058" s="447"/>
      <c r="B1058" s="393"/>
      <c r="C1058" s="428"/>
      <c r="D1058" s="443"/>
      <c r="E1058" s="443"/>
      <c r="F1058" s="443"/>
      <c r="G1058" s="443"/>
      <c r="H1058" s="443"/>
      <c r="I1058" s="443"/>
      <c r="J1058" s="224"/>
      <c r="O1058" s="433"/>
      <c r="Z1058" s="362"/>
      <c r="AA1058" s="362"/>
      <c r="AB1058" s="362"/>
      <c r="AC1058" s="362"/>
      <c r="AD1058" s="362"/>
      <c r="AE1058" s="362"/>
      <c r="AF1058" s="362"/>
      <c r="AG1058" s="362"/>
      <c r="AH1058" s="362"/>
      <c r="AI1058" s="360"/>
      <c r="AJ1058" s="360"/>
      <c r="AK1058" s="362"/>
      <c r="AL1058" s="362"/>
      <c r="AM1058" s="362"/>
      <c r="AN1058" s="362"/>
      <c r="AO1058" s="362"/>
      <c r="AP1058" s="362"/>
      <c r="AQ1058" s="362"/>
      <c r="AR1058" s="362"/>
    </row>
    <row r="1059" spans="1:44" ht="12" customHeight="1" x14ac:dyDescent="0.15">
      <c r="A1059" s="447"/>
      <c r="B1059" s="393"/>
      <c r="C1059" s="428"/>
      <c r="D1059" s="443"/>
      <c r="E1059" s="443"/>
      <c r="F1059" s="443"/>
      <c r="G1059" s="443"/>
      <c r="H1059" s="443"/>
      <c r="I1059" s="443"/>
      <c r="J1059" s="224"/>
      <c r="O1059" s="433"/>
      <c r="Z1059" s="362"/>
      <c r="AA1059" s="362"/>
      <c r="AB1059" s="362"/>
      <c r="AC1059" s="362"/>
      <c r="AD1059" s="362"/>
      <c r="AE1059" s="362"/>
      <c r="AF1059" s="362"/>
      <c r="AG1059" s="362"/>
      <c r="AH1059" s="362"/>
      <c r="AI1059" s="360"/>
      <c r="AJ1059" s="360"/>
      <c r="AK1059" s="362"/>
      <c r="AL1059" s="362"/>
      <c r="AM1059" s="362"/>
      <c r="AN1059" s="362"/>
      <c r="AO1059" s="362"/>
      <c r="AP1059" s="362"/>
      <c r="AQ1059" s="362"/>
      <c r="AR1059" s="362"/>
    </row>
    <row r="1060" spans="1:44" ht="12" customHeight="1" x14ac:dyDescent="0.15">
      <c r="A1060" s="447"/>
      <c r="B1060" s="393"/>
      <c r="C1060" s="428"/>
      <c r="D1060" s="443"/>
      <c r="E1060" s="443"/>
      <c r="F1060" s="443"/>
      <c r="G1060" s="443"/>
      <c r="H1060" s="443"/>
      <c r="I1060" s="443"/>
      <c r="J1060" s="224"/>
      <c r="O1060" s="433"/>
      <c r="Z1060" s="362"/>
      <c r="AA1060" s="362"/>
      <c r="AB1060" s="362"/>
      <c r="AC1060" s="362"/>
      <c r="AD1060" s="362"/>
      <c r="AE1060" s="362"/>
      <c r="AF1060" s="362"/>
      <c r="AG1060" s="362"/>
      <c r="AH1060" s="362"/>
      <c r="AI1060" s="360"/>
      <c r="AJ1060" s="360"/>
      <c r="AK1060" s="362"/>
      <c r="AL1060" s="362"/>
      <c r="AM1060" s="362"/>
      <c r="AN1060" s="362"/>
      <c r="AO1060" s="362"/>
      <c r="AP1060" s="362"/>
      <c r="AQ1060" s="362"/>
      <c r="AR1060" s="362"/>
    </row>
    <row r="1061" spans="1:44" ht="12" customHeight="1" x14ac:dyDescent="0.15">
      <c r="A1061" s="447"/>
      <c r="B1061" s="393"/>
      <c r="C1061" s="428"/>
      <c r="D1061" s="443"/>
      <c r="E1061" s="443"/>
      <c r="F1061" s="443"/>
      <c r="G1061" s="443"/>
      <c r="H1061" s="443"/>
      <c r="I1061" s="443"/>
      <c r="J1061" s="224"/>
      <c r="O1061" s="433"/>
      <c r="Z1061" s="362"/>
      <c r="AA1061" s="362"/>
      <c r="AB1061" s="362"/>
      <c r="AC1061" s="362"/>
      <c r="AD1061" s="362"/>
      <c r="AE1061" s="362"/>
      <c r="AF1061" s="362"/>
      <c r="AG1061" s="362"/>
      <c r="AH1061" s="362"/>
      <c r="AI1061" s="360"/>
      <c r="AJ1061" s="360"/>
      <c r="AK1061" s="362"/>
      <c r="AL1061" s="362"/>
      <c r="AM1061" s="362"/>
      <c r="AN1061" s="362"/>
      <c r="AO1061" s="362"/>
      <c r="AP1061" s="362"/>
      <c r="AQ1061" s="362"/>
      <c r="AR1061" s="362"/>
    </row>
    <row r="1062" spans="1:44" ht="12" customHeight="1" x14ac:dyDescent="0.15">
      <c r="A1062" s="447"/>
      <c r="B1062" s="393"/>
      <c r="C1062" s="428"/>
      <c r="D1062" s="443"/>
      <c r="E1062" s="443"/>
      <c r="F1062" s="443"/>
      <c r="G1062" s="443"/>
      <c r="H1062" s="443"/>
      <c r="I1062" s="443"/>
      <c r="J1062" s="224"/>
      <c r="O1062" s="433"/>
      <c r="Z1062" s="362"/>
      <c r="AA1062" s="362"/>
      <c r="AB1062" s="362"/>
      <c r="AC1062" s="362"/>
      <c r="AD1062" s="362"/>
      <c r="AE1062" s="362"/>
      <c r="AF1062" s="362"/>
      <c r="AG1062" s="362"/>
      <c r="AH1062" s="362"/>
      <c r="AI1062" s="360"/>
      <c r="AJ1062" s="360"/>
      <c r="AK1062" s="362"/>
      <c r="AL1062" s="362"/>
      <c r="AM1062" s="362"/>
      <c r="AN1062" s="362"/>
      <c r="AO1062" s="362"/>
      <c r="AP1062" s="362"/>
      <c r="AQ1062" s="362"/>
      <c r="AR1062" s="362"/>
    </row>
    <row r="1063" spans="1:44" ht="12" customHeight="1" x14ac:dyDescent="0.15">
      <c r="A1063" s="447"/>
      <c r="B1063" s="393"/>
      <c r="C1063" s="428"/>
      <c r="D1063" s="443"/>
      <c r="E1063" s="443"/>
      <c r="F1063" s="443"/>
      <c r="G1063" s="443"/>
      <c r="H1063" s="443"/>
      <c r="I1063" s="443"/>
      <c r="J1063" s="224"/>
      <c r="O1063" s="433"/>
      <c r="Z1063" s="362"/>
      <c r="AA1063" s="362"/>
      <c r="AB1063" s="362"/>
      <c r="AC1063" s="362"/>
      <c r="AD1063" s="362"/>
      <c r="AE1063" s="362"/>
      <c r="AF1063" s="362"/>
      <c r="AG1063" s="362"/>
      <c r="AH1063" s="362"/>
      <c r="AI1063" s="360"/>
      <c r="AJ1063" s="360"/>
      <c r="AK1063" s="362"/>
      <c r="AL1063" s="362"/>
      <c r="AM1063" s="362"/>
      <c r="AN1063" s="362"/>
      <c r="AO1063" s="362"/>
      <c r="AP1063" s="362"/>
      <c r="AQ1063" s="362"/>
      <c r="AR1063" s="362"/>
    </row>
    <row r="1064" spans="1:44" ht="12" customHeight="1" x14ac:dyDescent="0.15">
      <c r="A1064" s="447"/>
      <c r="B1064" s="393"/>
      <c r="C1064" s="428"/>
      <c r="D1064" s="443"/>
      <c r="E1064" s="443"/>
      <c r="F1064" s="443"/>
      <c r="G1064" s="443"/>
      <c r="H1064" s="443"/>
      <c r="I1064" s="443"/>
      <c r="J1064" s="224"/>
      <c r="O1064" s="433"/>
      <c r="Z1064" s="362"/>
      <c r="AA1064" s="362"/>
      <c r="AB1064" s="362"/>
      <c r="AC1064" s="362"/>
      <c r="AD1064" s="362"/>
      <c r="AE1064" s="362"/>
      <c r="AF1064" s="362"/>
      <c r="AG1064" s="362"/>
      <c r="AH1064" s="362"/>
      <c r="AI1064" s="360"/>
      <c r="AJ1064" s="360"/>
      <c r="AK1064" s="362"/>
      <c r="AL1064" s="362"/>
      <c r="AM1064" s="362"/>
      <c r="AN1064" s="362"/>
      <c r="AO1064" s="362"/>
      <c r="AP1064" s="362"/>
      <c r="AQ1064" s="362"/>
      <c r="AR1064" s="362"/>
    </row>
    <row r="1065" spans="1:44" ht="12" customHeight="1" x14ac:dyDescent="0.15">
      <c r="A1065" s="447"/>
      <c r="B1065" s="393"/>
      <c r="C1065" s="428"/>
      <c r="D1065" s="443"/>
      <c r="E1065" s="443"/>
      <c r="F1065" s="443"/>
      <c r="G1065" s="443"/>
      <c r="H1065" s="443"/>
      <c r="I1065" s="443"/>
      <c r="J1065" s="224"/>
      <c r="O1065" s="433"/>
      <c r="Z1065" s="362"/>
      <c r="AA1065" s="362"/>
      <c r="AB1065" s="362"/>
      <c r="AC1065" s="362"/>
      <c r="AD1065" s="362"/>
      <c r="AE1065" s="362"/>
      <c r="AF1065" s="362"/>
      <c r="AG1065" s="362"/>
      <c r="AH1065" s="362"/>
      <c r="AI1065" s="360"/>
      <c r="AJ1065" s="360"/>
      <c r="AK1065" s="362"/>
      <c r="AL1065" s="362"/>
      <c r="AM1065" s="362"/>
      <c r="AN1065" s="362"/>
      <c r="AO1065" s="362"/>
      <c r="AP1065" s="362"/>
      <c r="AQ1065" s="362"/>
      <c r="AR1065" s="362"/>
    </row>
    <row r="1066" spans="1:44" ht="12" customHeight="1" x14ac:dyDescent="0.15">
      <c r="A1066" s="447"/>
      <c r="B1066" s="393"/>
      <c r="C1066" s="428"/>
      <c r="D1066" s="443"/>
      <c r="E1066" s="443"/>
      <c r="F1066" s="443"/>
      <c r="G1066" s="443"/>
      <c r="H1066" s="443"/>
      <c r="I1066" s="443"/>
      <c r="J1066" s="224"/>
      <c r="O1066" s="433"/>
      <c r="Z1066" s="362"/>
      <c r="AA1066" s="362"/>
      <c r="AB1066" s="362"/>
      <c r="AC1066" s="362"/>
      <c r="AD1066" s="362"/>
      <c r="AE1066" s="362"/>
      <c r="AF1066" s="362"/>
      <c r="AG1066" s="362"/>
      <c r="AH1066" s="362"/>
      <c r="AI1066" s="360"/>
      <c r="AJ1066" s="360"/>
      <c r="AK1066" s="362"/>
      <c r="AL1066" s="362"/>
      <c r="AM1066" s="362"/>
      <c r="AN1066" s="362"/>
      <c r="AO1066" s="362"/>
      <c r="AP1066" s="362"/>
      <c r="AQ1066" s="362"/>
      <c r="AR1066" s="362"/>
    </row>
    <row r="1067" spans="1:44" ht="12" customHeight="1" x14ac:dyDescent="0.15">
      <c r="A1067" s="447"/>
      <c r="B1067" s="393"/>
      <c r="C1067" s="428"/>
      <c r="D1067" s="443"/>
      <c r="E1067" s="443"/>
      <c r="F1067" s="443"/>
      <c r="G1067" s="443"/>
      <c r="H1067" s="443"/>
      <c r="I1067" s="443"/>
      <c r="J1067" s="224"/>
      <c r="O1067" s="433"/>
      <c r="Z1067" s="362"/>
      <c r="AA1067" s="362"/>
      <c r="AB1067" s="362"/>
      <c r="AC1067" s="362"/>
      <c r="AD1067" s="362"/>
      <c r="AE1067" s="362"/>
      <c r="AF1067" s="362"/>
      <c r="AG1067" s="362"/>
      <c r="AH1067" s="362"/>
      <c r="AI1067" s="360"/>
      <c r="AJ1067" s="360"/>
      <c r="AK1067" s="362"/>
      <c r="AL1067" s="362"/>
      <c r="AM1067" s="362"/>
      <c r="AN1067" s="362"/>
      <c r="AO1067" s="362"/>
      <c r="AP1067" s="362"/>
      <c r="AQ1067" s="362"/>
      <c r="AR1067" s="362"/>
    </row>
    <row r="1068" spans="1:44" ht="12" customHeight="1" x14ac:dyDescent="0.15">
      <c r="A1068" s="447"/>
      <c r="B1068" s="393"/>
      <c r="C1068" s="428"/>
      <c r="D1068" s="443"/>
      <c r="E1068" s="443"/>
      <c r="F1068" s="443"/>
      <c r="G1068" s="443"/>
      <c r="H1068" s="443"/>
      <c r="I1068" s="443"/>
      <c r="J1068" s="224"/>
      <c r="O1068" s="433"/>
      <c r="Z1068" s="362"/>
      <c r="AA1068" s="362"/>
      <c r="AB1068" s="362"/>
      <c r="AC1068" s="362"/>
      <c r="AD1068" s="362"/>
      <c r="AE1068" s="362"/>
      <c r="AF1068" s="362"/>
      <c r="AG1068" s="362"/>
      <c r="AH1068" s="362"/>
      <c r="AI1068" s="360"/>
      <c r="AJ1068" s="360"/>
      <c r="AK1068" s="362"/>
      <c r="AL1068" s="362"/>
      <c r="AM1068" s="362"/>
      <c r="AN1068" s="362"/>
      <c r="AO1068" s="362"/>
      <c r="AP1068" s="362"/>
      <c r="AQ1068" s="362"/>
      <c r="AR1068" s="362"/>
    </row>
    <row r="1069" spans="1:44" ht="12" customHeight="1" x14ac:dyDescent="0.15">
      <c r="A1069" s="447"/>
      <c r="B1069" s="393"/>
      <c r="C1069" s="428"/>
      <c r="D1069" s="443"/>
      <c r="E1069" s="443"/>
      <c r="F1069" s="443"/>
      <c r="G1069" s="443"/>
      <c r="H1069" s="443"/>
      <c r="I1069" s="443"/>
      <c r="J1069" s="224"/>
      <c r="O1069" s="433"/>
      <c r="Z1069" s="362"/>
      <c r="AA1069" s="362"/>
      <c r="AB1069" s="362"/>
      <c r="AC1069" s="362"/>
      <c r="AD1069" s="362"/>
      <c r="AE1069" s="362"/>
      <c r="AF1069" s="362"/>
      <c r="AG1069" s="362"/>
      <c r="AH1069" s="362"/>
      <c r="AI1069" s="360"/>
      <c r="AJ1069" s="360"/>
      <c r="AK1069" s="362"/>
      <c r="AL1069" s="362"/>
      <c r="AM1069" s="362"/>
      <c r="AN1069" s="362"/>
      <c r="AO1069" s="362"/>
      <c r="AP1069" s="362"/>
      <c r="AQ1069" s="362"/>
      <c r="AR1069" s="362"/>
    </row>
    <row r="1070" spans="1:44" ht="12" customHeight="1" x14ac:dyDescent="0.15">
      <c r="A1070" s="447"/>
      <c r="B1070" s="393"/>
      <c r="C1070" s="428"/>
      <c r="D1070" s="443"/>
      <c r="E1070" s="443"/>
      <c r="F1070" s="443"/>
      <c r="G1070" s="443"/>
      <c r="H1070" s="443"/>
      <c r="I1070" s="443"/>
      <c r="J1070" s="224"/>
      <c r="O1070" s="433"/>
      <c r="Z1070" s="362"/>
      <c r="AA1070" s="362"/>
      <c r="AB1070" s="362"/>
      <c r="AC1070" s="362"/>
      <c r="AD1070" s="362"/>
      <c r="AE1070" s="362"/>
      <c r="AF1070" s="362"/>
      <c r="AG1070" s="362"/>
      <c r="AH1070" s="362"/>
      <c r="AI1070" s="360"/>
      <c r="AJ1070" s="360"/>
      <c r="AK1070" s="362"/>
      <c r="AL1070" s="362"/>
      <c r="AM1070" s="362"/>
      <c r="AN1070" s="362"/>
      <c r="AO1070" s="362"/>
      <c r="AP1070" s="362"/>
      <c r="AQ1070" s="362"/>
      <c r="AR1070" s="362"/>
    </row>
    <row r="1071" spans="1:44" ht="12" customHeight="1" x14ac:dyDescent="0.15">
      <c r="A1071" s="447"/>
      <c r="B1071" s="393"/>
      <c r="C1071" s="428"/>
      <c r="D1071" s="443"/>
      <c r="E1071" s="443"/>
      <c r="F1071" s="443"/>
      <c r="G1071" s="443"/>
      <c r="H1071" s="443"/>
      <c r="I1071" s="443"/>
      <c r="J1071" s="224"/>
      <c r="O1071" s="433"/>
      <c r="Z1071" s="362"/>
      <c r="AA1071" s="362"/>
      <c r="AB1071" s="362"/>
      <c r="AC1071" s="362"/>
      <c r="AD1071" s="362"/>
      <c r="AE1071" s="362"/>
      <c r="AF1071" s="362"/>
      <c r="AG1071" s="362"/>
      <c r="AH1071" s="362"/>
      <c r="AI1071" s="360"/>
      <c r="AJ1071" s="360"/>
      <c r="AK1071" s="362"/>
      <c r="AL1071" s="362"/>
      <c r="AM1071" s="362"/>
      <c r="AN1071" s="362"/>
      <c r="AO1071" s="362"/>
      <c r="AP1071" s="362"/>
      <c r="AQ1071" s="362"/>
      <c r="AR1071" s="362"/>
    </row>
    <row r="1072" spans="1:44" ht="12" customHeight="1" x14ac:dyDescent="0.15">
      <c r="A1072" s="447"/>
      <c r="B1072" s="393"/>
      <c r="C1072" s="428"/>
      <c r="D1072" s="443"/>
      <c r="E1072" s="443"/>
      <c r="F1072" s="443"/>
      <c r="G1072" s="443"/>
      <c r="H1072" s="443"/>
      <c r="I1072" s="443"/>
      <c r="J1072" s="224"/>
      <c r="O1072" s="433"/>
      <c r="Z1072" s="362"/>
      <c r="AA1072" s="362"/>
      <c r="AB1072" s="362"/>
      <c r="AC1072" s="362"/>
      <c r="AD1072" s="362"/>
      <c r="AE1072" s="362"/>
      <c r="AF1072" s="362"/>
      <c r="AG1072" s="362"/>
      <c r="AH1072" s="362"/>
      <c r="AI1072" s="360"/>
      <c r="AJ1072" s="360"/>
      <c r="AK1072" s="362"/>
      <c r="AL1072" s="362"/>
      <c r="AM1072" s="362"/>
      <c r="AN1072" s="362"/>
      <c r="AO1072" s="362"/>
      <c r="AP1072" s="362"/>
      <c r="AQ1072" s="362"/>
      <c r="AR1072" s="362"/>
    </row>
    <row r="1073" spans="1:44" ht="12" customHeight="1" x14ac:dyDescent="0.15">
      <c r="A1073" s="447"/>
      <c r="B1073" s="393"/>
      <c r="C1073" s="428"/>
      <c r="D1073" s="443"/>
      <c r="E1073" s="443"/>
      <c r="F1073" s="443"/>
      <c r="G1073" s="443"/>
      <c r="H1073" s="443"/>
      <c r="I1073" s="443"/>
      <c r="J1073" s="224"/>
      <c r="O1073" s="433"/>
      <c r="Z1073" s="362"/>
      <c r="AA1073" s="362"/>
      <c r="AB1073" s="362"/>
      <c r="AC1073" s="362"/>
      <c r="AD1073" s="362"/>
      <c r="AE1073" s="362"/>
      <c r="AF1073" s="362"/>
      <c r="AG1073" s="362"/>
      <c r="AH1073" s="362"/>
      <c r="AI1073" s="360"/>
      <c r="AJ1073" s="360"/>
      <c r="AK1073" s="362"/>
      <c r="AL1073" s="362"/>
      <c r="AM1073" s="362"/>
      <c r="AN1073" s="362"/>
      <c r="AO1073" s="362"/>
      <c r="AP1073" s="362"/>
      <c r="AQ1073" s="362"/>
      <c r="AR1073" s="362"/>
    </row>
    <row r="1074" spans="1:44" ht="12" customHeight="1" x14ac:dyDescent="0.15">
      <c r="A1074" s="447"/>
      <c r="B1074" s="393"/>
      <c r="C1074" s="428"/>
      <c r="D1074" s="443"/>
      <c r="E1074" s="443"/>
      <c r="F1074" s="443"/>
      <c r="G1074" s="443"/>
      <c r="H1074" s="443"/>
      <c r="I1074" s="443"/>
      <c r="J1074" s="224"/>
      <c r="O1074" s="433"/>
      <c r="Z1074" s="362"/>
      <c r="AA1074" s="362"/>
      <c r="AB1074" s="362"/>
      <c r="AC1074" s="362"/>
      <c r="AD1074" s="362"/>
      <c r="AE1074" s="362"/>
      <c r="AF1074" s="362"/>
      <c r="AG1074" s="362"/>
      <c r="AH1074" s="362"/>
      <c r="AI1074" s="360"/>
      <c r="AJ1074" s="360"/>
      <c r="AK1074" s="362"/>
      <c r="AL1074" s="362"/>
      <c r="AM1074" s="362"/>
      <c r="AN1074" s="362"/>
      <c r="AO1074" s="362"/>
      <c r="AP1074" s="362"/>
      <c r="AQ1074" s="362"/>
      <c r="AR1074" s="362"/>
    </row>
    <row r="1075" spans="1:44" ht="12" customHeight="1" x14ac:dyDescent="0.15">
      <c r="A1075" s="447"/>
      <c r="B1075" s="393"/>
      <c r="C1075" s="428"/>
      <c r="D1075" s="443"/>
      <c r="E1075" s="443"/>
      <c r="F1075" s="443"/>
      <c r="G1075" s="443"/>
      <c r="H1075" s="443"/>
      <c r="I1075" s="443"/>
      <c r="J1075" s="224"/>
      <c r="O1075" s="433"/>
      <c r="Z1075" s="362"/>
      <c r="AA1075" s="362"/>
      <c r="AB1075" s="362"/>
      <c r="AC1075" s="362"/>
      <c r="AD1075" s="362"/>
      <c r="AE1075" s="362"/>
      <c r="AF1075" s="362"/>
      <c r="AG1075" s="362"/>
      <c r="AH1075" s="362"/>
      <c r="AI1075" s="360"/>
      <c r="AJ1075" s="360"/>
      <c r="AK1075" s="362"/>
      <c r="AL1075" s="362"/>
      <c r="AM1075" s="362"/>
      <c r="AN1075" s="362"/>
      <c r="AO1075" s="362"/>
      <c r="AP1075" s="362"/>
      <c r="AQ1075" s="362"/>
      <c r="AR1075" s="362"/>
    </row>
    <row r="1076" spans="1:44" ht="12" customHeight="1" x14ac:dyDescent="0.15">
      <c r="A1076" s="447"/>
      <c r="B1076" s="393"/>
      <c r="C1076" s="428"/>
      <c r="D1076" s="443"/>
      <c r="E1076" s="443"/>
      <c r="F1076" s="443"/>
      <c r="G1076" s="443"/>
      <c r="H1076" s="443"/>
      <c r="I1076" s="443"/>
      <c r="J1076" s="224"/>
      <c r="O1076" s="433"/>
      <c r="Z1076" s="362"/>
      <c r="AA1076" s="362"/>
      <c r="AB1076" s="362"/>
      <c r="AC1076" s="362"/>
      <c r="AD1076" s="362"/>
      <c r="AE1076" s="362"/>
      <c r="AF1076" s="362"/>
      <c r="AG1076" s="362"/>
      <c r="AH1076" s="362"/>
      <c r="AI1076" s="360"/>
      <c r="AJ1076" s="360"/>
      <c r="AK1076" s="362"/>
      <c r="AL1076" s="362"/>
      <c r="AM1076" s="362"/>
      <c r="AN1076" s="362"/>
      <c r="AO1076" s="362"/>
      <c r="AP1076" s="362"/>
      <c r="AQ1076" s="362"/>
      <c r="AR1076" s="362"/>
    </row>
    <row r="1077" spans="1:44" ht="12" customHeight="1" x14ac:dyDescent="0.15">
      <c r="A1077" s="447"/>
      <c r="B1077" s="393"/>
      <c r="C1077" s="428"/>
      <c r="D1077" s="443"/>
      <c r="E1077" s="443"/>
      <c r="F1077" s="443"/>
      <c r="G1077" s="443"/>
      <c r="H1077" s="443"/>
      <c r="I1077" s="443"/>
      <c r="J1077" s="224"/>
      <c r="O1077" s="433"/>
      <c r="Z1077" s="362"/>
      <c r="AA1077" s="362"/>
      <c r="AB1077" s="362"/>
      <c r="AC1077" s="362"/>
      <c r="AD1077" s="362"/>
      <c r="AE1077" s="362"/>
      <c r="AF1077" s="362"/>
      <c r="AG1077" s="362"/>
      <c r="AH1077" s="362"/>
      <c r="AI1077" s="360"/>
      <c r="AJ1077" s="360"/>
      <c r="AK1077" s="362"/>
      <c r="AL1077" s="362"/>
      <c r="AM1077" s="362"/>
      <c r="AN1077" s="362"/>
      <c r="AO1077" s="362"/>
      <c r="AP1077" s="362"/>
      <c r="AQ1077" s="362"/>
      <c r="AR1077" s="362"/>
    </row>
    <row r="1078" spans="1:44" ht="12" customHeight="1" x14ac:dyDescent="0.15">
      <c r="A1078" s="447"/>
      <c r="B1078" s="393"/>
      <c r="C1078" s="428"/>
      <c r="D1078" s="443"/>
      <c r="E1078" s="443"/>
      <c r="F1078" s="443"/>
      <c r="G1078" s="443"/>
      <c r="H1078" s="443"/>
      <c r="I1078" s="443"/>
      <c r="J1078" s="224"/>
      <c r="O1078" s="433"/>
      <c r="Z1078" s="362"/>
      <c r="AA1078" s="362"/>
      <c r="AB1078" s="362"/>
      <c r="AC1078" s="362"/>
      <c r="AD1078" s="362"/>
      <c r="AE1078" s="362"/>
      <c r="AF1078" s="362"/>
      <c r="AG1078" s="362"/>
      <c r="AH1078" s="362"/>
      <c r="AI1078" s="360"/>
      <c r="AJ1078" s="360"/>
      <c r="AK1078" s="362"/>
      <c r="AL1078" s="362"/>
      <c r="AM1078" s="362"/>
      <c r="AN1078" s="362"/>
      <c r="AO1078" s="362"/>
      <c r="AP1078" s="362"/>
      <c r="AQ1078" s="362"/>
      <c r="AR1078" s="362"/>
    </row>
    <row r="1079" spans="1:44" ht="12" customHeight="1" x14ac:dyDescent="0.15">
      <c r="A1079" s="447"/>
      <c r="B1079" s="393"/>
      <c r="C1079" s="428"/>
      <c r="D1079" s="443"/>
      <c r="E1079" s="443"/>
      <c r="F1079" s="443"/>
      <c r="G1079" s="443"/>
      <c r="H1079" s="443"/>
      <c r="I1079" s="443"/>
      <c r="J1079" s="224"/>
      <c r="O1079" s="433"/>
      <c r="Z1079" s="362"/>
      <c r="AA1079" s="362"/>
      <c r="AB1079" s="362"/>
      <c r="AC1079" s="362"/>
      <c r="AD1079" s="362"/>
      <c r="AE1079" s="362"/>
      <c r="AF1079" s="362"/>
      <c r="AG1079" s="362"/>
      <c r="AH1079" s="362"/>
      <c r="AI1079" s="360"/>
      <c r="AJ1079" s="360"/>
      <c r="AK1079" s="362"/>
      <c r="AL1079" s="362"/>
      <c r="AM1079" s="362"/>
      <c r="AN1079" s="362"/>
      <c r="AO1079" s="362"/>
      <c r="AP1079" s="362"/>
      <c r="AQ1079" s="362"/>
      <c r="AR1079" s="362"/>
    </row>
    <row r="1080" spans="1:44" ht="12" customHeight="1" x14ac:dyDescent="0.15">
      <c r="A1080" s="447"/>
      <c r="B1080" s="393"/>
      <c r="C1080" s="428"/>
      <c r="D1080" s="443"/>
      <c r="E1080" s="443"/>
      <c r="F1080" s="443"/>
      <c r="G1080" s="443"/>
      <c r="H1080" s="443"/>
      <c r="I1080" s="443"/>
      <c r="J1080" s="224"/>
      <c r="O1080" s="433"/>
      <c r="Z1080" s="362"/>
      <c r="AA1080" s="362"/>
      <c r="AB1080" s="362"/>
      <c r="AC1080" s="362"/>
      <c r="AD1080" s="362"/>
      <c r="AE1080" s="362"/>
      <c r="AF1080" s="362"/>
      <c r="AG1080" s="362"/>
      <c r="AH1080" s="362"/>
      <c r="AI1080" s="360"/>
      <c r="AJ1080" s="360"/>
      <c r="AK1080" s="362"/>
      <c r="AL1080" s="362"/>
      <c r="AM1080" s="362"/>
      <c r="AN1080" s="362"/>
      <c r="AO1080" s="362"/>
      <c r="AP1080" s="362"/>
      <c r="AQ1080" s="362"/>
      <c r="AR1080" s="362"/>
    </row>
    <row r="1081" spans="1:44" ht="12" customHeight="1" x14ac:dyDescent="0.15">
      <c r="A1081" s="447"/>
      <c r="B1081" s="393"/>
      <c r="C1081" s="428"/>
      <c r="D1081" s="443"/>
      <c r="E1081" s="443"/>
      <c r="F1081" s="443"/>
      <c r="G1081" s="443"/>
      <c r="H1081" s="443"/>
      <c r="I1081" s="443"/>
      <c r="J1081" s="224"/>
      <c r="O1081" s="433"/>
      <c r="Z1081" s="362"/>
      <c r="AA1081" s="362"/>
      <c r="AB1081" s="362"/>
      <c r="AC1081" s="362"/>
      <c r="AD1081" s="362"/>
      <c r="AE1081" s="362"/>
      <c r="AF1081" s="362"/>
      <c r="AG1081" s="362"/>
      <c r="AH1081" s="362"/>
      <c r="AI1081" s="360"/>
      <c r="AJ1081" s="360"/>
      <c r="AK1081" s="362"/>
      <c r="AL1081" s="362"/>
      <c r="AM1081" s="362"/>
      <c r="AN1081" s="362"/>
      <c r="AO1081" s="362"/>
      <c r="AP1081" s="362"/>
      <c r="AQ1081" s="362"/>
      <c r="AR1081" s="362"/>
    </row>
    <row r="1082" spans="1:44" ht="12" customHeight="1" x14ac:dyDescent="0.15">
      <c r="A1082" s="447"/>
      <c r="B1082" s="393"/>
      <c r="C1082" s="428"/>
      <c r="D1082" s="443"/>
      <c r="E1082" s="443"/>
      <c r="F1082" s="443"/>
      <c r="G1082" s="443"/>
      <c r="H1082" s="443"/>
      <c r="I1082" s="443"/>
      <c r="J1082" s="224"/>
      <c r="O1082" s="433"/>
      <c r="Z1082" s="362"/>
      <c r="AA1082" s="362"/>
      <c r="AB1082" s="362"/>
      <c r="AC1082" s="362"/>
      <c r="AD1082" s="362"/>
      <c r="AE1082" s="362"/>
      <c r="AF1082" s="362"/>
      <c r="AG1082" s="362"/>
      <c r="AH1082" s="362"/>
      <c r="AI1082" s="360"/>
      <c r="AJ1082" s="360"/>
      <c r="AK1082" s="362"/>
      <c r="AL1082" s="362"/>
      <c r="AM1082" s="362"/>
      <c r="AN1082" s="362"/>
      <c r="AO1082" s="362"/>
      <c r="AP1082" s="362"/>
      <c r="AQ1082" s="362"/>
      <c r="AR1082" s="362"/>
    </row>
    <row r="1083" spans="1:44" ht="12" customHeight="1" x14ac:dyDescent="0.15">
      <c r="A1083" s="447"/>
      <c r="B1083" s="393"/>
      <c r="C1083" s="428"/>
      <c r="D1083" s="443"/>
      <c r="E1083" s="443"/>
      <c r="F1083" s="443"/>
      <c r="G1083" s="443"/>
      <c r="H1083" s="443"/>
      <c r="I1083" s="443"/>
      <c r="J1083" s="224"/>
      <c r="O1083" s="433"/>
      <c r="Z1083" s="362"/>
      <c r="AA1083" s="362"/>
      <c r="AB1083" s="362"/>
      <c r="AC1083" s="362"/>
      <c r="AD1083" s="362"/>
      <c r="AE1083" s="362"/>
      <c r="AF1083" s="362"/>
      <c r="AG1083" s="362"/>
      <c r="AH1083" s="362"/>
      <c r="AI1083" s="360"/>
      <c r="AJ1083" s="360"/>
      <c r="AK1083" s="362"/>
      <c r="AL1083" s="362"/>
      <c r="AM1083" s="362"/>
      <c r="AN1083" s="362"/>
      <c r="AO1083" s="362"/>
      <c r="AP1083" s="362"/>
      <c r="AQ1083" s="362"/>
      <c r="AR1083" s="362"/>
    </row>
    <row r="1084" spans="1:44" ht="12" customHeight="1" x14ac:dyDescent="0.15">
      <c r="A1084" s="447"/>
      <c r="B1084" s="393"/>
      <c r="C1084" s="428"/>
      <c r="D1084" s="443"/>
      <c r="E1084" s="443"/>
      <c r="F1084" s="443"/>
      <c r="G1084" s="443"/>
      <c r="H1084" s="443"/>
      <c r="I1084" s="443"/>
      <c r="J1084" s="224"/>
      <c r="O1084" s="433"/>
      <c r="Z1084" s="362"/>
      <c r="AA1084" s="362"/>
      <c r="AB1084" s="362"/>
      <c r="AC1084" s="362"/>
      <c r="AD1084" s="362"/>
      <c r="AE1084" s="362"/>
      <c r="AF1084" s="362"/>
      <c r="AG1084" s="362"/>
      <c r="AH1084" s="362"/>
      <c r="AI1084" s="360"/>
      <c r="AJ1084" s="360"/>
      <c r="AK1084" s="362"/>
      <c r="AL1084" s="362"/>
      <c r="AM1084" s="362"/>
      <c r="AN1084" s="362"/>
      <c r="AO1084" s="362"/>
      <c r="AP1084" s="362"/>
      <c r="AQ1084" s="362"/>
      <c r="AR1084" s="362"/>
    </row>
    <row r="1085" spans="1:44" ht="12" customHeight="1" x14ac:dyDescent="0.15">
      <c r="A1085" s="447"/>
      <c r="B1085" s="393"/>
      <c r="C1085" s="428"/>
      <c r="D1085" s="443"/>
      <c r="E1085" s="443"/>
      <c r="F1085" s="443"/>
      <c r="G1085" s="443"/>
      <c r="H1085" s="443"/>
      <c r="I1085" s="443"/>
      <c r="J1085" s="224"/>
      <c r="O1085" s="433"/>
      <c r="Z1085" s="362"/>
      <c r="AA1085" s="362"/>
      <c r="AB1085" s="362"/>
      <c r="AC1085" s="362"/>
      <c r="AD1085" s="362"/>
      <c r="AE1085" s="362"/>
      <c r="AF1085" s="362"/>
      <c r="AG1085" s="362"/>
      <c r="AH1085" s="362"/>
      <c r="AI1085" s="360"/>
      <c r="AJ1085" s="360"/>
      <c r="AK1085" s="362"/>
      <c r="AL1085" s="362"/>
      <c r="AM1085" s="362"/>
      <c r="AN1085" s="362"/>
      <c r="AO1085" s="362"/>
      <c r="AP1085" s="362"/>
      <c r="AQ1085" s="362"/>
      <c r="AR1085" s="362"/>
    </row>
    <row r="1086" spans="1:44" ht="12" customHeight="1" x14ac:dyDescent="0.15">
      <c r="A1086" s="447"/>
      <c r="B1086" s="393"/>
      <c r="C1086" s="428"/>
      <c r="D1086" s="443"/>
      <c r="E1086" s="443"/>
      <c r="F1086" s="443"/>
      <c r="G1086" s="443"/>
      <c r="H1086" s="443"/>
      <c r="I1086" s="443"/>
      <c r="J1086" s="224"/>
      <c r="O1086" s="433"/>
      <c r="Z1086" s="362"/>
      <c r="AA1086" s="362"/>
      <c r="AB1086" s="362"/>
      <c r="AC1086" s="362"/>
      <c r="AD1086" s="362"/>
      <c r="AE1086" s="362"/>
      <c r="AF1086" s="362"/>
      <c r="AG1086" s="362"/>
      <c r="AH1086" s="362"/>
      <c r="AI1086" s="360"/>
      <c r="AJ1086" s="360"/>
      <c r="AK1086" s="362"/>
      <c r="AL1086" s="362"/>
      <c r="AM1086" s="362"/>
      <c r="AN1086" s="362"/>
      <c r="AO1086" s="362"/>
      <c r="AP1086" s="362"/>
      <c r="AQ1086" s="362"/>
      <c r="AR1086" s="362"/>
    </row>
    <row r="1087" spans="1:44" ht="12" customHeight="1" x14ac:dyDescent="0.15">
      <c r="A1087" s="447"/>
      <c r="B1087" s="393"/>
      <c r="C1087" s="428"/>
      <c r="D1087" s="443"/>
      <c r="E1087" s="443"/>
      <c r="F1087" s="443"/>
      <c r="G1087" s="443"/>
      <c r="H1087" s="443"/>
      <c r="I1087" s="443"/>
      <c r="J1087" s="224"/>
      <c r="O1087" s="433"/>
      <c r="Z1087" s="362"/>
      <c r="AA1087" s="362"/>
      <c r="AB1087" s="362"/>
      <c r="AC1087" s="362"/>
      <c r="AD1087" s="362"/>
      <c r="AE1087" s="362"/>
      <c r="AF1087" s="362"/>
      <c r="AG1087" s="362"/>
      <c r="AH1087" s="362"/>
      <c r="AI1087" s="360"/>
      <c r="AJ1087" s="360"/>
      <c r="AK1087" s="362"/>
      <c r="AL1087" s="362"/>
      <c r="AM1087" s="362"/>
      <c r="AN1087" s="362"/>
      <c r="AO1087" s="362"/>
      <c r="AP1087" s="362"/>
      <c r="AQ1087" s="362"/>
      <c r="AR1087" s="362"/>
    </row>
    <row r="1088" spans="1:44" ht="12" customHeight="1" x14ac:dyDescent="0.15">
      <c r="A1088" s="447"/>
      <c r="B1088" s="393"/>
      <c r="C1088" s="428"/>
      <c r="D1088" s="443"/>
      <c r="E1088" s="443"/>
      <c r="F1088" s="443"/>
      <c r="G1088" s="443"/>
      <c r="H1088" s="443"/>
      <c r="I1088" s="443"/>
      <c r="J1088" s="224"/>
      <c r="O1088" s="433"/>
      <c r="Z1088" s="362"/>
      <c r="AA1088" s="362"/>
      <c r="AB1088" s="362"/>
      <c r="AC1088" s="362"/>
      <c r="AD1088" s="362"/>
      <c r="AE1088" s="362"/>
      <c r="AF1088" s="362"/>
      <c r="AG1088" s="362"/>
      <c r="AH1088" s="362"/>
      <c r="AI1088" s="360"/>
      <c r="AJ1088" s="360"/>
      <c r="AK1088" s="362"/>
      <c r="AL1088" s="362"/>
      <c r="AM1088" s="362"/>
      <c r="AN1088" s="362"/>
      <c r="AO1088" s="362"/>
      <c r="AP1088" s="362"/>
      <c r="AQ1088" s="362"/>
      <c r="AR1088" s="362"/>
    </row>
    <row r="1089" spans="1:44" ht="12" customHeight="1" x14ac:dyDescent="0.15">
      <c r="A1089" s="447"/>
      <c r="B1089" s="393"/>
      <c r="C1089" s="428"/>
      <c r="D1089" s="443"/>
      <c r="E1089" s="443"/>
      <c r="F1089" s="443"/>
      <c r="G1089" s="443"/>
      <c r="H1089" s="443"/>
      <c r="I1089" s="443"/>
      <c r="J1089" s="224"/>
      <c r="O1089" s="433"/>
      <c r="Z1089" s="362"/>
      <c r="AA1089" s="362"/>
      <c r="AB1089" s="362"/>
      <c r="AC1089" s="362"/>
      <c r="AD1089" s="362"/>
      <c r="AE1089" s="362"/>
      <c r="AF1089" s="362"/>
      <c r="AG1089" s="362"/>
      <c r="AH1089" s="362"/>
      <c r="AI1089" s="360"/>
      <c r="AJ1089" s="360"/>
      <c r="AK1089" s="362"/>
      <c r="AL1089" s="362"/>
      <c r="AM1089" s="362"/>
      <c r="AN1089" s="362"/>
      <c r="AO1089" s="362"/>
      <c r="AP1089" s="362"/>
      <c r="AQ1089" s="362"/>
      <c r="AR1089" s="362"/>
    </row>
    <row r="1090" spans="1:44" ht="12" customHeight="1" x14ac:dyDescent="0.15">
      <c r="A1090" s="447"/>
      <c r="B1090" s="393"/>
      <c r="C1090" s="428"/>
      <c r="D1090" s="443"/>
      <c r="E1090" s="443"/>
      <c r="F1090" s="443"/>
      <c r="G1090" s="443"/>
      <c r="H1090" s="443"/>
      <c r="I1090" s="443"/>
      <c r="J1090" s="224"/>
      <c r="O1090" s="433"/>
      <c r="Z1090" s="362"/>
      <c r="AA1090" s="362"/>
      <c r="AB1090" s="362"/>
      <c r="AC1090" s="362"/>
      <c r="AD1090" s="362"/>
      <c r="AE1090" s="362"/>
      <c r="AF1090" s="362"/>
      <c r="AG1090" s="362"/>
      <c r="AH1090" s="362"/>
      <c r="AI1090" s="360"/>
      <c r="AJ1090" s="360"/>
      <c r="AK1090" s="362"/>
      <c r="AL1090" s="362"/>
      <c r="AM1090" s="362"/>
      <c r="AN1090" s="362"/>
      <c r="AO1090" s="362"/>
      <c r="AP1090" s="362"/>
      <c r="AQ1090" s="362"/>
      <c r="AR1090" s="362"/>
    </row>
    <row r="1091" spans="1:44" ht="12" customHeight="1" x14ac:dyDescent="0.15">
      <c r="A1091" s="447"/>
      <c r="B1091" s="393"/>
      <c r="C1091" s="428"/>
      <c r="D1091" s="443"/>
      <c r="E1091" s="443"/>
      <c r="F1091" s="443"/>
      <c r="G1091" s="443"/>
      <c r="H1091" s="443"/>
      <c r="I1091" s="443"/>
      <c r="J1091" s="224"/>
      <c r="O1091" s="433"/>
      <c r="Z1091" s="362"/>
      <c r="AA1091" s="362"/>
      <c r="AB1091" s="362"/>
      <c r="AC1091" s="362"/>
      <c r="AD1091" s="362"/>
      <c r="AE1091" s="362"/>
      <c r="AF1091" s="362"/>
      <c r="AG1091" s="362"/>
      <c r="AH1091" s="362"/>
      <c r="AI1091" s="360"/>
      <c r="AJ1091" s="360"/>
      <c r="AK1091" s="362"/>
      <c r="AL1091" s="362"/>
      <c r="AM1091" s="362"/>
      <c r="AN1091" s="362"/>
      <c r="AO1091" s="362"/>
      <c r="AP1091" s="362"/>
      <c r="AQ1091" s="362"/>
      <c r="AR1091" s="362"/>
    </row>
    <row r="1092" spans="1:44" ht="12" customHeight="1" x14ac:dyDescent="0.15">
      <c r="A1092" s="447"/>
      <c r="B1092" s="393"/>
      <c r="C1092" s="428"/>
      <c r="D1092" s="443"/>
      <c r="E1092" s="443"/>
      <c r="F1092" s="443"/>
      <c r="G1092" s="443"/>
      <c r="H1092" s="443"/>
      <c r="I1092" s="443"/>
      <c r="J1092" s="224"/>
      <c r="O1092" s="433"/>
      <c r="Z1092" s="362"/>
      <c r="AA1092" s="362"/>
      <c r="AB1092" s="362"/>
      <c r="AC1092" s="362"/>
      <c r="AD1092" s="362"/>
      <c r="AE1092" s="362"/>
      <c r="AF1092" s="362"/>
      <c r="AG1092" s="362"/>
      <c r="AH1092" s="362"/>
      <c r="AI1092" s="360"/>
      <c r="AJ1092" s="360"/>
      <c r="AK1092" s="362"/>
      <c r="AL1092" s="362"/>
      <c r="AM1092" s="362"/>
      <c r="AN1092" s="362"/>
      <c r="AO1092" s="362"/>
      <c r="AP1092" s="362"/>
      <c r="AQ1092" s="362"/>
      <c r="AR1092" s="362"/>
    </row>
    <row r="1093" spans="1:44" ht="12" customHeight="1" x14ac:dyDescent="0.15">
      <c r="A1093" s="447"/>
      <c r="B1093" s="393"/>
      <c r="C1093" s="428"/>
      <c r="D1093" s="443"/>
      <c r="E1093" s="443"/>
      <c r="F1093" s="443"/>
      <c r="G1093" s="443"/>
      <c r="H1093" s="443"/>
      <c r="I1093" s="443"/>
      <c r="J1093" s="224"/>
      <c r="O1093" s="433"/>
      <c r="Z1093" s="362"/>
      <c r="AA1093" s="362"/>
      <c r="AB1093" s="362"/>
      <c r="AC1093" s="362"/>
      <c r="AD1093" s="362"/>
      <c r="AE1093" s="362"/>
      <c r="AF1093" s="362"/>
      <c r="AG1093" s="362"/>
      <c r="AH1093" s="362"/>
      <c r="AI1093" s="360"/>
      <c r="AJ1093" s="360"/>
      <c r="AK1093" s="362"/>
      <c r="AL1093" s="362"/>
      <c r="AM1093" s="362"/>
      <c r="AN1093" s="362"/>
      <c r="AO1093" s="362"/>
      <c r="AP1093" s="362"/>
      <c r="AQ1093" s="362"/>
      <c r="AR1093" s="362"/>
    </row>
    <row r="1094" spans="1:44" ht="12" customHeight="1" x14ac:dyDescent="0.15">
      <c r="A1094" s="447"/>
      <c r="B1094" s="393"/>
      <c r="C1094" s="428"/>
      <c r="D1094" s="443"/>
      <c r="E1094" s="443"/>
      <c r="F1094" s="443"/>
      <c r="G1094" s="443"/>
      <c r="H1094" s="443"/>
      <c r="I1094" s="443"/>
      <c r="J1094" s="224"/>
      <c r="O1094" s="433"/>
      <c r="Z1094" s="362"/>
      <c r="AA1094" s="362"/>
      <c r="AB1094" s="362"/>
      <c r="AC1094" s="362"/>
      <c r="AD1094" s="362"/>
      <c r="AE1094" s="362"/>
      <c r="AF1094" s="362"/>
      <c r="AG1094" s="362"/>
      <c r="AH1094" s="362"/>
      <c r="AI1094" s="360"/>
      <c r="AJ1094" s="360"/>
      <c r="AK1094" s="362"/>
      <c r="AL1094" s="362"/>
      <c r="AM1094" s="362"/>
      <c r="AN1094" s="362"/>
      <c r="AO1094" s="362"/>
      <c r="AP1094" s="362"/>
      <c r="AQ1094" s="362"/>
      <c r="AR1094" s="362"/>
    </row>
    <row r="1095" spans="1:44" ht="12" customHeight="1" x14ac:dyDescent="0.15">
      <c r="A1095" s="447"/>
      <c r="B1095" s="393"/>
      <c r="C1095" s="428"/>
      <c r="D1095" s="443"/>
      <c r="E1095" s="443"/>
      <c r="F1095" s="443"/>
      <c r="G1095" s="443"/>
      <c r="H1095" s="443"/>
      <c r="I1095" s="443"/>
      <c r="J1095" s="224"/>
      <c r="O1095" s="433"/>
      <c r="Z1095" s="362"/>
      <c r="AA1095" s="362"/>
      <c r="AB1095" s="362"/>
      <c r="AC1095" s="362"/>
      <c r="AD1095" s="362"/>
      <c r="AE1095" s="362"/>
      <c r="AF1095" s="362"/>
      <c r="AG1095" s="362"/>
      <c r="AH1095" s="362"/>
      <c r="AI1095" s="360"/>
      <c r="AJ1095" s="360"/>
      <c r="AK1095" s="362"/>
      <c r="AL1095" s="362"/>
      <c r="AM1095" s="362"/>
      <c r="AN1095" s="362"/>
      <c r="AO1095" s="362"/>
      <c r="AP1095" s="362"/>
      <c r="AQ1095" s="362"/>
      <c r="AR1095" s="362"/>
    </row>
    <row r="1096" spans="1:44" ht="12" customHeight="1" x14ac:dyDescent="0.15">
      <c r="A1096" s="447"/>
      <c r="B1096" s="393"/>
      <c r="C1096" s="428"/>
      <c r="D1096" s="443"/>
      <c r="E1096" s="443"/>
      <c r="F1096" s="443"/>
      <c r="G1096" s="443"/>
      <c r="H1096" s="443"/>
      <c r="I1096" s="443"/>
      <c r="J1096" s="224"/>
      <c r="O1096" s="433"/>
      <c r="Z1096" s="362"/>
      <c r="AA1096" s="362"/>
      <c r="AB1096" s="362"/>
      <c r="AC1096" s="362"/>
      <c r="AD1096" s="362"/>
      <c r="AE1096" s="362"/>
      <c r="AF1096" s="362"/>
      <c r="AG1096" s="362"/>
      <c r="AH1096" s="362"/>
      <c r="AI1096" s="360"/>
      <c r="AJ1096" s="360"/>
      <c r="AK1096" s="362"/>
      <c r="AL1096" s="362"/>
      <c r="AM1096" s="362"/>
      <c r="AN1096" s="362"/>
      <c r="AO1096" s="362"/>
      <c r="AP1096" s="362"/>
      <c r="AQ1096" s="362"/>
      <c r="AR1096" s="362"/>
    </row>
    <row r="1097" spans="1:44" ht="12" customHeight="1" x14ac:dyDescent="0.15">
      <c r="A1097" s="447"/>
      <c r="B1097" s="393"/>
      <c r="C1097" s="428"/>
      <c r="D1097" s="428"/>
      <c r="E1097" s="224"/>
      <c r="F1097" s="224"/>
      <c r="G1097" s="224"/>
      <c r="H1097" s="224"/>
      <c r="I1097" s="224"/>
      <c r="J1097" s="224"/>
      <c r="O1097" s="433"/>
      <c r="Z1097" s="362"/>
      <c r="AA1097" s="362"/>
      <c r="AB1097" s="362"/>
      <c r="AC1097" s="362"/>
      <c r="AD1097" s="362"/>
      <c r="AE1097" s="362"/>
      <c r="AF1097" s="362"/>
      <c r="AG1097" s="362"/>
      <c r="AH1097" s="362"/>
      <c r="AI1097" s="360"/>
      <c r="AJ1097" s="360"/>
      <c r="AK1097" s="362"/>
      <c r="AL1097" s="362"/>
      <c r="AM1097" s="362"/>
      <c r="AN1097" s="362"/>
      <c r="AO1097" s="362"/>
      <c r="AP1097" s="362"/>
      <c r="AQ1097" s="362"/>
      <c r="AR1097" s="362"/>
    </row>
    <row r="1098" spans="1:44" ht="12" customHeight="1" x14ac:dyDescent="0.15">
      <c r="A1098" s="447"/>
      <c r="B1098" s="393"/>
      <c r="C1098" s="428"/>
      <c r="D1098" s="428"/>
      <c r="E1098" s="224"/>
      <c r="F1098" s="224"/>
      <c r="G1098" s="224"/>
      <c r="H1098" s="224"/>
      <c r="I1098" s="224"/>
      <c r="J1098" s="224"/>
      <c r="O1098" s="433"/>
      <c r="Z1098" s="362"/>
      <c r="AA1098" s="362"/>
      <c r="AB1098" s="362"/>
      <c r="AC1098" s="362"/>
      <c r="AD1098" s="362"/>
      <c r="AE1098" s="362"/>
      <c r="AF1098" s="362"/>
      <c r="AG1098" s="362"/>
      <c r="AH1098" s="362"/>
      <c r="AI1098" s="360"/>
      <c r="AJ1098" s="360"/>
      <c r="AK1098" s="362"/>
      <c r="AL1098" s="362"/>
      <c r="AM1098" s="362"/>
      <c r="AN1098" s="362"/>
      <c r="AO1098" s="362"/>
      <c r="AP1098" s="362"/>
      <c r="AQ1098" s="362"/>
      <c r="AR1098" s="362"/>
    </row>
    <row r="1099" spans="1:44" ht="12" customHeight="1" x14ac:dyDescent="0.15">
      <c r="A1099" s="447"/>
      <c r="B1099" s="393"/>
      <c r="C1099" s="428"/>
      <c r="D1099" s="428"/>
      <c r="E1099" s="224"/>
      <c r="F1099" s="224"/>
      <c r="G1099" s="224"/>
      <c r="H1099" s="224"/>
      <c r="I1099" s="224"/>
      <c r="J1099" s="224"/>
      <c r="O1099" s="433"/>
      <c r="Z1099" s="362"/>
      <c r="AA1099" s="362"/>
      <c r="AB1099" s="362"/>
      <c r="AC1099" s="362"/>
      <c r="AD1099" s="362"/>
      <c r="AE1099" s="362"/>
      <c r="AF1099" s="362"/>
      <c r="AG1099" s="362"/>
      <c r="AH1099" s="362"/>
      <c r="AI1099" s="360"/>
      <c r="AJ1099" s="360"/>
      <c r="AK1099" s="362"/>
      <c r="AL1099" s="362"/>
      <c r="AM1099" s="362"/>
      <c r="AN1099" s="362"/>
      <c r="AO1099" s="362"/>
      <c r="AP1099" s="362"/>
      <c r="AQ1099" s="362"/>
      <c r="AR1099" s="362"/>
    </row>
    <row r="1100" spans="1:44" ht="12" customHeight="1" x14ac:dyDescent="0.15">
      <c r="A1100" s="447"/>
      <c r="B1100" s="393"/>
      <c r="C1100" s="428"/>
      <c r="D1100" s="428"/>
      <c r="E1100" s="224"/>
      <c r="F1100" s="224"/>
      <c r="G1100" s="224"/>
      <c r="H1100" s="224"/>
      <c r="I1100" s="224"/>
      <c r="J1100" s="224"/>
      <c r="O1100" s="433"/>
      <c r="Z1100" s="362"/>
      <c r="AA1100" s="362"/>
      <c r="AB1100" s="362"/>
      <c r="AC1100" s="362"/>
      <c r="AD1100" s="362"/>
      <c r="AE1100" s="362"/>
      <c r="AF1100" s="362"/>
      <c r="AG1100" s="362"/>
      <c r="AH1100" s="362"/>
      <c r="AI1100" s="360"/>
      <c r="AJ1100" s="360"/>
      <c r="AK1100" s="362"/>
      <c r="AL1100" s="362"/>
      <c r="AM1100" s="362"/>
      <c r="AN1100" s="362"/>
      <c r="AO1100" s="362"/>
      <c r="AP1100" s="362"/>
      <c r="AQ1100" s="362"/>
      <c r="AR1100" s="362"/>
    </row>
    <row r="1101" spans="1:44" ht="12" customHeight="1" x14ac:dyDescent="0.15">
      <c r="A1101" s="447"/>
      <c r="B1101" s="393"/>
      <c r="C1101" s="428"/>
      <c r="D1101" s="428"/>
      <c r="E1101" s="224"/>
      <c r="F1101" s="224"/>
      <c r="G1101" s="224"/>
      <c r="H1101" s="224"/>
      <c r="I1101" s="224"/>
      <c r="J1101" s="224"/>
      <c r="O1101" s="433"/>
      <c r="Z1101" s="362"/>
      <c r="AA1101" s="362"/>
      <c r="AB1101" s="362"/>
      <c r="AC1101" s="362"/>
      <c r="AD1101" s="362"/>
      <c r="AE1101" s="362"/>
      <c r="AF1101" s="362"/>
      <c r="AG1101" s="362"/>
      <c r="AH1101" s="362"/>
      <c r="AI1101" s="360"/>
      <c r="AJ1101" s="360"/>
      <c r="AK1101" s="362"/>
      <c r="AL1101" s="362"/>
      <c r="AM1101" s="362"/>
      <c r="AN1101" s="362"/>
      <c r="AO1101" s="362"/>
      <c r="AP1101" s="362"/>
      <c r="AQ1101" s="362"/>
      <c r="AR1101" s="362"/>
    </row>
    <row r="1102" spans="1:44" ht="12" customHeight="1" x14ac:dyDescent="0.15">
      <c r="A1102" s="447"/>
      <c r="B1102" s="393"/>
      <c r="C1102" s="428"/>
      <c r="D1102" s="428"/>
      <c r="E1102" s="224"/>
      <c r="F1102" s="224"/>
      <c r="G1102" s="224"/>
      <c r="H1102" s="224"/>
      <c r="I1102" s="224"/>
      <c r="J1102" s="224"/>
      <c r="O1102" s="433"/>
      <c r="Z1102" s="362"/>
      <c r="AA1102" s="362"/>
      <c r="AB1102" s="362"/>
      <c r="AC1102" s="362"/>
      <c r="AD1102" s="362"/>
      <c r="AE1102" s="362"/>
      <c r="AF1102" s="362"/>
      <c r="AG1102" s="362"/>
      <c r="AH1102" s="362"/>
      <c r="AI1102" s="360"/>
      <c r="AJ1102" s="360"/>
      <c r="AK1102" s="362"/>
      <c r="AL1102" s="362"/>
      <c r="AM1102" s="362"/>
      <c r="AN1102" s="362"/>
      <c r="AO1102" s="362"/>
      <c r="AP1102" s="362"/>
      <c r="AQ1102" s="362"/>
      <c r="AR1102" s="362"/>
    </row>
    <row r="1103" spans="1:44" ht="12" customHeight="1" x14ac:dyDescent="0.15">
      <c r="A1103" s="447"/>
      <c r="B1103" s="393"/>
      <c r="C1103" s="428"/>
      <c r="D1103" s="428"/>
      <c r="E1103" s="224"/>
      <c r="F1103" s="224"/>
      <c r="G1103" s="224"/>
      <c r="H1103" s="224"/>
      <c r="I1103" s="224"/>
      <c r="J1103" s="224"/>
      <c r="O1103" s="433"/>
      <c r="Z1103" s="362"/>
      <c r="AA1103" s="362"/>
      <c r="AB1103" s="362"/>
      <c r="AC1103" s="362"/>
      <c r="AD1103" s="362"/>
      <c r="AE1103" s="362"/>
      <c r="AF1103" s="362"/>
      <c r="AG1103" s="362"/>
      <c r="AH1103" s="362"/>
      <c r="AI1103" s="360"/>
      <c r="AJ1103" s="360"/>
      <c r="AK1103" s="362"/>
      <c r="AL1103" s="362"/>
      <c r="AM1103" s="362"/>
      <c r="AN1103" s="362"/>
      <c r="AO1103" s="362"/>
      <c r="AP1103" s="362"/>
      <c r="AQ1103" s="362"/>
      <c r="AR1103" s="362"/>
    </row>
    <row r="1104" spans="1:44" ht="12" customHeight="1" x14ac:dyDescent="0.15">
      <c r="A1104" s="447"/>
      <c r="B1104" s="393"/>
      <c r="C1104" s="428"/>
      <c r="D1104" s="428"/>
      <c r="E1104" s="224"/>
      <c r="F1104" s="224"/>
      <c r="G1104" s="224"/>
      <c r="H1104" s="224"/>
      <c r="I1104" s="224"/>
      <c r="J1104" s="224"/>
      <c r="O1104" s="433"/>
      <c r="Z1104" s="362"/>
      <c r="AA1104" s="362"/>
      <c r="AB1104" s="362"/>
      <c r="AC1104" s="362"/>
      <c r="AD1104" s="362"/>
      <c r="AE1104" s="362"/>
      <c r="AF1104" s="362"/>
      <c r="AG1104" s="362"/>
      <c r="AH1104" s="362"/>
      <c r="AI1104" s="360"/>
      <c r="AJ1104" s="360"/>
      <c r="AK1104" s="362"/>
      <c r="AL1104" s="362"/>
      <c r="AM1104" s="362"/>
      <c r="AN1104" s="362"/>
      <c r="AO1104" s="362"/>
      <c r="AP1104" s="362"/>
      <c r="AQ1104" s="362"/>
      <c r="AR1104" s="362"/>
    </row>
    <row r="1105" spans="1:44" ht="12" customHeight="1" x14ac:dyDescent="0.15">
      <c r="A1105" s="447"/>
      <c r="B1105" s="393"/>
      <c r="C1105" s="428"/>
      <c r="D1105" s="428"/>
      <c r="E1105" s="224"/>
      <c r="F1105" s="224"/>
      <c r="G1105" s="224"/>
      <c r="H1105" s="224"/>
      <c r="I1105" s="224"/>
      <c r="J1105" s="224"/>
      <c r="O1105" s="433"/>
      <c r="Z1105" s="362"/>
      <c r="AA1105" s="362"/>
      <c r="AB1105" s="362"/>
      <c r="AC1105" s="362"/>
      <c r="AD1105" s="362"/>
      <c r="AE1105" s="362"/>
      <c r="AF1105" s="362"/>
      <c r="AG1105" s="362"/>
      <c r="AH1105" s="362"/>
      <c r="AI1105" s="360"/>
      <c r="AJ1105" s="360"/>
      <c r="AK1105" s="362"/>
      <c r="AL1105" s="362"/>
      <c r="AM1105" s="362"/>
      <c r="AN1105" s="362"/>
      <c r="AO1105" s="362"/>
      <c r="AP1105" s="362"/>
      <c r="AQ1105" s="362"/>
      <c r="AR1105" s="362"/>
    </row>
    <row r="1106" spans="1:44" ht="12" customHeight="1" x14ac:dyDescent="0.15">
      <c r="A1106" s="447"/>
      <c r="B1106" s="393"/>
      <c r="C1106" s="428"/>
      <c r="D1106" s="428"/>
      <c r="E1106" s="224"/>
      <c r="F1106" s="224"/>
      <c r="G1106" s="224"/>
      <c r="H1106" s="224"/>
      <c r="I1106" s="224"/>
      <c r="J1106" s="224"/>
      <c r="O1106" s="433"/>
      <c r="Z1106" s="362"/>
      <c r="AA1106" s="362"/>
      <c r="AB1106" s="362"/>
      <c r="AC1106" s="362"/>
      <c r="AD1106" s="362"/>
      <c r="AE1106" s="362"/>
      <c r="AF1106" s="362"/>
      <c r="AG1106" s="362"/>
      <c r="AH1106" s="362"/>
      <c r="AI1106" s="360"/>
      <c r="AJ1106" s="360"/>
      <c r="AK1106" s="362"/>
      <c r="AL1106" s="362"/>
      <c r="AM1106" s="362"/>
      <c r="AN1106" s="362"/>
      <c r="AO1106" s="362"/>
      <c r="AP1106" s="362"/>
      <c r="AQ1106" s="362"/>
      <c r="AR1106" s="362"/>
    </row>
    <row r="1107" spans="1:44" ht="12" customHeight="1" x14ac:dyDescent="0.15">
      <c r="A1107" s="447"/>
      <c r="B1107" s="393"/>
      <c r="C1107" s="428"/>
      <c r="D1107" s="428"/>
      <c r="E1107" s="224"/>
      <c r="F1107" s="224"/>
      <c r="G1107" s="224"/>
      <c r="H1107" s="224"/>
      <c r="I1107" s="224"/>
      <c r="J1107" s="224"/>
      <c r="O1107" s="433"/>
      <c r="Z1107" s="362"/>
      <c r="AA1107" s="362"/>
      <c r="AB1107" s="362"/>
      <c r="AC1107" s="362"/>
      <c r="AD1107" s="362"/>
      <c r="AE1107" s="362"/>
      <c r="AF1107" s="362"/>
      <c r="AG1107" s="362"/>
      <c r="AH1107" s="362"/>
      <c r="AI1107" s="360"/>
      <c r="AJ1107" s="360"/>
      <c r="AK1107" s="362"/>
      <c r="AL1107" s="362"/>
      <c r="AM1107" s="362"/>
      <c r="AN1107" s="362"/>
      <c r="AO1107" s="362"/>
      <c r="AP1107" s="362"/>
      <c r="AQ1107" s="362"/>
      <c r="AR1107" s="362"/>
    </row>
    <row r="1108" spans="1:44" ht="12" customHeight="1" x14ac:dyDescent="0.15">
      <c r="A1108" s="447"/>
      <c r="B1108" s="393"/>
      <c r="C1108" s="428"/>
      <c r="D1108" s="428"/>
      <c r="E1108" s="224"/>
      <c r="F1108" s="224"/>
      <c r="G1108" s="224"/>
      <c r="H1108" s="224"/>
      <c r="I1108" s="224"/>
      <c r="J1108" s="224"/>
      <c r="O1108" s="433"/>
      <c r="Z1108" s="362"/>
      <c r="AA1108" s="362"/>
      <c r="AB1108" s="362"/>
      <c r="AC1108" s="362"/>
      <c r="AD1108" s="362"/>
      <c r="AE1108" s="362"/>
      <c r="AF1108" s="362"/>
      <c r="AG1108" s="362"/>
      <c r="AH1108" s="362"/>
      <c r="AI1108" s="360"/>
      <c r="AJ1108" s="360"/>
      <c r="AK1108" s="362"/>
      <c r="AL1108" s="362"/>
      <c r="AM1108" s="362"/>
      <c r="AN1108" s="362"/>
      <c r="AO1108" s="362"/>
      <c r="AP1108" s="362"/>
      <c r="AQ1108" s="362"/>
      <c r="AR1108" s="362"/>
    </row>
    <row r="1109" spans="1:44" ht="12" customHeight="1" x14ac:dyDescent="0.15">
      <c r="A1109" s="447"/>
      <c r="B1109" s="393"/>
      <c r="C1109" s="428"/>
      <c r="D1109" s="428"/>
      <c r="E1109" s="224"/>
      <c r="F1109" s="224"/>
      <c r="G1109" s="224"/>
      <c r="H1109" s="224"/>
      <c r="I1109" s="224"/>
      <c r="J1109" s="224"/>
      <c r="O1109" s="433"/>
      <c r="Z1109" s="362"/>
      <c r="AA1109" s="362"/>
      <c r="AB1109" s="362"/>
      <c r="AC1109" s="362"/>
      <c r="AD1109" s="362"/>
      <c r="AE1109" s="362"/>
      <c r="AF1109" s="362"/>
      <c r="AG1109" s="362"/>
      <c r="AH1109" s="362"/>
      <c r="AI1109" s="360"/>
      <c r="AJ1109" s="360"/>
      <c r="AK1109" s="362"/>
      <c r="AL1109" s="362"/>
      <c r="AM1109" s="362"/>
      <c r="AN1109" s="362"/>
      <c r="AO1109" s="362"/>
      <c r="AP1109" s="362"/>
      <c r="AQ1109" s="362"/>
      <c r="AR1109" s="362"/>
    </row>
    <row r="1110" spans="1:44" ht="12" customHeight="1" x14ac:dyDescent="0.15">
      <c r="A1110" s="447"/>
      <c r="B1110" s="393"/>
      <c r="C1110" s="428"/>
      <c r="D1110" s="428"/>
      <c r="E1110" s="224"/>
      <c r="F1110" s="224"/>
      <c r="G1110" s="224"/>
      <c r="H1110" s="224"/>
      <c r="I1110" s="224"/>
      <c r="J1110" s="224"/>
      <c r="O1110" s="433"/>
      <c r="Z1110" s="362"/>
      <c r="AA1110" s="362"/>
      <c r="AB1110" s="362"/>
      <c r="AC1110" s="362"/>
      <c r="AD1110" s="362"/>
      <c r="AE1110" s="362"/>
      <c r="AF1110" s="362"/>
      <c r="AG1110" s="362"/>
      <c r="AH1110" s="362"/>
      <c r="AI1110" s="360"/>
      <c r="AJ1110" s="360"/>
      <c r="AK1110" s="362"/>
      <c r="AL1110" s="362"/>
      <c r="AM1110" s="362"/>
      <c r="AN1110" s="362"/>
      <c r="AO1110" s="362"/>
      <c r="AP1110" s="362"/>
      <c r="AQ1110" s="362"/>
      <c r="AR1110" s="362"/>
    </row>
    <row r="1111" spans="1:44" ht="12" customHeight="1" x14ac:dyDescent="0.15">
      <c r="A1111" s="447"/>
      <c r="B1111" s="393"/>
      <c r="C1111" s="428"/>
      <c r="D1111" s="428"/>
      <c r="E1111" s="224"/>
      <c r="F1111" s="224"/>
      <c r="G1111" s="224"/>
      <c r="H1111" s="224"/>
      <c r="I1111" s="224"/>
      <c r="J1111" s="224"/>
      <c r="O1111" s="433"/>
      <c r="Z1111" s="362"/>
      <c r="AA1111" s="362"/>
      <c r="AB1111" s="362"/>
      <c r="AC1111" s="362"/>
      <c r="AD1111" s="362"/>
      <c r="AE1111" s="362"/>
      <c r="AF1111" s="362"/>
      <c r="AG1111" s="362"/>
      <c r="AH1111" s="362"/>
      <c r="AI1111" s="360"/>
      <c r="AJ1111" s="360"/>
      <c r="AK1111" s="362"/>
      <c r="AL1111" s="362"/>
      <c r="AM1111" s="362"/>
      <c r="AN1111" s="362"/>
      <c r="AO1111" s="362"/>
      <c r="AP1111" s="362"/>
      <c r="AQ1111" s="362"/>
      <c r="AR1111" s="362"/>
    </row>
    <row r="1112" spans="1:44" ht="12" customHeight="1" x14ac:dyDescent="0.15">
      <c r="A1112" s="447"/>
      <c r="B1112" s="393"/>
      <c r="C1112" s="428"/>
      <c r="D1112" s="428"/>
      <c r="E1112" s="224"/>
      <c r="F1112" s="224"/>
      <c r="G1112" s="224"/>
      <c r="H1112" s="224"/>
      <c r="I1112" s="224"/>
      <c r="J1112" s="224"/>
      <c r="O1112" s="433"/>
      <c r="Z1112" s="362"/>
      <c r="AA1112" s="362"/>
      <c r="AB1112" s="362"/>
      <c r="AC1112" s="362"/>
      <c r="AD1112" s="362"/>
      <c r="AE1112" s="362"/>
      <c r="AF1112" s="362"/>
      <c r="AG1112" s="362"/>
      <c r="AH1112" s="362"/>
      <c r="AI1112" s="360"/>
      <c r="AJ1112" s="360"/>
      <c r="AK1112" s="362"/>
      <c r="AL1112" s="362"/>
      <c r="AM1112" s="362"/>
      <c r="AN1112" s="362"/>
      <c r="AO1112" s="362"/>
      <c r="AP1112" s="362"/>
      <c r="AQ1112" s="362"/>
      <c r="AR1112" s="362"/>
    </row>
    <row r="1113" spans="1:44" ht="12" customHeight="1" x14ac:dyDescent="0.15">
      <c r="A1113" s="447"/>
      <c r="B1113" s="393"/>
      <c r="C1113" s="428"/>
      <c r="D1113" s="428"/>
      <c r="E1113" s="224"/>
      <c r="F1113" s="224"/>
      <c r="G1113" s="224"/>
      <c r="H1113" s="224"/>
      <c r="I1113" s="224"/>
      <c r="J1113" s="224"/>
      <c r="O1113" s="433"/>
      <c r="Z1113" s="362"/>
      <c r="AA1113" s="362"/>
      <c r="AB1113" s="362"/>
      <c r="AC1113" s="362"/>
      <c r="AD1113" s="362"/>
      <c r="AE1113" s="362"/>
      <c r="AF1113" s="362"/>
      <c r="AG1113" s="362"/>
      <c r="AH1113" s="362"/>
      <c r="AI1113" s="360"/>
      <c r="AJ1113" s="360"/>
      <c r="AK1113" s="362"/>
      <c r="AL1113" s="362"/>
      <c r="AM1113" s="362"/>
      <c r="AN1113" s="362"/>
      <c r="AO1113" s="362"/>
      <c r="AP1113" s="362"/>
      <c r="AQ1113" s="362"/>
      <c r="AR1113" s="362"/>
    </row>
    <row r="1114" spans="1:44" ht="12" customHeight="1" x14ac:dyDescent="0.15">
      <c r="A1114" s="447"/>
      <c r="B1114" s="393"/>
      <c r="C1114" s="428"/>
      <c r="D1114" s="428"/>
      <c r="E1114" s="224"/>
      <c r="F1114" s="224"/>
      <c r="G1114" s="224"/>
      <c r="H1114" s="224"/>
      <c r="I1114" s="224"/>
      <c r="J1114" s="224"/>
      <c r="O1114" s="433"/>
      <c r="Z1114" s="362"/>
      <c r="AA1114" s="362"/>
      <c r="AB1114" s="362"/>
      <c r="AC1114" s="362"/>
      <c r="AD1114" s="362"/>
      <c r="AE1114" s="362"/>
      <c r="AF1114" s="362"/>
      <c r="AG1114" s="362"/>
      <c r="AH1114" s="362"/>
      <c r="AI1114" s="360"/>
      <c r="AJ1114" s="360"/>
      <c r="AK1114" s="362"/>
      <c r="AL1114" s="362"/>
      <c r="AM1114" s="362"/>
      <c r="AN1114" s="362"/>
      <c r="AO1114" s="362"/>
      <c r="AP1114" s="362"/>
      <c r="AQ1114" s="362"/>
      <c r="AR1114" s="362"/>
    </row>
    <row r="1115" spans="1:44" ht="12" customHeight="1" x14ac:dyDescent="0.15">
      <c r="A1115" s="447"/>
      <c r="B1115" s="393"/>
      <c r="C1115" s="428"/>
      <c r="D1115" s="428"/>
      <c r="E1115" s="224"/>
      <c r="F1115" s="224"/>
      <c r="G1115" s="224"/>
      <c r="H1115" s="224"/>
      <c r="I1115" s="224"/>
      <c r="J1115" s="224"/>
      <c r="O1115" s="433"/>
      <c r="Z1115" s="362"/>
      <c r="AA1115" s="362"/>
      <c r="AB1115" s="362"/>
      <c r="AC1115" s="362"/>
      <c r="AD1115" s="362"/>
      <c r="AE1115" s="362"/>
      <c r="AF1115" s="362"/>
      <c r="AG1115" s="362"/>
      <c r="AH1115" s="362"/>
      <c r="AI1115" s="360"/>
      <c r="AJ1115" s="360"/>
      <c r="AK1115" s="362"/>
      <c r="AL1115" s="362"/>
      <c r="AM1115" s="362"/>
      <c r="AN1115" s="362"/>
      <c r="AO1115" s="362"/>
      <c r="AP1115" s="362"/>
      <c r="AQ1115" s="362"/>
      <c r="AR1115" s="362"/>
    </row>
    <row r="1116" spans="1:44" ht="12" customHeight="1" x14ac:dyDescent="0.15">
      <c r="A1116" s="447"/>
      <c r="B1116" s="393"/>
      <c r="C1116" s="428"/>
      <c r="D1116" s="428"/>
      <c r="E1116" s="224"/>
      <c r="F1116" s="224"/>
      <c r="G1116" s="224"/>
      <c r="H1116" s="224"/>
      <c r="I1116" s="224"/>
      <c r="J1116" s="224"/>
      <c r="O1116" s="433"/>
      <c r="Z1116" s="362"/>
      <c r="AA1116" s="362"/>
      <c r="AB1116" s="362"/>
      <c r="AC1116" s="362"/>
      <c r="AD1116" s="362"/>
      <c r="AE1116" s="362"/>
      <c r="AF1116" s="362"/>
      <c r="AG1116" s="362"/>
      <c r="AH1116" s="362"/>
      <c r="AI1116" s="360"/>
      <c r="AJ1116" s="360"/>
      <c r="AK1116" s="362"/>
      <c r="AL1116" s="362"/>
      <c r="AM1116" s="362"/>
      <c r="AN1116" s="362"/>
      <c r="AO1116" s="362"/>
      <c r="AP1116" s="362"/>
      <c r="AQ1116" s="362"/>
      <c r="AR1116" s="362"/>
    </row>
    <row r="1117" spans="1:44" ht="12" customHeight="1" x14ac:dyDescent="0.15">
      <c r="A1117" s="447"/>
      <c r="B1117" s="393"/>
      <c r="C1117" s="428"/>
      <c r="D1117" s="428"/>
      <c r="E1117" s="224"/>
      <c r="F1117" s="224"/>
      <c r="G1117" s="224"/>
      <c r="H1117" s="224"/>
      <c r="I1117" s="224"/>
      <c r="J1117" s="224"/>
      <c r="O1117" s="433"/>
      <c r="Z1117" s="362"/>
      <c r="AA1117" s="362"/>
      <c r="AB1117" s="362"/>
      <c r="AC1117" s="362"/>
      <c r="AD1117" s="362"/>
      <c r="AE1117" s="362"/>
      <c r="AF1117" s="362"/>
      <c r="AG1117" s="362"/>
      <c r="AH1117" s="362"/>
      <c r="AI1117" s="360"/>
      <c r="AJ1117" s="360"/>
      <c r="AK1117" s="362"/>
      <c r="AL1117" s="362"/>
      <c r="AM1117" s="362"/>
      <c r="AN1117" s="362"/>
      <c r="AO1117" s="362"/>
      <c r="AP1117" s="362"/>
      <c r="AQ1117" s="362"/>
      <c r="AR1117" s="362"/>
    </row>
    <row r="1118" spans="1:44" ht="12" customHeight="1" x14ac:dyDescent="0.15">
      <c r="A1118" s="447"/>
      <c r="B1118" s="393"/>
      <c r="C1118" s="428"/>
      <c r="D1118" s="428"/>
      <c r="E1118" s="224"/>
      <c r="F1118" s="224"/>
      <c r="G1118" s="224"/>
      <c r="H1118" s="224"/>
      <c r="I1118" s="224"/>
      <c r="J1118" s="224"/>
      <c r="O1118" s="433"/>
      <c r="Z1118" s="362"/>
      <c r="AA1118" s="362"/>
      <c r="AB1118" s="362"/>
      <c r="AC1118" s="362"/>
      <c r="AD1118" s="362"/>
      <c r="AE1118" s="362"/>
      <c r="AF1118" s="362"/>
      <c r="AG1118" s="362"/>
      <c r="AH1118" s="362"/>
      <c r="AI1118" s="360"/>
      <c r="AJ1118" s="360"/>
      <c r="AK1118" s="362"/>
      <c r="AL1118" s="362"/>
      <c r="AM1118" s="362"/>
      <c r="AN1118" s="362"/>
      <c r="AO1118" s="362"/>
      <c r="AP1118" s="362"/>
      <c r="AQ1118" s="362"/>
      <c r="AR1118" s="362"/>
    </row>
    <row r="1119" spans="1:44" ht="12" customHeight="1" x14ac:dyDescent="0.15">
      <c r="A1119" s="447"/>
      <c r="B1119" s="393"/>
      <c r="C1119" s="428"/>
      <c r="D1119" s="428"/>
      <c r="E1119" s="224"/>
      <c r="F1119" s="224"/>
      <c r="G1119" s="224"/>
      <c r="H1119" s="224"/>
      <c r="I1119" s="224"/>
      <c r="J1119" s="224"/>
      <c r="O1119" s="433"/>
      <c r="Z1119" s="362"/>
      <c r="AA1119" s="362"/>
      <c r="AB1119" s="362"/>
      <c r="AC1119" s="362"/>
      <c r="AD1119" s="362"/>
      <c r="AE1119" s="362"/>
      <c r="AF1119" s="362"/>
      <c r="AG1119" s="362"/>
      <c r="AH1119" s="362"/>
      <c r="AI1119" s="360"/>
      <c r="AJ1119" s="360"/>
      <c r="AK1119" s="362"/>
      <c r="AL1119" s="362"/>
      <c r="AM1119" s="362"/>
      <c r="AN1119" s="362"/>
      <c r="AO1119" s="362"/>
      <c r="AP1119" s="362"/>
      <c r="AQ1119" s="362"/>
      <c r="AR1119" s="362"/>
    </row>
    <row r="1120" spans="1:44" ht="12" customHeight="1" x14ac:dyDescent="0.15">
      <c r="A1120" s="447"/>
      <c r="B1120" s="393"/>
      <c r="C1120" s="428"/>
      <c r="D1120" s="428"/>
      <c r="E1120" s="224"/>
      <c r="F1120" s="224"/>
      <c r="G1120" s="224"/>
      <c r="H1120" s="224"/>
      <c r="I1120" s="224"/>
      <c r="J1120" s="224"/>
      <c r="O1120" s="433"/>
      <c r="Z1120" s="362"/>
      <c r="AA1120" s="362"/>
      <c r="AB1120" s="362"/>
      <c r="AC1120" s="362"/>
      <c r="AD1120" s="362"/>
      <c r="AE1120" s="362"/>
      <c r="AF1120" s="362"/>
      <c r="AG1120" s="362"/>
      <c r="AH1120" s="362"/>
      <c r="AI1120" s="360"/>
      <c r="AJ1120" s="360"/>
      <c r="AK1120" s="362"/>
      <c r="AL1120" s="362"/>
      <c r="AM1120" s="362"/>
      <c r="AN1120" s="362"/>
      <c r="AO1120" s="362"/>
      <c r="AP1120" s="362"/>
      <c r="AQ1120" s="362"/>
      <c r="AR1120" s="362"/>
    </row>
    <row r="1121" spans="1:44" ht="12" customHeight="1" x14ac:dyDescent="0.15">
      <c r="A1121" s="447"/>
      <c r="B1121" s="393"/>
      <c r="C1121" s="428"/>
      <c r="D1121" s="428"/>
      <c r="E1121" s="224"/>
      <c r="F1121" s="224"/>
      <c r="G1121" s="224"/>
      <c r="H1121" s="224"/>
      <c r="I1121" s="224"/>
      <c r="J1121" s="224"/>
      <c r="O1121" s="433"/>
      <c r="Z1121" s="362"/>
      <c r="AA1121" s="362"/>
      <c r="AB1121" s="362"/>
      <c r="AC1121" s="362"/>
      <c r="AD1121" s="362"/>
      <c r="AE1121" s="362"/>
      <c r="AF1121" s="362"/>
      <c r="AG1121" s="362"/>
      <c r="AH1121" s="362"/>
      <c r="AI1121" s="360"/>
      <c r="AJ1121" s="360"/>
      <c r="AK1121" s="362"/>
      <c r="AL1121" s="362"/>
      <c r="AM1121" s="362"/>
      <c r="AN1121" s="362"/>
      <c r="AO1121" s="362"/>
      <c r="AP1121" s="362"/>
      <c r="AQ1121" s="362"/>
      <c r="AR1121" s="362"/>
    </row>
    <row r="1122" spans="1:44" ht="12" customHeight="1" x14ac:dyDescent="0.15">
      <c r="A1122" s="447"/>
      <c r="B1122" s="393"/>
      <c r="C1122" s="428"/>
      <c r="D1122" s="428"/>
      <c r="E1122" s="224"/>
      <c r="F1122" s="224"/>
      <c r="G1122" s="224"/>
      <c r="H1122" s="224"/>
      <c r="I1122" s="224"/>
      <c r="J1122" s="224"/>
      <c r="O1122" s="433"/>
      <c r="Z1122" s="362"/>
      <c r="AA1122" s="362"/>
      <c r="AB1122" s="362"/>
      <c r="AC1122" s="362"/>
      <c r="AD1122" s="362"/>
      <c r="AE1122" s="362"/>
      <c r="AF1122" s="362"/>
      <c r="AG1122" s="362"/>
      <c r="AH1122" s="362"/>
      <c r="AI1122" s="360"/>
      <c r="AJ1122" s="360"/>
      <c r="AK1122" s="362"/>
      <c r="AL1122" s="362"/>
      <c r="AM1122" s="362"/>
      <c r="AN1122" s="362"/>
      <c r="AO1122" s="362"/>
      <c r="AP1122" s="362"/>
      <c r="AQ1122" s="362"/>
      <c r="AR1122" s="362"/>
    </row>
    <row r="1123" spans="1:44" ht="12" customHeight="1" x14ac:dyDescent="0.15">
      <c r="A1123" s="447"/>
      <c r="B1123" s="393"/>
      <c r="C1123" s="428"/>
      <c r="D1123" s="428"/>
      <c r="E1123" s="224"/>
      <c r="F1123" s="224"/>
      <c r="G1123" s="224"/>
      <c r="H1123" s="224"/>
      <c r="I1123" s="224"/>
      <c r="J1123" s="224"/>
      <c r="O1123" s="433"/>
      <c r="Z1123" s="362"/>
      <c r="AA1123" s="362"/>
      <c r="AB1123" s="362"/>
      <c r="AC1123" s="362"/>
      <c r="AD1123" s="362"/>
      <c r="AE1123" s="362"/>
      <c r="AF1123" s="362"/>
      <c r="AG1123" s="362"/>
      <c r="AH1123" s="362"/>
      <c r="AI1123" s="360"/>
      <c r="AJ1123" s="360"/>
      <c r="AK1123" s="362"/>
      <c r="AL1123" s="362"/>
      <c r="AM1123" s="362"/>
      <c r="AN1123" s="362"/>
      <c r="AO1123" s="362"/>
      <c r="AP1123" s="362"/>
      <c r="AQ1123" s="362"/>
      <c r="AR1123" s="362"/>
    </row>
    <row r="1124" spans="1:44" ht="12" customHeight="1" x14ac:dyDescent="0.15">
      <c r="A1124" s="447"/>
      <c r="B1124" s="393"/>
      <c r="C1124" s="428"/>
      <c r="D1124" s="428"/>
      <c r="E1124" s="224"/>
      <c r="F1124" s="224"/>
      <c r="G1124" s="224"/>
      <c r="H1124" s="224"/>
      <c r="I1124" s="224"/>
      <c r="J1124" s="224"/>
      <c r="O1124" s="433"/>
      <c r="Z1124" s="362"/>
      <c r="AA1124" s="362"/>
      <c r="AB1124" s="362"/>
      <c r="AC1124" s="362"/>
      <c r="AD1124" s="362"/>
      <c r="AE1124" s="362"/>
      <c r="AF1124" s="362"/>
      <c r="AG1124" s="362"/>
      <c r="AH1124" s="362"/>
      <c r="AI1124" s="360"/>
      <c r="AJ1124" s="360"/>
      <c r="AK1124" s="362"/>
      <c r="AL1124" s="362"/>
      <c r="AM1124" s="362"/>
      <c r="AN1124" s="362"/>
      <c r="AO1124" s="362"/>
      <c r="AP1124" s="362"/>
      <c r="AQ1124" s="362"/>
      <c r="AR1124" s="362"/>
    </row>
    <row r="1125" spans="1:44" ht="12" customHeight="1" x14ac:dyDescent="0.15">
      <c r="A1125" s="447"/>
      <c r="B1125" s="393"/>
      <c r="C1125" s="428"/>
      <c r="D1125" s="428"/>
      <c r="E1125" s="224"/>
      <c r="F1125" s="224"/>
      <c r="G1125" s="224"/>
      <c r="H1125" s="224"/>
      <c r="I1125" s="224"/>
      <c r="J1125" s="224"/>
      <c r="O1125" s="433"/>
      <c r="Z1125" s="362"/>
      <c r="AA1125" s="362"/>
      <c r="AB1125" s="362"/>
      <c r="AC1125" s="362"/>
      <c r="AD1125" s="362"/>
      <c r="AE1125" s="362"/>
      <c r="AF1125" s="362"/>
      <c r="AG1125" s="362"/>
      <c r="AH1125" s="362"/>
      <c r="AI1125" s="360"/>
      <c r="AJ1125" s="360"/>
      <c r="AK1125" s="362"/>
      <c r="AL1125" s="362"/>
      <c r="AM1125" s="362"/>
      <c r="AN1125" s="362"/>
      <c r="AO1125" s="362"/>
      <c r="AP1125" s="362"/>
      <c r="AQ1125" s="362"/>
      <c r="AR1125" s="362"/>
    </row>
    <row r="1126" spans="1:44" ht="12" customHeight="1" x14ac:dyDescent="0.15">
      <c r="A1126" s="447"/>
      <c r="B1126" s="393"/>
      <c r="C1126" s="428"/>
      <c r="D1126" s="428"/>
      <c r="E1126" s="224"/>
      <c r="F1126" s="224"/>
      <c r="G1126" s="224"/>
      <c r="H1126" s="224"/>
      <c r="I1126" s="224"/>
      <c r="J1126" s="224"/>
      <c r="O1126" s="433"/>
      <c r="Z1126" s="362"/>
      <c r="AA1126" s="362"/>
      <c r="AB1126" s="362"/>
      <c r="AC1126" s="362"/>
      <c r="AD1126" s="362"/>
      <c r="AE1126" s="362"/>
      <c r="AF1126" s="362"/>
      <c r="AG1126" s="362"/>
      <c r="AH1126" s="362"/>
      <c r="AI1126" s="360"/>
      <c r="AJ1126" s="360"/>
      <c r="AK1126" s="362"/>
      <c r="AL1126" s="362"/>
      <c r="AM1126" s="362"/>
      <c r="AN1126" s="362"/>
      <c r="AO1126" s="362"/>
      <c r="AP1126" s="362"/>
      <c r="AQ1126" s="362"/>
      <c r="AR1126" s="362"/>
    </row>
    <row r="1127" spans="1:44" ht="12" customHeight="1" x14ac:dyDescent="0.15">
      <c r="A1127" s="447"/>
      <c r="B1127" s="393"/>
      <c r="C1127" s="428"/>
      <c r="D1127" s="428"/>
      <c r="E1127" s="224"/>
      <c r="F1127" s="224"/>
      <c r="G1127" s="224"/>
      <c r="H1127" s="224"/>
      <c r="I1127" s="224"/>
      <c r="J1127" s="224"/>
      <c r="O1127" s="433"/>
      <c r="Z1127" s="362"/>
      <c r="AA1127" s="362"/>
      <c r="AB1127" s="362"/>
      <c r="AC1127" s="362"/>
      <c r="AD1127" s="362"/>
      <c r="AE1127" s="362"/>
      <c r="AF1127" s="362"/>
      <c r="AG1127" s="362"/>
      <c r="AH1127" s="362"/>
      <c r="AI1127" s="360"/>
      <c r="AJ1127" s="360"/>
      <c r="AK1127" s="362"/>
      <c r="AL1127" s="362"/>
      <c r="AM1127" s="362"/>
      <c r="AN1127" s="362"/>
      <c r="AO1127" s="362"/>
      <c r="AP1127" s="362"/>
      <c r="AQ1127" s="362"/>
      <c r="AR1127" s="362"/>
    </row>
    <row r="1128" spans="1:44" ht="12" customHeight="1" x14ac:dyDescent="0.15">
      <c r="A1128" s="447"/>
      <c r="B1128" s="393"/>
      <c r="C1128" s="428"/>
      <c r="D1128" s="428"/>
      <c r="E1128" s="224"/>
      <c r="F1128" s="224"/>
      <c r="G1128" s="224"/>
      <c r="H1128" s="224"/>
      <c r="I1128" s="224"/>
      <c r="J1128" s="224"/>
      <c r="O1128" s="433"/>
      <c r="Z1128" s="362"/>
      <c r="AA1128" s="362"/>
      <c r="AB1128" s="362"/>
      <c r="AC1128" s="362"/>
      <c r="AD1128" s="362"/>
      <c r="AE1128" s="362"/>
      <c r="AF1128" s="362"/>
      <c r="AG1128" s="362"/>
      <c r="AH1128" s="362"/>
      <c r="AI1128" s="360"/>
      <c r="AJ1128" s="360"/>
      <c r="AK1128" s="362"/>
      <c r="AL1128" s="362"/>
      <c r="AM1128" s="362"/>
      <c r="AN1128" s="362"/>
      <c r="AO1128" s="362"/>
      <c r="AP1128" s="362"/>
      <c r="AQ1128" s="362"/>
      <c r="AR1128" s="362"/>
    </row>
    <row r="1129" spans="1:44" ht="12" customHeight="1" x14ac:dyDescent="0.15">
      <c r="A1129" s="447"/>
      <c r="B1129" s="393"/>
      <c r="C1129" s="428"/>
      <c r="D1129" s="428"/>
      <c r="E1129" s="224"/>
      <c r="F1129" s="224"/>
      <c r="G1129" s="224"/>
      <c r="H1129" s="224"/>
      <c r="I1129" s="224"/>
      <c r="J1129" s="224"/>
      <c r="O1129" s="433"/>
      <c r="Z1129" s="362"/>
      <c r="AA1129" s="362"/>
      <c r="AB1129" s="362"/>
      <c r="AC1129" s="362"/>
      <c r="AD1129" s="362"/>
      <c r="AE1129" s="362"/>
      <c r="AF1129" s="362"/>
      <c r="AG1129" s="362"/>
      <c r="AH1129" s="362"/>
      <c r="AI1129" s="360"/>
      <c r="AJ1129" s="360"/>
      <c r="AK1129" s="362"/>
      <c r="AL1129" s="362"/>
      <c r="AM1129" s="362"/>
      <c r="AN1129" s="362"/>
      <c r="AO1129" s="362"/>
      <c r="AP1129" s="362"/>
      <c r="AQ1129" s="362"/>
      <c r="AR1129" s="362"/>
    </row>
    <row r="1130" spans="1:44" ht="12" customHeight="1" x14ac:dyDescent="0.15">
      <c r="A1130" s="447"/>
      <c r="B1130" s="393"/>
      <c r="C1130" s="428"/>
      <c r="D1130" s="428"/>
      <c r="E1130" s="224"/>
      <c r="F1130" s="224"/>
      <c r="G1130" s="224"/>
      <c r="H1130" s="224"/>
      <c r="I1130" s="224"/>
      <c r="J1130" s="224"/>
      <c r="O1130" s="433"/>
      <c r="Z1130" s="362"/>
      <c r="AA1130" s="362"/>
      <c r="AB1130" s="362"/>
      <c r="AC1130" s="362"/>
      <c r="AD1130" s="362"/>
      <c r="AE1130" s="362"/>
      <c r="AF1130" s="362"/>
      <c r="AG1130" s="362"/>
      <c r="AH1130" s="362"/>
      <c r="AI1130" s="360"/>
      <c r="AJ1130" s="360"/>
      <c r="AK1130" s="362"/>
      <c r="AL1130" s="362"/>
      <c r="AM1130" s="362"/>
      <c r="AN1130" s="362"/>
      <c r="AO1130" s="362"/>
      <c r="AP1130" s="362"/>
      <c r="AQ1130" s="362"/>
      <c r="AR1130" s="362"/>
    </row>
    <row r="1131" spans="1:44" ht="12" customHeight="1" x14ac:dyDescent="0.15">
      <c r="A1131" s="447"/>
      <c r="B1131" s="393"/>
      <c r="C1131" s="428"/>
      <c r="D1131" s="428"/>
      <c r="E1131" s="224"/>
      <c r="F1131" s="224"/>
      <c r="G1131" s="224"/>
      <c r="H1131" s="224"/>
      <c r="I1131" s="224"/>
      <c r="J1131" s="224"/>
      <c r="O1131" s="433"/>
      <c r="Z1131" s="362"/>
      <c r="AA1131" s="362"/>
      <c r="AB1131" s="362"/>
      <c r="AC1131" s="362"/>
      <c r="AD1131" s="362"/>
      <c r="AE1131" s="362"/>
      <c r="AF1131" s="362"/>
      <c r="AG1131" s="362"/>
      <c r="AH1131" s="362"/>
      <c r="AI1131" s="360"/>
      <c r="AJ1131" s="360"/>
      <c r="AK1131" s="362"/>
      <c r="AL1131" s="362"/>
      <c r="AM1131" s="362"/>
      <c r="AN1131" s="362"/>
      <c r="AO1131" s="362"/>
      <c r="AP1131" s="362"/>
      <c r="AQ1131" s="362"/>
      <c r="AR1131" s="362"/>
    </row>
    <row r="1132" spans="1:44" ht="12" customHeight="1" x14ac:dyDescent="0.15">
      <c r="A1132" s="447"/>
      <c r="B1132" s="393"/>
      <c r="C1132" s="428"/>
      <c r="D1132" s="428"/>
      <c r="E1132" s="224"/>
      <c r="F1132" s="224"/>
      <c r="G1132" s="224"/>
      <c r="H1132" s="224"/>
      <c r="I1132" s="224"/>
      <c r="J1132" s="224"/>
      <c r="O1132" s="433"/>
      <c r="Z1132" s="362"/>
      <c r="AA1132" s="362"/>
      <c r="AB1132" s="362"/>
      <c r="AC1132" s="362"/>
      <c r="AD1132" s="362"/>
      <c r="AE1132" s="362"/>
      <c r="AF1132" s="362"/>
      <c r="AG1132" s="362"/>
      <c r="AH1132" s="362"/>
      <c r="AI1132" s="360"/>
      <c r="AJ1132" s="360"/>
      <c r="AK1132" s="362"/>
      <c r="AL1132" s="362"/>
      <c r="AM1132" s="362"/>
      <c r="AN1132" s="362"/>
      <c r="AO1132" s="362"/>
      <c r="AP1132" s="362"/>
      <c r="AQ1132" s="362"/>
      <c r="AR1132" s="362"/>
    </row>
    <row r="1133" spans="1:44" ht="12" customHeight="1" x14ac:dyDescent="0.15">
      <c r="A1133" s="447"/>
      <c r="B1133" s="393"/>
      <c r="C1133" s="428"/>
      <c r="D1133" s="428"/>
      <c r="E1133" s="224"/>
      <c r="F1133" s="224"/>
      <c r="G1133" s="224"/>
      <c r="H1133" s="224"/>
      <c r="I1133" s="224"/>
      <c r="J1133" s="224"/>
      <c r="O1133" s="433"/>
      <c r="Z1133" s="362"/>
      <c r="AA1133" s="362"/>
      <c r="AB1133" s="362"/>
      <c r="AC1133" s="362"/>
      <c r="AD1133" s="362"/>
      <c r="AE1133" s="362"/>
      <c r="AF1133" s="362"/>
      <c r="AG1133" s="362"/>
      <c r="AH1133" s="362"/>
      <c r="AI1133" s="360"/>
      <c r="AJ1133" s="360"/>
      <c r="AK1133" s="362"/>
      <c r="AL1133" s="362"/>
      <c r="AM1133" s="362"/>
      <c r="AN1133" s="362"/>
      <c r="AO1133" s="362"/>
      <c r="AP1133" s="362"/>
      <c r="AQ1133" s="362"/>
      <c r="AR1133" s="362"/>
    </row>
    <row r="1134" spans="1:44" ht="12" customHeight="1" x14ac:dyDescent="0.15">
      <c r="A1134" s="447"/>
      <c r="B1134" s="393"/>
      <c r="C1134" s="428"/>
      <c r="D1134" s="428"/>
      <c r="E1134" s="224"/>
      <c r="F1134" s="224"/>
      <c r="G1134" s="224"/>
      <c r="H1134" s="224"/>
      <c r="I1134" s="224"/>
      <c r="J1134" s="224"/>
      <c r="Z1134" s="362"/>
      <c r="AA1134" s="362"/>
      <c r="AB1134" s="362"/>
      <c r="AC1134" s="362"/>
      <c r="AD1134" s="362"/>
      <c r="AE1134" s="362"/>
      <c r="AF1134" s="362"/>
      <c r="AG1134" s="362"/>
      <c r="AH1134" s="362"/>
      <c r="AI1134" s="360"/>
      <c r="AJ1134" s="360"/>
      <c r="AK1134" s="362"/>
      <c r="AL1134" s="362"/>
      <c r="AM1134" s="362"/>
      <c r="AN1134" s="362"/>
      <c r="AO1134" s="362"/>
      <c r="AP1134" s="362"/>
      <c r="AQ1134" s="362"/>
      <c r="AR1134" s="362"/>
    </row>
    <row r="1135" spans="1:44" ht="12" customHeight="1" x14ac:dyDescent="0.15">
      <c r="A1135" s="447"/>
      <c r="B1135" s="393"/>
      <c r="C1135" s="428"/>
      <c r="D1135" s="428"/>
      <c r="E1135" s="224"/>
      <c r="F1135" s="224"/>
      <c r="G1135" s="224"/>
      <c r="H1135" s="224"/>
      <c r="I1135" s="224"/>
      <c r="J1135" s="224"/>
      <c r="Z1135" s="362"/>
      <c r="AA1135" s="362"/>
      <c r="AB1135" s="362"/>
      <c r="AC1135" s="362"/>
      <c r="AD1135" s="362"/>
      <c r="AE1135" s="362"/>
      <c r="AF1135" s="362"/>
      <c r="AG1135" s="362"/>
      <c r="AH1135" s="362"/>
      <c r="AI1135" s="360"/>
      <c r="AJ1135" s="360"/>
      <c r="AK1135" s="362"/>
      <c r="AL1135" s="362"/>
      <c r="AM1135" s="362"/>
      <c r="AN1135" s="362"/>
      <c r="AO1135" s="362"/>
      <c r="AP1135" s="362"/>
      <c r="AQ1135" s="362"/>
      <c r="AR1135" s="362"/>
    </row>
    <row r="1136" spans="1:44" ht="12" customHeight="1" x14ac:dyDescent="0.15">
      <c r="A1136" s="447"/>
      <c r="B1136" s="393"/>
      <c r="C1136" s="428"/>
      <c r="D1136" s="428"/>
      <c r="E1136" s="224"/>
      <c r="F1136" s="224"/>
      <c r="G1136" s="224"/>
      <c r="H1136" s="224"/>
      <c r="I1136" s="224"/>
      <c r="J1136" s="224"/>
      <c r="Z1136" s="362"/>
      <c r="AA1136" s="362"/>
      <c r="AB1136" s="362"/>
      <c r="AC1136" s="362"/>
      <c r="AD1136" s="362"/>
      <c r="AE1136" s="362"/>
      <c r="AF1136" s="362"/>
      <c r="AG1136" s="362"/>
      <c r="AH1136" s="362"/>
      <c r="AI1136" s="360"/>
      <c r="AJ1136" s="360"/>
      <c r="AK1136" s="362"/>
      <c r="AL1136" s="362"/>
      <c r="AM1136" s="362"/>
      <c r="AN1136" s="362"/>
      <c r="AO1136" s="362"/>
      <c r="AP1136" s="362"/>
      <c r="AQ1136" s="362"/>
      <c r="AR1136" s="362"/>
    </row>
    <row r="1137" spans="1:44" ht="12" customHeight="1" x14ac:dyDescent="0.15">
      <c r="A1137" s="447"/>
      <c r="B1137" s="393"/>
      <c r="C1137" s="428"/>
      <c r="D1137" s="428"/>
      <c r="E1137" s="224"/>
      <c r="F1137" s="224"/>
      <c r="G1137" s="224"/>
      <c r="H1137" s="224"/>
      <c r="I1137" s="224"/>
      <c r="J1137" s="224"/>
      <c r="Z1137" s="362"/>
      <c r="AA1137" s="362"/>
      <c r="AB1137" s="362"/>
      <c r="AC1137" s="362"/>
      <c r="AD1137" s="362"/>
      <c r="AE1137" s="362"/>
      <c r="AF1137" s="362"/>
      <c r="AG1137" s="362"/>
      <c r="AH1137" s="362"/>
      <c r="AI1137" s="360"/>
      <c r="AJ1137" s="360"/>
      <c r="AK1137" s="362"/>
      <c r="AL1137" s="362"/>
      <c r="AM1137" s="362"/>
      <c r="AN1137" s="362"/>
      <c r="AO1137" s="362"/>
      <c r="AP1137" s="362"/>
      <c r="AQ1137" s="362"/>
      <c r="AR1137" s="362"/>
    </row>
    <row r="1138" spans="1:44" ht="12" customHeight="1" x14ac:dyDescent="0.15">
      <c r="A1138" s="447"/>
      <c r="B1138" s="393"/>
      <c r="C1138" s="428"/>
      <c r="D1138" s="428"/>
      <c r="E1138" s="224"/>
      <c r="F1138" s="224"/>
      <c r="G1138" s="224"/>
      <c r="H1138" s="224"/>
      <c r="I1138" s="224"/>
      <c r="J1138" s="224"/>
      <c r="Z1138" s="362"/>
      <c r="AA1138" s="362"/>
      <c r="AB1138" s="362"/>
      <c r="AC1138" s="362"/>
      <c r="AD1138" s="362"/>
      <c r="AE1138" s="362"/>
      <c r="AF1138" s="362"/>
      <c r="AG1138" s="362"/>
      <c r="AH1138" s="362"/>
      <c r="AI1138" s="360"/>
      <c r="AJ1138" s="360"/>
      <c r="AK1138" s="362"/>
      <c r="AL1138" s="362"/>
      <c r="AM1138" s="362"/>
      <c r="AN1138" s="362"/>
      <c r="AO1138" s="362"/>
      <c r="AP1138" s="362"/>
      <c r="AQ1138" s="362"/>
      <c r="AR1138" s="362"/>
    </row>
    <row r="1139" spans="1:44" ht="12" customHeight="1" x14ac:dyDescent="0.15">
      <c r="A1139" s="447"/>
      <c r="B1139" s="393"/>
      <c r="C1139" s="428"/>
      <c r="D1139" s="428"/>
      <c r="E1139" s="224"/>
      <c r="F1139" s="224"/>
      <c r="G1139" s="224"/>
      <c r="H1139" s="224"/>
      <c r="I1139" s="224"/>
      <c r="J1139" s="224"/>
      <c r="Z1139" s="362"/>
      <c r="AA1139" s="362"/>
      <c r="AB1139" s="362"/>
      <c r="AC1139" s="362"/>
      <c r="AD1139" s="362"/>
      <c r="AE1139" s="362"/>
      <c r="AF1139" s="362"/>
      <c r="AG1139" s="362"/>
      <c r="AH1139" s="362"/>
      <c r="AI1139" s="360"/>
      <c r="AJ1139" s="360"/>
      <c r="AK1139" s="362"/>
      <c r="AL1139" s="362"/>
      <c r="AM1139" s="362"/>
      <c r="AN1139" s="362"/>
      <c r="AO1139" s="362"/>
      <c r="AP1139" s="362"/>
      <c r="AQ1139" s="362"/>
      <c r="AR1139" s="362"/>
    </row>
    <row r="1140" spans="1:44" ht="12" customHeight="1" x14ac:dyDescent="0.15">
      <c r="A1140" s="447"/>
      <c r="B1140" s="393"/>
      <c r="C1140" s="428"/>
      <c r="D1140" s="428"/>
      <c r="E1140" s="224"/>
      <c r="F1140" s="224"/>
      <c r="G1140" s="224"/>
      <c r="H1140" s="224"/>
      <c r="I1140" s="224"/>
      <c r="J1140" s="224"/>
      <c r="Z1140" s="362"/>
      <c r="AA1140" s="362"/>
      <c r="AB1140" s="362"/>
      <c r="AC1140" s="362"/>
      <c r="AD1140" s="362"/>
      <c r="AE1140" s="362"/>
      <c r="AF1140" s="362"/>
      <c r="AG1140" s="362"/>
      <c r="AH1140" s="362"/>
      <c r="AI1140" s="360"/>
      <c r="AJ1140" s="360"/>
      <c r="AK1140" s="362"/>
      <c r="AL1140" s="362"/>
      <c r="AM1140" s="362"/>
      <c r="AN1140" s="362"/>
      <c r="AO1140" s="362"/>
      <c r="AP1140" s="362"/>
      <c r="AQ1140" s="362"/>
      <c r="AR1140" s="362"/>
    </row>
    <row r="1141" spans="1:44" ht="12" customHeight="1" x14ac:dyDescent="0.15">
      <c r="A1141" s="447"/>
      <c r="B1141" s="393"/>
      <c r="C1141" s="428"/>
      <c r="D1141" s="428"/>
      <c r="E1141" s="224"/>
      <c r="F1141" s="224"/>
      <c r="G1141" s="224"/>
      <c r="H1141" s="224"/>
      <c r="I1141" s="224"/>
      <c r="J1141" s="224"/>
      <c r="Z1141" s="362"/>
      <c r="AA1141" s="362"/>
      <c r="AB1141" s="362"/>
      <c r="AC1141" s="362"/>
      <c r="AD1141" s="362"/>
      <c r="AE1141" s="362"/>
      <c r="AF1141" s="362"/>
      <c r="AG1141" s="362"/>
      <c r="AH1141" s="362"/>
      <c r="AI1141" s="360"/>
      <c r="AJ1141" s="360"/>
      <c r="AK1141" s="362"/>
      <c r="AL1141" s="362"/>
      <c r="AM1141" s="362"/>
      <c r="AN1141" s="362"/>
      <c r="AO1141" s="362"/>
      <c r="AP1141" s="362"/>
      <c r="AQ1141" s="362"/>
      <c r="AR1141" s="362"/>
    </row>
    <row r="1142" spans="1:44" ht="12" customHeight="1" x14ac:dyDescent="0.15">
      <c r="A1142" s="447"/>
      <c r="B1142" s="393"/>
      <c r="C1142" s="428"/>
      <c r="D1142" s="428"/>
      <c r="E1142" s="224"/>
      <c r="F1142" s="224"/>
      <c r="G1142" s="224"/>
      <c r="H1142" s="224"/>
      <c r="I1142" s="224"/>
      <c r="J1142" s="224"/>
      <c r="Z1142" s="362"/>
      <c r="AA1142" s="362"/>
      <c r="AB1142" s="362"/>
      <c r="AC1142" s="362"/>
      <c r="AD1142" s="362"/>
      <c r="AE1142" s="362"/>
      <c r="AF1142" s="362"/>
      <c r="AG1142" s="362"/>
      <c r="AH1142" s="362"/>
      <c r="AI1142" s="360"/>
      <c r="AJ1142" s="360"/>
      <c r="AK1142" s="362"/>
      <c r="AL1142" s="362"/>
      <c r="AM1142" s="362"/>
      <c r="AN1142" s="362"/>
      <c r="AO1142" s="362"/>
      <c r="AP1142" s="362"/>
      <c r="AQ1142" s="362"/>
      <c r="AR1142" s="362"/>
    </row>
    <row r="1143" spans="1:44" ht="12" customHeight="1" x14ac:dyDescent="0.15">
      <c r="A1143" s="447"/>
      <c r="B1143" s="393"/>
      <c r="C1143" s="428"/>
      <c r="D1143" s="428"/>
      <c r="E1143" s="224"/>
      <c r="F1143" s="224"/>
      <c r="G1143" s="224"/>
      <c r="H1143" s="224"/>
      <c r="I1143" s="224"/>
      <c r="J1143" s="224"/>
      <c r="Z1143" s="362"/>
      <c r="AA1143" s="362"/>
      <c r="AB1143" s="362"/>
      <c r="AC1143" s="362"/>
      <c r="AD1143" s="362"/>
      <c r="AE1143" s="362"/>
      <c r="AF1143" s="362"/>
      <c r="AG1143" s="362"/>
      <c r="AH1143" s="362"/>
      <c r="AI1143" s="360"/>
      <c r="AJ1143" s="360"/>
      <c r="AK1143" s="362"/>
      <c r="AL1143" s="362"/>
      <c r="AM1143" s="362"/>
      <c r="AN1143" s="362"/>
      <c r="AO1143" s="362"/>
      <c r="AP1143" s="362"/>
      <c r="AQ1143" s="362"/>
      <c r="AR1143" s="362"/>
    </row>
    <row r="1144" spans="1:44" ht="12" customHeight="1" x14ac:dyDescent="0.15">
      <c r="A1144" s="447"/>
      <c r="B1144" s="393"/>
      <c r="C1144" s="428"/>
      <c r="D1144" s="428"/>
      <c r="E1144" s="224"/>
      <c r="F1144" s="224"/>
      <c r="G1144" s="224"/>
      <c r="H1144" s="224"/>
      <c r="I1144" s="224"/>
      <c r="J1144" s="224"/>
      <c r="Z1144" s="362"/>
      <c r="AA1144" s="362"/>
      <c r="AB1144" s="362"/>
      <c r="AC1144" s="362"/>
      <c r="AD1144" s="362"/>
      <c r="AE1144" s="362"/>
      <c r="AF1144" s="362"/>
      <c r="AG1144" s="362"/>
      <c r="AH1144" s="362"/>
      <c r="AI1144" s="360"/>
      <c r="AJ1144" s="360"/>
      <c r="AK1144" s="362"/>
      <c r="AL1144" s="362"/>
      <c r="AM1144" s="362"/>
      <c r="AN1144" s="362"/>
      <c r="AO1144" s="362"/>
      <c r="AP1144" s="362"/>
      <c r="AQ1144" s="362"/>
      <c r="AR1144" s="362"/>
    </row>
    <row r="1145" spans="1:44" ht="12" customHeight="1" x14ac:dyDescent="0.15">
      <c r="A1145" s="447"/>
      <c r="B1145" s="393"/>
      <c r="C1145" s="428"/>
      <c r="D1145" s="428"/>
      <c r="E1145" s="224"/>
      <c r="F1145" s="224"/>
      <c r="G1145" s="224"/>
      <c r="H1145" s="224"/>
      <c r="I1145" s="224"/>
      <c r="J1145" s="224"/>
      <c r="Z1145" s="362"/>
      <c r="AA1145" s="362"/>
      <c r="AB1145" s="362"/>
      <c r="AC1145" s="362"/>
      <c r="AD1145" s="362"/>
      <c r="AE1145" s="362"/>
      <c r="AF1145" s="362"/>
      <c r="AG1145" s="362"/>
      <c r="AH1145" s="362"/>
      <c r="AI1145" s="360"/>
      <c r="AJ1145" s="360"/>
      <c r="AK1145" s="362"/>
      <c r="AL1145" s="362"/>
      <c r="AM1145" s="362"/>
      <c r="AN1145" s="362"/>
      <c r="AO1145" s="362"/>
      <c r="AP1145" s="362"/>
      <c r="AQ1145" s="362"/>
      <c r="AR1145" s="362"/>
    </row>
    <row r="1146" spans="1:44" ht="12" customHeight="1" x14ac:dyDescent="0.15">
      <c r="A1146" s="447"/>
      <c r="B1146" s="393"/>
      <c r="C1146" s="428"/>
      <c r="D1146" s="428"/>
      <c r="E1146" s="224"/>
      <c r="F1146" s="224"/>
      <c r="G1146" s="224"/>
      <c r="H1146" s="224"/>
      <c r="I1146" s="224"/>
      <c r="J1146" s="224"/>
      <c r="Z1146" s="362"/>
      <c r="AA1146" s="362"/>
      <c r="AB1146" s="362"/>
      <c r="AC1146" s="362"/>
      <c r="AD1146" s="362"/>
      <c r="AE1146" s="362"/>
      <c r="AF1146" s="362"/>
      <c r="AG1146" s="362"/>
      <c r="AH1146" s="362"/>
      <c r="AI1146" s="360"/>
      <c r="AJ1146" s="360"/>
      <c r="AK1146" s="362"/>
      <c r="AL1146" s="362"/>
      <c r="AM1146" s="362"/>
      <c r="AN1146" s="362"/>
      <c r="AO1146" s="362"/>
      <c r="AP1146" s="362"/>
      <c r="AQ1146" s="362"/>
      <c r="AR1146" s="362"/>
    </row>
    <row r="1147" spans="1:44" ht="12" customHeight="1" x14ac:dyDescent="0.15">
      <c r="A1147" s="447"/>
      <c r="B1147" s="393"/>
      <c r="C1147" s="428"/>
      <c r="D1147" s="428"/>
      <c r="E1147" s="224"/>
      <c r="F1147" s="224"/>
      <c r="G1147" s="224"/>
      <c r="H1147" s="224"/>
      <c r="I1147" s="224"/>
      <c r="J1147" s="224"/>
      <c r="Z1147" s="362"/>
      <c r="AA1147" s="362"/>
      <c r="AB1147" s="362"/>
      <c r="AC1147" s="362"/>
      <c r="AD1147" s="362"/>
      <c r="AE1147" s="362"/>
      <c r="AF1147" s="362"/>
      <c r="AG1147" s="362"/>
      <c r="AH1147" s="362"/>
      <c r="AI1147" s="360"/>
      <c r="AJ1147" s="360"/>
      <c r="AK1147" s="362"/>
      <c r="AL1147" s="362"/>
      <c r="AM1147" s="362"/>
      <c r="AN1147" s="362"/>
      <c r="AO1147" s="362"/>
      <c r="AP1147" s="362"/>
      <c r="AQ1147" s="362"/>
      <c r="AR1147" s="362"/>
    </row>
    <row r="1148" spans="1:44" ht="12" customHeight="1" x14ac:dyDescent="0.15">
      <c r="A1148" s="447"/>
      <c r="B1148" s="393"/>
      <c r="C1148" s="428"/>
      <c r="D1148" s="428"/>
      <c r="E1148" s="224"/>
      <c r="F1148" s="224"/>
      <c r="G1148" s="224"/>
      <c r="H1148" s="224"/>
      <c r="I1148" s="224"/>
      <c r="J1148" s="224"/>
      <c r="Z1148" s="362"/>
      <c r="AA1148" s="362"/>
      <c r="AB1148" s="362"/>
      <c r="AC1148" s="362"/>
      <c r="AD1148" s="362"/>
      <c r="AE1148" s="362"/>
      <c r="AF1148" s="362"/>
      <c r="AG1148" s="362"/>
      <c r="AH1148" s="362"/>
      <c r="AI1148" s="360"/>
      <c r="AJ1148" s="360"/>
      <c r="AK1148" s="362"/>
      <c r="AL1148" s="362"/>
      <c r="AM1148" s="362"/>
      <c r="AN1148" s="362"/>
      <c r="AO1148" s="362"/>
      <c r="AP1148" s="362"/>
      <c r="AQ1148" s="362"/>
      <c r="AR1148" s="362"/>
    </row>
    <row r="1149" spans="1:44" ht="12" customHeight="1" x14ac:dyDescent="0.15">
      <c r="A1149" s="447"/>
      <c r="B1149" s="393"/>
      <c r="C1149" s="428"/>
      <c r="D1149" s="428"/>
      <c r="E1149" s="224"/>
      <c r="F1149" s="224"/>
      <c r="G1149" s="224"/>
      <c r="H1149" s="224"/>
      <c r="I1149" s="224"/>
      <c r="J1149" s="224"/>
      <c r="Z1149" s="362"/>
      <c r="AA1149" s="362"/>
      <c r="AB1149" s="362"/>
      <c r="AC1149" s="362"/>
      <c r="AD1149" s="362"/>
      <c r="AE1149" s="362"/>
      <c r="AF1149" s="362"/>
      <c r="AG1149" s="362"/>
      <c r="AH1149" s="362"/>
      <c r="AI1149" s="360"/>
      <c r="AJ1149" s="360"/>
      <c r="AK1149" s="362"/>
      <c r="AL1149" s="362"/>
      <c r="AM1149" s="362"/>
      <c r="AN1149" s="362"/>
      <c r="AO1149" s="362"/>
      <c r="AP1149" s="362"/>
      <c r="AQ1149" s="362"/>
      <c r="AR1149" s="362"/>
    </row>
    <row r="1150" spans="1:44" ht="12" customHeight="1" x14ac:dyDescent="0.15">
      <c r="A1150" s="447"/>
      <c r="B1150" s="393"/>
      <c r="C1150" s="428"/>
      <c r="D1150" s="428"/>
      <c r="E1150" s="224"/>
      <c r="F1150" s="224"/>
      <c r="G1150" s="224"/>
      <c r="H1150" s="224"/>
      <c r="I1150" s="224"/>
      <c r="J1150" s="224"/>
      <c r="Z1150" s="362"/>
      <c r="AA1150" s="362"/>
      <c r="AB1150" s="362"/>
      <c r="AC1150" s="362"/>
      <c r="AD1150" s="362"/>
      <c r="AE1150" s="362"/>
      <c r="AF1150" s="362"/>
      <c r="AG1150" s="362"/>
      <c r="AH1150" s="362"/>
      <c r="AI1150" s="360"/>
      <c r="AJ1150" s="360"/>
      <c r="AK1150" s="362"/>
      <c r="AL1150" s="362"/>
      <c r="AM1150" s="362"/>
      <c r="AN1150" s="362"/>
      <c r="AO1150" s="362"/>
      <c r="AP1150" s="362"/>
      <c r="AQ1150" s="362"/>
      <c r="AR1150" s="362"/>
    </row>
    <row r="1151" spans="1:44" ht="12" customHeight="1" x14ac:dyDescent="0.15">
      <c r="A1151" s="447"/>
      <c r="B1151" s="393"/>
      <c r="C1151" s="428"/>
      <c r="D1151" s="428"/>
      <c r="E1151" s="224"/>
      <c r="F1151" s="224"/>
      <c r="G1151" s="224"/>
      <c r="H1151" s="224"/>
      <c r="I1151" s="224"/>
      <c r="J1151" s="224"/>
      <c r="Z1151" s="362"/>
      <c r="AA1151" s="362"/>
      <c r="AB1151" s="362"/>
      <c r="AC1151" s="362"/>
      <c r="AD1151" s="362"/>
      <c r="AE1151" s="362"/>
      <c r="AF1151" s="362"/>
      <c r="AG1151" s="362"/>
      <c r="AH1151" s="362"/>
      <c r="AI1151" s="360"/>
      <c r="AJ1151" s="360"/>
      <c r="AK1151" s="362"/>
      <c r="AL1151" s="362"/>
      <c r="AM1151" s="362"/>
      <c r="AN1151" s="362"/>
      <c r="AO1151" s="362"/>
      <c r="AP1151" s="362"/>
      <c r="AQ1151" s="362"/>
      <c r="AR1151" s="362"/>
    </row>
    <row r="1152" spans="1:44" ht="12" customHeight="1" x14ac:dyDescent="0.15">
      <c r="A1152" s="447"/>
      <c r="B1152" s="393"/>
      <c r="C1152" s="428"/>
      <c r="D1152" s="428"/>
      <c r="E1152" s="224"/>
      <c r="F1152" s="224"/>
      <c r="G1152" s="224"/>
      <c r="H1152" s="224"/>
      <c r="I1152" s="224"/>
      <c r="J1152" s="224"/>
      <c r="Z1152" s="362"/>
      <c r="AA1152" s="362"/>
      <c r="AB1152" s="362"/>
      <c r="AC1152" s="362"/>
      <c r="AD1152" s="362"/>
      <c r="AE1152" s="362"/>
      <c r="AF1152" s="362"/>
      <c r="AG1152" s="362"/>
      <c r="AH1152" s="362"/>
      <c r="AI1152" s="360"/>
      <c r="AJ1152" s="360"/>
      <c r="AK1152" s="362"/>
      <c r="AL1152" s="362"/>
      <c r="AM1152" s="362"/>
      <c r="AN1152" s="362"/>
      <c r="AO1152" s="362"/>
      <c r="AP1152" s="362"/>
      <c r="AQ1152" s="362"/>
      <c r="AR1152" s="362"/>
    </row>
    <row r="1153" spans="1:44" ht="12" customHeight="1" x14ac:dyDescent="0.15">
      <c r="A1153" s="447"/>
      <c r="B1153" s="393"/>
      <c r="C1153" s="428"/>
      <c r="D1153" s="428"/>
      <c r="E1153" s="224"/>
      <c r="F1153" s="224"/>
      <c r="G1153" s="224"/>
      <c r="H1153" s="224"/>
      <c r="I1153" s="224"/>
      <c r="J1153" s="224"/>
      <c r="Z1153" s="362"/>
      <c r="AA1153" s="362"/>
      <c r="AB1153" s="362"/>
      <c r="AC1153" s="362"/>
      <c r="AD1153" s="362"/>
      <c r="AE1153" s="362"/>
      <c r="AF1153" s="362"/>
      <c r="AG1153" s="362"/>
      <c r="AH1153" s="362"/>
      <c r="AI1153" s="360"/>
      <c r="AJ1153" s="360"/>
      <c r="AK1153" s="362"/>
      <c r="AL1153" s="362"/>
      <c r="AM1153" s="362"/>
      <c r="AN1153" s="362"/>
      <c r="AO1153" s="362"/>
      <c r="AP1153" s="362"/>
      <c r="AQ1153" s="362"/>
      <c r="AR1153" s="362"/>
    </row>
    <row r="1154" spans="1:44" ht="12" customHeight="1" x14ac:dyDescent="0.15">
      <c r="A1154" s="447"/>
      <c r="B1154" s="393"/>
      <c r="C1154" s="428"/>
      <c r="D1154" s="428"/>
      <c r="E1154" s="224"/>
      <c r="F1154" s="224"/>
      <c r="G1154" s="224"/>
      <c r="H1154" s="224"/>
      <c r="I1154" s="224"/>
      <c r="J1154" s="224"/>
      <c r="Z1154" s="362"/>
      <c r="AA1154" s="362"/>
      <c r="AB1154" s="362"/>
      <c r="AC1154" s="362"/>
      <c r="AD1154" s="362"/>
      <c r="AE1154" s="362"/>
      <c r="AF1154" s="362"/>
      <c r="AG1154" s="362"/>
      <c r="AH1154" s="362"/>
      <c r="AI1154" s="360"/>
      <c r="AJ1154" s="360"/>
      <c r="AK1154" s="362"/>
      <c r="AL1154" s="362"/>
      <c r="AM1154" s="362"/>
      <c r="AN1154" s="362"/>
      <c r="AO1154" s="362"/>
      <c r="AP1154" s="362"/>
      <c r="AQ1154" s="362"/>
      <c r="AR1154" s="362"/>
    </row>
    <row r="1155" spans="1:44" ht="12" customHeight="1" x14ac:dyDescent="0.15">
      <c r="A1155" s="447"/>
      <c r="B1155" s="393"/>
      <c r="C1155" s="428"/>
      <c r="D1155" s="428"/>
      <c r="E1155" s="224"/>
      <c r="F1155" s="224"/>
      <c r="G1155" s="224"/>
      <c r="H1155" s="224"/>
      <c r="I1155" s="224"/>
      <c r="J1155" s="224"/>
      <c r="Z1155" s="362"/>
      <c r="AA1155" s="362"/>
      <c r="AB1155" s="362"/>
      <c r="AC1155" s="362"/>
      <c r="AD1155" s="362"/>
      <c r="AE1155" s="362"/>
      <c r="AF1155" s="362"/>
      <c r="AG1155" s="362"/>
      <c r="AH1155" s="362"/>
      <c r="AI1155" s="360"/>
      <c r="AJ1155" s="360"/>
      <c r="AK1155" s="362"/>
      <c r="AL1155" s="362"/>
      <c r="AM1155" s="362"/>
      <c r="AN1155" s="362"/>
      <c r="AO1155" s="362"/>
      <c r="AP1155" s="362"/>
      <c r="AQ1155" s="362"/>
      <c r="AR1155" s="362"/>
    </row>
    <row r="1156" spans="1:44" ht="12" customHeight="1" x14ac:dyDescent="0.15">
      <c r="A1156" s="447"/>
      <c r="B1156" s="393"/>
      <c r="C1156" s="428"/>
      <c r="D1156" s="428"/>
      <c r="E1156" s="224"/>
      <c r="F1156" s="224"/>
      <c r="G1156" s="224"/>
      <c r="H1156" s="224"/>
      <c r="I1156" s="224"/>
      <c r="J1156" s="224"/>
      <c r="Z1156" s="362"/>
      <c r="AA1156" s="362"/>
      <c r="AB1156" s="362"/>
      <c r="AC1156" s="362"/>
      <c r="AD1156" s="362"/>
      <c r="AE1156" s="362"/>
      <c r="AF1156" s="362"/>
      <c r="AG1156" s="362"/>
      <c r="AH1156" s="362"/>
      <c r="AI1156" s="360"/>
      <c r="AJ1156" s="360"/>
      <c r="AK1156" s="362"/>
      <c r="AL1156" s="362"/>
      <c r="AM1156" s="362"/>
      <c r="AN1156" s="362"/>
      <c r="AO1156" s="362"/>
      <c r="AP1156" s="362"/>
      <c r="AQ1156" s="362"/>
      <c r="AR1156" s="362"/>
    </row>
    <row r="1157" spans="1:44" ht="12" customHeight="1" x14ac:dyDescent="0.15">
      <c r="A1157" s="447"/>
      <c r="B1157" s="393"/>
      <c r="C1157" s="428"/>
      <c r="D1157" s="428"/>
      <c r="E1157" s="224"/>
      <c r="F1157" s="224"/>
      <c r="G1157" s="224"/>
      <c r="H1157" s="224"/>
      <c r="I1157" s="224"/>
      <c r="J1157" s="224"/>
      <c r="Z1157" s="362"/>
      <c r="AA1157" s="362"/>
      <c r="AB1157" s="362"/>
      <c r="AC1157" s="362"/>
      <c r="AD1157" s="362"/>
      <c r="AE1157" s="362"/>
      <c r="AF1157" s="362"/>
      <c r="AG1157" s="362"/>
      <c r="AH1157" s="362"/>
      <c r="AI1157" s="360"/>
      <c r="AJ1157" s="360"/>
      <c r="AK1157" s="362"/>
      <c r="AL1157" s="362"/>
      <c r="AM1157" s="362"/>
      <c r="AN1157" s="362"/>
      <c r="AO1157" s="362"/>
      <c r="AP1157" s="362"/>
      <c r="AQ1157" s="362"/>
      <c r="AR1157" s="362"/>
    </row>
    <row r="1158" spans="1:44" ht="12" customHeight="1" x14ac:dyDescent="0.15">
      <c r="A1158" s="447"/>
      <c r="B1158" s="393"/>
      <c r="C1158" s="428"/>
      <c r="D1158" s="428"/>
      <c r="E1158" s="224"/>
      <c r="F1158" s="224"/>
      <c r="G1158" s="224"/>
      <c r="H1158" s="224"/>
      <c r="I1158" s="224"/>
      <c r="J1158" s="224"/>
      <c r="Z1158" s="362"/>
      <c r="AA1158" s="362"/>
      <c r="AB1158" s="362"/>
      <c r="AC1158" s="362"/>
      <c r="AD1158" s="362"/>
      <c r="AE1158" s="362"/>
      <c r="AF1158" s="362"/>
      <c r="AG1158" s="362"/>
      <c r="AH1158" s="362"/>
      <c r="AI1158" s="360"/>
      <c r="AJ1158" s="360"/>
      <c r="AK1158" s="362"/>
      <c r="AL1158" s="362"/>
      <c r="AM1158" s="362"/>
      <c r="AN1158" s="362"/>
      <c r="AO1158" s="362"/>
      <c r="AP1158" s="362"/>
      <c r="AQ1158" s="362"/>
      <c r="AR1158" s="362"/>
    </row>
    <row r="1159" spans="1:44" ht="12" customHeight="1" x14ac:dyDescent="0.15">
      <c r="A1159" s="447"/>
      <c r="B1159" s="393"/>
      <c r="C1159" s="428"/>
      <c r="D1159" s="428"/>
      <c r="E1159" s="224"/>
      <c r="F1159" s="224"/>
      <c r="G1159" s="224"/>
      <c r="H1159" s="224"/>
      <c r="I1159" s="224"/>
      <c r="J1159" s="224"/>
      <c r="Z1159" s="362"/>
      <c r="AA1159" s="362"/>
      <c r="AB1159" s="362"/>
      <c r="AC1159" s="362"/>
      <c r="AD1159" s="362"/>
      <c r="AE1159" s="362"/>
      <c r="AF1159" s="362"/>
      <c r="AG1159" s="362"/>
      <c r="AH1159" s="362"/>
      <c r="AI1159" s="360"/>
      <c r="AJ1159" s="360"/>
      <c r="AK1159" s="362"/>
      <c r="AL1159" s="362"/>
      <c r="AM1159" s="362"/>
      <c r="AN1159" s="362"/>
      <c r="AO1159" s="362"/>
      <c r="AP1159" s="362"/>
      <c r="AQ1159" s="362"/>
      <c r="AR1159" s="362"/>
    </row>
    <row r="1160" spans="1:44" ht="12" customHeight="1" x14ac:dyDescent="0.15">
      <c r="A1160" s="447"/>
      <c r="B1160" s="393"/>
      <c r="C1160" s="428"/>
      <c r="D1160" s="428"/>
      <c r="E1160" s="224"/>
      <c r="F1160" s="224"/>
      <c r="G1160" s="224"/>
      <c r="H1160" s="224"/>
      <c r="I1160" s="224"/>
      <c r="J1160" s="224"/>
      <c r="Z1160" s="362"/>
      <c r="AA1160" s="362"/>
      <c r="AB1160" s="362"/>
      <c r="AC1160" s="362"/>
      <c r="AD1160" s="362"/>
      <c r="AE1160" s="362"/>
      <c r="AF1160" s="362"/>
      <c r="AG1160" s="362"/>
      <c r="AH1160" s="362"/>
      <c r="AI1160" s="360"/>
      <c r="AJ1160" s="360"/>
      <c r="AK1160" s="362"/>
      <c r="AL1160" s="362"/>
      <c r="AM1160" s="362"/>
      <c r="AN1160" s="362"/>
      <c r="AO1160" s="362"/>
      <c r="AP1160" s="362"/>
      <c r="AQ1160" s="362"/>
      <c r="AR1160" s="362"/>
    </row>
    <row r="1161" spans="1:44" ht="12" customHeight="1" x14ac:dyDescent="0.15">
      <c r="A1161" s="447"/>
      <c r="B1161" s="393"/>
      <c r="C1161" s="428"/>
      <c r="D1161" s="428"/>
      <c r="E1161" s="224"/>
      <c r="F1161" s="224"/>
      <c r="G1161" s="224"/>
      <c r="H1161" s="224"/>
      <c r="I1161" s="224"/>
      <c r="J1161" s="224"/>
      <c r="Z1161" s="362"/>
      <c r="AA1161" s="362"/>
      <c r="AB1161" s="362"/>
      <c r="AC1161" s="362"/>
      <c r="AD1161" s="362"/>
      <c r="AE1161" s="362"/>
      <c r="AF1161" s="362"/>
      <c r="AG1161" s="362"/>
      <c r="AH1161" s="362"/>
      <c r="AI1161" s="360"/>
      <c r="AJ1161" s="360"/>
      <c r="AK1161" s="362"/>
      <c r="AL1161" s="362"/>
      <c r="AM1161" s="362"/>
      <c r="AN1161" s="362"/>
      <c r="AO1161" s="362"/>
      <c r="AP1161" s="362"/>
      <c r="AQ1161" s="362"/>
      <c r="AR1161" s="362"/>
    </row>
    <row r="1162" spans="1:44" ht="12" customHeight="1" x14ac:dyDescent="0.15">
      <c r="A1162" s="447"/>
      <c r="B1162" s="393"/>
      <c r="C1162" s="428"/>
      <c r="D1162" s="428"/>
      <c r="E1162" s="224"/>
      <c r="F1162" s="224"/>
      <c r="G1162" s="224"/>
      <c r="H1162" s="224"/>
      <c r="I1162" s="224"/>
      <c r="J1162" s="224"/>
      <c r="Z1162" s="362"/>
      <c r="AA1162" s="362"/>
      <c r="AB1162" s="362"/>
      <c r="AC1162" s="362"/>
      <c r="AD1162" s="362"/>
      <c r="AE1162" s="362"/>
      <c r="AF1162" s="362"/>
      <c r="AG1162" s="362"/>
      <c r="AH1162" s="362"/>
      <c r="AI1162" s="360"/>
      <c r="AJ1162" s="360"/>
      <c r="AK1162" s="362"/>
      <c r="AL1162" s="362"/>
      <c r="AM1162" s="362"/>
      <c r="AN1162" s="362"/>
      <c r="AO1162" s="362"/>
      <c r="AP1162" s="362"/>
      <c r="AQ1162" s="362"/>
      <c r="AR1162" s="362"/>
    </row>
    <row r="1163" spans="1:44" ht="12" customHeight="1" x14ac:dyDescent="0.15">
      <c r="A1163" s="447"/>
      <c r="B1163" s="393"/>
      <c r="C1163" s="428"/>
      <c r="D1163" s="428"/>
      <c r="E1163" s="224"/>
      <c r="F1163" s="224"/>
      <c r="G1163" s="224"/>
      <c r="H1163" s="224"/>
      <c r="I1163" s="224"/>
      <c r="J1163" s="224"/>
      <c r="Z1163" s="362"/>
      <c r="AA1163" s="362"/>
      <c r="AB1163" s="362"/>
      <c r="AC1163" s="362"/>
      <c r="AD1163" s="362"/>
      <c r="AE1163" s="362"/>
      <c r="AF1163" s="362"/>
      <c r="AG1163" s="362"/>
      <c r="AH1163" s="362"/>
      <c r="AI1163" s="360"/>
      <c r="AJ1163" s="360"/>
      <c r="AK1163" s="362"/>
      <c r="AL1163" s="362"/>
      <c r="AM1163" s="362"/>
      <c r="AN1163" s="362"/>
      <c r="AO1163" s="362"/>
      <c r="AP1163" s="362"/>
      <c r="AQ1163" s="362"/>
      <c r="AR1163" s="362"/>
    </row>
    <row r="1164" spans="1:44" ht="12" customHeight="1" x14ac:dyDescent="0.15">
      <c r="A1164" s="447"/>
      <c r="B1164" s="393"/>
      <c r="C1164" s="428"/>
      <c r="D1164" s="428"/>
      <c r="E1164" s="224"/>
      <c r="F1164" s="224"/>
      <c r="G1164" s="224"/>
      <c r="H1164" s="224"/>
      <c r="I1164" s="224"/>
      <c r="J1164" s="224"/>
      <c r="Z1164" s="362"/>
      <c r="AA1164" s="362"/>
      <c r="AB1164" s="362"/>
      <c r="AC1164" s="362"/>
      <c r="AD1164" s="362"/>
      <c r="AE1164" s="362"/>
      <c r="AF1164" s="362"/>
      <c r="AG1164" s="362"/>
      <c r="AH1164" s="362"/>
      <c r="AI1164" s="360"/>
      <c r="AJ1164" s="360"/>
      <c r="AK1164" s="362"/>
      <c r="AL1164" s="362"/>
      <c r="AM1164" s="362"/>
      <c r="AN1164" s="362"/>
      <c r="AO1164" s="362"/>
      <c r="AP1164" s="362"/>
      <c r="AQ1164" s="362"/>
      <c r="AR1164" s="362"/>
    </row>
    <row r="1165" spans="1:44" ht="12" customHeight="1" x14ac:dyDescent="0.15">
      <c r="A1165" s="447"/>
      <c r="B1165" s="393"/>
      <c r="C1165" s="428"/>
      <c r="D1165" s="428"/>
      <c r="E1165" s="224"/>
      <c r="F1165" s="224"/>
      <c r="G1165" s="224"/>
      <c r="H1165" s="224"/>
      <c r="I1165" s="224"/>
      <c r="J1165" s="224"/>
      <c r="Z1165" s="362"/>
      <c r="AA1165" s="362"/>
      <c r="AB1165" s="362"/>
      <c r="AC1165" s="362"/>
      <c r="AD1165" s="362"/>
      <c r="AE1165" s="362"/>
      <c r="AF1165" s="362"/>
      <c r="AG1165" s="362"/>
      <c r="AH1165" s="362"/>
      <c r="AI1165" s="360"/>
      <c r="AJ1165" s="360"/>
      <c r="AK1165" s="362"/>
      <c r="AL1165" s="362"/>
      <c r="AM1165" s="362"/>
      <c r="AN1165" s="362"/>
      <c r="AO1165" s="362"/>
      <c r="AP1165" s="362"/>
      <c r="AQ1165" s="362"/>
      <c r="AR1165" s="362"/>
    </row>
    <row r="1166" spans="1:44" ht="12" customHeight="1" x14ac:dyDescent="0.15">
      <c r="A1166" s="447"/>
      <c r="B1166" s="393"/>
      <c r="C1166" s="428"/>
      <c r="D1166" s="428"/>
      <c r="E1166" s="224"/>
      <c r="F1166" s="224"/>
      <c r="G1166" s="224"/>
      <c r="H1166" s="224"/>
      <c r="I1166" s="224"/>
      <c r="J1166" s="224"/>
      <c r="Z1166" s="362"/>
      <c r="AA1166" s="362"/>
      <c r="AB1166" s="362"/>
      <c r="AC1166" s="362"/>
      <c r="AD1166" s="362"/>
      <c r="AE1166" s="362"/>
      <c r="AF1166" s="362"/>
      <c r="AG1166" s="362"/>
      <c r="AH1166" s="362"/>
      <c r="AI1166" s="360"/>
      <c r="AJ1166" s="360"/>
      <c r="AK1166" s="362"/>
      <c r="AL1166" s="362"/>
      <c r="AM1166" s="362"/>
      <c r="AN1166" s="362"/>
      <c r="AO1166" s="362"/>
      <c r="AP1166" s="362"/>
      <c r="AQ1166" s="362"/>
      <c r="AR1166" s="362"/>
    </row>
    <row r="1167" spans="1:44" ht="12" customHeight="1" x14ac:dyDescent="0.15">
      <c r="A1167" s="447"/>
      <c r="B1167" s="393"/>
      <c r="C1167" s="428"/>
      <c r="D1167" s="428"/>
      <c r="E1167" s="224"/>
      <c r="F1167" s="224"/>
      <c r="G1167" s="224"/>
      <c r="H1167" s="224"/>
      <c r="I1167" s="224"/>
      <c r="J1167" s="224"/>
      <c r="Z1167" s="362"/>
      <c r="AA1167" s="362"/>
      <c r="AB1167" s="362"/>
      <c r="AC1167" s="362"/>
      <c r="AD1167" s="362"/>
      <c r="AE1167" s="362"/>
      <c r="AF1167" s="362"/>
      <c r="AG1167" s="362"/>
      <c r="AH1167" s="362"/>
      <c r="AI1167" s="360"/>
      <c r="AJ1167" s="360"/>
      <c r="AK1167" s="362"/>
      <c r="AL1167" s="362"/>
      <c r="AM1167" s="362"/>
      <c r="AN1167" s="362"/>
      <c r="AO1167" s="362"/>
      <c r="AP1167" s="362"/>
      <c r="AQ1167" s="362"/>
      <c r="AR1167" s="362"/>
    </row>
    <row r="1168" spans="1:44" ht="12" customHeight="1" x14ac:dyDescent="0.15">
      <c r="A1168" s="447"/>
      <c r="B1168" s="393"/>
      <c r="C1168" s="428"/>
      <c r="D1168" s="428"/>
      <c r="E1168" s="224"/>
      <c r="F1168" s="224"/>
      <c r="G1168" s="224"/>
      <c r="H1168" s="224"/>
      <c r="I1168" s="224"/>
      <c r="J1168" s="224"/>
      <c r="Z1168" s="362"/>
      <c r="AA1168" s="362"/>
      <c r="AB1168" s="362"/>
      <c r="AC1168" s="362"/>
      <c r="AD1168" s="362"/>
      <c r="AE1168" s="362"/>
      <c r="AF1168" s="362"/>
      <c r="AG1168" s="362"/>
      <c r="AH1168" s="362"/>
      <c r="AI1168" s="360"/>
      <c r="AJ1168" s="360"/>
      <c r="AK1168" s="362"/>
      <c r="AL1168" s="362"/>
      <c r="AM1168" s="362"/>
      <c r="AN1168" s="362"/>
      <c r="AO1168" s="362"/>
      <c r="AP1168" s="362"/>
      <c r="AQ1168" s="362"/>
      <c r="AR1168" s="362"/>
    </row>
    <row r="1169" spans="1:44" ht="12" customHeight="1" x14ac:dyDescent="0.15">
      <c r="A1169" s="447"/>
      <c r="B1169" s="393"/>
      <c r="C1169" s="428"/>
      <c r="D1169" s="428"/>
      <c r="E1169" s="224"/>
      <c r="F1169" s="224"/>
      <c r="G1169" s="224"/>
      <c r="H1169" s="224"/>
      <c r="I1169" s="224"/>
      <c r="J1169" s="224"/>
      <c r="Z1169" s="362"/>
      <c r="AA1169" s="362"/>
      <c r="AB1169" s="362"/>
      <c r="AC1169" s="362"/>
      <c r="AD1169" s="362"/>
      <c r="AE1169" s="362"/>
      <c r="AF1169" s="362"/>
      <c r="AG1169" s="362"/>
      <c r="AH1169" s="362"/>
      <c r="AI1169" s="360"/>
      <c r="AJ1169" s="360"/>
      <c r="AK1169" s="362"/>
      <c r="AL1169" s="362"/>
      <c r="AM1169" s="362"/>
      <c r="AN1169" s="362"/>
      <c r="AO1169" s="362"/>
      <c r="AP1169" s="362"/>
      <c r="AQ1169" s="362"/>
      <c r="AR1169" s="362"/>
    </row>
    <row r="1170" spans="1:44" ht="12" customHeight="1" x14ac:dyDescent="0.15">
      <c r="A1170" s="447"/>
      <c r="B1170" s="393"/>
      <c r="C1170" s="428"/>
      <c r="D1170" s="428"/>
      <c r="E1170" s="224"/>
      <c r="F1170" s="224"/>
      <c r="G1170" s="224"/>
      <c r="H1170" s="224"/>
      <c r="I1170" s="224"/>
      <c r="J1170" s="224"/>
      <c r="Z1170" s="362"/>
      <c r="AA1170" s="362"/>
      <c r="AB1170" s="362"/>
      <c r="AC1170" s="362"/>
      <c r="AD1170" s="362"/>
      <c r="AE1170" s="362"/>
      <c r="AF1170" s="362"/>
      <c r="AG1170" s="362"/>
      <c r="AH1170" s="362"/>
      <c r="AI1170" s="360"/>
      <c r="AJ1170" s="360"/>
      <c r="AK1170" s="362"/>
      <c r="AL1170" s="362"/>
      <c r="AM1170" s="362"/>
      <c r="AN1170" s="362"/>
      <c r="AO1170" s="362"/>
      <c r="AP1170" s="362"/>
      <c r="AQ1170" s="362"/>
      <c r="AR1170" s="362"/>
    </row>
    <row r="1171" spans="1:44" ht="12" customHeight="1" x14ac:dyDescent="0.15">
      <c r="A1171" s="447"/>
      <c r="B1171" s="393"/>
      <c r="C1171" s="428"/>
      <c r="D1171" s="428"/>
      <c r="E1171" s="224"/>
      <c r="F1171" s="224"/>
      <c r="G1171" s="224"/>
      <c r="H1171" s="224"/>
      <c r="I1171" s="224"/>
      <c r="J1171" s="224"/>
      <c r="Z1171" s="362"/>
      <c r="AA1171" s="362"/>
      <c r="AB1171" s="362"/>
      <c r="AC1171" s="362"/>
      <c r="AD1171" s="362"/>
      <c r="AE1171" s="362"/>
      <c r="AF1171" s="362"/>
      <c r="AG1171" s="362"/>
      <c r="AH1171" s="362"/>
      <c r="AI1171" s="360"/>
      <c r="AJ1171" s="360"/>
      <c r="AK1171" s="362"/>
      <c r="AL1171" s="362"/>
      <c r="AM1171" s="362"/>
      <c r="AN1171" s="362"/>
      <c r="AO1171" s="362"/>
      <c r="AP1171" s="362"/>
      <c r="AQ1171" s="362"/>
      <c r="AR1171" s="362"/>
    </row>
    <row r="1172" spans="1:44" ht="12" customHeight="1" x14ac:dyDescent="0.15">
      <c r="A1172" s="447"/>
      <c r="B1172" s="393"/>
      <c r="C1172" s="428"/>
      <c r="D1172" s="428"/>
      <c r="E1172" s="224"/>
      <c r="F1172" s="224"/>
      <c r="G1172" s="224"/>
      <c r="H1172" s="224"/>
      <c r="I1172" s="224"/>
      <c r="J1172" s="224"/>
      <c r="Z1172" s="362"/>
      <c r="AA1172" s="362"/>
      <c r="AB1172" s="362"/>
      <c r="AC1172" s="362"/>
      <c r="AD1172" s="362"/>
      <c r="AE1172" s="362"/>
      <c r="AF1172" s="362"/>
      <c r="AG1172" s="362"/>
      <c r="AH1172" s="362"/>
      <c r="AI1172" s="360"/>
      <c r="AJ1172" s="360"/>
      <c r="AK1172" s="362"/>
      <c r="AL1172" s="362"/>
      <c r="AM1172" s="362"/>
      <c r="AN1172" s="362"/>
      <c r="AO1172" s="362"/>
      <c r="AP1172" s="362"/>
      <c r="AQ1172" s="362"/>
      <c r="AR1172" s="362"/>
    </row>
    <row r="1173" spans="1:44" ht="12" customHeight="1" x14ac:dyDescent="0.15">
      <c r="A1173" s="447"/>
      <c r="B1173" s="393"/>
      <c r="C1173" s="428"/>
      <c r="D1173" s="428"/>
      <c r="E1173" s="224"/>
      <c r="F1173" s="224"/>
      <c r="G1173" s="224"/>
      <c r="H1173" s="224"/>
      <c r="I1173" s="224"/>
      <c r="J1173" s="224"/>
      <c r="Z1173" s="362"/>
      <c r="AA1173" s="362"/>
      <c r="AB1173" s="362"/>
      <c r="AC1173" s="362"/>
      <c r="AD1173" s="362"/>
      <c r="AE1173" s="362"/>
      <c r="AF1173" s="362"/>
      <c r="AG1173" s="362"/>
      <c r="AH1173" s="362"/>
      <c r="AI1173" s="360"/>
      <c r="AJ1173" s="360"/>
      <c r="AK1173" s="362"/>
      <c r="AL1173" s="362"/>
      <c r="AM1173" s="362"/>
      <c r="AN1173" s="362"/>
      <c r="AO1173" s="362"/>
      <c r="AP1173" s="362"/>
      <c r="AQ1173" s="362"/>
      <c r="AR1173" s="362"/>
    </row>
    <row r="1174" spans="1:44" ht="12" customHeight="1" x14ac:dyDescent="0.15">
      <c r="A1174" s="447"/>
      <c r="B1174" s="393"/>
      <c r="C1174" s="428"/>
      <c r="D1174" s="428"/>
      <c r="E1174" s="224"/>
      <c r="F1174" s="224"/>
      <c r="G1174" s="224"/>
      <c r="H1174" s="224"/>
      <c r="I1174" s="224"/>
      <c r="J1174" s="224"/>
      <c r="Z1174" s="362"/>
      <c r="AA1174" s="362"/>
      <c r="AB1174" s="362"/>
      <c r="AC1174" s="362"/>
      <c r="AD1174" s="362"/>
      <c r="AE1174" s="362"/>
      <c r="AF1174" s="362"/>
      <c r="AG1174" s="362"/>
      <c r="AH1174" s="362"/>
      <c r="AI1174" s="360"/>
      <c r="AJ1174" s="360"/>
      <c r="AK1174" s="362"/>
      <c r="AL1174" s="362"/>
      <c r="AM1174" s="362"/>
      <c r="AN1174" s="362"/>
      <c r="AO1174" s="362"/>
      <c r="AP1174" s="362"/>
      <c r="AQ1174" s="362"/>
      <c r="AR1174" s="362"/>
    </row>
    <row r="1175" spans="1:44" ht="12" customHeight="1" x14ac:dyDescent="0.15">
      <c r="A1175" s="447"/>
      <c r="B1175" s="393"/>
      <c r="C1175" s="428"/>
      <c r="D1175" s="428"/>
      <c r="E1175" s="224"/>
      <c r="F1175" s="224"/>
      <c r="G1175" s="224"/>
      <c r="H1175" s="224"/>
      <c r="I1175" s="224"/>
      <c r="J1175" s="224"/>
      <c r="Z1175" s="362"/>
      <c r="AA1175" s="362"/>
      <c r="AB1175" s="362"/>
      <c r="AC1175" s="362"/>
      <c r="AD1175" s="362"/>
      <c r="AE1175" s="362"/>
      <c r="AF1175" s="362"/>
      <c r="AG1175" s="362"/>
      <c r="AH1175" s="362"/>
      <c r="AI1175" s="360"/>
      <c r="AJ1175" s="360"/>
      <c r="AK1175" s="362"/>
      <c r="AL1175" s="362"/>
      <c r="AM1175" s="362"/>
      <c r="AN1175" s="362"/>
      <c r="AO1175" s="362"/>
      <c r="AP1175" s="362"/>
      <c r="AQ1175" s="362"/>
      <c r="AR1175" s="362"/>
    </row>
    <row r="1176" spans="1:44" ht="12" customHeight="1" x14ac:dyDescent="0.15">
      <c r="A1176" s="447"/>
      <c r="B1176" s="393"/>
      <c r="C1176" s="428"/>
      <c r="D1176" s="428"/>
      <c r="E1176" s="224"/>
      <c r="F1176" s="224"/>
      <c r="G1176" s="224"/>
      <c r="H1176" s="224"/>
      <c r="I1176" s="224"/>
      <c r="J1176" s="224"/>
      <c r="Z1176" s="362"/>
      <c r="AA1176" s="362"/>
      <c r="AB1176" s="362"/>
      <c r="AC1176" s="362"/>
      <c r="AD1176" s="362"/>
      <c r="AE1176" s="362"/>
      <c r="AF1176" s="362"/>
      <c r="AG1176" s="362"/>
      <c r="AH1176" s="362"/>
      <c r="AI1176" s="360"/>
      <c r="AJ1176" s="360"/>
      <c r="AK1176" s="362"/>
      <c r="AL1176" s="362"/>
      <c r="AM1176" s="362"/>
      <c r="AN1176" s="362"/>
      <c r="AO1176" s="362"/>
      <c r="AP1176" s="362"/>
      <c r="AQ1176" s="362"/>
      <c r="AR1176" s="362"/>
    </row>
    <row r="1177" spans="1:44" ht="12" customHeight="1" x14ac:dyDescent="0.15">
      <c r="A1177" s="447"/>
      <c r="B1177" s="393"/>
      <c r="C1177" s="428"/>
      <c r="D1177" s="428"/>
      <c r="E1177" s="224"/>
      <c r="F1177" s="224"/>
      <c r="G1177" s="224"/>
      <c r="H1177" s="224"/>
      <c r="I1177" s="224"/>
      <c r="J1177" s="224"/>
      <c r="Z1177" s="362"/>
      <c r="AA1177" s="362"/>
      <c r="AB1177" s="362"/>
      <c r="AC1177" s="362"/>
      <c r="AD1177" s="362"/>
      <c r="AE1177" s="362"/>
      <c r="AF1177" s="362"/>
      <c r="AG1177" s="362"/>
      <c r="AH1177" s="362"/>
      <c r="AI1177" s="360"/>
      <c r="AJ1177" s="360"/>
      <c r="AK1177" s="362"/>
      <c r="AL1177" s="362"/>
      <c r="AM1177" s="362"/>
      <c r="AN1177" s="362"/>
      <c r="AO1177" s="362"/>
      <c r="AP1177" s="362"/>
      <c r="AQ1177" s="362"/>
      <c r="AR1177" s="362"/>
    </row>
    <row r="1178" spans="1:44" ht="12" customHeight="1" x14ac:dyDescent="0.15">
      <c r="A1178" s="447"/>
      <c r="B1178" s="393"/>
      <c r="C1178" s="428"/>
      <c r="D1178" s="428"/>
      <c r="E1178" s="224"/>
      <c r="F1178" s="224"/>
      <c r="G1178" s="224"/>
      <c r="H1178" s="224"/>
      <c r="I1178" s="224"/>
      <c r="J1178" s="224"/>
      <c r="Z1178" s="362"/>
      <c r="AA1178" s="362"/>
      <c r="AB1178" s="362"/>
      <c r="AC1178" s="362"/>
      <c r="AD1178" s="362"/>
      <c r="AE1178" s="362"/>
      <c r="AF1178" s="362"/>
      <c r="AG1178" s="362"/>
      <c r="AH1178" s="362"/>
      <c r="AI1178" s="360"/>
      <c r="AJ1178" s="360"/>
      <c r="AK1178" s="362"/>
      <c r="AL1178" s="362"/>
      <c r="AM1178" s="362"/>
      <c r="AN1178" s="362"/>
      <c r="AO1178" s="362"/>
      <c r="AP1178" s="362"/>
      <c r="AQ1178" s="362"/>
      <c r="AR1178" s="362"/>
    </row>
    <row r="1179" spans="1:44" ht="12" customHeight="1" x14ac:dyDescent="0.15">
      <c r="A1179" s="447"/>
      <c r="B1179" s="393"/>
      <c r="C1179" s="428"/>
      <c r="D1179" s="428"/>
      <c r="E1179" s="224"/>
      <c r="F1179" s="224"/>
      <c r="G1179" s="224"/>
      <c r="H1179" s="224"/>
      <c r="I1179" s="224"/>
      <c r="J1179" s="224"/>
      <c r="Z1179" s="362"/>
      <c r="AA1179" s="362"/>
      <c r="AB1179" s="362"/>
      <c r="AC1179" s="362"/>
      <c r="AD1179" s="362"/>
      <c r="AE1179" s="362"/>
      <c r="AF1179" s="362"/>
      <c r="AG1179" s="362"/>
      <c r="AH1179" s="362"/>
      <c r="AI1179" s="360"/>
      <c r="AJ1179" s="360"/>
      <c r="AK1179" s="362"/>
      <c r="AL1179" s="362"/>
      <c r="AM1179" s="362"/>
      <c r="AN1179" s="362"/>
      <c r="AO1179" s="362"/>
      <c r="AP1179" s="362"/>
      <c r="AQ1179" s="362"/>
      <c r="AR1179" s="362"/>
    </row>
    <row r="1180" spans="1:44" ht="12" customHeight="1" x14ac:dyDescent="0.15">
      <c r="A1180" s="447"/>
      <c r="B1180" s="393"/>
      <c r="C1180" s="428"/>
      <c r="D1180" s="428"/>
      <c r="E1180" s="224"/>
      <c r="F1180" s="224"/>
      <c r="G1180" s="224"/>
      <c r="H1180" s="224"/>
      <c r="I1180" s="224"/>
      <c r="J1180" s="224"/>
      <c r="Z1180" s="362"/>
      <c r="AA1180" s="362"/>
      <c r="AB1180" s="362"/>
      <c r="AC1180" s="362"/>
      <c r="AD1180" s="362"/>
      <c r="AE1180" s="362"/>
      <c r="AF1180" s="362"/>
      <c r="AG1180" s="362"/>
      <c r="AH1180" s="362"/>
      <c r="AI1180" s="360"/>
      <c r="AJ1180" s="360"/>
      <c r="AK1180" s="362"/>
      <c r="AL1180" s="362"/>
      <c r="AM1180" s="362"/>
      <c r="AN1180" s="362"/>
      <c r="AO1180" s="362"/>
      <c r="AP1180" s="362"/>
      <c r="AQ1180" s="362"/>
      <c r="AR1180" s="362"/>
    </row>
    <row r="1181" spans="1:44" ht="12" customHeight="1" x14ac:dyDescent="0.15">
      <c r="A1181" s="447"/>
      <c r="B1181" s="393"/>
      <c r="C1181" s="428"/>
      <c r="D1181" s="428"/>
      <c r="E1181" s="224"/>
      <c r="F1181" s="224"/>
      <c r="G1181" s="224"/>
      <c r="H1181" s="224"/>
      <c r="I1181" s="224"/>
      <c r="J1181" s="224"/>
      <c r="Z1181" s="362"/>
      <c r="AA1181" s="362"/>
      <c r="AB1181" s="362"/>
      <c r="AC1181" s="362"/>
      <c r="AD1181" s="362"/>
      <c r="AE1181" s="362"/>
      <c r="AF1181" s="362"/>
      <c r="AG1181" s="362"/>
      <c r="AH1181" s="362"/>
      <c r="AI1181" s="360"/>
      <c r="AJ1181" s="360"/>
      <c r="AK1181" s="362"/>
      <c r="AL1181" s="362"/>
      <c r="AM1181" s="362"/>
      <c r="AN1181" s="362"/>
      <c r="AO1181" s="362"/>
      <c r="AP1181" s="362"/>
      <c r="AQ1181" s="362"/>
      <c r="AR1181" s="362"/>
    </row>
    <row r="1182" spans="1:44" ht="12" customHeight="1" x14ac:dyDescent="0.15">
      <c r="A1182" s="447"/>
      <c r="B1182" s="393"/>
      <c r="C1182" s="428"/>
      <c r="D1182" s="428"/>
      <c r="E1182" s="224"/>
      <c r="F1182" s="224"/>
      <c r="G1182" s="224"/>
      <c r="H1182" s="224"/>
      <c r="I1182" s="224"/>
      <c r="J1182" s="224"/>
      <c r="Z1182" s="362"/>
      <c r="AA1182" s="362"/>
      <c r="AB1182" s="362"/>
      <c r="AC1182" s="362"/>
      <c r="AD1182" s="362"/>
      <c r="AE1182" s="362"/>
      <c r="AF1182" s="362"/>
      <c r="AG1182" s="362"/>
      <c r="AH1182" s="362"/>
      <c r="AI1182" s="360"/>
      <c r="AJ1182" s="360"/>
      <c r="AK1182" s="362"/>
      <c r="AL1182" s="362"/>
      <c r="AM1182" s="362"/>
      <c r="AN1182" s="362"/>
      <c r="AO1182" s="362"/>
      <c r="AP1182" s="362"/>
      <c r="AQ1182" s="362"/>
      <c r="AR1182" s="362"/>
    </row>
    <row r="1183" spans="1:44" ht="12" customHeight="1" x14ac:dyDescent="0.15">
      <c r="A1183" s="447"/>
      <c r="B1183" s="393"/>
      <c r="C1183" s="428"/>
      <c r="D1183" s="428"/>
      <c r="E1183" s="224"/>
      <c r="F1183" s="224"/>
      <c r="G1183" s="224"/>
      <c r="H1183" s="224"/>
      <c r="I1183" s="224"/>
      <c r="J1183" s="224"/>
      <c r="Z1183" s="362"/>
      <c r="AA1183" s="362"/>
      <c r="AB1183" s="362"/>
      <c r="AC1183" s="362"/>
      <c r="AD1183" s="362"/>
      <c r="AE1183" s="362"/>
      <c r="AF1183" s="362"/>
      <c r="AG1183" s="362"/>
      <c r="AH1183" s="362"/>
      <c r="AI1183" s="360"/>
      <c r="AJ1183" s="360"/>
      <c r="AK1183" s="362"/>
      <c r="AL1183" s="362"/>
      <c r="AM1183" s="362"/>
      <c r="AN1183" s="362"/>
      <c r="AO1183" s="362"/>
      <c r="AP1183" s="362"/>
      <c r="AQ1183" s="362"/>
      <c r="AR1183" s="362"/>
    </row>
    <row r="1184" spans="1:44" ht="12" customHeight="1" x14ac:dyDescent="0.15">
      <c r="A1184" s="447"/>
      <c r="B1184" s="393"/>
      <c r="C1184" s="428"/>
      <c r="D1184" s="428"/>
      <c r="E1184" s="224"/>
      <c r="F1184" s="224"/>
      <c r="G1184" s="224"/>
      <c r="H1184" s="224"/>
      <c r="I1184" s="224"/>
      <c r="J1184" s="224"/>
      <c r="Z1184" s="362"/>
      <c r="AA1184" s="362"/>
      <c r="AB1184" s="362"/>
      <c r="AC1184" s="362"/>
      <c r="AD1184" s="362"/>
      <c r="AE1184" s="362"/>
      <c r="AF1184" s="362"/>
      <c r="AG1184" s="362"/>
      <c r="AH1184" s="362"/>
      <c r="AI1184" s="360"/>
      <c r="AJ1184" s="360"/>
      <c r="AK1184" s="362"/>
      <c r="AL1184" s="362"/>
      <c r="AM1184" s="362"/>
      <c r="AN1184" s="362"/>
      <c r="AO1184" s="362"/>
      <c r="AP1184" s="362"/>
      <c r="AQ1184" s="362"/>
      <c r="AR1184" s="362"/>
    </row>
    <row r="1185" spans="1:44" ht="12" customHeight="1" x14ac:dyDescent="0.15">
      <c r="A1185" s="447"/>
      <c r="B1185" s="393"/>
      <c r="C1185" s="428"/>
      <c r="D1185" s="428"/>
      <c r="E1185" s="224"/>
      <c r="F1185" s="224"/>
      <c r="G1185" s="224"/>
      <c r="H1185" s="224"/>
      <c r="I1185" s="224"/>
      <c r="J1185" s="224"/>
      <c r="Z1185" s="362"/>
      <c r="AA1185" s="362"/>
      <c r="AB1185" s="362"/>
      <c r="AC1185" s="362"/>
      <c r="AD1185" s="362"/>
      <c r="AE1185" s="362"/>
      <c r="AF1185" s="362"/>
      <c r="AG1185" s="362"/>
      <c r="AH1185" s="362"/>
      <c r="AI1185" s="360"/>
      <c r="AJ1185" s="360"/>
      <c r="AK1185" s="362"/>
      <c r="AL1185" s="362"/>
      <c r="AM1185" s="362"/>
      <c r="AN1185" s="362"/>
      <c r="AO1185" s="362"/>
      <c r="AP1185" s="362"/>
      <c r="AQ1185" s="362"/>
      <c r="AR1185" s="362"/>
    </row>
    <row r="1186" spans="1:44" ht="12" customHeight="1" x14ac:dyDescent="0.15">
      <c r="A1186" s="447"/>
      <c r="B1186" s="393"/>
      <c r="C1186" s="428"/>
      <c r="D1186" s="428"/>
      <c r="E1186" s="224"/>
      <c r="F1186" s="224"/>
      <c r="G1186" s="224"/>
      <c r="H1186" s="224"/>
      <c r="I1186" s="224"/>
      <c r="J1186" s="224"/>
      <c r="Z1186" s="362"/>
      <c r="AA1186" s="362"/>
      <c r="AB1186" s="362"/>
      <c r="AC1186" s="362"/>
      <c r="AD1186" s="362"/>
      <c r="AE1186" s="362"/>
      <c r="AF1186" s="362"/>
      <c r="AG1186" s="362"/>
      <c r="AH1186" s="362"/>
      <c r="AI1186" s="360"/>
      <c r="AJ1186" s="360"/>
      <c r="AK1186" s="362"/>
      <c r="AL1186" s="362"/>
      <c r="AM1186" s="362"/>
      <c r="AN1186" s="362"/>
      <c r="AO1186" s="362"/>
      <c r="AP1186" s="362"/>
      <c r="AQ1186" s="362"/>
      <c r="AR1186" s="362"/>
    </row>
    <row r="1187" spans="1:44" ht="12" customHeight="1" x14ac:dyDescent="0.15">
      <c r="A1187" s="447"/>
      <c r="B1187" s="393"/>
      <c r="C1187" s="428"/>
      <c r="D1187" s="428"/>
      <c r="E1187" s="224"/>
      <c r="F1187" s="224"/>
      <c r="G1187" s="224"/>
      <c r="H1187" s="224"/>
      <c r="I1187" s="224"/>
      <c r="J1187" s="224"/>
      <c r="Z1187" s="362"/>
      <c r="AA1187" s="362"/>
      <c r="AB1187" s="362"/>
      <c r="AC1187" s="362"/>
      <c r="AD1187" s="362"/>
      <c r="AE1187" s="362"/>
      <c r="AF1187" s="362"/>
      <c r="AG1187" s="362"/>
      <c r="AH1187" s="362"/>
      <c r="AI1187" s="360"/>
      <c r="AJ1187" s="360"/>
      <c r="AK1187" s="362"/>
      <c r="AL1187" s="362"/>
      <c r="AM1187" s="362"/>
      <c r="AN1187" s="362"/>
      <c r="AO1187" s="362"/>
      <c r="AP1187" s="362"/>
      <c r="AQ1187" s="362"/>
      <c r="AR1187" s="362"/>
    </row>
    <row r="1188" spans="1:44" ht="12" customHeight="1" x14ac:dyDescent="0.15">
      <c r="A1188" s="447"/>
      <c r="B1188" s="393"/>
      <c r="C1188" s="428"/>
      <c r="D1188" s="428"/>
      <c r="E1188" s="224"/>
      <c r="F1188" s="224"/>
      <c r="G1188" s="224"/>
      <c r="H1188" s="224"/>
      <c r="I1188" s="224"/>
      <c r="J1188" s="224"/>
      <c r="Z1188" s="362"/>
      <c r="AA1188" s="362"/>
      <c r="AB1188" s="362"/>
      <c r="AC1188" s="362"/>
      <c r="AD1188" s="362"/>
      <c r="AE1188" s="362"/>
      <c r="AF1188" s="362"/>
      <c r="AG1188" s="362"/>
      <c r="AH1188" s="362"/>
      <c r="AI1188" s="360"/>
      <c r="AJ1188" s="360"/>
      <c r="AK1188" s="362"/>
      <c r="AL1188" s="362"/>
      <c r="AM1188" s="362"/>
      <c r="AN1188" s="362"/>
      <c r="AO1188" s="362"/>
      <c r="AP1188" s="362"/>
      <c r="AQ1188" s="362"/>
      <c r="AR1188" s="362"/>
    </row>
    <row r="1189" spans="1:44" ht="12" customHeight="1" x14ac:dyDescent="0.15">
      <c r="A1189" s="447"/>
      <c r="B1189" s="393"/>
      <c r="C1189" s="428"/>
      <c r="D1189" s="428"/>
      <c r="E1189" s="224"/>
      <c r="F1189" s="224"/>
      <c r="G1189" s="224"/>
      <c r="H1189" s="224"/>
      <c r="I1189" s="224"/>
      <c r="J1189" s="224"/>
      <c r="Z1189" s="362"/>
      <c r="AA1189" s="362"/>
      <c r="AB1189" s="362"/>
      <c r="AC1189" s="362"/>
      <c r="AD1189" s="362"/>
      <c r="AE1189" s="362"/>
      <c r="AF1189" s="362"/>
      <c r="AG1189" s="362"/>
      <c r="AH1189" s="362"/>
      <c r="AI1189" s="360"/>
      <c r="AJ1189" s="360"/>
      <c r="AK1189" s="362"/>
      <c r="AL1189" s="362"/>
      <c r="AM1189" s="362"/>
      <c r="AN1189" s="362"/>
      <c r="AO1189" s="362"/>
      <c r="AP1189" s="362"/>
      <c r="AQ1189" s="362"/>
      <c r="AR1189" s="362"/>
    </row>
    <row r="1190" spans="1:44" ht="12" customHeight="1" x14ac:dyDescent="0.15">
      <c r="A1190" s="447"/>
      <c r="B1190" s="393"/>
      <c r="C1190" s="428"/>
      <c r="D1190" s="428"/>
      <c r="E1190" s="224"/>
      <c r="F1190" s="224"/>
      <c r="G1190" s="224"/>
      <c r="H1190" s="224"/>
      <c r="I1190" s="224"/>
      <c r="J1190" s="224"/>
      <c r="Z1190" s="362"/>
      <c r="AA1190" s="362"/>
      <c r="AB1190" s="362"/>
      <c r="AC1190" s="362"/>
      <c r="AD1190" s="362"/>
      <c r="AE1190" s="362"/>
      <c r="AF1190" s="362"/>
      <c r="AG1190" s="362"/>
      <c r="AH1190" s="362"/>
      <c r="AI1190" s="360"/>
      <c r="AJ1190" s="360"/>
      <c r="AK1190" s="362"/>
      <c r="AL1190" s="362"/>
      <c r="AM1190" s="362"/>
      <c r="AN1190" s="362"/>
      <c r="AO1190" s="362"/>
      <c r="AP1190" s="362"/>
      <c r="AQ1190" s="362"/>
      <c r="AR1190" s="362"/>
    </row>
    <row r="1191" spans="1:44" ht="12" customHeight="1" x14ac:dyDescent="0.15">
      <c r="A1191" s="447"/>
      <c r="B1191" s="393"/>
      <c r="C1191" s="428"/>
      <c r="D1191" s="428"/>
      <c r="E1191" s="224"/>
      <c r="F1191" s="224"/>
      <c r="G1191" s="224"/>
      <c r="H1191" s="224"/>
      <c r="I1191" s="224"/>
      <c r="J1191" s="224"/>
      <c r="Z1191" s="362"/>
      <c r="AA1191" s="362"/>
      <c r="AB1191" s="362"/>
      <c r="AC1191" s="362"/>
      <c r="AD1191" s="362"/>
      <c r="AE1191" s="362"/>
      <c r="AF1191" s="362"/>
      <c r="AG1191" s="362"/>
      <c r="AH1191" s="362"/>
      <c r="AI1191" s="360"/>
      <c r="AJ1191" s="360"/>
      <c r="AK1191" s="362"/>
      <c r="AL1191" s="362"/>
      <c r="AM1191" s="362"/>
      <c r="AN1191" s="362"/>
      <c r="AO1191" s="362"/>
      <c r="AP1191" s="362"/>
      <c r="AQ1191" s="362"/>
      <c r="AR1191" s="362"/>
    </row>
    <row r="1192" spans="1:44" ht="12" customHeight="1" x14ac:dyDescent="0.15">
      <c r="A1192" s="447"/>
      <c r="B1192" s="393"/>
      <c r="C1192" s="428"/>
      <c r="D1192" s="428"/>
      <c r="E1192" s="224"/>
      <c r="F1192" s="224"/>
      <c r="G1192" s="224"/>
      <c r="H1192" s="224"/>
      <c r="I1192" s="224"/>
      <c r="J1192" s="224"/>
      <c r="Z1192" s="362"/>
      <c r="AA1192" s="362"/>
      <c r="AB1192" s="362"/>
      <c r="AC1192" s="362"/>
      <c r="AD1192" s="362"/>
      <c r="AE1192" s="362"/>
      <c r="AF1192" s="362"/>
      <c r="AG1192" s="362"/>
      <c r="AH1192" s="362"/>
      <c r="AI1192" s="360"/>
      <c r="AJ1192" s="360"/>
      <c r="AK1192" s="362"/>
      <c r="AL1192" s="362"/>
      <c r="AM1192" s="362"/>
      <c r="AN1192" s="362"/>
      <c r="AO1192" s="362"/>
      <c r="AP1192" s="362"/>
      <c r="AQ1192" s="362"/>
      <c r="AR1192" s="362"/>
    </row>
    <row r="1193" spans="1:44" ht="12" customHeight="1" x14ac:dyDescent="0.15">
      <c r="A1193" s="447"/>
      <c r="B1193" s="393"/>
      <c r="C1193" s="428"/>
      <c r="D1193" s="428"/>
      <c r="E1193" s="224"/>
      <c r="F1193" s="224"/>
      <c r="G1193" s="224"/>
      <c r="H1193" s="224"/>
      <c r="I1193" s="224"/>
      <c r="J1193" s="224"/>
      <c r="Z1193" s="362"/>
      <c r="AA1193" s="362"/>
      <c r="AB1193" s="362"/>
      <c r="AC1193" s="362"/>
      <c r="AD1193" s="362"/>
      <c r="AE1193" s="362"/>
      <c r="AF1193" s="362"/>
      <c r="AG1193" s="362"/>
      <c r="AH1193" s="362"/>
      <c r="AI1193" s="360"/>
      <c r="AJ1193" s="360"/>
      <c r="AK1193" s="362"/>
      <c r="AL1193" s="362"/>
      <c r="AM1193" s="362"/>
      <c r="AN1193" s="362"/>
      <c r="AO1193" s="362"/>
      <c r="AP1193" s="362"/>
      <c r="AQ1193" s="362"/>
      <c r="AR1193" s="362"/>
    </row>
    <row r="1194" spans="1:44" ht="12" customHeight="1" x14ac:dyDescent="0.15">
      <c r="A1194" s="447"/>
      <c r="B1194" s="393"/>
      <c r="C1194" s="428"/>
      <c r="D1194" s="428"/>
      <c r="E1194" s="224"/>
      <c r="F1194" s="224"/>
      <c r="G1194" s="224"/>
      <c r="H1194" s="224"/>
      <c r="I1194" s="224"/>
      <c r="J1194" s="224"/>
      <c r="Z1194" s="362"/>
      <c r="AA1194" s="362"/>
      <c r="AB1194" s="362"/>
      <c r="AC1194" s="362"/>
      <c r="AD1194" s="362"/>
      <c r="AE1194" s="362"/>
      <c r="AF1194" s="362"/>
      <c r="AG1194" s="362"/>
      <c r="AH1194" s="362"/>
      <c r="AI1194" s="360"/>
      <c r="AJ1194" s="360"/>
      <c r="AK1194" s="362"/>
      <c r="AL1194" s="362"/>
      <c r="AM1194" s="362"/>
      <c r="AN1194" s="362"/>
      <c r="AO1194" s="362"/>
      <c r="AP1194" s="362"/>
      <c r="AQ1194" s="362"/>
      <c r="AR1194" s="362"/>
    </row>
    <row r="1195" spans="1:44" ht="12" customHeight="1" x14ac:dyDescent="0.15">
      <c r="A1195" s="447"/>
      <c r="B1195" s="393"/>
      <c r="C1195" s="428"/>
      <c r="D1195" s="428"/>
      <c r="E1195" s="224"/>
      <c r="F1195" s="224"/>
      <c r="G1195" s="224"/>
      <c r="H1195" s="224"/>
      <c r="I1195" s="224"/>
      <c r="J1195" s="224"/>
      <c r="Z1195" s="362"/>
      <c r="AA1195" s="362"/>
      <c r="AB1195" s="362"/>
      <c r="AC1195" s="362"/>
      <c r="AD1195" s="362"/>
      <c r="AE1195" s="362"/>
      <c r="AF1195" s="362"/>
      <c r="AG1195" s="362"/>
      <c r="AH1195" s="362"/>
      <c r="AI1195" s="360"/>
      <c r="AJ1195" s="360"/>
      <c r="AK1195" s="362"/>
      <c r="AL1195" s="362"/>
      <c r="AM1195" s="362"/>
      <c r="AN1195" s="362"/>
      <c r="AO1195" s="362"/>
      <c r="AP1195" s="362"/>
      <c r="AQ1195" s="362"/>
      <c r="AR1195" s="362"/>
    </row>
    <row r="1196" spans="1:44" ht="12" customHeight="1" x14ac:dyDescent="0.15">
      <c r="A1196" s="447"/>
      <c r="B1196" s="393"/>
      <c r="C1196" s="428"/>
      <c r="D1196" s="428"/>
      <c r="E1196" s="224"/>
      <c r="F1196" s="224"/>
      <c r="G1196" s="224"/>
      <c r="H1196" s="224"/>
      <c r="I1196" s="224"/>
      <c r="J1196" s="224"/>
      <c r="Z1196" s="362"/>
      <c r="AA1196" s="362"/>
      <c r="AB1196" s="362"/>
      <c r="AC1196" s="362"/>
      <c r="AD1196" s="362"/>
      <c r="AE1196" s="362"/>
      <c r="AF1196" s="362"/>
      <c r="AG1196" s="362"/>
      <c r="AH1196" s="362"/>
      <c r="AI1196" s="360"/>
      <c r="AJ1196" s="360"/>
      <c r="AK1196" s="362"/>
      <c r="AL1196" s="362"/>
      <c r="AM1196" s="362"/>
      <c r="AN1196" s="362"/>
      <c r="AO1196" s="362"/>
      <c r="AP1196" s="362"/>
      <c r="AQ1196" s="362"/>
      <c r="AR1196" s="362"/>
    </row>
    <row r="1197" spans="1:44" ht="12" customHeight="1" x14ac:dyDescent="0.15">
      <c r="A1197" s="447"/>
      <c r="B1197" s="393"/>
      <c r="C1197" s="428"/>
      <c r="D1197" s="428"/>
      <c r="E1197" s="224"/>
      <c r="F1197" s="224"/>
      <c r="G1197" s="224"/>
      <c r="H1197" s="224"/>
      <c r="I1197" s="224"/>
      <c r="J1197" s="224"/>
      <c r="Z1197" s="362"/>
      <c r="AA1197" s="362"/>
      <c r="AB1197" s="362"/>
      <c r="AC1197" s="362"/>
      <c r="AD1197" s="362"/>
      <c r="AE1197" s="362"/>
      <c r="AF1197" s="362"/>
      <c r="AG1197" s="362"/>
      <c r="AH1197" s="362"/>
      <c r="AI1197" s="360"/>
      <c r="AJ1197" s="360"/>
      <c r="AK1197" s="362"/>
      <c r="AL1197" s="362"/>
      <c r="AM1197" s="362"/>
      <c r="AN1197" s="362"/>
      <c r="AO1197" s="362"/>
      <c r="AP1197" s="362"/>
      <c r="AQ1197" s="362"/>
      <c r="AR1197" s="362"/>
    </row>
    <row r="1198" spans="1:44" ht="12" customHeight="1" x14ac:dyDescent="0.15">
      <c r="A1198" s="447"/>
      <c r="B1198" s="393"/>
      <c r="C1198" s="428"/>
      <c r="D1198" s="428"/>
      <c r="E1198" s="224"/>
      <c r="F1198" s="224"/>
      <c r="G1198" s="224"/>
      <c r="H1198" s="224"/>
      <c r="I1198" s="224"/>
      <c r="J1198" s="224"/>
      <c r="Z1198" s="362"/>
      <c r="AA1198" s="362"/>
      <c r="AB1198" s="362"/>
      <c r="AC1198" s="362"/>
      <c r="AD1198" s="362"/>
      <c r="AE1198" s="362"/>
      <c r="AF1198" s="362"/>
      <c r="AG1198" s="362"/>
      <c r="AH1198" s="362"/>
      <c r="AI1198" s="360"/>
      <c r="AJ1198" s="360"/>
      <c r="AK1198" s="362"/>
      <c r="AL1198" s="362"/>
      <c r="AM1198" s="362"/>
      <c r="AN1198" s="362"/>
      <c r="AO1198" s="362"/>
      <c r="AP1198" s="362"/>
      <c r="AQ1198" s="362"/>
      <c r="AR1198" s="362"/>
    </row>
    <row r="1199" spans="1:44" ht="12" customHeight="1" x14ac:dyDescent="0.15">
      <c r="A1199" s="447"/>
      <c r="B1199" s="393"/>
      <c r="C1199" s="428"/>
      <c r="D1199" s="428"/>
      <c r="E1199" s="224"/>
      <c r="F1199" s="224"/>
      <c r="G1199" s="224"/>
      <c r="H1199" s="224"/>
      <c r="I1199" s="224"/>
      <c r="J1199" s="224"/>
      <c r="Z1199" s="362"/>
      <c r="AA1199" s="362"/>
      <c r="AB1199" s="362"/>
      <c r="AC1199" s="362"/>
      <c r="AD1199" s="362"/>
      <c r="AE1199" s="362"/>
      <c r="AF1199" s="362"/>
      <c r="AG1199" s="362"/>
      <c r="AH1199" s="362"/>
      <c r="AI1199" s="360"/>
      <c r="AJ1199" s="360"/>
      <c r="AK1199" s="362"/>
      <c r="AL1199" s="362"/>
      <c r="AM1199" s="362"/>
      <c r="AN1199" s="362"/>
      <c r="AO1199" s="362"/>
      <c r="AP1199" s="362"/>
      <c r="AQ1199" s="362"/>
      <c r="AR1199" s="362"/>
    </row>
    <row r="1200" spans="1:44" ht="12" customHeight="1" x14ac:dyDescent="0.15">
      <c r="A1200" s="447"/>
      <c r="B1200" s="393"/>
      <c r="C1200" s="428"/>
      <c r="D1200" s="428"/>
      <c r="E1200" s="224"/>
      <c r="F1200" s="224"/>
      <c r="G1200" s="224"/>
      <c r="H1200" s="224"/>
      <c r="I1200" s="224"/>
      <c r="J1200" s="224"/>
      <c r="Z1200" s="362"/>
      <c r="AA1200" s="362"/>
      <c r="AB1200" s="362"/>
      <c r="AC1200" s="362"/>
      <c r="AD1200" s="362"/>
      <c r="AE1200" s="362"/>
      <c r="AF1200" s="362"/>
      <c r="AG1200" s="362"/>
      <c r="AH1200" s="362"/>
      <c r="AI1200" s="360"/>
      <c r="AJ1200" s="360"/>
      <c r="AK1200" s="362"/>
      <c r="AL1200" s="362"/>
      <c r="AM1200" s="362"/>
      <c r="AN1200" s="362"/>
      <c r="AO1200" s="362"/>
      <c r="AP1200" s="362"/>
      <c r="AQ1200" s="362"/>
      <c r="AR1200" s="362"/>
    </row>
    <row r="1201" spans="1:44" ht="12" customHeight="1" x14ac:dyDescent="0.15">
      <c r="A1201" s="447"/>
      <c r="B1201" s="393"/>
      <c r="C1201" s="428"/>
      <c r="D1201" s="428"/>
      <c r="E1201" s="224"/>
      <c r="F1201" s="224"/>
      <c r="G1201" s="224"/>
      <c r="H1201" s="224"/>
      <c r="I1201" s="224"/>
      <c r="J1201" s="224"/>
      <c r="Z1201" s="362"/>
      <c r="AA1201" s="362"/>
      <c r="AB1201" s="362"/>
      <c r="AC1201" s="362"/>
      <c r="AD1201" s="362"/>
      <c r="AE1201" s="362"/>
      <c r="AF1201" s="362"/>
      <c r="AG1201" s="362"/>
      <c r="AH1201" s="362"/>
      <c r="AI1201" s="360"/>
      <c r="AJ1201" s="360"/>
      <c r="AK1201" s="362"/>
      <c r="AL1201" s="362"/>
      <c r="AM1201" s="362"/>
      <c r="AN1201" s="362"/>
      <c r="AO1201" s="362"/>
      <c r="AP1201" s="362"/>
      <c r="AQ1201" s="362"/>
      <c r="AR1201" s="362"/>
    </row>
    <row r="1202" spans="1:44" ht="12" customHeight="1" x14ac:dyDescent="0.15">
      <c r="A1202" s="447"/>
      <c r="B1202" s="393"/>
      <c r="C1202" s="428"/>
      <c r="D1202" s="428"/>
      <c r="E1202" s="224"/>
      <c r="F1202" s="224"/>
      <c r="G1202" s="224"/>
      <c r="H1202" s="224"/>
      <c r="I1202" s="224"/>
      <c r="J1202" s="224"/>
      <c r="Z1202" s="362"/>
      <c r="AA1202" s="362"/>
      <c r="AB1202" s="362"/>
      <c r="AC1202" s="362"/>
      <c r="AD1202" s="362"/>
      <c r="AE1202" s="362"/>
      <c r="AF1202" s="362"/>
      <c r="AG1202" s="362"/>
      <c r="AH1202" s="362"/>
      <c r="AI1202" s="360"/>
      <c r="AJ1202" s="360"/>
      <c r="AK1202" s="362"/>
      <c r="AL1202" s="362"/>
      <c r="AM1202" s="362"/>
      <c r="AN1202" s="362"/>
      <c r="AO1202" s="362"/>
      <c r="AP1202" s="362"/>
      <c r="AQ1202" s="362"/>
      <c r="AR1202" s="362"/>
    </row>
    <row r="1203" spans="1:44" ht="12" customHeight="1" x14ac:dyDescent="0.15">
      <c r="A1203" s="447"/>
      <c r="B1203" s="393"/>
      <c r="C1203" s="428"/>
      <c r="D1203" s="428"/>
      <c r="E1203" s="224"/>
      <c r="F1203" s="224"/>
      <c r="G1203" s="224"/>
      <c r="H1203" s="224"/>
      <c r="I1203" s="224"/>
      <c r="J1203" s="224"/>
      <c r="Z1203" s="362"/>
      <c r="AA1203" s="362"/>
      <c r="AB1203" s="362"/>
      <c r="AC1203" s="362"/>
      <c r="AD1203" s="362"/>
      <c r="AE1203" s="362"/>
      <c r="AF1203" s="362"/>
      <c r="AG1203" s="362"/>
      <c r="AH1203" s="362"/>
      <c r="AI1203" s="360"/>
      <c r="AJ1203" s="360"/>
      <c r="AK1203" s="362"/>
      <c r="AL1203" s="362"/>
      <c r="AM1203" s="362"/>
      <c r="AN1203" s="362"/>
      <c r="AO1203" s="362"/>
      <c r="AP1203" s="362"/>
      <c r="AQ1203" s="362"/>
      <c r="AR1203" s="362"/>
    </row>
    <row r="1204" spans="1:44" ht="12" customHeight="1" x14ac:dyDescent="0.15">
      <c r="A1204" s="447"/>
      <c r="B1204" s="393"/>
      <c r="C1204" s="428"/>
      <c r="D1204" s="428"/>
      <c r="E1204" s="224"/>
      <c r="F1204" s="224"/>
      <c r="G1204" s="224"/>
      <c r="H1204" s="224"/>
      <c r="I1204" s="224"/>
      <c r="J1204" s="224"/>
      <c r="Z1204" s="362"/>
      <c r="AA1204" s="362"/>
      <c r="AB1204" s="362"/>
      <c r="AC1204" s="362"/>
      <c r="AD1204" s="362"/>
      <c r="AE1204" s="362"/>
      <c r="AF1204" s="362"/>
      <c r="AG1204" s="362"/>
      <c r="AH1204" s="362"/>
      <c r="AI1204" s="360"/>
      <c r="AJ1204" s="360"/>
      <c r="AK1204" s="362"/>
      <c r="AL1204" s="362"/>
      <c r="AM1204" s="362"/>
      <c r="AN1204" s="362"/>
      <c r="AO1204" s="362"/>
      <c r="AP1204" s="362"/>
      <c r="AQ1204" s="362"/>
      <c r="AR1204" s="362"/>
    </row>
    <row r="1205" spans="1:44" ht="12" customHeight="1" x14ac:dyDescent="0.15">
      <c r="A1205" s="447"/>
      <c r="B1205" s="393"/>
      <c r="C1205" s="428"/>
      <c r="D1205" s="428"/>
      <c r="E1205" s="224"/>
      <c r="F1205" s="224"/>
      <c r="G1205" s="224"/>
      <c r="H1205" s="224"/>
      <c r="I1205" s="224"/>
      <c r="J1205" s="224"/>
      <c r="Z1205" s="362"/>
      <c r="AA1205" s="362"/>
      <c r="AB1205" s="362"/>
      <c r="AC1205" s="362"/>
      <c r="AD1205" s="362"/>
      <c r="AE1205" s="362"/>
      <c r="AF1205" s="362"/>
      <c r="AG1205" s="362"/>
      <c r="AH1205" s="362"/>
      <c r="AI1205" s="360"/>
      <c r="AJ1205" s="360"/>
      <c r="AK1205" s="362"/>
      <c r="AL1205" s="362"/>
      <c r="AM1205" s="362"/>
      <c r="AN1205" s="362"/>
      <c r="AO1205" s="362"/>
      <c r="AP1205" s="362"/>
      <c r="AQ1205" s="362"/>
      <c r="AR1205" s="362"/>
    </row>
    <row r="1206" spans="1:44" ht="12" customHeight="1" x14ac:dyDescent="0.15">
      <c r="A1206" s="447"/>
      <c r="B1206" s="393"/>
      <c r="C1206" s="428"/>
      <c r="D1206" s="428"/>
      <c r="E1206" s="224"/>
      <c r="F1206" s="224"/>
      <c r="G1206" s="224"/>
      <c r="H1206" s="224"/>
      <c r="I1206" s="224"/>
      <c r="J1206" s="224"/>
      <c r="Z1206" s="362"/>
      <c r="AA1206" s="362"/>
      <c r="AB1206" s="362"/>
      <c r="AC1206" s="362"/>
      <c r="AD1206" s="362"/>
      <c r="AE1206" s="362"/>
      <c r="AF1206" s="362"/>
      <c r="AG1206" s="362"/>
      <c r="AH1206" s="362"/>
      <c r="AI1206" s="360"/>
      <c r="AJ1206" s="360"/>
      <c r="AK1206" s="362"/>
      <c r="AL1206" s="362"/>
      <c r="AM1206" s="362"/>
      <c r="AN1206" s="362"/>
      <c r="AO1206" s="362"/>
      <c r="AP1206" s="362"/>
      <c r="AQ1206" s="362"/>
      <c r="AR1206" s="362"/>
    </row>
    <row r="1207" spans="1:44" ht="12" customHeight="1" x14ac:dyDescent="0.15">
      <c r="A1207" s="447"/>
      <c r="B1207" s="393"/>
      <c r="C1207" s="428"/>
      <c r="D1207" s="428"/>
      <c r="E1207" s="224"/>
      <c r="F1207" s="224"/>
      <c r="G1207" s="224"/>
      <c r="H1207" s="224"/>
      <c r="I1207" s="224"/>
      <c r="J1207" s="224"/>
      <c r="Z1207" s="362"/>
      <c r="AA1207" s="362"/>
      <c r="AB1207" s="362"/>
      <c r="AC1207" s="362"/>
      <c r="AD1207" s="362"/>
      <c r="AE1207" s="362"/>
      <c r="AF1207" s="362"/>
      <c r="AG1207" s="362"/>
      <c r="AH1207" s="362"/>
      <c r="AI1207" s="360"/>
      <c r="AJ1207" s="360"/>
      <c r="AK1207" s="362"/>
      <c r="AL1207" s="362"/>
      <c r="AM1207" s="362"/>
      <c r="AN1207" s="362"/>
      <c r="AO1207" s="362"/>
      <c r="AP1207" s="362"/>
      <c r="AQ1207" s="362"/>
      <c r="AR1207" s="362"/>
    </row>
    <row r="1208" spans="1:44" ht="12" customHeight="1" x14ac:dyDescent="0.15">
      <c r="A1208" s="447"/>
      <c r="B1208" s="393"/>
      <c r="C1208" s="428"/>
      <c r="D1208" s="428"/>
      <c r="E1208" s="224"/>
      <c r="F1208" s="224"/>
      <c r="G1208" s="224"/>
      <c r="H1208" s="224"/>
      <c r="I1208" s="224"/>
      <c r="J1208" s="224"/>
      <c r="Z1208" s="362"/>
      <c r="AA1208" s="362"/>
      <c r="AB1208" s="362"/>
      <c r="AC1208" s="362"/>
      <c r="AD1208" s="362"/>
      <c r="AE1208" s="362"/>
      <c r="AF1208" s="362"/>
      <c r="AG1208" s="362"/>
      <c r="AH1208" s="362"/>
      <c r="AI1208" s="360"/>
      <c r="AJ1208" s="360"/>
      <c r="AK1208" s="362"/>
      <c r="AL1208" s="362"/>
      <c r="AM1208" s="362"/>
      <c r="AN1208" s="362"/>
      <c r="AO1208" s="362"/>
      <c r="AP1208" s="362"/>
      <c r="AQ1208" s="362"/>
      <c r="AR1208" s="362"/>
    </row>
    <row r="1209" spans="1:44" ht="12" customHeight="1" x14ac:dyDescent="0.15">
      <c r="A1209" s="447"/>
      <c r="B1209" s="393"/>
      <c r="C1209" s="428"/>
      <c r="D1209" s="428"/>
      <c r="E1209" s="224"/>
      <c r="F1209" s="224"/>
      <c r="G1209" s="224"/>
      <c r="H1209" s="224"/>
      <c r="I1209" s="224"/>
      <c r="J1209" s="224"/>
      <c r="Z1209" s="362"/>
      <c r="AA1209" s="362"/>
      <c r="AB1209" s="362"/>
      <c r="AC1209" s="362"/>
      <c r="AD1209" s="362"/>
      <c r="AE1209" s="362"/>
      <c r="AF1209" s="362"/>
      <c r="AG1209" s="362"/>
      <c r="AH1209" s="362"/>
      <c r="AI1209" s="360"/>
      <c r="AJ1209" s="360"/>
      <c r="AK1209" s="362"/>
      <c r="AL1209" s="362"/>
      <c r="AM1209" s="362"/>
      <c r="AN1209" s="362"/>
      <c r="AO1209" s="362"/>
      <c r="AP1209" s="362"/>
      <c r="AQ1209" s="362"/>
      <c r="AR1209" s="362"/>
    </row>
    <row r="1210" spans="1:44" ht="12" customHeight="1" x14ac:dyDescent="0.15">
      <c r="A1210" s="447"/>
      <c r="B1210" s="393"/>
      <c r="C1210" s="428"/>
      <c r="D1210" s="428"/>
      <c r="E1210" s="224"/>
      <c r="F1210" s="224"/>
      <c r="G1210" s="224"/>
      <c r="H1210" s="224"/>
      <c r="I1210" s="224"/>
      <c r="J1210" s="224"/>
      <c r="Z1210" s="362"/>
      <c r="AA1210" s="362"/>
      <c r="AB1210" s="362"/>
      <c r="AC1210" s="362"/>
      <c r="AD1210" s="362"/>
      <c r="AE1210" s="362"/>
      <c r="AF1210" s="362"/>
      <c r="AG1210" s="362"/>
      <c r="AH1210" s="362"/>
      <c r="AI1210" s="360"/>
      <c r="AJ1210" s="360"/>
      <c r="AK1210" s="362"/>
      <c r="AL1210" s="362"/>
      <c r="AM1210" s="362"/>
      <c r="AN1210" s="362"/>
      <c r="AO1210" s="362"/>
      <c r="AP1210" s="362"/>
      <c r="AQ1210" s="362"/>
      <c r="AR1210" s="362"/>
    </row>
    <row r="1211" spans="1:44" ht="12" customHeight="1" x14ac:dyDescent="0.15">
      <c r="A1211" s="447"/>
      <c r="B1211" s="393"/>
      <c r="C1211" s="428"/>
      <c r="D1211" s="428"/>
      <c r="E1211" s="224"/>
      <c r="F1211" s="224"/>
      <c r="G1211" s="224"/>
      <c r="H1211" s="224"/>
      <c r="I1211" s="224"/>
      <c r="J1211" s="224"/>
      <c r="Z1211" s="362"/>
      <c r="AA1211" s="362"/>
      <c r="AB1211" s="362"/>
      <c r="AC1211" s="362"/>
      <c r="AD1211" s="362"/>
      <c r="AE1211" s="362"/>
      <c r="AF1211" s="362"/>
      <c r="AG1211" s="362"/>
      <c r="AH1211" s="362"/>
      <c r="AI1211" s="360"/>
      <c r="AJ1211" s="360"/>
      <c r="AK1211" s="362"/>
      <c r="AL1211" s="362"/>
      <c r="AM1211" s="362"/>
      <c r="AN1211" s="362"/>
      <c r="AO1211" s="362"/>
      <c r="AP1211" s="362"/>
      <c r="AQ1211" s="362"/>
      <c r="AR1211" s="362"/>
    </row>
    <row r="1212" spans="1:44" ht="12" customHeight="1" x14ac:dyDescent="0.15">
      <c r="A1212" s="447"/>
      <c r="B1212" s="393"/>
      <c r="C1212" s="428"/>
      <c r="D1212" s="428"/>
      <c r="E1212" s="224"/>
      <c r="F1212" s="224"/>
      <c r="G1212" s="224"/>
      <c r="H1212" s="224"/>
      <c r="I1212" s="224"/>
      <c r="J1212" s="224"/>
      <c r="Z1212" s="362"/>
      <c r="AA1212" s="362"/>
      <c r="AB1212" s="362"/>
      <c r="AC1212" s="362"/>
      <c r="AD1212" s="362"/>
      <c r="AE1212" s="362"/>
      <c r="AF1212" s="362"/>
      <c r="AG1212" s="362"/>
      <c r="AH1212" s="362"/>
      <c r="AI1212" s="360"/>
      <c r="AJ1212" s="360"/>
      <c r="AK1212" s="362"/>
      <c r="AL1212" s="362"/>
      <c r="AM1212" s="362"/>
      <c r="AN1212" s="362"/>
      <c r="AO1212" s="362"/>
      <c r="AP1212" s="362"/>
      <c r="AQ1212" s="362"/>
      <c r="AR1212" s="362"/>
    </row>
    <row r="1213" spans="1:44" ht="12" customHeight="1" x14ac:dyDescent="0.15">
      <c r="A1213" s="447"/>
      <c r="B1213" s="393"/>
      <c r="C1213" s="428"/>
      <c r="D1213" s="428"/>
      <c r="E1213" s="224"/>
      <c r="F1213" s="224"/>
      <c r="G1213" s="224"/>
      <c r="H1213" s="224"/>
      <c r="I1213" s="224"/>
      <c r="J1213" s="224"/>
      <c r="Z1213" s="362"/>
      <c r="AA1213" s="362"/>
      <c r="AB1213" s="362"/>
      <c r="AC1213" s="362"/>
      <c r="AD1213" s="362"/>
      <c r="AE1213" s="362"/>
      <c r="AF1213" s="362"/>
      <c r="AG1213" s="362"/>
      <c r="AH1213" s="362"/>
      <c r="AI1213" s="360"/>
      <c r="AJ1213" s="360"/>
      <c r="AK1213" s="362"/>
      <c r="AL1213" s="362"/>
      <c r="AM1213" s="362"/>
      <c r="AN1213" s="362"/>
      <c r="AO1213" s="362"/>
      <c r="AP1213" s="362"/>
      <c r="AQ1213" s="362"/>
      <c r="AR1213" s="362"/>
    </row>
    <row r="1214" spans="1:44" ht="12" customHeight="1" x14ac:dyDescent="0.15">
      <c r="A1214" s="447"/>
      <c r="B1214" s="393"/>
      <c r="C1214" s="428"/>
      <c r="D1214" s="428"/>
      <c r="E1214" s="224"/>
      <c r="F1214" s="224"/>
      <c r="G1214" s="224"/>
      <c r="H1214" s="224"/>
      <c r="I1214" s="224"/>
      <c r="J1214" s="224"/>
      <c r="Z1214" s="362"/>
      <c r="AA1214" s="362"/>
      <c r="AB1214" s="362"/>
      <c r="AC1214" s="362"/>
      <c r="AD1214" s="362"/>
      <c r="AE1214" s="362"/>
      <c r="AF1214" s="362"/>
      <c r="AG1214" s="362"/>
      <c r="AH1214" s="362"/>
      <c r="AI1214" s="360"/>
      <c r="AJ1214" s="360"/>
      <c r="AK1214" s="362"/>
      <c r="AL1214" s="362"/>
      <c r="AM1214" s="362"/>
      <c r="AN1214" s="362"/>
      <c r="AO1214" s="362"/>
      <c r="AP1214" s="362"/>
      <c r="AQ1214" s="362"/>
      <c r="AR1214" s="362"/>
    </row>
    <row r="1215" spans="1:44" ht="12" customHeight="1" x14ac:dyDescent="0.15">
      <c r="A1215" s="447"/>
      <c r="B1215" s="393"/>
      <c r="C1215" s="428"/>
      <c r="D1215" s="428"/>
      <c r="E1215" s="224"/>
      <c r="F1215" s="224"/>
      <c r="G1215" s="224"/>
      <c r="H1215" s="224"/>
      <c r="I1215" s="224"/>
      <c r="J1215" s="224"/>
      <c r="Z1215" s="362"/>
      <c r="AA1215" s="362"/>
      <c r="AB1215" s="362"/>
      <c r="AC1215" s="362"/>
      <c r="AD1215" s="362"/>
      <c r="AE1215" s="362"/>
      <c r="AF1215" s="362"/>
      <c r="AG1215" s="362"/>
      <c r="AH1215" s="362"/>
      <c r="AI1215" s="360"/>
      <c r="AJ1215" s="360"/>
      <c r="AK1215" s="362"/>
      <c r="AL1215" s="362"/>
      <c r="AM1215" s="362"/>
      <c r="AN1215" s="362"/>
      <c r="AO1215" s="362"/>
      <c r="AP1215" s="362"/>
      <c r="AQ1215" s="362"/>
      <c r="AR1215" s="362"/>
    </row>
    <row r="1216" spans="1:44" ht="12" customHeight="1" x14ac:dyDescent="0.15">
      <c r="A1216" s="447"/>
      <c r="B1216" s="393"/>
      <c r="C1216" s="428"/>
      <c r="D1216" s="428"/>
      <c r="E1216" s="224"/>
      <c r="F1216" s="224"/>
      <c r="G1216" s="224"/>
      <c r="H1216" s="224"/>
      <c r="I1216" s="224"/>
      <c r="J1216" s="224"/>
      <c r="Z1216" s="362"/>
      <c r="AA1216" s="362"/>
      <c r="AB1216" s="362"/>
      <c r="AC1216" s="362"/>
      <c r="AD1216" s="362"/>
      <c r="AE1216" s="362"/>
      <c r="AF1216" s="362"/>
      <c r="AG1216" s="362"/>
      <c r="AH1216" s="362"/>
      <c r="AI1216" s="360"/>
      <c r="AJ1216" s="360"/>
      <c r="AK1216" s="362"/>
      <c r="AL1216" s="362"/>
      <c r="AM1216" s="362"/>
      <c r="AN1216" s="362"/>
      <c r="AO1216" s="362"/>
      <c r="AP1216" s="362"/>
      <c r="AQ1216" s="362"/>
      <c r="AR1216" s="362"/>
    </row>
    <row r="1217" spans="1:44" ht="12" customHeight="1" x14ac:dyDescent="0.15">
      <c r="A1217" s="447"/>
      <c r="B1217" s="393"/>
      <c r="C1217" s="428"/>
      <c r="D1217" s="428"/>
      <c r="E1217" s="224"/>
      <c r="F1217" s="224"/>
      <c r="G1217" s="224"/>
      <c r="H1217" s="224"/>
      <c r="I1217" s="224"/>
      <c r="J1217" s="224"/>
      <c r="Z1217" s="362"/>
      <c r="AA1217" s="362"/>
      <c r="AB1217" s="362"/>
      <c r="AC1217" s="362"/>
      <c r="AD1217" s="362"/>
      <c r="AE1217" s="362"/>
      <c r="AF1217" s="362"/>
      <c r="AG1217" s="362"/>
      <c r="AH1217" s="362"/>
      <c r="AI1217" s="360"/>
      <c r="AJ1217" s="360"/>
      <c r="AK1217" s="362"/>
      <c r="AL1217" s="362"/>
      <c r="AM1217" s="362"/>
      <c r="AN1217" s="362"/>
      <c r="AO1217" s="362"/>
      <c r="AP1217" s="362"/>
      <c r="AQ1217" s="362"/>
      <c r="AR1217" s="362"/>
    </row>
    <row r="1218" spans="1:44" ht="12" customHeight="1" x14ac:dyDescent="0.15">
      <c r="A1218" s="447"/>
      <c r="B1218" s="393"/>
      <c r="C1218" s="428"/>
      <c r="D1218" s="428"/>
      <c r="E1218" s="224"/>
      <c r="F1218" s="224"/>
      <c r="G1218" s="224"/>
      <c r="H1218" s="224"/>
      <c r="I1218" s="224"/>
      <c r="J1218" s="224"/>
      <c r="Z1218" s="362"/>
      <c r="AA1218" s="362"/>
      <c r="AB1218" s="362"/>
      <c r="AC1218" s="362"/>
      <c r="AD1218" s="362"/>
      <c r="AE1218" s="362"/>
      <c r="AF1218" s="362"/>
      <c r="AG1218" s="362"/>
      <c r="AH1218" s="362"/>
      <c r="AI1218" s="360"/>
      <c r="AJ1218" s="360"/>
      <c r="AK1218" s="362"/>
      <c r="AL1218" s="362"/>
      <c r="AM1218" s="362"/>
      <c r="AN1218" s="362"/>
      <c r="AO1218" s="362"/>
      <c r="AP1218" s="362"/>
      <c r="AQ1218" s="362"/>
      <c r="AR1218" s="362"/>
    </row>
    <row r="1219" spans="1:44" ht="12" customHeight="1" x14ac:dyDescent="0.15">
      <c r="A1219" s="447"/>
      <c r="B1219" s="393"/>
      <c r="C1219" s="428"/>
      <c r="D1219" s="428"/>
      <c r="E1219" s="224"/>
      <c r="F1219" s="224"/>
      <c r="G1219" s="224"/>
      <c r="H1219" s="224"/>
      <c r="I1219" s="224"/>
      <c r="J1219" s="224"/>
      <c r="Z1219" s="362"/>
      <c r="AA1219" s="362"/>
      <c r="AB1219" s="362"/>
      <c r="AC1219" s="362"/>
      <c r="AD1219" s="362"/>
      <c r="AE1219" s="362"/>
      <c r="AF1219" s="362"/>
      <c r="AG1219" s="362"/>
      <c r="AH1219" s="362"/>
      <c r="AI1219" s="360"/>
      <c r="AJ1219" s="360"/>
      <c r="AK1219" s="362"/>
      <c r="AL1219" s="362"/>
      <c r="AM1219" s="362"/>
      <c r="AN1219" s="362"/>
      <c r="AO1219" s="362"/>
      <c r="AP1219" s="362"/>
      <c r="AQ1219" s="362"/>
      <c r="AR1219" s="362"/>
    </row>
    <row r="1220" spans="1:44" ht="12" customHeight="1" x14ac:dyDescent="0.15">
      <c r="A1220" s="447"/>
      <c r="B1220" s="393"/>
      <c r="C1220" s="428"/>
      <c r="D1220" s="428"/>
      <c r="E1220" s="224"/>
      <c r="F1220" s="224"/>
      <c r="G1220" s="224"/>
      <c r="H1220" s="224"/>
      <c r="I1220" s="224"/>
      <c r="J1220" s="224"/>
      <c r="Z1220" s="362"/>
      <c r="AA1220" s="362"/>
      <c r="AB1220" s="362"/>
      <c r="AC1220" s="362"/>
      <c r="AD1220" s="362"/>
      <c r="AE1220" s="362"/>
      <c r="AF1220" s="362"/>
      <c r="AG1220" s="362"/>
      <c r="AH1220" s="362"/>
      <c r="AI1220" s="360"/>
      <c r="AJ1220" s="360"/>
      <c r="AK1220" s="362"/>
      <c r="AL1220" s="362"/>
      <c r="AM1220" s="362"/>
      <c r="AN1220" s="362"/>
      <c r="AO1220" s="362"/>
      <c r="AP1220" s="362"/>
      <c r="AQ1220" s="362"/>
      <c r="AR1220" s="362"/>
    </row>
    <row r="1221" spans="1:44" ht="12" customHeight="1" x14ac:dyDescent="0.15">
      <c r="A1221" s="447"/>
      <c r="B1221" s="393"/>
      <c r="C1221" s="428"/>
      <c r="D1221" s="428"/>
      <c r="E1221" s="224"/>
      <c r="F1221" s="224"/>
      <c r="G1221" s="224"/>
      <c r="H1221" s="224"/>
      <c r="I1221" s="224"/>
      <c r="J1221" s="224"/>
      <c r="Z1221" s="362"/>
      <c r="AA1221" s="362"/>
      <c r="AB1221" s="362"/>
      <c r="AC1221" s="362"/>
      <c r="AD1221" s="362"/>
      <c r="AE1221" s="362"/>
      <c r="AF1221" s="362"/>
      <c r="AG1221" s="362"/>
      <c r="AH1221" s="362"/>
      <c r="AI1221" s="360"/>
      <c r="AJ1221" s="360"/>
      <c r="AK1221" s="362"/>
      <c r="AL1221" s="362"/>
      <c r="AM1221" s="362"/>
      <c r="AN1221" s="362"/>
      <c r="AO1221" s="362"/>
      <c r="AP1221" s="362"/>
      <c r="AQ1221" s="362"/>
      <c r="AR1221" s="362"/>
    </row>
    <row r="1222" spans="1:44" ht="12" customHeight="1" x14ac:dyDescent="0.15">
      <c r="A1222" s="447"/>
      <c r="B1222" s="393"/>
      <c r="C1222" s="428"/>
      <c r="D1222" s="428"/>
      <c r="E1222" s="224"/>
      <c r="F1222" s="224"/>
      <c r="G1222" s="224"/>
      <c r="H1222" s="224"/>
      <c r="I1222" s="224"/>
      <c r="J1222" s="224"/>
      <c r="Z1222" s="362"/>
      <c r="AA1222" s="362"/>
      <c r="AB1222" s="362"/>
      <c r="AC1222" s="362"/>
      <c r="AD1222" s="362"/>
      <c r="AE1222" s="362"/>
      <c r="AF1222" s="362"/>
      <c r="AG1222" s="362"/>
      <c r="AH1222" s="362"/>
      <c r="AI1222" s="360"/>
      <c r="AJ1222" s="360"/>
      <c r="AK1222" s="362"/>
      <c r="AL1222" s="362"/>
      <c r="AM1222" s="362"/>
      <c r="AN1222" s="362"/>
      <c r="AO1222" s="362"/>
      <c r="AP1222" s="362"/>
      <c r="AQ1222" s="362"/>
      <c r="AR1222" s="362"/>
    </row>
    <row r="1223" spans="1:44" ht="12" customHeight="1" x14ac:dyDescent="0.15">
      <c r="A1223" s="447"/>
      <c r="B1223" s="393"/>
      <c r="C1223" s="428"/>
      <c r="D1223" s="428"/>
      <c r="E1223" s="224"/>
      <c r="F1223" s="224"/>
      <c r="G1223" s="224"/>
      <c r="H1223" s="224"/>
      <c r="I1223" s="224"/>
      <c r="J1223" s="224"/>
      <c r="Z1223" s="362"/>
      <c r="AA1223" s="362"/>
      <c r="AB1223" s="362"/>
      <c r="AC1223" s="362"/>
      <c r="AD1223" s="362"/>
      <c r="AE1223" s="362"/>
      <c r="AF1223" s="362"/>
      <c r="AG1223" s="362"/>
      <c r="AH1223" s="362"/>
      <c r="AI1223" s="360"/>
      <c r="AJ1223" s="360"/>
      <c r="AK1223" s="362"/>
      <c r="AL1223" s="362"/>
      <c r="AM1223" s="362"/>
      <c r="AN1223" s="362"/>
      <c r="AO1223" s="362"/>
      <c r="AP1223" s="362"/>
      <c r="AQ1223" s="362"/>
      <c r="AR1223" s="362"/>
    </row>
    <row r="1224" spans="1:44" ht="12" customHeight="1" x14ac:dyDescent="0.15">
      <c r="A1224" s="447"/>
      <c r="B1224" s="393"/>
      <c r="C1224" s="428"/>
      <c r="D1224" s="428"/>
      <c r="E1224" s="224"/>
      <c r="F1224" s="224"/>
      <c r="G1224" s="224"/>
      <c r="H1224" s="224"/>
      <c r="I1224" s="224"/>
      <c r="J1224" s="224"/>
      <c r="Z1224" s="362"/>
      <c r="AA1224" s="362"/>
      <c r="AB1224" s="362"/>
      <c r="AC1224" s="362"/>
      <c r="AD1224" s="362"/>
      <c r="AE1224" s="362"/>
      <c r="AF1224" s="362"/>
      <c r="AG1224" s="362"/>
      <c r="AH1224" s="362"/>
      <c r="AI1224" s="360"/>
      <c r="AJ1224" s="360"/>
      <c r="AK1224" s="362"/>
      <c r="AL1224" s="362"/>
      <c r="AM1224" s="362"/>
      <c r="AN1224" s="362"/>
      <c r="AO1224" s="362"/>
      <c r="AP1224" s="362"/>
      <c r="AQ1224" s="362"/>
      <c r="AR1224" s="362"/>
    </row>
    <row r="1225" spans="1:44" ht="12" customHeight="1" x14ac:dyDescent="0.15">
      <c r="A1225" s="447"/>
      <c r="B1225" s="393"/>
      <c r="C1225" s="428"/>
      <c r="D1225" s="428"/>
      <c r="E1225" s="224"/>
      <c r="F1225" s="224"/>
      <c r="G1225" s="224"/>
      <c r="H1225" s="224"/>
      <c r="I1225" s="224"/>
      <c r="J1225" s="224"/>
      <c r="Z1225" s="362"/>
      <c r="AA1225" s="362"/>
      <c r="AB1225" s="362"/>
      <c r="AC1225" s="362"/>
      <c r="AD1225" s="362"/>
      <c r="AE1225" s="362"/>
      <c r="AF1225" s="362"/>
      <c r="AG1225" s="362"/>
      <c r="AH1225" s="362"/>
      <c r="AI1225" s="360"/>
      <c r="AJ1225" s="360"/>
      <c r="AK1225" s="362"/>
      <c r="AL1225" s="362"/>
      <c r="AM1225" s="362"/>
      <c r="AN1225" s="362"/>
      <c r="AO1225" s="362"/>
      <c r="AP1225" s="362"/>
      <c r="AQ1225" s="362"/>
      <c r="AR1225" s="362"/>
    </row>
    <row r="1226" spans="1:44" ht="12" customHeight="1" x14ac:dyDescent="0.15">
      <c r="A1226" s="447"/>
      <c r="B1226" s="393"/>
      <c r="C1226" s="428"/>
      <c r="D1226" s="428"/>
      <c r="E1226" s="224"/>
      <c r="F1226" s="224"/>
      <c r="G1226" s="224"/>
      <c r="H1226" s="224"/>
      <c r="I1226" s="224"/>
      <c r="J1226" s="224"/>
      <c r="Z1226" s="362"/>
      <c r="AA1226" s="362"/>
      <c r="AB1226" s="362"/>
      <c r="AC1226" s="362"/>
      <c r="AD1226" s="362"/>
      <c r="AE1226" s="362"/>
      <c r="AF1226" s="362"/>
      <c r="AG1226" s="362"/>
      <c r="AH1226" s="362"/>
      <c r="AI1226" s="360"/>
      <c r="AJ1226" s="360"/>
      <c r="AK1226" s="362"/>
      <c r="AL1226" s="362"/>
      <c r="AM1226" s="362"/>
      <c r="AN1226" s="362"/>
      <c r="AO1226" s="362"/>
      <c r="AP1226" s="362"/>
      <c r="AQ1226" s="362"/>
      <c r="AR1226" s="362"/>
    </row>
    <row r="1227" spans="1:44" ht="12" customHeight="1" x14ac:dyDescent="0.15">
      <c r="A1227" s="447"/>
      <c r="B1227" s="393"/>
      <c r="C1227" s="428"/>
      <c r="D1227" s="428"/>
      <c r="E1227" s="224"/>
      <c r="F1227" s="224"/>
      <c r="G1227" s="224"/>
      <c r="H1227" s="224"/>
      <c r="I1227" s="224"/>
      <c r="J1227" s="224"/>
      <c r="Z1227" s="362"/>
      <c r="AA1227" s="362"/>
      <c r="AB1227" s="362"/>
      <c r="AC1227" s="362"/>
      <c r="AD1227" s="362"/>
      <c r="AE1227" s="362"/>
      <c r="AF1227" s="362"/>
      <c r="AG1227" s="362"/>
      <c r="AH1227" s="362"/>
      <c r="AI1227" s="360"/>
      <c r="AJ1227" s="360"/>
      <c r="AK1227" s="362"/>
      <c r="AL1227" s="362"/>
      <c r="AM1227" s="362"/>
      <c r="AN1227" s="362"/>
      <c r="AO1227" s="362"/>
      <c r="AP1227" s="362"/>
      <c r="AQ1227" s="362"/>
      <c r="AR1227" s="362"/>
    </row>
    <row r="1228" spans="1:44" ht="12" customHeight="1" x14ac:dyDescent="0.15">
      <c r="A1228" s="447"/>
      <c r="B1228" s="393"/>
      <c r="C1228" s="428"/>
      <c r="D1228" s="428"/>
      <c r="E1228" s="224"/>
      <c r="F1228" s="224"/>
      <c r="G1228" s="224"/>
      <c r="H1228" s="224"/>
      <c r="I1228" s="224"/>
      <c r="J1228" s="224"/>
      <c r="Z1228" s="362"/>
      <c r="AA1228" s="362"/>
      <c r="AB1228" s="362"/>
      <c r="AC1228" s="362"/>
      <c r="AD1228" s="362"/>
      <c r="AE1228" s="362"/>
      <c r="AF1228" s="362"/>
      <c r="AG1228" s="362"/>
      <c r="AH1228" s="362"/>
      <c r="AI1228" s="360"/>
      <c r="AJ1228" s="360"/>
      <c r="AK1228" s="362"/>
      <c r="AL1228" s="362"/>
      <c r="AM1228" s="362"/>
      <c r="AN1228" s="362"/>
      <c r="AO1228" s="362"/>
      <c r="AP1228" s="362"/>
      <c r="AQ1228" s="362"/>
      <c r="AR1228" s="362"/>
    </row>
    <row r="1229" spans="1:44" ht="12" customHeight="1" x14ac:dyDescent="0.15">
      <c r="A1229" s="447"/>
      <c r="B1229" s="393"/>
      <c r="C1229" s="428"/>
      <c r="D1229" s="428"/>
      <c r="E1229" s="224"/>
      <c r="F1229" s="224"/>
      <c r="G1229" s="224"/>
      <c r="H1229" s="224"/>
      <c r="I1229" s="224"/>
      <c r="J1229" s="224"/>
      <c r="Z1229" s="362"/>
      <c r="AA1229" s="362"/>
      <c r="AB1229" s="362"/>
      <c r="AC1229" s="362"/>
      <c r="AD1229" s="362"/>
      <c r="AE1229" s="362"/>
      <c r="AF1229" s="362"/>
      <c r="AG1229" s="362"/>
      <c r="AH1229" s="362"/>
      <c r="AI1229" s="360"/>
      <c r="AJ1229" s="360"/>
      <c r="AK1229" s="362"/>
      <c r="AL1229" s="362"/>
      <c r="AM1229" s="362"/>
      <c r="AN1229" s="362"/>
      <c r="AO1229" s="362"/>
      <c r="AP1229" s="362"/>
      <c r="AQ1229" s="362"/>
      <c r="AR1229" s="362"/>
    </row>
    <row r="1230" spans="1:44" ht="12" customHeight="1" x14ac:dyDescent="0.15">
      <c r="A1230" s="447"/>
      <c r="B1230" s="393"/>
      <c r="C1230" s="428"/>
      <c r="D1230" s="428"/>
      <c r="E1230" s="224"/>
      <c r="F1230" s="224"/>
      <c r="G1230" s="224"/>
      <c r="H1230" s="224"/>
      <c r="I1230" s="224"/>
      <c r="J1230" s="224"/>
      <c r="Z1230" s="362"/>
      <c r="AA1230" s="362"/>
      <c r="AB1230" s="362"/>
      <c r="AC1230" s="362"/>
      <c r="AD1230" s="362"/>
      <c r="AE1230" s="362"/>
      <c r="AF1230" s="362"/>
      <c r="AG1230" s="362"/>
      <c r="AH1230" s="362"/>
      <c r="AI1230" s="360"/>
      <c r="AJ1230" s="360"/>
      <c r="AK1230" s="362"/>
      <c r="AL1230" s="362"/>
      <c r="AM1230" s="362"/>
      <c r="AN1230" s="362"/>
      <c r="AO1230" s="362"/>
      <c r="AP1230" s="362"/>
      <c r="AQ1230" s="362"/>
      <c r="AR1230" s="362"/>
    </row>
    <row r="1231" spans="1:44" ht="12" customHeight="1" x14ac:dyDescent="0.15">
      <c r="A1231" s="447"/>
      <c r="B1231" s="393"/>
      <c r="C1231" s="428"/>
      <c r="D1231" s="428"/>
      <c r="E1231" s="224"/>
      <c r="F1231" s="224"/>
      <c r="G1231" s="224"/>
      <c r="H1231" s="224"/>
      <c r="I1231" s="224"/>
      <c r="J1231" s="224"/>
      <c r="Z1231" s="362"/>
      <c r="AA1231" s="362"/>
      <c r="AB1231" s="362"/>
      <c r="AC1231" s="362"/>
      <c r="AD1231" s="362"/>
      <c r="AE1231" s="362"/>
      <c r="AF1231" s="362"/>
      <c r="AG1231" s="362"/>
      <c r="AH1231" s="362"/>
      <c r="AI1231" s="360"/>
      <c r="AJ1231" s="360"/>
      <c r="AK1231" s="362"/>
      <c r="AL1231" s="362"/>
      <c r="AM1231" s="362"/>
      <c r="AN1231" s="362"/>
      <c r="AO1231" s="362"/>
      <c r="AP1231" s="362"/>
      <c r="AQ1231" s="362"/>
      <c r="AR1231" s="362"/>
    </row>
    <row r="1232" spans="1:44" ht="12" customHeight="1" x14ac:dyDescent="0.15">
      <c r="A1232" s="447"/>
      <c r="B1232" s="393"/>
      <c r="C1232" s="428"/>
      <c r="D1232" s="428"/>
      <c r="E1232" s="224"/>
      <c r="F1232" s="224"/>
      <c r="G1232" s="224"/>
      <c r="H1232" s="224"/>
      <c r="I1232" s="224"/>
      <c r="J1232" s="224"/>
      <c r="Z1232" s="362"/>
      <c r="AA1232" s="362"/>
      <c r="AB1232" s="362"/>
      <c r="AC1232" s="362"/>
      <c r="AD1232" s="362"/>
      <c r="AE1232" s="362"/>
      <c r="AF1232" s="362"/>
      <c r="AG1232" s="362"/>
      <c r="AH1232" s="362"/>
      <c r="AI1232" s="360"/>
      <c r="AJ1232" s="360"/>
      <c r="AK1232" s="362"/>
      <c r="AL1232" s="362"/>
      <c r="AM1232" s="362"/>
      <c r="AN1232" s="362"/>
      <c r="AO1232" s="362"/>
      <c r="AP1232" s="362"/>
      <c r="AQ1232" s="362"/>
      <c r="AR1232" s="362"/>
    </row>
    <row r="1233" spans="1:44" ht="12" customHeight="1" x14ac:dyDescent="0.15">
      <c r="A1233" s="447"/>
      <c r="B1233" s="393"/>
      <c r="C1233" s="428"/>
      <c r="D1233" s="428"/>
      <c r="E1233" s="224"/>
      <c r="F1233" s="224"/>
      <c r="G1233" s="224"/>
      <c r="H1233" s="224"/>
      <c r="I1233" s="224"/>
      <c r="J1233" s="224"/>
      <c r="Z1233" s="362"/>
      <c r="AA1233" s="362"/>
      <c r="AB1233" s="362"/>
      <c r="AC1233" s="362"/>
      <c r="AD1233" s="362"/>
      <c r="AE1233" s="362"/>
      <c r="AF1233" s="362"/>
      <c r="AG1233" s="362"/>
      <c r="AH1233" s="362"/>
      <c r="AI1233" s="360"/>
      <c r="AJ1233" s="360"/>
      <c r="AK1233" s="362"/>
      <c r="AL1233" s="362"/>
      <c r="AM1233" s="362"/>
      <c r="AN1233" s="362"/>
      <c r="AO1233" s="362"/>
      <c r="AP1233" s="362"/>
      <c r="AQ1233" s="362"/>
      <c r="AR1233" s="362"/>
    </row>
    <row r="1234" spans="1:44" ht="12" customHeight="1" x14ac:dyDescent="0.15">
      <c r="A1234" s="447"/>
      <c r="B1234" s="393"/>
      <c r="C1234" s="428"/>
      <c r="D1234" s="428"/>
      <c r="E1234" s="224"/>
      <c r="F1234" s="224"/>
      <c r="G1234" s="224"/>
      <c r="H1234" s="224"/>
      <c r="I1234" s="224"/>
      <c r="J1234" s="224"/>
      <c r="Z1234" s="362"/>
      <c r="AA1234" s="362"/>
      <c r="AB1234" s="362"/>
      <c r="AC1234" s="362"/>
      <c r="AD1234" s="362"/>
      <c r="AE1234" s="362"/>
      <c r="AF1234" s="362"/>
      <c r="AG1234" s="362"/>
      <c r="AH1234" s="362"/>
      <c r="AI1234" s="360"/>
      <c r="AJ1234" s="360"/>
      <c r="AK1234" s="362"/>
      <c r="AL1234" s="362"/>
      <c r="AM1234" s="362"/>
      <c r="AN1234" s="362"/>
      <c r="AO1234" s="362"/>
      <c r="AP1234" s="362"/>
      <c r="AQ1234" s="362"/>
      <c r="AR1234" s="362"/>
    </row>
    <row r="1235" spans="1:44" ht="12" customHeight="1" x14ac:dyDescent="0.15">
      <c r="A1235" s="447"/>
      <c r="B1235" s="393"/>
      <c r="C1235" s="428"/>
      <c r="D1235" s="428"/>
      <c r="E1235" s="224"/>
      <c r="F1235" s="224"/>
      <c r="G1235" s="224"/>
      <c r="H1235" s="224"/>
      <c r="I1235" s="224"/>
      <c r="J1235" s="224"/>
      <c r="Z1235" s="362"/>
      <c r="AA1235" s="362"/>
      <c r="AB1235" s="362"/>
      <c r="AC1235" s="362"/>
      <c r="AD1235" s="362"/>
      <c r="AE1235" s="362"/>
      <c r="AF1235" s="362"/>
      <c r="AG1235" s="362"/>
      <c r="AH1235" s="362"/>
      <c r="AI1235" s="360"/>
      <c r="AJ1235" s="360"/>
      <c r="AK1235" s="362"/>
      <c r="AL1235" s="362"/>
      <c r="AM1235" s="362"/>
      <c r="AN1235" s="362"/>
      <c r="AO1235" s="362"/>
      <c r="AP1235" s="362"/>
      <c r="AQ1235" s="362"/>
      <c r="AR1235" s="362"/>
    </row>
    <row r="1236" spans="1:44" ht="12" customHeight="1" x14ac:dyDescent="0.15">
      <c r="A1236" s="447"/>
      <c r="B1236" s="393"/>
      <c r="C1236" s="428"/>
      <c r="D1236" s="428"/>
      <c r="E1236" s="224"/>
      <c r="F1236" s="224"/>
      <c r="G1236" s="224"/>
      <c r="H1236" s="224"/>
      <c r="I1236" s="224"/>
      <c r="J1236" s="224"/>
      <c r="Z1236" s="362"/>
      <c r="AA1236" s="362"/>
      <c r="AB1236" s="362"/>
      <c r="AC1236" s="362"/>
      <c r="AD1236" s="362"/>
      <c r="AE1236" s="362"/>
      <c r="AF1236" s="362"/>
      <c r="AG1236" s="362"/>
      <c r="AH1236" s="362"/>
      <c r="AI1236" s="360"/>
      <c r="AJ1236" s="360"/>
      <c r="AK1236" s="362"/>
      <c r="AL1236" s="362"/>
      <c r="AM1236" s="362"/>
      <c r="AN1236" s="362"/>
      <c r="AO1236" s="362"/>
      <c r="AP1236" s="362"/>
      <c r="AQ1236" s="362"/>
      <c r="AR1236" s="362"/>
    </row>
    <row r="1237" spans="1:44" ht="12" customHeight="1" x14ac:dyDescent="0.15">
      <c r="A1237" s="447"/>
      <c r="B1237" s="393"/>
      <c r="C1237" s="428"/>
      <c r="D1237" s="428"/>
      <c r="E1237" s="224"/>
      <c r="F1237" s="224"/>
      <c r="G1237" s="224"/>
      <c r="H1237" s="224"/>
      <c r="I1237" s="224"/>
      <c r="J1237" s="224"/>
      <c r="Z1237" s="362"/>
      <c r="AA1237" s="362"/>
      <c r="AB1237" s="362"/>
      <c r="AC1237" s="362"/>
      <c r="AD1237" s="362"/>
      <c r="AE1237" s="362"/>
      <c r="AF1237" s="362"/>
      <c r="AG1237" s="362"/>
      <c r="AH1237" s="362"/>
      <c r="AI1237" s="360"/>
      <c r="AJ1237" s="360"/>
      <c r="AK1237" s="362"/>
      <c r="AL1237" s="362"/>
      <c r="AM1237" s="362"/>
      <c r="AN1237" s="362"/>
      <c r="AO1237" s="362"/>
      <c r="AP1237" s="362"/>
      <c r="AQ1237" s="362"/>
      <c r="AR1237" s="362"/>
    </row>
    <row r="1238" spans="1:44" ht="12" customHeight="1" x14ac:dyDescent="0.15">
      <c r="A1238" s="447"/>
      <c r="B1238" s="393"/>
      <c r="C1238" s="428"/>
      <c r="D1238" s="428"/>
      <c r="E1238" s="224"/>
      <c r="F1238" s="224"/>
      <c r="G1238" s="224"/>
      <c r="H1238" s="224"/>
      <c r="I1238" s="224"/>
      <c r="J1238" s="224"/>
      <c r="Z1238" s="362"/>
      <c r="AA1238" s="362"/>
      <c r="AB1238" s="362"/>
      <c r="AC1238" s="362"/>
      <c r="AD1238" s="362"/>
      <c r="AE1238" s="362"/>
      <c r="AF1238" s="362"/>
      <c r="AG1238" s="362"/>
      <c r="AH1238" s="362"/>
      <c r="AI1238" s="360"/>
      <c r="AJ1238" s="360"/>
      <c r="AK1238" s="362"/>
      <c r="AL1238" s="362"/>
      <c r="AM1238" s="362"/>
      <c r="AN1238" s="362"/>
      <c r="AO1238" s="362"/>
      <c r="AP1238" s="362"/>
      <c r="AQ1238" s="362"/>
      <c r="AR1238" s="362"/>
    </row>
    <row r="1239" spans="1:44" ht="12" customHeight="1" x14ac:dyDescent="0.15">
      <c r="A1239" s="447"/>
      <c r="B1239" s="393"/>
      <c r="C1239" s="428"/>
      <c r="D1239" s="428"/>
      <c r="E1239" s="224"/>
      <c r="F1239" s="224"/>
      <c r="G1239" s="224"/>
      <c r="H1239" s="224"/>
      <c r="I1239" s="224"/>
      <c r="J1239" s="224"/>
      <c r="Z1239" s="362"/>
      <c r="AA1239" s="362"/>
      <c r="AB1239" s="362"/>
      <c r="AC1239" s="362"/>
      <c r="AD1239" s="362"/>
      <c r="AE1239" s="362"/>
      <c r="AF1239" s="362"/>
      <c r="AG1239" s="362"/>
      <c r="AH1239" s="362"/>
      <c r="AI1239" s="360"/>
      <c r="AJ1239" s="360"/>
      <c r="AK1239" s="362"/>
      <c r="AL1239" s="362"/>
      <c r="AM1239" s="362"/>
      <c r="AN1239" s="362"/>
      <c r="AO1239" s="362"/>
      <c r="AP1239" s="362"/>
      <c r="AQ1239" s="362"/>
      <c r="AR1239" s="362"/>
    </row>
    <row r="1240" spans="1:44" ht="12" customHeight="1" x14ac:dyDescent="0.15">
      <c r="A1240" s="447"/>
      <c r="B1240" s="393"/>
      <c r="C1240" s="428"/>
      <c r="D1240" s="428"/>
      <c r="E1240" s="224"/>
      <c r="F1240" s="224"/>
      <c r="G1240" s="224"/>
      <c r="H1240" s="224"/>
      <c r="I1240" s="224"/>
      <c r="J1240" s="224"/>
      <c r="Z1240" s="362"/>
      <c r="AA1240" s="362"/>
      <c r="AB1240" s="362"/>
      <c r="AC1240" s="362"/>
      <c r="AD1240" s="362"/>
      <c r="AE1240" s="362"/>
      <c r="AF1240" s="362"/>
      <c r="AG1240" s="362"/>
      <c r="AH1240" s="362"/>
      <c r="AI1240" s="360"/>
      <c r="AJ1240" s="360"/>
      <c r="AK1240" s="362"/>
      <c r="AL1240" s="362"/>
      <c r="AM1240" s="362"/>
      <c r="AN1240" s="362"/>
      <c r="AO1240" s="362"/>
      <c r="AP1240" s="362"/>
      <c r="AQ1240" s="362"/>
      <c r="AR1240" s="362"/>
    </row>
    <row r="1241" spans="1:44" ht="12" customHeight="1" x14ac:dyDescent="0.15">
      <c r="A1241" s="447"/>
      <c r="B1241" s="393"/>
      <c r="C1241" s="428"/>
      <c r="D1241" s="428"/>
      <c r="E1241" s="224"/>
      <c r="F1241" s="224"/>
      <c r="G1241" s="224"/>
      <c r="H1241" s="224"/>
      <c r="I1241" s="224"/>
      <c r="J1241" s="224"/>
      <c r="Z1241" s="362"/>
      <c r="AA1241" s="362"/>
      <c r="AB1241" s="362"/>
      <c r="AC1241" s="362"/>
      <c r="AD1241" s="362"/>
      <c r="AE1241" s="362"/>
      <c r="AF1241" s="362"/>
      <c r="AG1241" s="362"/>
      <c r="AH1241" s="362"/>
      <c r="AI1241" s="360"/>
      <c r="AJ1241" s="360"/>
      <c r="AK1241" s="362"/>
      <c r="AL1241" s="362"/>
      <c r="AM1241" s="362"/>
      <c r="AN1241" s="362"/>
      <c r="AO1241" s="362"/>
      <c r="AP1241" s="362"/>
      <c r="AQ1241" s="362"/>
      <c r="AR1241" s="362"/>
    </row>
    <row r="1242" spans="1:44" ht="12" customHeight="1" x14ac:dyDescent="0.15">
      <c r="A1242" s="447"/>
      <c r="B1242" s="393"/>
      <c r="C1242" s="428"/>
      <c r="D1242" s="428"/>
      <c r="E1242" s="224"/>
      <c r="F1242" s="224"/>
      <c r="G1242" s="224"/>
      <c r="H1242" s="224"/>
      <c r="I1242" s="224"/>
      <c r="J1242" s="224"/>
      <c r="Z1242" s="362"/>
      <c r="AA1242" s="362"/>
      <c r="AB1242" s="362"/>
      <c r="AC1242" s="362"/>
      <c r="AD1242" s="362"/>
      <c r="AE1242" s="362"/>
      <c r="AF1242" s="362"/>
      <c r="AG1242" s="362"/>
      <c r="AH1242" s="362"/>
      <c r="AI1242" s="360"/>
      <c r="AJ1242" s="360"/>
      <c r="AK1242" s="362"/>
      <c r="AL1242" s="362"/>
      <c r="AM1242" s="362"/>
      <c r="AN1242" s="362"/>
      <c r="AO1242" s="362"/>
      <c r="AP1242" s="362"/>
      <c r="AQ1242" s="362"/>
      <c r="AR1242" s="362"/>
    </row>
    <row r="1243" spans="1:44" ht="12" customHeight="1" x14ac:dyDescent="0.15">
      <c r="A1243" s="447"/>
      <c r="B1243" s="393"/>
      <c r="C1243" s="428"/>
      <c r="D1243" s="428"/>
      <c r="E1243" s="224"/>
      <c r="F1243" s="224"/>
      <c r="G1243" s="224"/>
      <c r="H1243" s="224"/>
      <c r="I1243" s="224"/>
      <c r="J1243" s="224"/>
      <c r="Z1243" s="362"/>
      <c r="AA1243" s="362"/>
      <c r="AB1243" s="362"/>
      <c r="AC1243" s="362"/>
      <c r="AD1243" s="362"/>
      <c r="AE1243" s="362"/>
      <c r="AF1243" s="362"/>
      <c r="AG1243" s="362"/>
      <c r="AH1243" s="362"/>
      <c r="AI1243" s="360"/>
      <c r="AJ1243" s="360"/>
      <c r="AK1243" s="362"/>
      <c r="AL1243" s="362"/>
      <c r="AM1243" s="362"/>
      <c r="AN1243" s="362"/>
      <c r="AO1243" s="362"/>
      <c r="AP1243" s="362"/>
      <c r="AQ1243" s="362"/>
      <c r="AR1243" s="362"/>
    </row>
    <row r="1244" spans="1:44" ht="12" customHeight="1" x14ac:dyDescent="0.15">
      <c r="A1244" s="447"/>
      <c r="B1244" s="393"/>
      <c r="C1244" s="428"/>
      <c r="D1244" s="428"/>
      <c r="E1244" s="224"/>
      <c r="F1244" s="224"/>
      <c r="G1244" s="224"/>
      <c r="H1244" s="224"/>
      <c r="I1244" s="224"/>
      <c r="J1244" s="224"/>
      <c r="Z1244" s="362"/>
      <c r="AA1244" s="362"/>
      <c r="AB1244" s="362"/>
      <c r="AC1244" s="362"/>
      <c r="AD1244" s="362"/>
      <c r="AE1244" s="362"/>
      <c r="AF1244" s="362"/>
      <c r="AG1244" s="362"/>
      <c r="AH1244" s="362"/>
      <c r="AI1244" s="360"/>
      <c r="AJ1244" s="360"/>
      <c r="AK1244" s="362"/>
      <c r="AL1244" s="362"/>
      <c r="AM1244" s="362"/>
      <c r="AN1244" s="362"/>
      <c r="AO1244" s="362"/>
      <c r="AP1244" s="362"/>
      <c r="AQ1244" s="362"/>
      <c r="AR1244" s="362"/>
    </row>
    <row r="1245" spans="1:44" ht="12" customHeight="1" x14ac:dyDescent="0.15">
      <c r="A1245" s="447"/>
      <c r="B1245" s="393"/>
      <c r="C1245" s="428"/>
      <c r="D1245" s="428"/>
      <c r="E1245" s="224"/>
      <c r="F1245" s="224"/>
      <c r="G1245" s="224"/>
      <c r="H1245" s="224"/>
      <c r="I1245" s="224"/>
      <c r="J1245" s="224"/>
      <c r="Z1245" s="362"/>
      <c r="AA1245" s="362"/>
      <c r="AB1245" s="362"/>
      <c r="AC1245" s="362"/>
      <c r="AD1245" s="362"/>
      <c r="AE1245" s="362"/>
      <c r="AF1245" s="362"/>
      <c r="AG1245" s="362"/>
      <c r="AH1245" s="362"/>
      <c r="AI1245" s="360"/>
      <c r="AJ1245" s="360"/>
      <c r="AK1245" s="362"/>
      <c r="AL1245" s="362"/>
      <c r="AM1245" s="362"/>
      <c r="AN1245" s="362"/>
      <c r="AO1245" s="362"/>
      <c r="AP1245" s="362"/>
      <c r="AQ1245" s="362"/>
      <c r="AR1245" s="362"/>
    </row>
    <row r="1246" spans="1:44" ht="12" customHeight="1" x14ac:dyDescent="0.15">
      <c r="A1246" s="447"/>
      <c r="B1246" s="393"/>
      <c r="C1246" s="428"/>
      <c r="D1246" s="428"/>
      <c r="E1246" s="224"/>
      <c r="F1246" s="224"/>
      <c r="G1246" s="224"/>
      <c r="H1246" s="224"/>
      <c r="I1246" s="224"/>
      <c r="J1246" s="224"/>
      <c r="Z1246" s="362"/>
      <c r="AA1246" s="362"/>
      <c r="AB1246" s="362"/>
      <c r="AC1246" s="362"/>
      <c r="AD1246" s="362"/>
      <c r="AE1246" s="362"/>
      <c r="AF1246" s="362"/>
      <c r="AG1246" s="362"/>
      <c r="AH1246" s="362"/>
      <c r="AI1246" s="360"/>
      <c r="AJ1246" s="360"/>
      <c r="AK1246" s="362"/>
      <c r="AL1246" s="362"/>
      <c r="AM1246" s="362"/>
      <c r="AN1246" s="362"/>
      <c r="AO1246" s="362"/>
      <c r="AP1246" s="362"/>
      <c r="AQ1246" s="362"/>
      <c r="AR1246" s="362"/>
    </row>
    <row r="1247" spans="1:44" ht="12" customHeight="1" x14ac:dyDescent="0.15">
      <c r="A1247" s="447"/>
      <c r="B1247" s="393"/>
      <c r="C1247" s="428"/>
      <c r="D1247" s="428"/>
      <c r="E1247" s="224"/>
      <c r="F1247" s="224"/>
      <c r="G1247" s="224"/>
      <c r="H1247" s="224"/>
      <c r="I1247" s="224"/>
      <c r="J1247" s="224"/>
      <c r="Z1247" s="362"/>
      <c r="AA1247" s="362"/>
      <c r="AB1247" s="362"/>
      <c r="AC1247" s="362"/>
      <c r="AD1247" s="362"/>
      <c r="AE1247" s="362"/>
      <c r="AF1247" s="362"/>
      <c r="AG1247" s="362"/>
      <c r="AH1247" s="362"/>
      <c r="AI1247" s="360"/>
      <c r="AJ1247" s="360"/>
      <c r="AK1247" s="362"/>
      <c r="AL1247" s="362"/>
      <c r="AM1247" s="362"/>
      <c r="AN1247" s="362"/>
      <c r="AO1247" s="362"/>
      <c r="AP1247" s="362"/>
      <c r="AQ1247" s="362"/>
      <c r="AR1247" s="362"/>
    </row>
    <row r="1248" spans="1:44" ht="12" customHeight="1" x14ac:dyDescent="0.15">
      <c r="A1248" s="447"/>
      <c r="B1248" s="393"/>
      <c r="C1248" s="428"/>
      <c r="D1248" s="428"/>
      <c r="E1248" s="224"/>
      <c r="F1248" s="224"/>
      <c r="G1248" s="224"/>
      <c r="H1248" s="224"/>
      <c r="I1248" s="224"/>
      <c r="J1248" s="224"/>
      <c r="Z1248" s="362"/>
      <c r="AA1248" s="362"/>
      <c r="AB1248" s="362"/>
      <c r="AC1248" s="362"/>
      <c r="AD1248" s="362"/>
      <c r="AE1248" s="362"/>
      <c r="AF1248" s="362"/>
      <c r="AG1248" s="362"/>
      <c r="AH1248" s="362"/>
      <c r="AI1248" s="360"/>
      <c r="AJ1248" s="360"/>
      <c r="AK1248" s="362"/>
      <c r="AL1248" s="362"/>
      <c r="AM1248" s="362"/>
      <c r="AN1248" s="362"/>
      <c r="AO1248" s="362"/>
      <c r="AP1248" s="362"/>
      <c r="AQ1248" s="362"/>
      <c r="AR1248" s="362"/>
    </row>
    <row r="1249" spans="1:44" ht="12" customHeight="1" x14ac:dyDescent="0.15">
      <c r="A1249" s="447"/>
      <c r="B1249" s="393"/>
      <c r="C1249" s="428"/>
      <c r="D1249" s="428"/>
      <c r="E1249" s="224"/>
      <c r="F1249" s="224"/>
      <c r="G1249" s="224"/>
      <c r="H1249" s="224"/>
      <c r="I1249" s="224"/>
      <c r="J1249" s="224"/>
      <c r="Z1249" s="362"/>
      <c r="AA1249" s="362"/>
      <c r="AB1249" s="362"/>
      <c r="AC1249" s="362"/>
      <c r="AD1249" s="362"/>
      <c r="AE1249" s="362"/>
      <c r="AF1249" s="362"/>
      <c r="AG1249" s="362"/>
      <c r="AH1249" s="362"/>
      <c r="AI1249" s="360"/>
      <c r="AJ1249" s="360"/>
      <c r="AK1249" s="362"/>
      <c r="AL1249" s="362"/>
      <c r="AM1249" s="362"/>
      <c r="AN1249" s="362"/>
      <c r="AO1249" s="362"/>
      <c r="AP1249" s="362"/>
      <c r="AQ1249" s="362"/>
      <c r="AR1249" s="362"/>
    </row>
    <row r="1250" spans="1:44" ht="12" customHeight="1" x14ac:dyDescent="0.15">
      <c r="A1250" s="447"/>
      <c r="B1250" s="393"/>
      <c r="C1250" s="428"/>
      <c r="D1250" s="428"/>
      <c r="E1250" s="224"/>
      <c r="F1250" s="224"/>
      <c r="G1250" s="224"/>
      <c r="H1250" s="224"/>
      <c r="I1250" s="224"/>
      <c r="J1250" s="224"/>
      <c r="Z1250" s="362"/>
      <c r="AA1250" s="362"/>
      <c r="AB1250" s="362"/>
      <c r="AC1250" s="362"/>
      <c r="AD1250" s="362"/>
      <c r="AE1250" s="362"/>
      <c r="AF1250" s="362"/>
      <c r="AG1250" s="362"/>
      <c r="AH1250" s="362"/>
      <c r="AI1250" s="360"/>
      <c r="AJ1250" s="360"/>
      <c r="AK1250" s="362"/>
      <c r="AL1250" s="362"/>
      <c r="AM1250" s="362"/>
      <c r="AN1250" s="362"/>
      <c r="AO1250" s="362"/>
      <c r="AP1250" s="362"/>
      <c r="AQ1250" s="362"/>
      <c r="AR1250" s="362"/>
    </row>
    <row r="1251" spans="1:44" ht="12" customHeight="1" x14ac:dyDescent="0.15">
      <c r="A1251" s="447"/>
      <c r="B1251" s="393"/>
      <c r="C1251" s="428"/>
      <c r="D1251" s="428"/>
      <c r="E1251" s="224"/>
      <c r="F1251" s="224"/>
      <c r="G1251" s="224"/>
      <c r="H1251" s="224"/>
      <c r="I1251" s="224"/>
      <c r="J1251" s="224"/>
      <c r="Z1251" s="362"/>
      <c r="AA1251" s="362"/>
      <c r="AB1251" s="362"/>
      <c r="AC1251" s="362"/>
      <c r="AD1251" s="362"/>
      <c r="AE1251" s="362"/>
      <c r="AF1251" s="362"/>
      <c r="AG1251" s="362"/>
      <c r="AH1251" s="362"/>
      <c r="AI1251" s="360"/>
      <c r="AJ1251" s="360"/>
      <c r="AK1251" s="362"/>
      <c r="AL1251" s="362"/>
      <c r="AM1251" s="362"/>
      <c r="AN1251" s="362"/>
      <c r="AO1251" s="362"/>
      <c r="AP1251" s="362"/>
      <c r="AQ1251" s="362"/>
      <c r="AR1251" s="362"/>
    </row>
    <row r="1252" spans="1:44" ht="12" customHeight="1" x14ac:dyDescent="0.15">
      <c r="A1252" s="447"/>
      <c r="B1252" s="393"/>
      <c r="C1252" s="428"/>
      <c r="D1252" s="428"/>
      <c r="E1252" s="224"/>
      <c r="F1252" s="224"/>
      <c r="G1252" s="224"/>
      <c r="H1252" s="224"/>
      <c r="I1252" s="224"/>
      <c r="J1252" s="224"/>
      <c r="Z1252" s="362"/>
      <c r="AA1252" s="362"/>
      <c r="AB1252" s="362"/>
      <c r="AC1252" s="362"/>
      <c r="AD1252" s="362"/>
      <c r="AE1252" s="362"/>
      <c r="AF1252" s="362"/>
      <c r="AG1252" s="362"/>
      <c r="AH1252" s="362"/>
      <c r="AI1252" s="360"/>
      <c r="AJ1252" s="360"/>
      <c r="AK1252" s="362"/>
      <c r="AL1252" s="362"/>
      <c r="AM1252" s="362"/>
      <c r="AN1252" s="362"/>
      <c r="AO1252" s="362"/>
      <c r="AP1252" s="362"/>
      <c r="AQ1252" s="362"/>
      <c r="AR1252" s="362"/>
    </row>
    <row r="1253" spans="1:44" ht="12" customHeight="1" x14ac:dyDescent="0.15">
      <c r="A1253" s="447"/>
      <c r="B1253" s="393"/>
      <c r="C1253" s="428"/>
      <c r="D1253" s="428"/>
      <c r="E1253" s="224"/>
      <c r="F1253" s="224"/>
      <c r="G1253" s="224"/>
      <c r="H1253" s="224"/>
      <c r="I1253" s="224"/>
      <c r="J1253" s="224"/>
      <c r="Z1253" s="362"/>
      <c r="AA1253" s="362"/>
      <c r="AB1253" s="362"/>
      <c r="AC1253" s="362"/>
      <c r="AD1253" s="362"/>
      <c r="AE1253" s="362"/>
      <c r="AF1253" s="362"/>
      <c r="AG1253" s="362"/>
      <c r="AH1253" s="362"/>
      <c r="AI1253" s="360"/>
      <c r="AJ1253" s="360"/>
      <c r="AK1253" s="362"/>
      <c r="AL1253" s="362"/>
      <c r="AM1253" s="362"/>
      <c r="AN1253" s="362"/>
      <c r="AO1253" s="362"/>
      <c r="AP1253" s="362"/>
      <c r="AQ1253" s="362"/>
      <c r="AR1253" s="362"/>
    </row>
    <row r="1254" spans="1:44" ht="12" customHeight="1" x14ac:dyDescent="0.15">
      <c r="A1254" s="447"/>
      <c r="B1254" s="393"/>
      <c r="C1254" s="428"/>
      <c r="D1254" s="428"/>
      <c r="E1254" s="224"/>
      <c r="F1254" s="224"/>
      <c r="G1254" s="224"/>
      <c r="H1254" s="224"/>
      <c r="I1254" s="224"/>
      <c r="J1254" s="224"/>
      <c r="Z1254" s="362"/>
      <c r="AA1254" s="362"/>
      <c r="AB1254" s="362"/>
      <c r="AC1254" s="362"/>
      <c r="AD1254" s="362"/>
      <c r="AE1254" s="362"/>
      <c r="AF1254" s="362"/>
      <c r="AG1254" s="362"/>
      <c r="AH1254" s="362"/>
      <c r="AI1254" s="360"/>
      <c r="AJ1254" s="360"/>
      <c r="AK1254" s="362"/>
      <c r="AL1254" s="362"/>
      <c r="AM1254" s="362"/>
      <c r="AN1254" s="362"/>
      <c r="AO1254" s="362"/>
      <c r="AP1254" s="362"/>
      <c r="AQ1254" s="362"/>
      <c r="AR1254" s="362"/>
    </row>
    <row r="1255" spans="1:44" ht="12" customHeight="1" x14ac:dyDescent="0.15">
      <c r="A1255" s="447"/>
      <c r="B1255" s="393"/>
      <c r="C1255" s="428"/>
      <c r="D1255" s="428"/>
      <c r="E1255" s="224"/>
      <c r="F1255" s="224"/>
      <c r="G1255" s="224"/>
      <c r="H1255" s="224"/>
      <c r="I1255" s="224"/>
      <c r="J1255" s="224"/>
      <c r="Z1255" s="362"/>
      <c r="AA1255" s="362"/>
      <c r="AB1255" s="362"/>
      <c r="AC1255" s="362"/>
      <c r="AD1255" s="362"/>
      <c r="AE1255" s="362"/>
      <c r="AF1255" s="362"/>
      <c r="AG1255" s="362"/>
      <c r="AH1255" s="362"/>
      <c r="AI1255" s="360"/>
      <c r="AJ1255" s="360"/>
      <c r="AK1255" s="362"/>
      <c r="AL1255" s="362"/>
      <c r="AM1255" s="362"/>
      <c r="AN1255" s="362"/>
      <c r="AO1255" s="362"/>
      <c r="AP1255" s="362"/>
      <c r="AQ1255" s="362"/>
      <c r="AR1255" s="362"/>
    </row>
    <row r="1256" spans="1:44" ht="12" customHeight="1" x14ac:dyDescent="0.15">
      <c r="A1256" s="447"/>
      <c r="B1256" s="393"/>
      <c r="C1256" s="428"/>
      <c r="D1256" s="428"/>
      <c r="E1256" s="224"/>
      <c r="F1256" s="224"/>
      <c r="G1256" s="224"/>
      <c r="H1256" s="224"/>
      <c r="I1256" s="224"/>
      <c r="J1256" s="224"/>
      <c r="Z1256" s="362"/>
      <c r="AA1256" s="362"/>
      <c r="AB1256" s="362"/>
      <c r="AC1256" s="362"/>
      <c r="AD1256" s="362"/>
      <c r="AE1256" s="362"/>
      <c r="AF1256" s="362"/>
      <c r="AG1256" s="362"/>
      <c r="AH1256" s="362"/>
      <c r="AI1256" s="360"/>
      <c r="AJ1256" s="360"/>
      <c r="AK1256" s="362"/>
      <c r="AL1256" s="362"/>
      <c r="AM1256" s="362"/>
      <c r="AN1256" s="362"/>
      <c r="AO1256" s="362"/>
      <c r="AP1256" s="362"/>
      <c r="AQ1256" s="362"/>
      <c r="AR1256" s="362"/>
    </row>
    <row r="1257" spans="1:44" ht="12" customHeight="1" x14ac:dyDescent="0.15">
      <c r="A1257" s="447"/>
      <c r="B1257" s="393"/>
      <c r="C1257" s="428"/>
      <c r="D1257" s="428"/>
      <c r="E1257" s="224"/>
      <c r="F1257" s="224"/>
      <c r="G1257" s="224"/>
      <c r="H1257" s="224"/>
      <c r="I1257" s="224"/>
      <c r="J1257" s="224"/>
      <c r="Z1257" s="362"/>
      <c r="AA1257" s="362"/>
      <c r="AB1257" s="362"/>
      <c r="AC1257" s="362"/>
      <c r="AD1257" s="362"/>
      <c r="AE1257" s="362"/>
      <c r="AF1257" s="362"/>
      <c r="AG1257" s="362"/>
      <c r="AH1257" s="362"/>
      <c r="AI1257" s="360"/>
      <c r="AJ1257" s="360"/>
      <c r="AK1257" s="362"/>
      <c r="AL1257" s="362"/>
      <c r="AM1257" s="362"/>
      <c r="AN1257" s="362"/>
      <c r="AO1257" s="362"/>
      <c r="AP1257" s="362"/>
      <c r="AQ1257" s="362"/>
      <c r="AR1257" s="362"/>
    </row>
    <row r="1258" spans="1:44" ht="12" customHeight="1" x14ac:dyDescent="0.15">
      <c r="A1258" s="447"/>
      <c r="B1258" s="393"/>
      <c r="C1258" s="428"/>
      <c r="D1258" s="428"/>
      <c r="E1258" s="224"/>
      <c r="F1258" s="224"/>
      <c r="G1258" s="224"/>
      <c r="H1258" s="224"/>
      <c r="I1258" s="224"/>
      <c r="J1258" s="224"/>
      <c r="Z1258" s="362"/>
      <c r="AA1258" s="362"/>
      <c r="AB1258" s="362"/>
      <c r="AC1258" s="362"/>
      <c r="AD1258" s="362"/>
      <c r="AE1258" s="362"/>
      <c r="AF1258" s="362"/>
      <c r="AG1258" s="362"/>
      <c r="AH1258" s="362"/>
      <c r="AI1258" s="360"/>
      <c r="AJ1258" s="360"/>
      <c r="AK1258" s="362"/>
      <c r="AL1258" s="362"/>
      <c r="AM1258" s="362"/>
      <c r="AN1258" s="362"/>
      <c r="AO1258" s="362"/>
      <c r="AP1258" s="362"/>
      <c r="AQ1258" s="362"/>
      <c r="AR1258" s="362"/>
    </row>
    <row r="1259" spans="1:44" ht="12" customHeight="1" x14ac:dyDescent="0.15">
      <c r="A1259" s="447"/>
      <c r="B1259" s="393"/>
      <c r="C1259" s="428"/>
      <c r="D1259" s="428"/>
      <c r="E1259" s="224"/>
      <c r="F1259" s="224"/>
      <c r="G1259" s="224"/>
      <c r="H1259" s="224"/>
      <c r="I1259" s="224"/>
      <c r="J1259" s="224"/>
      <c r="Z1259" s="362"/>
      <c r="AA1259" s="362"/>
      <c r="AB1259" s="362"/>
      <c r="AC1259" s="362"/>
      <c r="AD1259" s="362"/>
      <c r="AE1259" s="362"/>
      <c r="AF1259" s="362"/>
      <c r="AG1259" s="362"/>
      <c r="AH1259" s="362"/>
      <c r="AI1259" s="360"/>
      <c r="AJ1259" s="360"/>
      <c r="AK1259" s="362"/>
      <c r="AL1259" s="362"/>
      <c r="AM1259" s="362"/>
      <c r="AN1259" s="362"/>
      <c r="AO1259" s="362"/>
      <c r="AP1259" s="362"/>
      <c r="AQ1259" s="362"/>
      <c r="AR1259" s="362"/>
    </row>
    <row r="1260" spans="1:44" ht="12" customHeight="1" x14ac:dyDescent="0.15">
      <c r="A1260" s="447"/>
      <c r="B1260" s="393"/>
      <c r="C1260" s="428"/>
      <c r="D1260" s="428"/>
      <c r="E1260" s="224"/>
      <c r="F1260" s="224"/>
      <c r="G1260" s="224"/>
      <c r="H1260" s="224"/>
      <c r="I1260" s="224"/>
      <c r="J1260" s="224"/>
      <c r="Z1260" s="362"/>
      <c r="AA1260" s="362"/>
      <c r="AB1260" s="362"/>
      <c r="AC1260" s="362"/>
      <c r="AD1260" s="362"/>
      <c r="AE1260" s="362"/>
      <c r="AF1260" s="362"/>
      <c r="AG1260" s="362"/>
      <c r="AH1260" s="362"/>
      <c r="AI1260" s="360"/>
      <c r="AJ1260" s="360"/>
      <c r="AK1260" s="362"/>
      <c r="AL1260" s="362"/>
      <c r="AM1260" s="362"/>
      <c r="AN1260" s="362"/>
      <c r="AO1260" s="362"/>
      <c r="AP1260" s="362"/>
      <c r="AQ1260" s="362"/>
      <c r="AR1260" s="362"/>
    </row>
    <row r="1261" spans="1:44" ht="12" customHeight="1" x14ac:dyDescent="0.15">
      <c r="A1261" s="447"/>
      <c r="B1261" s="393"/>
      <c r="C1261" s="428"/>
      <c r="D1261" s="428"/>
      <c r="E1261" s="224"/>
      <c r="F1261" s="224"/>
      <c r="G1261" s="224"/>
      <c r="H1261" s="224"/>
      <c r="I1261" s="224"/>
      <c r="J1261" s="224"/>
      <c r="Z1261" s="362"/>
      <c r="AA1261" s="362"/>
      <c r="AB1261" s="362"/>
      <c r="AC1261" s="362"/>
      <c r="AD1261" s="362"/>
      <c r="AE1261" s="362"/>
      <c r="AF1261" s="362"/>
      <c r="AG1261" s="362"/>
      <c r="AH1261" s="362"/>
      <c r="AI1261" s="360"/>
      <c r="AJ1261" s="360"/>
      <c r="AK1261" s="362"/>
      <c r="AL1261" s="362"/>
      <c r="AM1261" s="362"/>
      <c r="AN1261" s="362"/>
      <c r="AO1261" s="362"/>
      <c r="AP1261" s="362"/>
      <c r="AQ1261" s="362"/>
      <c r="AR1261" s="362"/>
    </row>
    <row r="1262" spans="1:44" ht="12" customHeight="1" x14ac:dyDescent="0.15">
      <c r="A1262" s="447"/>
      <c r="B1262" s="393"/>
      <c r="C1262" s="428"/>
      <c r="D1262" s="428"/>
      <c r="E1262" s="224"/>
      <c r="F1262" s="224"/>
      <c r="G1262" s="224"/>
      <c r="H1262" s="224"/>
      <c r="I1262" s="224"/>
      <c r="J1262" s="224"/>
      <c r="Z1262" s="362"/>
      <c r="AA1262" s="362"/>
      <c r="AB1262" s="362"/>
      <c r="AC1262" s="362"/>
      <c r="AD1262" s="362"/>
      <c r="AE1262" s="362"/>
      <c r="AF1262" s="362"/>
      <c r="AG1262" s="362"/>
      <c r="AH1262" s="362"/>
      <c r="AI1262" s="360"/>
      <c r="AJ1262" s="360"/>
      <c r="AK1262" s="362"/>
      <c r="AL1262" s="362"/>
      <c r="AM1262" s="362"/>
      <c r="AN1262" s="362"/>
      <c r="AO1262" s="362"/>
      <c r="AP1262" s="362"/>
      <c r="AQ1262" s="362"/>
      <c r="AR1262" s="362"/>
    </row>
    <row r="1263" spans="1:44" ht="12" customHeight="1" x14ac:dyDescent="0.15">
      <c r="A1263" s="447"/>
      <c r="B1263" s="393"/>
      <c r="C1263" s="428"/>
      <c r="D1263" s="428"/>
      <c r="E1263" s="224"/>
      <c r="F1263" s="224"/>
      <c r="G1263" s="224"/>
      <c r="H1263" s="224"/>
      <c r="I1263" s="224"/>
      <c r="J1263" s="224"/>
      <c r="Z1263" s="362"/>
      <c r="AA1263" s="362"/>
      <c r="AB1263" s="362"/>
      <c r="AC1263" s="362"/>
      <c r="AD1263" s="362"/>
      <c r="AE1263" s="362"/>
      <c r="AF1263" s="362"/>
      <c r="AG1263" s="362"/>
      <c r="AH1263" s="362"/>
      <c r="AI1263" s="360"/>
      <c r="AJ1263" s="360"/>
      <c r="AK1263" s="362"/>
      <c r="AL1263" s="362"/>
      <c r="AM1263" s="362"/>
      <c r="AN1263" s="362"/>
      <c r="AO1263" s="362"/>
      <c r="AP1263" s="362"/>
      <c r="AQ1263" s="362"/>
      <c r="AR1263" s="362"/>
    </row>
    <row r="1264" spans="1:44" ht="12" customHeight="1" x14ac:dyDescent="0.15">
      <c r="A1264" s="447"/>
      <c r="B1264" s="393"/>
      <c r="C1264" s="428"/>
      <c r="D1264" s="428"/>
      <c r="E1264" s="224"/>
      <c r="F1264" s="224"/>
      <c r="G1264" s="224"/>
      <c r="H1264" s="224"/>
      <c r="I1264" s="224"/>
      <c r="J1264" s="224"/>
      <c r="Z1264" s="362"/>
      <c r="AA1264" s="362"/>
      <c r="AB1264" s="362"/>
      <c r="AC1264" s="362"/>
      <c r="AD1264" s="362"/>
      <c r="AE1264" s="362"/>
      <c r="AF1264" s="362"/>
      <c r="AG1264" s="362"/>
      <c r="AH1264" s="362"/>
      <c r="AI1264" s="360"/>
      <c r="AJ1264" s="360"/>
      <c r="AK1264" s="362"/>
      <c r="AL1264" s="362"/>
      <c r="AM1264" s="362"/>
      <c r="AN1264" s="362"/>
      <c r="AO1264" s="362"/>
      <c r="AP1264" s="362"/>
      <c r="AQ1264" s="362"/>
      <c r="AR1264" s="362"/>
    </row>
    <row r="1265" spans="1:44" ht="12" customHeight="1" x14ac:dyDescent="0.15">
      <c r="A1265" s="447"/>
      <c r="B1265" s="393"/>
      <c r="C1265" s="428"/>
      <c r="D1265" s="428"/>
      <c r="E1265" s="224"/>
      <c r="F1265" s="224"/>
      <c r="G1265" s="224"/>
      <c r="H1265" s="224"/>
      <c r="I1265" s="224"/>
      <c r="J1265" s="224"/>
      <c r="Z1265" s="362"/>
      <c r="AA1265" s="362"/>
      <c r="AB1265" s="362"/>
      <c r="AC1265" s="362"/>
      <c r="AD1265" s="362"/>
      <c r="AE1265" s="362"/>
      <c r="AF1265" s="362"/>
      <c r="AG1265" s="362"/>
      <c r="AH1265" s="362"/>
      <c r="AI1265" s="360"/>
      <c r="AJ1265" s="360"/>
      <c r="AK1265" s="362"/>
      <c r="AL1265" s="362"/>
      <c r="AM1265" s="362"/>
      <c r="AN1265" s="362"/>
      <c r="AO1265" s="362"/>
      <c r="AP1265" s="362"/>
      <c r="AQ1265" s="362"/>
      <c r="AR1265" s="362"/>
    </row>
    <row r="1266" spans="1:44" ht="12" customHeight="1" x14ac:dyDescent="0.15">
      <c r="A1266" s="447"/>
      <c r="B1266" s="393"/>
      <c r="C1266" s="428"/>
      <c r="D1266" s="428"/>
      <c r="E1266" s="224"/>
      <c r="F1266" s="224"/>
      <c r="G1266" s="224"/>
      <c r="H1266" s="224"/>
      <c r="I1266" s="224"/>
      <c r="J1266" s="224"/>
      <c r="Z1266" s="362"/>
      <c r="AA1266" s="362"/>
      <c r="AB1266" s="362"/>
      <c r="AC1266" s="362"/>
      <c r="AD1266" s="362"/>
      <c r="AE1266" s="362"/>
      <c r="AF1266" s="362"/>
      <c r="AG1266" s="362"/>
      <c r="AH1266" s="362"/>
      <c r="AI1266" s="360"/>
      <c r="AJ1266" s="360"/>
      <c r="AK1266" s="362"/>
      <c r="AL1266" s="362"/>
      <c r="AM1266" s="362"/>
      <c r="AN1266" s="362"/>
      <c r="AO1266" s="362"/>
      <c r="AP1266" s="362"/>
      <c r="AQ1266" s="362"/>
      <c r="AR1266" s="362"/>
    </row>
    <row r="1267" spans="1:44" ht="12" customHeight="1" x14ac:dyDescent="0.15">
      <c r="A1267" s="447"/>
      <c r="B1267" s="393"/>
      <c r="C1267" s="428"/>
      <c r="D1267" s="428"/>
      <c r="E1267" s="224"/>
      <c r="F1267" s="224"/>
      <c r="G1267" s="224"/>
      <c r="H1267" s="224"/>
      <c r="I1267" s="224"/>
      <c r="J1267" s="224"/>
      <c r="Z1267" s="362"/>
      <c r="AA1267" s="362"/>
      <c r="AB1267" s="362"/>
      <c r="AC1267" s="362"/>
      <c r="AD1267" s="362"/>
      <c r="AE1267" s="362"/>
      <c r="AF1267" s="362"/>
      <c r="AG1267" s="362"/>
      <c r="AH1267" s="362"/>
      <c r="AI1267" s="360"/>
      <c r="AJ1267" s="360"/>
      <c r="AK1267" s="362"/>
      <c r="AL1267" s="362"/>
      <c r="AM1267" s="362"/>
      <c r="AN1267" s="362"/>
      <c r="AO1267" s="362"/>
      <c r="AP1267" s="362"/>
      <c r="AQ1267" s="362"/>
      <c r="AR1267" s="362"/>
    </row>
    <row r="1268" spans="1:44" ht="12" customHeight="1" x14ac:dyDescent="0.15">
      <c r="A1268" s="447"/>
      <c r="B1268" s="393"/>
      <c r="C1268" s="428"/>
      <c r="D1268" s="428"/>
      <c r="E1268" s="224"/>
      <c r="F1268" s="224"/>
      <c r="G1268" s="224"/>
      <c r="H1268" s="224"/>
      <c r="I1268" s="224"/>
      <c r="J1268" s="224"/>
      <c r="Z1268" s="362"/>
      <c r="AA1268" s="362"/>
      <c r="AB1268" s="362"/>
      <c r="AC1268" s="362"/>
      <c r="AD1268" s="362"/>
      <c r="AE1268" s="362"/>
      <c r="AF1268" s="362"/>
      <c r="AG1268" s="362"/>
      <c r="AH1268" s="362"/>
      <c r="AI1268" s="360"/>
      <c r="AJ1268" s="360"/>
      <c r="AK1268" s="362"/>
      <c r="AL1268" s="362"/>
      <c r="AM1268" s="362"/>
      <c r="AN1268" s="362"/>
      <c r="AO1268" s="362"/>
      <c r="AP1268" s="362"/>
      <c r="AQ1268" s="362"/>
      <c r="AR1268" s="362"/>
    </row>
    <row r="1269" spans="1:44" ht="12" customHeight="1" x14ac:dyDescent="0.15">
      <c r="A1269" s="447"/>
      <c r="B1269" s="393"/>
      <c r="C1269" s="428"/>
      <c r="D1269" s="428"/>
      <c r="E1269" s="224"/>
      <c r="F1269" s="224"/>
      <c r="G1269" s="224"/>
      <c r="H1269" s="224"/>
      <c r="I1269" s="224"/>
      <c r="J1269" s="224"/>
      <c r="Z1269" s="362"/>
      <c r="AA1269" s="362"/>
      <c r="AB1269" s="362"/>
      <c r="AC1269" s="362"/>
      <c r="AD1269" s="362"/>
      <c r="AE1269" s="362"/>
      <c r="AF1269" s="362"/>
      <c r="AG1269" s="362"/>
      <c r="AH1269" s="362"/>
      <c r="AI1269" s="360"/>
      <c r="AJ1269" s="360"/>
      <c r="AK1269" s="362"/>
      <c r="AL1269" s="362"/>
      <c r="AM1269" s="362"/>
      <c r="AN1269" s="362"/>
      <c r="AO1269" s="362"/>
      <c r="AP1269" s="362"/>
      <c r="AQ1269" s="362"/>
      <c r="AR1269" s="362"/>
    </row>
    <row r="1270" spans="1:44" ht="12" customHeight="1" x14ac:dyDescent="0.15">
      <c r="A1270" s="447"/>
      <c r="B1270" s="393"/>
      <c r="C1270" s="428"/>
      <c r="D1270" s="428"/>
      <c r="E1270" s="224"/>
      <c r="F1270" s="224"/>
      <c r="G1270" s="224"/>
      <c r="H1270" s="224"/>
      <c r="I1270" s="224"/>
      <c r="J1270" s="224"/>
      <c r="Z1270" s="362"/>
      <c r="AA1270" s="362"/>
      <c r="AB1270" s="362"/>
      <c r="AC1270" s="362"/>
      <c r="AD1270" s="362"/>
      <c r="AE1270" s="362"/>
      <c r="AF1270" s="362"/>
      <c r="AG1270" s="362"/>
      <c r="AH1270" s="362"/>
      <c r="AI1270" s="360"/>
      <c r="AJ1270" s="360"/>
      <c r="AK1270" s="362"/>
      <c r="AL1270" s="362"/>
      <c r="AM1270" s="362"/>
      <c r="AN1270" s="362"/>
      <c r="AO1270" s="362"/>
      <c r="AP1270" s="362"/>
      <c r="AQ1270" s="362"/>
      <c r="AR1270" s="362"/>
    </row>
    <row r="1271" spans="1:44" ht="12" customHeight="1" x14ac:dyDescent="0.15">
      <c r="A1271" s="447"/>
      <c r="B1271" s="393"/>
      <c r="C1271" s="428"/>
      <c r="D1271" s="428"/>
      <c r="E1271" s="224"/>
      <c r="F1271" s="224"/>
      <c r="G1271" s="224"/>
      <c r="H1271" s="224"/>
      <c r="I1271" s="224"/>
      <c r="J1271" s="224"/>
      <c r="Z1271" s="362"/>
      <c r="AA1271" s="362"/>
      <c r="AB1271" s="362"/>
      <c r="AC1271" s="362"/>
      <c r="AD1271" s="362"/>
      <c r="AE1271" s="362"/>
      <c r="AF1271" s="362"/>
      <c r="AG1271" s="362"/>
      <c r="AH1271" s="362"/>
      <c r="AI1271" s="360"/>
      <c r="AJ1271" s="360"/>
      <c r="AK1271" s="362"/>
      <c r="AL1271" s="362"/>
      <c r="AM1271" s="362"/>
      <c r="AN1271" s="362"/>
      <c r="AO1271" s="362"/>
      <c r="AP1271" s="362"/>
      <c r="AQ1271" s="362"/>
      <c r="AR1271" s="362"/>
    </row>
    <row r="1272" spans="1:44" ht="12" customHeight="1" x14ac:dyDescent="0.15">
      <c r="A1272" s="447"/>
      <c r="B1272" s="393"/>
      <c r="C1272" s="428"/>
      <c r="D1272" s="428"/>
      <c r="E1272" s="224"/>
      <c r="F1272" s="224"/>
      <c r="G1272" s="224"/>
      <c r="H1272" s="224"/>
      <c r="I1272" s="224"/>
      <c r="J1272" s="224"/>
      <c r="Z1272" s="362"/>
      <c r="AA1272" s="362"/>
      <c r="AB1272" s="362"/>
      <c r="AC1272" s="362"/>
      <c r="AD1272" s="362"/>
      <c r="AE1272" s="362"/>
      <c r="AF1272" s="362"/>
      <c r="AG1272" s="362"/>
      <c r="AH1272" s="362"/>
      <c r="AI1272" s="360"/>
      <c r="AJ1272" s="360"/>
      <c r="AK1272" s="362"/>
      <c r="AL1272" s="362"/>
      <c r="AM1272" s="362"/>
      <c r="AN1272" s="362"/>
      <c r="AO1272" s="362"/>
      <c r="AP1272" s="362"/>
      <c r="AQ1272" s="362"/>
      <c r="AR1272" s="362"/>
    </row>
    <row r="1273" spans="1:44" ht="12" customHeight="1" x14ac:dyDescent="0.15">
      <c r="A1273" s="447"/>
      <c r="B1273" s="393"/>
      <c r="C1273" s="428"/>
      <c r="D1273" s="428"/>
      <c r="E1273" s="224"/>
      <c r="F1273" s="224"/>
      <c r="G1273" s="224"/>
      <c r="H1273" s="224"/>
      <c r="I1273" s="224"/>
      <c r="J1273" s="224"/>
      <c r="Z1273" s="362"/>
      <c r="AA1273" s="362"/>
      <c r="AB1273" s="362"/>
      <c r="AC1273" s="362"/>
      <c r="AD1273" s="362"/>
      <c r="AE1273" s="362"/>
      <c r="AF1273" s="362"/>
      <c r="AG1273" s="362"/>
      <c r="AH1273" s="362"/>
      <c r="AI1273" s="360"/>
      <c r="AJ1273" s="360"/>
      <c r="AK1273" s="362"/>
      <c r="AL1273" s="362"/>
      <c r="AM1273" s="362"/>
      <c r="AN1273" s="362"/>
      <c r="AO1273" s="362"/>
      <c r="AP1273" s="362"/>
      <c r="AQ1273" s="362"/>
      <c r="AR1273" s="362"/>
    </row>
    <row r="1274" spans="1:44" ht="12" customHeight="1" x14ac:dyDescent="0.15">
      <c r="A1274" s="447"/>
      <c r="B1274" s="393"/>
      <c r="C1274" s="428"/>
      <c r="D1274" s="428"/>
      <c r="E1274" s="224"/>
      <c r="F1274" s="224"/>
      <c r="G1274" s="224"/>
      <c r="H1274" s="224"/>
      <c r="I1274" s="224"/>
      <c r="J1274" s="224"/>
      <c r="Z1274" s="362"/>
      <c r="AA1274" s="362"/>
      <c r="AB1274" s="362"/>
      <c r="AC1274" s="362"/>
      <c r="AD1274" s="362"/>
      <c r="AE1274" s="362"/>
      <c r="AF1274" s="362"/>
      <c r="AG1274" s="362"/>
      <c r="AH1274" s="362"/>
      <c r="AI1274" s="360"/>
      <c r="AJ1274" s="360"/>
      <c r="AK1274" s="362"/>
      <c r="AL1274" s="362"/>
      <c r="AM1274" s="362"/>
      <c r="AN1274" s="362"/>
      <c r="AO1274" s="362"/>
      <c r="AP1274" s="362"/>
      <c r="AQ1274" s="362"/>
      <c r="AR1274" s="362"/>
    </row>
    <row r="1275" spans="1:44" ht="12" customHeight="1" x14ac:dyDescent="0.15">
      <c r="A1275" s="447"/>
      <c r="B1275" s="393"/>
      <c r="C1275" s="428"/>
      <c r="D1275" s="428"/>
      <c r="E1275" s="224"/>
      <c r="F1275" s="224"/>
      <c r="G1275" s="224"/>
      <c r="H1275" s="224"/>
      <c r="I1275" s="224"/>
      <c r="J1275" s="224"/>
      <c r="Z1275" s="362"/>
      <c r="AA1275" s="362"/>
      <c r="AB1275" s="362"/>
      <c r="AC1275" s="362"/>
      <c r="AD1275" s="362"/>
      <c r="AE1275" s="362"/>
      <c r="AF1275" s="362"/>
      <c r="AG1275" s="362"/>
      <c r="AH1275" s="362"/>
      <c r="AI1275" s="360"/>
      <c r="AJ1275" s="360"/>
      <c r="AK1275" s="362"/>
      <c r="AL1275" s="362"/>
      <c r="AM1275" s="362"/>
      <c r="AN1275" s="362"/>
      <c r="AO1275" s="362"/>
      <c r="AP1275" s="362"/>
      <c r="AQ1275" s="362"/>
      <c r="AR1275" s="362"/>
    </row>
    <row r="1276" spans="1:44" ht="12" customHeight="1" x14ac:dyDescent="0.15">
      <c r="A1276" s="447"/>
      <c r="B1276" s="393"/>
      <c r="C1276" s="428"/>
      <c r="D1276" s="428"/>
      <c r="E1276" s="224"/>
      <c r="F1276" s="224"/>
      <c r="G1276" s="224"/>
      <c r="H1276" s="224"/>
      <c r="I1276" s="224"/>
      <c r="J1276" s="224"/>
      <c r="Z1276" s="362"/>
      <c r="AA1276" s="362"/>
      <c r="AB1276" s="362"/>
      <c r="AC1276" s="362"/>
      <c r="AD1276" s="362"/>
      <c r="AE1276" s="362"/>
      <c r="AF1276" s="362"/>
      <c r="AG1276" s="362"/>
      <c r="AH1276" s="362"/>
      <c r="AI1276" s="360"/>
      <c r="AJ1276" s="360"/>
      <c r="AK1276" s="362"/>
      <c r="AL1276" s="362"/>
      <c r="AM1276" s="362"/>
      <c r="AN1276" s="362"/>
      <c r="AO1276" s="362"/>
      <c r="AP1276" s="362"/>
      <c r="AQ1276" s="362"/>
      <c r="AR1276" s="362"/>
    </row>
    <row r="1277" spans="1:44" ht="12" customHeight="1" x14ac:dyDescent="0.15">
      <c r="A1277" s="447"/>
      <c r="B1277" s="393"/>
      <c r="C1277" s="428"/>
      <c r="D1277" s="428"/>
      <c r="E1277" s="224"/>
      <c r="F1277" s="224"/>
      <c r="G1277" s="224"/>
      <c r="H1277" s="224"/>
      <c r="I1277" s="224"/>
      <c r="J1277" s="224"/>
      <c r="Z1277" s="362"/>
      <c r="AA1277" s="362"/>
      <c r="AB1277" s="362"/>
      <c r="AC1277" s="362"/>
      <c r="AD1277" s="362"/>
      <c r="AE1277" s="362"/>
      <c r="AF1277" s="362"/>
      <c r="AG1277" s="362"/>
      <c r="AH1277" s="362"/>
      <c r="AI1277" s="360"/>
      <c r="AJ1277" s="360"/>
      <c r="AK1277" s="362"/>
      <c r="AL1277" s="362"/>
      <c r="AM1277" s="362"/>
      <c r="AN1277" s="362"/>
      <c r="AO1277" s="362"/>
      <c r="AP1277" s="362"/>
      <c r="AQ1277" s="362"/>
      <c r="AR1277" s="362"/>
    </row>
    <row r="1278" spans="1:44" ht="12" customHeight="1" x14ac:dyDescent="0.15">
      <c r="A1278" s="447"/>
      <c r="B1278" s="393"/>
      <c r="C1278" s="428"/>
      <c r="D1278" s="428"/>
      <c r="E1278" s="224"/>
      <c r="F1278" s="224"/>
      <c r="G1278" s="224"/>
      <c r="H1278" s="224"/>
      <c r="I1278" s="224"/>
      <c r="J1278" s="224"/>
      <c r="Z1278" s="362"/>
      <c r="AA1278" s="362"/>
      <c r="AB1278" s="362"/>
      <c r="AC1278" s="362"/>
      <c r="AD1278" s="362"/>
      <c r="AE1278" s="362"/>
      <c r="AF1278" s="362"/>
      <c r="AG1278" s="362"/>
      <c r="AH1278" s="362"/>
      <c r="AI1278" s="360"/>
      <c r="AJ1278" s="360"/>
      <c r="AK1278" s="362"/>
      <c r="AL1278" s="362"/>
      <c r="AM1278" s="362"/>
      <c r="AN1278" s="362"/>
      <c r="AO1278" s="362"/>
      <c r="AP1278" s="362"/>
      <c r="AQ1278" s="362"/>
      <c r="AR1278" s="362"/>
    </row>
    <row r="1279" spans="1:44" ht="12" customHeight="1" x14ac:dyDescent="0.15">
      <c r="A1279" s="447"/>
      <c r="B1279" s="393"/>
      <c r="C1279" s="428"/>
      <c r="D1279" s="428"/>
      <c r="E1279" s="224"/>
      <c r="F1279" s="224"/>
      <c r="G1279" s="224"/>
      <c r="H1279" s="224"/>
      <c r="I1279" s="224"/>
      <c r="J1279" s="224"/>
      <c r="Z1279" s="362"/>
      <c r="AA1279" s="362"/>
      <c r="AB1279" s="362"/>
      <c r="AC1279" s="362"/>
      <c r="AD1279" s="362"/>
      <c r="AE1279" s="362"/>
      <c r="AF1279" s="362"/>
      <c r="AG1279" s="362"/>
      <c r="AH1279" s="362"/>
      <c r="AI1279" s="360"/>
      <c r="AJ1279" s="360"/>
      <c r="AK1279" s="362"/>
      <c r="AL1279" s="362"/>
      <c r="AM1279" s="362"/>
      <c r="AN1279" s="362"/>
      <c r="AO1279" s="362"/>
      <c r="AP1279" s="362"/>
      <c r="AQ1279" s="362"/>
      <c r="AR1279" s="362"/>
    </row>
    <row r="1280" spans="1:44" ht="12" customHeight="1" x14ac:dyDescent="0.15">
      <c r="A1280" s="447"/>
      <c r="B1280" s="393"/>
      <c r="C1280" s="428"/>
      <c r="D1280" s="428"/>
      <c r="E1280" s="224"/>
      <c r="F1280" s="224"/>
      <c r="G1280" s="224"/>
      <c r="H1280" s="224"/>
      <c r="I1280" s="224"/>
      <c r="J1280" s="224"/>
      <c r="Z1280" s="362"/>
      <c r="AA1280" s="362"/>
      <c r="AB1280" s="362"/>
      <c r="AC1280" s="362"/>
      <c r="AD1280" s="362"/>
      <c r="AE1280" s="362"/>
      <c r="AF1280" s="362"/>
      <c r="AG1280" s="362"/>
      <c r="AH1280" s="362"/>
      <c r="AI1280" s="360"/>
      <c r="AJ1280" s="360"/>
      <c r="AK1280" s="362"/>
      <c r="AL1280" s="362"/>
      <c r="AM1280" s="362"/>
      <c r="AN1280" s="362"/>
      <c r="AO1280" s="362"/>
      <c r="AP1280" s="362"/>
      <c r="AQ1280" s="362"/>
      <c r="AR1280" s="362"/>
    </row>
    <row r="1281" spans="1:44" ht="12" customHeight="1" x14ac:dyDescent="0.15">
      <c r="A1281" s="447"/>
      <c r="B1281" s="393"/>
      <c r="C1281" s="428"/>
      <c r="D1281" s="428"/>
      <c r="E1281" s="224"/>
      <c r="F1281" s="224"/>
      <c r="G1281" s="224"/>
      <c r="H1281" s="224"/>
      <c r="I1281" s="224"/>
      <c r="J1281" s="224"/>
      <c r="Z1281" s="362"/>
      <c r="AA1281" s="362"/>
      <c r="AB1281" s="362"/>
      <c r="AC1281" s="362"/>
      <c r="AD1281" s="362"/>
      <c r="AE1281" s="362"/>
      <c r="AF1281" s="362"/>
      <c r="AG1281" s="362"/>
      <c r="AH1281" s="362"/>
      <c r="AI1281" s="360"/>
      <c r="AJ1281" s="360"/>
      <c r="AK1281" s="362"/>
      <c r="AL1281" s="362"/>
      <c r="AM1281" s="362"/>
      <c r="AN1281" s="362"/>
      <c r="AO1281" s="362"/>
      <c r="AP1281" s="362"/>
      <c r="AQ1281" s="362"/>
      <c r="AR1281" s="362"/>
    </row>
    <row r="1282" spans="1:44" ht="12" customHeight="1" x14ac:dyDescent="0.15">
      <c r="A1282" s="447"/>
      <c r="B1282" s="393"/>
      <c r="C1282" s="428"/>
      <c r="D1282" s="428"/>
      <c r="E1282" s="224"/>
      <c r="F1282" s="224"/>
      <c r="G1282" s="224"/>
      <c r="H1282" s="224"/>
      <c r="I1282" s="224"/>
      <c r="J1282" s="224"/>
      <c r="Z1282" s="362"/>
      <c r="AA1282" s="362"/>
      <c r="AB1282" s="362"/>
      <c r="AC1282" s="362"/>
      <c r="AD1282" s="362"/>
      <c r="AE1282" s="362"/>
      <c r="AF1282" s="362"/>
      <c r="AG1282" s="362"/>
      <c r="AH1282" s="362"/>
      <c r="AI1282" s="360"/>
      <c r="AJ1282" s="360"/>
      <c r="AK1282" s="362"/>
      <c r="AL1282" s="362"/>
      <c r="AM1282" s="362"/>
      <c r="AN1282" s="362"/>
      <c r="AO1282" s="362"/>
      <c r="AP1282" s="362"/>
      <c r="AQ1282" s="362"/>
      <c r="AR1282" s="362"/>
    </row>
    <row r="1283" spans="1:44" ht="12" customHeight="1" x14ac:dyDescent="0.15">
      <c r="A1283" s="447"/>
      <c r="B1283" s="393"/>
      <c r="C1283" s="428"/>
      <c r="D1283" s="428"/>
      <c r="E1283" s="224"/>
      <c r="F1283" s="224"/>
      <c r="G1283" s="224"/>
      <c r="H1283" s="224"/>
      <c r="I1283" s="224"/>
      <c r="J1283" s="224"/>
      <c r="Z1283" s="362"/>
      <c r="AA1283" s="362"/>
      <c r="AB1283" s="362"/>
      <c r="AC1283" s="362"/>
      <c r="AD1283" s="362"/>
      <c r="AE1283" s="362"/>
      <c r="AF1283" s="362"/>
      <c r="AG1283" s="362"/>
      <c r="AH1283" s="362"/>
      <c r="AI1283" s="360"/>
      <c r="AJ1283" s="360"/>
      <c r="AK1283" s="362"/>
      <c r="AL1283" s="362"/>
      <c r="AM1283" s="362"/>
      <c r="AN1283" s="362"/>
      <c r="AO1283" s="362"/>
      <c r="AP1283" s="362"/>
      <c r="AQ1283" s="362"/>
      <c r="AR1283" s="362"/>
    </row>
    <row r="1284" spans="1:44" ht="12" customHeight="1" x14ac:dyDescent="0.15">
      <c r="A1284" s="447"/>
      <c r="B1284" s="393"/>
      <c r="C1284" s="428"/>
      <c r="D1284" s="428"/>
      <c r="E1284" s="224"/>
      <c r="F1284" s="224"/>
      <c r="G1284" s="224"/>
      <c r="H1284" s="224"/>
      <c r="I1284" s="224"/>
      <c r="J1284" s="224"/>
      <c r="Z1284" s="362"/>
      <c r="AA1284" s="362"/>
      <c r="AB1284" s="362"/>
      <c r="AC1284" s="362"/>
      <c r="AD1284" s="362"/>
      <c r="AE1284" s="362"/>
      <c r="AF1284" s="362"/>
      <c r="AG1284" s="362"/>
      <c r="AH1284" s="362"/>
      <c r="AI1284" s="360"/>
      <c r="AJ1284" s="360"/>
      <c r="AK1284" s="362"/>
      <c r="AL1284" s="362"/>
      <c r="AM1284" s="362"/>
      <c r="AN1284" s="362"/>
      <c r="AO1284" s="362"/>
      <c r="AP1284" s="362"/>
      <c r="AQ1284" s="362"/>
      <c r="AR1284" s="362"/>
    </row>
    <row r="1285" spans="1:44" ht="12" customHeight="1" x14ac:dyDescent="0.15">
      <c r="A1285" s="447"/>
      <c r="B1285" s="393"/>
      <c r="C1285" s="428"/>
      <c r="D1285" s="428"/>
      <c r="E1285" s="224"/>
      <c r="F1285" s="224"/>
      <c r="G1285" s="224"/>
      <c r="H1285" s="224"/>
      <c r="I1285" s="224"/>
      <c r="J1285" s="224"/>
      <c r="Z1285" s="362"/>
      <c r="AA1285" s="362"/>
      <c r="AB1285" s="362"/>
      <c r="AC1285" s="362"/>
      <c r="AD1285" s="362"/>
      <c r="AE1285" s="362"/>
      <c r="AF1285" s="362"/>
      <c r="AG1285" s="362"/>
      <c r="AH1285" s="362"/>
      <c r="AI1285" s="360"/>
      <c r="AJ1285" s="360"/>
      <c r="AK1285" s="362"/>
      <c r="AL1285" s="362"/>
      <c r="AM1285" s="362"/>
      <c r="AN1285" s="362"/>
      <c r="AO1285" s="362"/>
      <c r="AP1285" s="362"/>
      <c r="AQ1285" s="362"/>
      <c r="AR1285" s="362"/>
    </row>
    <row r="1286" spans="1:44" ht="12" customHeight="1" x14ac:dyDescent="0.15">
      <c r="A1286" s="447"/>
      <c r="B1286" s="393"/>
      <c r="C1286" s="428"/>
      <c r="D1286" s="428"/>
      <c r="E1286" s="224"/>
      <c r="F1286" s="224"/>
      <c r="G1286" s="224"/>
      <c r="H1286" s="224"/>
      <c r="I1286" s="224"/>
      <c r="J1286" s="224"/>
      <c r="Z1286" s="362"/>
      <c r="AA1286" s="362"/>
      <c r="AB1286" s="362"/>
      <c r="AC1286" s="362"/>
      <c r="AD1286" s="362"/>
      <c r="AE1286" s="362"/>
      <c r="AF1286" s="362"/>
      <c r="AG1286" s="362"/>
      <c r="AH1286" s="362"/>
      <c r="AI1286" s="360"/>
      <c r="AJ1286" s="360"/>
      <c r="AK1286" s="362"/>
      <c r="AL1286" s="362"/>
      <c r="AM1286" s="362"/>
      <c r="AN1286" s="362"/>
      <c r="AO1286" s="362"/>
      <c r="AP1286" s="362"/>
      <c r="AQ1286" s="362"/>
      <c r="AR1286" s="362"/>
    </row>
    <row r="1287" spans="1:44" ht="12" customHeight="1" x14ac:dyDescent="0.15">
      <c r="A1287" s="447"/>
      <c r="B1287" s="393"/>
      <c r="C1287" s="428"/>
      <c r="D1287" s="428"/>
      <c r="E1287" s="224"/>
      <c r="F1287" s="224"/>
      <c r="G1287" s="224"/>
      <c r="H1287" s="224"/>
      <c r="I1287" s="224"/>
      <c r="J1287" s="224"/>
      <c r="Z1287" s="362"/>
      <c r="AA1287" s="362"/>
      <c r="AB1287" s="362"/>
      <c r="AC1287" s="362"/>
      <c r="AD1287" s="362"/>
      <c r="AE1287" s="362"/>
      <c r="AF1287" s="362"/>
      <c r="AG1287" s="362"/>
      <c r="AH1287" s="362"/>
      <c r="AI1287" s="360"/>
      <c r="AJ1287" s="360"/>
      <c r="AK1287" s="362"/>
      <c r="AL1287" s="362"/>
      <c r="AM1287" s="362"/>
      <c r="AN1287" s="362"/>
      <c r="AO1287" s="362"/>
      <c r="AP1287" s="362"/>
      <c r="AQ1287" s="362"/>
      <c r="AR1287" s="362"/>
    </row>
    <row r="1288" spans="1:44" ht="12" customHeight="1" x14ac:dyDescent="0.15">
      <c r="A1288" s="447"/>
      <c r="B1288" s="393"/>
      <c r="C1288" s="428"/>
      <c r="D1288" s="428"/>
      <c r="E1288" s="224"/>
      <c r="F1288" s="224"/>
      <c r="G1288" s="224"/>
      <c r="H1288" s="224"/>
      <c r="I1288" s="224"/>
      <c r="J1288" s="224"/>
      <c r="Z1288" s="362"/>
      <c r="AA1288" s="362"/>
      <c r="AB1288" s="362"/>
      <c r="AC1288" s="362"/>
      <c r="AD1288" s="362"/>
      <c r="AE1288" s="362"/>
      <c r="AF1288" s="362"/>
      <c r="AG1288" s="362"/>
      <c r="AH1288" s="362"/>
      <c r="AI1288" s="360"/>
      <c r="AJ1288" s="360"/>
      <c r="AK1288" s="362"/>
      <c r="AL1288" s="362"/>
      <c r="AM1288" s="362"/>
      <c r="AN1288" s="362"/>
      <c r="AO1288" s="362"/>
      <c r="AP1288" s="362"/>
      <c r="AQ1288" s="362"/>
      <c r="AR1288" s="362"/>
    </row>
    <row r="1289" spans="1:44" ht="12" customHeight="1" x14ac:dyDescent="0.15">
      <c r="A1289" s="447"/>
      <c r="B1289" s="393"/>
      <c r="C1289" s="428"/>
      <c r="D1289" s="428"/>
      <c r="E1289" s="224"/>
      <c r="F1289" s="224"/>
      <c r="G1289" s="224"/>
      <c r="H1289" s="224"/>
      <c r="I1289" s="224"/>
      <c r="J1289" s="224"/>
      <c r="Z1289" s="362"/>
      <c r="AA1289" s="362"/>
      <c r="AB1289" s="362"/>
      <c r="AC1289" s="362"/>
      <c r="AD1289" s="362"/>
      <c r="AE1289" s="362"/>
      <c r="AF1289" s="362"/>
      <c r="AG1289" s="362"/>
      <c r="AH1289" s="362"/>
      <c r="AI1289" s="360"/>
      <c r="AJ1289" s="360"/>
      <c r="AK1289" s="362"/>
      <c r="AL1289" s="362"/>
      <c r="AM1289" s="362"/>
      <c r="AN1289" s="362"/>
      <c r="AO1289" s="362"/>
      <c r="AP1289" s="362"/>
      <c r="AQ1289" s="362"/>
      <c r="AR1289" s="362"/>
    </row>
    <row r="1290" spans="1:44" ht="12" customHeight="1" x14ac:dyDescent="0.15">
      <c r="A1290" s="447"/>
      <c r="B1290" s="393"/>
      <c r="C1290" s="428"/>
      <c r="D1290" s="428"/>
      <c r="E1290" s="224"/>
      <c r="F1290" s="224"/>
      <c r="G1290" s="224"/>
      <c r="H1290" s="224"/>
      <c r="I1290" s="224"/>
      <c r="J1290" s="224"/>
      <c r="Z1290" s="362"/>
      <c r="AA1290" s="362"/>
      <c r="AB1290" s="362"/>
      <c r="AC1290" s="362"/>
      <c r="AD1290" s="362"/>
      <c r="AE1290" s="362"/>
      <c r="AF1290" s="362"/>
      <c r="AG1290" s="362"/>
      <c r="AH1290" s="362"/>
      <c r="AI1290" s="360"/>
      <c r="AJ1290" s="360"/>
      <c r="AK1290" s="362"/>
      <c r="AL1290" s="362"/>
      <c r="AM1290" s="362"/>
      <c r="AN1290" s="362"/>
      <c r="AO1290" s="362"/>
      <c r="AP1290" s="362"/>
      <c r="AQ1290" s="362"/>
      <c r="AR1290" s="362"/>
    </row>
    <row r="1291" spans="1:44" ht="12" customHeight="1" x14ac:dyDescent="0.15">
      <c r="A1291" s="447"/>
      <c r="B1291" s="393"/>
      <c r="C1291" s="428"/>
      <c r="D1291" s="428"/>
      <c r="E1291" s="224"/>
      <c r="F1291" s="224"/>
      <c r="G1291" s="224"/>
      <c r="H1291" s="224"/>
      <c r="I1291" s="224"/>
      <c r="J1291" s="224"/>
      <c r="Z1291" s="362"/>
      <c r="AA1291" s="362"/>
      <c r="AB1291" s="362"/>
      <c r="AC1291" s="362"/>
      <c r="AD1291" s="362"/>
      <c r="AE1291" s="362"/>
      <c r="AF1291" s="362"/>
      <c r="AG1291" s="362"/>
      <c r="AH1291" s="362"/>
      <c r="AI1291" s="360"/>
      <c r="AJ1291" s="360"/>
      <c r="AK1291" s="362"/>
      <c r="AL1291" s="362"/>
      <c r="AM1291" s="362"/>
      <c r="AN1291" s="362"/>
      <c r="AO1291" s="362"/>
      <c r="AP1291" s="362"/>
      <c r="AQ1291" s="362"/>
      <c r="AR1291" s="362"/>
    </row>
    <row r="1292" spans="1:44" ht="12" customHeight="1" x14ac:dyDescent="0.15">
      <c r="A1292" s="447"/>
      <c r="B1292" s="393"/>
      <c r="C1292" s="428"/>
      <c r="D1292" s="428"/>
      <c r="E1292" s="224"/>
      <c r="F1292" s="224"/>
      <c r="G1292" s="224"/>
      <c r="H1292" s="224"/>
      <c r="I1292" s="224"/>
      <c r="J1292" s="224"/>
      <c r="Z1292" s="362"/>
      <c r="AA1292" s="362"/>
      <c r="AB1292" s="362"/>
      <c r="AC1292" s="362"/>
      <c r="AD1292" s="362"/>
      <c r="AE1292" s="362"/>
      <c r="AF1292" s="362"/>
      <c r="AG1292" s="362"/>
      <c r="AH1292" s="362"/>
      <c r="AI1292" s="360"/>
      <c r="AJ1292" s="360"/>
      <c r="AK1292" s="362"/>
      <c r="AL1292" s="362"/>
      <c r="AM1292" s="362"/>
      <c r="AN1292" s="362"/>
      <c r="AO1292" s="362"/>
      <c r="AP1292" s="362"/>
      <c r="AQ1292" s="362"/>
      <c r="AR1292" s="362"/>
    </row>
    <row r="1293" spans="1:44" ht="12" customHeight="1" x14ac:dyDescent="0.15">
      <c r="A1293" s="447"/>
      <c r="B1293" s="393"/>
      <c r="C1293" s="428"/>
      <c r="D1293" s="428"/>
      <c r="E1293" s="224"/>
      <c r="F1293" s="224"/>
      <c r="G1293" s="224"/>
      <c r="H1293" s="224"/>
      <c r="I1293" s="224"/>
      <c r="J1293" s="224"/>
      <c r="Z1293" s="362"/>
      <c r="AA1293" s="362"/>
      <c r="AB1293" s="362"/>
      <c r="AC1293" s="362"/>
      <c r="AD1293" s="362"/>
      <c r="AE1293" s="362"/>
      <c r="AF1293" s="362"/>
      <c r="AG1293" s="362"/>
      <c r="AH1293" s="362"/>
      <c r="AI1293" s="360"/>
      <c r="AJ1293" s="360"/>
      <c r="AK1293" s="362"/>
      <c r="AL1293" s="362"/>
      <c r="AM1293" s="362"/>
      <c r="AN1293" s="362"/>
      <c r="AO1293" s="362"/>
      <c r="AP1293" s="362"/>
      <c r="AQ1293" s="362"/>
      <c r="AR1293" s="362"/>
    </row>
    <row r="1294" spans="1:44" ht="12" customHeight="1" x14ac:dyDescent="0.15">
      <c r="A1294" s="447"/>
      <c r="B1294" s="393"/>
      <c r="C1294" s="428"/>
      <c r="D1294" s="428"/>
      <c r="E1294" s="224"/>
      <c r="F1294" s="224"/>
      <c r="G1294" s="224"/>
      <c r="H1294" s="224"/>
      <c r="I1294" s="224"/>
      <c r="J1294" s="224"/>
      <c r="Z1294" s="362"/>
      <c r="AA1294" s="362"/>
      <c r="AB1294" s="362"/>
      <c r="AC1294" s="362"/>
      <c r="AD1294" s="362"/>
      <c r="AE1294" s="362"/>
      <c r="AF1294" s="362"/>
      <c r="AG1294" s="362"/>
      <c r="AH1294" s="362"/>
      <c r="AI1294" s="360"/>
      <c r="AJ1294" s="360"/>
      <c r="AK1294" s="362"/>
      <c r="AL1294" s="362"/>
      <c r="AM1294" s="362"/>
      <c r="AN1294" s="362"/>
      <c r="AO1294" s="362"/>
      <c r="AP1294" s="362"/>
      <c r="AQ1294" s="362"/>
      <c r="AR1294" s="362"/>
    </row>
    <row r="1295" spans="1:44" ht="12" customHeight="1" x14ac:dyDescent="0.15">
      <c r="A1295" s="447"/>
      <c r="B1295" s="393"/>
      <c r="C1295" s="428"/>
      <c r="D1295" s="428"/>
      <c r="E1295" s="224"/>
      <c r="F1295" s="224"/>
      <c r="G1295" s="224"/>
      <c r="H1295" s="224"/>
      <c r="I1295" s="224"/>
      <c r="J1295" s="224"/>
      <c r="Z1295" s="362"/>
      <c r="AA1295" s="362"/>
      <c r="AB1295" s="362"/>
      <c r="AC1295" s="362"/>
      <c r="AD1295" s="362"/>
      <c r="AE1295" s="362"/>
      <c r="AF1295" s="362"/>
      <c r="AG1295" s="362"/>
      <c r="AH1295" s="362"/>
      <c r="AI1295" s="360"/>
      <c r="AJ1295" s="360"/>
      <c r="AK1295" s="362"/>
      <c r="AL1295" s="362"/>
      <c r="AM1295" s="362"/>
      <c r="AN1295" s="362"/>
      <c r="AO1295" s="362"/>
      <c r="AP1295" s="362"/>
      <c r="AQ1295" s="362"/>
      <c r="AR1295" s="362"/>
    </row>
    <row r="1296" spans="1:44" ht="12" customHeight="1" x14ac:dyDescent="0.15">
      <c r="A1296" s="447"/>
      <c r="B1296" s="393"/>
      <c r="C1296" s="428"/>
      <c r="D1296" s="428"/>
      <c r="E1296" s="224"/>
      <c r="F1296" s="224"/>
      <c r="G1296" s="224"/>
      <c r="H1296" s="224"/>
      <c r="I1296" s="224"/>
      <c r="J1296" s="224"/>
      <c r="Z1296" s="362"/>
      <c r="AA1296" s="362"/>
      <c r="AB1296" s="362"/>
      <c r="AC1296" s="362"/>
      <c r="AD1296" s="362"/>
      <c r="AE1296" s="362"/>
      <c r="AF1296" s="362"/>
      <c r="AG1296" s="362"/>
      <c r="AH1296" s="362"/>
      <c r="AI1296" s="360"/>
      <c r="AJ1296" s="360"/>
      <c r="AK1296" s="362"/>
      <c r="AL1296" s="362"/>
      <c r="AM1296" s="362"/>
      <c r="AN1296" s="362"/>
      <c r="AO1296" s="362"/>
      <c r="AP1296" s="362"/>
      <c r="AQ1296" s="362"/>
      <c r="AR1296" s="362"/>
    </row>
    <row r="1297" spans="1:44" ht="12" customHeight="1" x14ac:dyDescent="0.15">
      <c r="A1297" s="447"/>
      <c r="B1297" s="393"/>
      <c r="C1297" s="428"/>
      <c r="D1297" s="428"/>
      <c r="E1297" s="224"/>
      <c r="F1297" s="224"/>
      <c r="G1297" s="224"/>
      <c r="H1297" s="224"/>
      <c r="I1297" s="224"/>
      <c r="J1297" s="224"/>
      <c r="Z1297" s="362"/>
      <c r="AA1297" s="362"/>
      <c r="AB1297" s="362"/>
      <c r="AC1297" s="362"/>
      <c r="AD1297" s="362"/>
      <c r="AE1297" s="362"/>
      <c r="AF1297" s="362"/>
      <c r="AG1297" s="362"/>
      <c r="AH1297" s="362"/>
      <c r="AI1297" s="360"/>
      <c r="AJ1297" s="360"/>
      <c r="AK1297" s="362"/>
      <c r="AL1297" s="362"/>
      <c r="AM1297" s="362"/>
      <c r="AN1297" s="362"/>
      <c r="AO1297" s="362"/>
      <c r="AP1297" s="362"/>
      <c r="AQ1297" s="362"/>
      <c r="AR1297" s="362"/>
    </row>
    <row r="1298" spans="1:44" ht="12" customHeight="1" x14ac:dyDescent="0.15">
      <c r="A1298" s="447"/>
      <c r="B1298" s="393"/>
      <c r="C1298" s="428"/>
      <c r="D1298" s="428"/>
      <c r="E1298" s="224"/>
      <c r="F1298" s="224"/>
      <c r="G1298" s="224"/>
      <c r="H1298" s="224"/>
      <c r="I1298" s="224"/>
      <c r="J1298" s="224"/>
      <c r="Z1298" s="362"/>
      <c r="AA1298" s="362"/>
      <c r="AB1298" s="362"/>
      <c r="AC1298" s="362"/>
      <c r="AD1298" s="362"/>
      <c r="AE1298" s="362"/>
      <c r="AF1298" s="362"/>
      <c r="AG1298" s="362"/>
      <c r="AH1298" s="362"/>
      <c r="AI1298" s="360"/>
      <c r="AJ1298" s="360"/>
      <c r="AK1298" s="362"/>
      <c r="AL1298" s="362"/>
      <c r="AM1298" s="362"/>
      <c r="AN1298" s="362"/>
      <c r="AO1298" s="362"/>
      <c r="AP1298" s="362"/>
      <c r="AQ1298" s="362"/>
      <c r="AR1298" s="362"/>
    </row>
    <row r="1299" spans="1:44" ht="12" customHeight="1" x14ac:dyDescent="0.15">
      <c r="A1299" s="447"/>
      <c r="B1299" s="393"/>
      <c r="C1299" s="428"/>
      <c r="D1299" s="428"/>
      <c r="E1299" s="224"/>
      <c r="F1299" s="224"/>
      <c r="G1299" s="224"/>
      <c r="H1299" s="224"/>
      <c r="I1299" s="224"/>
      <c r="J1299" s="224"/>
      <c r="Z1299" s="362"/>
      <c r="AA1299" s="362"/>
      <c r="AB1299" s="362"/>
      <c r="AC1299" s="362"/>
      <c r="AD1299" s="362"/>
      <c r="AE1299" s="362"/>
      <c r="AF1299" s="362"/>
      <c r="AG1299" s="362"/>
      <c r="AH1299" s="362"/>
      <c r="AI1299" s="360"/>
      <c r="AJ1299" s="360"/>
      <c r="AK1299" s="362"/>
      <c r="AL1299" s="362"/>
      <c r="AM1299" s="362"/>
      <c r="AN1299" s="362"/>
      <c r="AO1299" s="362"/>
      <c r="AP1299" s="362"/>
      <c r="AQ1299" s="362"/>
      <c r="AR1299" s="362"/>
    </row>
    <row r="1300" spans="1:44" ht="12" customHeight="1" x14ac:dyDescent="0.15">
      <c r="A1300" s="447"/>
      <c r="B1300" s="393"/>
      <c r="C1300" s="428"/>
      <c r="D1300" s="428"/>
      <c r="E1300" s="224"/>
      <c r="F1300" s="224"/>
      <c r="G1300" s="224"/>
      <c r="H1300" s="224"/>
      <c r="I1300" s="224"/>
      <c r="J1300" s="224"/>
      <c r="Z1300" s="362"/>
      <c r="AA1300" s="362"/>
      <c r="AB1300" s="362"/>
      <c r="AC1300" s="362"/>
      <c r="AD1300" s="362"/>
      <c r="AE1300" s="362"/>
      <c r="AF1300" s="362"/>
      <c r="AG1300" s="362"/>
      <c r="AH1300" s="362"/>
      <c r="AI1300" s="360"/>
      <c r="AJ1300" s="360"/>
      <c r="AK1300" s="362"/>
      <c r="AL1300" s="362"/>
      <c r="AM1300" s="362"/>
      <c r="AN1300" s="362"/>
      <c r="AO1300" s="362"/>
      <c r="AP1300" s="362"/>
      <c r="AQ1300" s="362"/>
      <c r="AR1300" s="362"/>
    </row>
    <row r="1301" spans="1:44" ht="12" customHeight="1" x14ac:dyDescent="0.15">
      <c r="A1301" s="447"/>
      <c r="B1301" s="393"/>
      <c r="C1301" s="428"/>
      <c r="D1301" s="428"/>
      <c r="E1301" s="224"/>
      <c r="F1301" s="224"/>
      <c r="G1301" s="224"/>
      <c r="H1301" s="224"/>
      <c r="I1301" s="224"/>
      <c r="J1301" s="224"/>
      <c r="Z1301" s="362"/>
      <c r="AA1301" s="362"/>
      <c r="AB1301" s="362"/>
      <c r="AC1301" s="362"/>
      <c r="AD1301" s="362"/>
      <c r="AE1301" s="362"/>
      <c r="AF1301" s="362"/>
      <c r="AG1301" s="362"/>
      <c r="AH1301" s="362"/>
      <c r="AI1301" s="360"/>
      <c r="AJ1301" s="360"/>
      <c r="AK1301" s="362"/>
      <c r="AL1301" s="362"/>
      <c r="AM1301" s="362"/>
      <c r="AN1301" s="362"/>
      <c r="AO1301" s="362"/>
      <c r="AP1301" s="362"/>
      <c r="AQ1301" s="362"/>
      <c r="AR1301" s="362"/>
    </row>
    <row r="1302" spans="1:44" ht="12" customHeight="1" x14ac:dyDescent="0.15">
      <c r="A1302" s="447"/>
      <c r="B1302" s="393"/>
      <c r="C1302" s="428"/>
      <c r="D1302" s="428"/>
      <c r="E1302" s="224"/>
      <c r="F1302" s="224"/>
      <c r="G1302" s="224"/>
      <c r="H1302" s="224"/>
      <c r="I1302" s="224"/>
      <c r="J1302" s="224"/>
      <c r="Z1302" s="362"/>
      <c r="AA1302" s="362"/>
      <c r="AB1302" s="362"/>
      <c r="AC1302" s="362"/>
      <c r="AD1302" s="362"/>
      <c r="AE1302" s="362"/>
      <c r="AF1302" s="362"/>
      <c r="AG1302" s="362"/>
      <c r="AH1302" s="362"/>
      <c r="AI1302" s="360"/>
      <c r="AJ1302" s="360"/>
      <c r="AK1302" s="362"/>
      <c r="AL1302" s="362"/>
      <c r="AM1302" s="362"/>
      <c r="AN1302" s="362"/>
      <c r="AO1302" s="362"/>
      <c r="AP1302" s="362"/>
      <c r="AQ1302" s="362"/>
      <c r="AR1302" s="362"/>
    </row>
    <row r="1303" spans="1:44" ht="12" customHeight="1" x14ac:dyDescent="0.15">
      <c r="A1303" s="447"/>
      <c r="B1303" s="393"/>
      <c r="C1303" s="428"/>
      <c r="D1303" s="428"/>
      <c r="E1303" s="224"/>
      <c r="F1303" s="224"/>
      <c r="G1303" s="224"/>
      <c r="H1303" s="224"/>
      <c r="I1303" s="224"/>
      <c r="J1303" s="224"/>
      <c r="Z1303" s="362"/>
      <c r="AA1303" s="362"/>
      <c r="AB1303" s="362"/>
      <c r="AC1303" s="362"/>
      <c r="AD1303" s="362"/>
      <c r="AE1303" s="362"/>
      <c r="AF1303" s="362"/>
      <c r="AG1303" s="362"/>
      <c r="AH1303" s="362"/>
      <c r="AI1303" s="360"/>
      <c r="AJ1303" s="360"/>
      <c r="AK1303" s="362"/>
      <c r="AL1303" s="362"/>
      <c r="AM1303" s="362"/>
      <c r="AN1303" s="362"/>
      <c r="AO1303" s="362"/>
      <c r="AP1303" s="362"/>
      <c r="AQ1303" s="362"/>
      <c r="AR1303" s="362"/>
    </row>
    <row r="1304" spans="1:44" ht="12" customHeight="1" x14ac:dyDescent="0.15">
      <c r="A1304" s="447"/>
      <c r="B1304" s="393"/>
      <c r="C1304" s="428"/>
      <c r="D1304" s="428"/>
      <c r="E1304" s="224"/>
      <c r="F1304" s="224"/>
      <c r="G1304" s="224"/>
      <c r="H1304" s="224"/>
      <c r="I1304" s="224"/>
      <c r="J1304" s="224"/>
      <c r="Z1304" s="362"/>
      <c r="AA1304" s="362"/>
      <c r="AB1304" s="362"/>
      <c r="AC1304" s="362"/>
      <c r="AD1304" s="362"/>
      <c r="AE1304" s="362"/>
      <c r="AF1304" s="362"/>
      <c r="AG1304" s="362"/>
      <c r="AH1304" s="362"/>
      <c r="AI1304" s="360"/>
      <c r="AJ1304" s="360"/>
      <c r="AK1304" s="362"/>
      <c r="AL1304" s="362"/>
      <c r="AM1304" s="362"/>
      <c r="AN1304" s="362"/>
      <c r="AO1304" s="362"/>
      <c r="AP1304" s="362"/>
      <c r="AQ1304" s="362"/>
      <c r="AR1304" s="362"/>
    </row>
    <row r="1305" spans="1:44" ht="12" customHeight="1" x14ac:dyDescent="0.15">
      <c r="A1305" s="447"/>
      <c r="B1305" s="393"/>
      <c r="C1305" s="428"/>
      <c r="D1305" s="428"/>
      <c r="E1305" s="224"/>
      <c r="F1305" s="224"/>
      <c r="G1305" s="224"/>
      <c r="H1305" s="224"/>
      <c r="I1305" s="224"/>
      <c r="J1305" s="224"/>
      <c r="Z1305" s="362"/>
      <c r="AA1305" s="362"/>
      <c r="AB1305" s="362"/>
      <c r="AC1305" s="362"/>
      <c r="AD1305" s="362"/>
      <c r="AE1305" s="362"/>
      <c r="AF1305" s="362"/>
      <c r="AG1305" s="362"/>
      <c r="AH1305" s="362"/>
      <c r="AI1305" s="360"/>
      <c r="AJ1305" s="360"/>
      <c r="AK1305" s="362"/>
      <c r="AL1305" s="362"/>
      <c r="AM1305" s="362"/>
      <c r="AN1305" s="362"/>
      <c r="AO1305" s="362"/>
      <c r="AP1305" s="362"/>
      <c r="AQ1305" s="362"/>
      <c r="AR1305" s="362"/>
    </row>
    <row r="1306" spans="1:44" ht="12" customHeight="1" x14ac:dyDescent="0.15">
      <c r="A1306" s="447"/>
      <c r="B1306" s="393"/>
      <c r="C1306" s="428"/>
      <c r="D1306" s="428"/>
      <c r="E1306" s="224"/>
      <c r="F1306" s="224"/>
      <c r="G1306" s="224"/>
      <c r="H1306" s="224"/>
      <c r="I1306" s="224"/>
      <c r="J1306" s="224"/>
      <c r="Z1306" s="362"/>
      <c r="AA1306" s="362"/>
      <c r="AB1306" s="362"/>
      <c r="AC1306" s="362"/>
      <c r="AD1306" s="362"/>
      <c r="AE1306" s="362"/>
      <c r="AF1306" s="362"/>
      <c r="AG1306" s="362"/>
      <c r="AH1306" s="362"/>
      <c r="AI1306" s="360"/>
      <c r="AJ1306" s="360"/>
      <c r="AK1306" s="362"/>
      <c r="AL1306" s="362"/>
      <c r="AM1306" s="362"/>
      <c r="AN1306" s="362"/>
      <c r="AO1306" s="362"/>
      <c r="AP1306" s="362"/>
      <c r="AQ1306" s="362"/>
      <c r="AR1306" s="362"/>
    </row>
    <row r="1307" spans="1:44" ht="12" customHeight="1" x14ac:dyDescent="0.15">
      <c r="A1307" s="447"/>
      <c r="B1307" s="393"/>
      <c r="C1307" s="428"/>
      <c r="D1307" s="428"/>
      <c r="E1307" s="224"/>
      <c r="F1307" s="224"/>
      <c r="G1307" s="224"/>
      <c r="H1307" s="224"/>
      <c r="I1307" s="224"/>
      <c r="J1307" s="224"/>
      <c r="Z1307" s="362"/>
      <c r="AA1307" s="362"/>
      <c r="AB1307" s="362"/>
      <c r="AC1307" s="362"/>
      <c r="AD1307" s="362"/>
      <c r="AE1307" s="362"/>
      <c r="AF1307" s="362"/>
      <c r="AG1307" s="362"/>
      <c r="AH1307" s="362"/>
      <c r="AI1307" s="360"/>
      <c r="AJ1307" s="360"/>
      <c r="AK1307" s="362"/>
      <c r="AL1307" s="362"/>
      <c r="AM1307" s="362"/>
      <c r="AN1307" s="362"/>
      <c r="AO1307" s="362"/>
      <c r="AP1307" s="362"/>
      <c r="AQ1307" s="362"/>
      <c r="AR1307" s="362"/>
    </row>
    <row r="1308" spans="1:44" ht="12" customHeight="1" x14ac:dyDescent="0.15">
      <c r="A1308" s="447"/>
      <c r="B1308" s="393"/>
      <c r="C1308" s="428"/>
      <c r="D1308" s="428"/>
      <c r="E1308" s="224"/>
      <c r="F1308" s="224"/>
      <c r="G1308" s="224"/>
      <c r="H1308" s="224"/>
      <c r="I1308" s="224"/>
      <c r="J1308" s="224"/>
      <c r="Z1308" s="362"/>
      <c r="AA1308" s="362"/>
      <c r="AB1308" s="362"/>
      <c r="AC1308" s="362"/>
      <c r="AD1308" s="362"/>
      <c r="AE1308" s="362"/>
      <c r="AF1308" s="362"/>
      <c r="AG1308" s="362"/>
      <c r="AH1308" s="362"/>
      <c r="AI1308" s="360"/>
      <c r="AJ1308" s="360"/>
      <c r="AK1308" s="362"/>
      <c r="AL1308" s="362"/>
      <c r="AM1308" s="362"/>
      <c r="AN1308" s="362"/>
      <c r="AO1308" s="362"/>
      <c r="AP1308" s="362"/>
      <c r="AQ1308" s="362"/>
      <c r="AR1308" s="362"/>
    </row>
    <row r="1309" spans="1:44" ht="12" customHeight="1" x14ac:dyDescent="0.15">
      <c r="A1309" s="447"/>
      <c r="B1309" s="393"/>
      <c r="C1309" s="428"/>
      <c r="D1309" s="428"/>
      <c r="E1309" s="224"/>
      <c r="F1309" s="224"/>
      <c r="G1309" s="224"/>
      <c r="H1309" s="224"/>
      <c r="I1309" s="224"/>
      <c r="J1309" s="224"/>
      <c r="Z1309" s="362"/>
      <c r="AA1309" s="362"/>
      <c r="AB1309" s="362"/>
      <c r="AC1309" s="362"/>
      <c r="AD1309" s="362"/>
      <c r="AE1309" s="362"/>
      <c r="AF1309" s="362"/>
      <c r="AG1309" s="362"/>
      <c r="AH1309" s="362"/>
      <c r="AI1309" s="360"/>
      <c r="AJ1309" s="360"/>
      <c r="AK1309" s="362"/>
      <c r="AL1309" s="362"/>
      <c r="AM1309" s="362"/>
      <c r="AN1309" s="362"/>
      <c r="AO1309" s="362"/>
      <c r="AP1309" s="362"/>
      <c r="AQ1309" s="362"/>
      <c r="AR1309" s="362"/>
    </row>
    <row r="1310" spans="1:44" ht="12" customHeight="1" x14ac:dyDescent="0.15">
      <c r="A1310" s="447"/>
      <c r="B1310" s="393"/>
      <c r="C1310" s="428"/>
      <c r="D1310" s="428"/>
      <c r="E1310" s="224"/>
      <c r="F1310" s="224"/>
      <c r="G1310" s="224"/>
      <c r="H1310" s="224"/>
      <c r="I1310" s="224"/>
      <c r="J1310" s="224"/>
      <c r="Z1310" s="362"/>
      <c r="AA1310" s="362"/>
      <c r="AB1310" s="362"/>
      <c r="AC1310" s="362"/>
      <c r="AD1310" s="362"/>
      <c r="AE1310" s="362"/>
      <c r="AF1310" s="362"/>
      <c r="AG1310" s="362"/>
      <c r="AH1310" s="362"/>
      <c r="AI1310" s="360"/>
      <c r="AJ1310" s="360"/>
      <c r="AK1310" s="362"/>
      <c r="AL1310" s="362"/>
      <c r="AM1310" s="362"/>
      <c r="AN1310" s="362"/>
      <c r="AO1310" s="362"/>
      <c r="AP1310" s="362"/>
      <c r="AQ1310" s="362"/>
      <c r="AR1310" s="362"/>
    </row>
    <row r="1311" spans="1:44" ht="12" customHeight="1" x14ac:dyDescent="0.15">
      <c r="A1311" s="447"/>
      <c r="B1311" s="393"/>
      <c r="C1311" s="428"/>
      <c r="D1311" s="428"/>
      <c r="E1311" s="224"/>
      <c r="F1311" s="224"/>
      <c r="G1311" s="224"/>
      <c r="H1311" s="224"/>
      <c r="I1311" s="224"/>
      <c r="J1311" s="224"/>
      <c r="Z1311" s="362"/>
      <c r="AA1311" s="362"/>
      <c r="AB1311" s="362"/>
      <c r="AC1311" s="362"/>
      <c r="AD1311" s="362"/>
      <c r="AE1311" s="362"/>
      <c r="AF1311" s="362"/>
      <c r="AG1311" s="362"/>
      <c r="AH1311" s="362"/>
      <c r="AI1311" s="360"/>
      <c r="AJ1311" s="360"/>
      <c r="AK1311" s="362"/>
      <c r="AL1311" s="362"/>
      <c r="AM1311" s="362"/>
      <c r="AN1311" s="362"/>
      <c r="AO1311" s="362"/>
      <c r="AP1311" s="362"/>
      <c r="AQ1311" s="362"/>
      <c r="AR1311" s="362"/>
    </row>
    <row r="1312" spans="1:44" ht="12" customHeight="1" x14ac:dyDescent="0.15">
      <c r="A1312" s="447"/>
      <c r="B1312" s="393"/>
      <c r="C1312" s="428"/>
      <c r="D1312" s="428"/>
      <c r="E1312" s="224"/>
      <c r="F1312" s="224"/>
      <c r="G1312" s="224"/>
      <c r="H1312" s="224"/>
      <c r="I1312" s="224"/>
      <c r="J1312" s="224"/>
      <c r="Z1312" s="362"/>
      <c r="AA1312" s="362"/>
      <c r="AB1312" s="362"/>
      <c r="AC1312" s="362"/>
      <c r="AD1312" s="362"/>
      <c r="AE1312" s="362"/>
      <c r="AF1312" s="362"/>
      <c r="AG1312" s="362"/>
      <c r="AH1312" s="362"/>
      <c r="AI1312" s="360"/>
      <c r="AJ1312" s="360"/>
      <c r="AK1312" s="362"/>
      <c r="AL1312" s="362"/>
      <c r="AM1312" s="362"/>
      <c r="AN1312" s="362"/>
      <c r="AO1312" s="362"/>
      <c r="AP1312" s="362"/>
      <c r="AQ1312" s="362"/>
      <c r="AR1312" s="362"/>
    </row>
    <row r="1313" spans="1:44" ht="12" customHeight="1" x14ac:dyDescent="0.15">
      <c r="A1313" s="447"/>
      <c r="B1313" s="393"/>
      <c r="C1313" s="428"/>
      <c r="D1313" s="428"/>
      <c r="E1313" s="224"/>
      <c r="F1313" s="224"/>
      <c r="G1313" s="224"/>
      <c r="H1313" s="224"/>
      <c r="I1313" s="224"/>
      <c r="J1313" s="224"/>
      <c r="Z1313" s="362"/>
      <c r="AA1313" s="362"/>
      <c r="AB1313" s="362"/>
      <c r="AC1313" s="362"/>
      <c r="AD1313" s="362"/>
      <c r="AE1313" s="362"/>
      <c r="AF1313" s="362"/>
      <c r="AG1313" s="362"/>
      <c r="AH1313" s="362"/>
      <c r="AI1313" s="360"/>
      <c r="AJ1313" s="360"/>
      <c r="AK1313" s="362"/>
      <c r="AL1313" s="362"/>
      <c r="AM1313" s="362"/>
      <c r="AN1313" s="362"/>
      <c r="AO1313" s="362"/>
      <c r="AP1313" s="362"/>
      <c r="AQ1313" s="362"/>
      <c r="AR1313" s="362"/>
    </row>
    <row r="1314" spans="1:44" ht="12" customHeight="1" x14ac:dyDescent="0.15">
      <c r="A1314" s="447"/>
      <c r="B1314" s="393"/>
      <c r="C1314" s="428"/>
      <c r="D1314" s="428"/>
      <c r="E1314" s="224"/>
      <c r="F1314" s="224"/>
      <c r="G1314" s="224"/>
      <c r="H1314" s="224"/>
      <c r="I1314" s="224"/>
      <c r="J1314" s="224"/>
      <c r="Z1314" s="362"/>
      <c r="AA1314" s="362"/>
      <c r="AB1314" s="362"/>
      <c r="AC1314" s="362"/>
      <c r="AD1314" s="362"/>
      <c r="AE1314" s="362"/>
      <c r="AF1314" s="362"/>
      <c r="AG1314" s="362"/>
      <c r="AH1314" s="362"/>
      <c r="AI1314" s="360"/>
      <c r="AJ1314" s="360"/>
      <c r="AK1314" s="362"/>
      <c r="AL1314" s="362"/>
      <c r="AM1314" s="362"/>
      <c r="AN1314" s="362"/>
      <c r="AO1314" s="362"/>
      <c r="AP1314" s="362"/>
      <c r="AQ1314" s="362"/>
      <c r="AR1314" s="362"/>
    </row>
    <row r="1315" spans="1:44" ht="12" customHeight="1" x14ac:dyDescent="0.15">
      <c r="A1315" s="447"/>
      <c r="B1315" s="393"/>
      <c r="C1315" s="428"/>
      <c r="D1315" s="428"/>
      <c r="E1315" s="224"/>
      <c r="F1315" s="224"/>
      <c r="G1315" s="224"/>
      <c r="H1315" s="224"/>
      <c r="I1315" s="224"/>
      <c r="J1315" s="224"/>
      <c r="Z1315" s="362"/>
      <c r="AA1315" s="362"/>
      <c r="AB1315" s="362"/>
      <c r="AC1315" s="362"/>
      <c r="AD1315" s="362"/>
      <c r="AE1315" s="362"/>
      <c r="AF1315" s="362"/>
      <c r="AG1315" s="362"/>
      <c r="AH1315" s="362"/>
      <c r="AI1315" s="360"/>
      <c r="AJ1315" s="360"/>
      <c r="AK1315" s="362"/>
      <c r="AL1315" s="362"/>
      <c r="AM1315" s="362"/>
      <c r="AN1315" s="362"/>
      <c r="AO1315" s="362"/>
      <c r="AP1315" s="362"/>
      <c r="AQ1315" s="362"/>
      <c r="AR1315" s="362"/>
    </row>
    <row r="1316" spans="1:44" ht="12" customHeight="1" x14ac:dyDescent="0.15">
      <c r="A1316" s="447"/>
      <c r="B1316" s="393"/>
      <c r="C1316" s="428"/>
      <c r="D1316" s="428"/>
      <c r="E1316" s="224"/>
      <c r="F1316" s="224"/>
      <c r="G1316" s="224"/>
      <c r="H1316" s="224"/>
      <c r="I1316" s="224"/>
      <c r="J1316" s="224"/>
      <c r="Z1316" s="362"/>
      <c r="AA1316" s="362"/>
      <c r="AB1316" s="362"/>
      <c r="AC1316" s="362"/>
      <c r="AD1316" s="362"/>
      <c r="AE1316" s="362"/>
      <c r="AF1316" s="362"/>
      <c r="AG1316" s="362"/>
      <c r="AH1316" s="362"/>
      <c r="AI1316" s="360"/>
      <c r="AJ1316" s="360"/>
      <c r="AK1316" s="362"/>
      <c r="AL1316" s="362"/>
      <c r="AM1316" s="362"/>
      <c r="AN1316" s="362"/>
      <c r="AO1316" s="362"/>
      <c r="AP1316" s="362"/>
      <c r="AQ1316" s="362"/>
      <c r="AR1316" s="362"/>
    </row>
    <row r="1317" spans="1:44" ht="12" customHeight="1" x14ac:dyDescent="0.15">
      <c r="A1317" s="447"/>
      <c r="B1317" s="393"/>
      <c r="C1317" s="428"/>
      <c r="D1317" s="428"/>
      <c r="E1317" s="224"/>
      <c r="F1317" s="224"/>
      <c r="G1317" s="224"/>
      <c r="H1317" s="224"/>
      <c r="I1317" s="224"/>
      <c r="J1317" s="224"/>
      <c r="Z1317" s="362"/>
      <c r="AA1317" s="362"/>
      <c r="AB1317" s="362"/>
      <c r="AC1317" s="362"/>
      <c r="AD1317" s="362"/>
      <c r="AE1317" s="362"/>
      <c r="AF1317" s="362"/>
      <c r="AG1317" s="362"/>
      <c r="AH1317" s="362"/>
      <c r="AI1317" s="360"/>
      <c r="AJ1317" s="360"/>
      <c r="AK1317" s="362"/>
      <c r="AL1317" s="362"/>
      <c r="AM1317" s="362"/>
      <c r="AN1317" s="362"/>
      <c r="AO1317" s="362"/>
      <c r="AP1317" s="362"/>
      <c r="AQ1317" s="362"/>
      <c r="AR1317" s="362"/>
    </row>
    <row r="1318" spans="1:44" ht="12" customHeight="1" x14ac:dyDescent="0.15">
      <c r="A1318" s="447"/>
      <c r="B1318" s="393"/>
      <c r="C1318" s="428"/>
      <c r="D1318" s="428"/>
      <c r="E1318" s="224"/>
      <c r="F1318" s="224"/>
      <c r="G1318" s="224"/>
      <c r="H1318" s="224"/>
      <c r="I1318" s="224"/>
      <c r="J1318" s="224"/>
      <c r="Z1318" s="362"/>
      <c r="AA1318" s="362"/>
      <c r="AB1318" s="362"/>
      <c r="AC1318" s="362"/>
      <c r="AD1318" s="362"/>
      <c r="AE1318" s="362"/>
      <c r="AF1318" s="362"/>
      <c r="AG1318" s="362"/>
      <c r="AH1318" s="362"/>
      <c r="AI1318" s="360"/>
      <c r="AJ1318" s="360"/>
      <c r="AK1318" s="362"/>
      <c r="AL1318" s="362"/>
      <c r="AM1318" s="362"/>
      <c r="AN1318" s="362"/>
      <c r="AO1318" s="362"/>
      <c r="AP1318" s="362"/>
      <c r="AQ1318" s="362"/>
      <c r="AR1318" s="362"/>
    </row>
    <row r="1319" spans="1:44" ht="12" customHeight="1" x14ac:dyDescent="0.15">
      <c r="A1319" s="447"/>
      <c r="B1319" s="393"/>
      <c r="C1319" s="428"/>
      <c r="D1319" s="428"/>
      <c r="E1319" s="224"/>
      <c r="F1319" s="224"/>
      <c r="G1319" s="224"/>
      <c r="H1319" s="224"/>
      <c r="I1319" s="224"/>
      <c r="J1319" s="224"/>
      <c r="Z1319" s="362"/>
      <c r="AA1319" s="362"/>
      <c r="AB1319" s="362"/>
      <c r="AC1319" s="362"/>
      <c r="AD1319" s="362"/>
      <c r="AE1319" s="362"/>
      <c r="AF1319" s="362"/>
      <c r="AG1319" s="362"/>
      <c r="AH1319" s="362"/>
      <c r="AI1319" s="360"/>
      <c r="AJ1319" s="360"/>
      <c r="AK1319" s="362"/>
      <c r="AL1319" s="362"/>
      <c r="AM1319" s="362"/>
      <c r="AN1319" s="362"/>
      <c r="AO1319" s="362"/>
      <c r="AP1319" s="362"/>
      <c r="AQ1319" s="362"/>
      <c r="AR1319" s="362"/>
    </row>
    <row r="1320" spans="1:44" ht="12" customHeight="1" x14ac:dyDescent="0.15">
      <c r="A1320" s="447"/>
      <c r="B1320" s="393"/>
      <c r="C1320" s="428"/>
      <c r="D1320" s="428"/>
      <c r="E1320" s="224"/>
      <c r="F1320" s="224"/>
      <c r="G1320" s="224"/>
      <c r="H1320" s="224"/>
      <c r="I1320" s="224"/>
      <c r="J1320" s="224"/>
      <c r="Z1320" s="362"/>
      <c r="AA1320" s="362"/>
      <c r="AB1320" s="362"/>
      <c r="AC1320" s="362"/>
      <c r="AD1320" s="362"/>
      <c r="AE1320" s="362"/>
      <c r="AF1320" s="362"/>
      <c r="AG1320" s="362"/>
      <c r="AH1320" s="362"/>
      <c r="AI1320" s="360"/>
      <c r="AJ1320" s="360"/>
      <c r="AK1320" s="362"/>
      <c r="AL1320" s="362"/>
      <c r="AM1320" s="362"/>
      <c r="AN1320" s="362"/>
      <c r="AO1320" s="362"/>
      <c r="AP1320" s="362"/>
      <c r="AQ1320" s="362"/>
      <c r="AR1320" s="362"/>
    </row>
    <row r="1321" spans="1:44" ht="12" customHeight="1" x14ac:dyDescent="0.15">
      <c r="A1321" s="447"/>
      <c r="B1321" s="393"/>
      <c r="C1321" s="428"/>
      <c r="D1321" s="428"/>
      <c r="E1321" s="224"/>
      <c r="F1321" s="224"/>
      <c r="G1321" s="224"/>
      <c r="H1321" s="224"/>
      <c r="I1321" s="224"/>
      <c r="J1321" s="224"/>
      <c r="Z1321" s="362"/>
      <c r="AA1321" s="362"/>
      <c r="AB1321" s="362"/>
      <c r="AC1321" s="362"/>
      <c r="AD1321" s="362"/>
      <c r="AE1321" s="362"/>
      <c r="AF1321" s="362"/>
      <c r="AG1321" s="362"/>
      <c r="AH1321" s="362"/>
      <c r="AI1321" s="360"/>
      <c r="AJ1321" s="360"/>
      <c r="AK1321" s="362"/>
      <c r="AL1321" s="362"/>
      <c r="AM1321" s="362"/>
      <c r="AN1321" s="362"/>
      <c r="AO1321" s="362"/>
      <c r="AP1321" s="362"/>
      <c r="AQ1321" s="362"/>
      <c r="AR1321" s="362"/>
    </row>
    <row r="1322" spans="1:44" ht="12" customHeight="1" x14ac:dyDescent="0.15">
      <c r="A1322" s="447"/>
      <c r="B1322" s="393"/>
      <c r="C1322" s="428"/>
      <c r="D1322" s="428"/>
      <c r="E1322" s="224"/>
      <c r="F1322" s="224"/>
      <c r="G1322" s="224"/>
      <c r="H1322" s="224"/>
      <c r="I1322" s="224"/>
      <c r="J1322" s="224"/>
      <c r="Z1322" s="362"/>
      <c r="AA1322" s="362"/>
      <c r="AB1322" s="362"/>
      <c r="AC1322" s="362"/>
      <c r="AD1322" s="362"/>
      <c r="AE1322" s="362"/>
      <c r="AF1322" s="362"/>
      <c r="AG1322" s="362"/>
      <c r="AH1322" s="362"/>
      <c r="AI1322" s="360"/>
      <c r="AJ1322" s="360"/>
      <c r="AK1322" s="362"/>
      <c r="AL1322" s="362"/>
      <c r="AM1322" s="362"/>
      <c r="AN1322" s="362"/>
      <c r="AO1322" s="362"/>
      <c r="AP1322" s="362"/>
      <c r="AQ1322" s="362"/>
      <c r="AR1322" s="362"/>
    </row>
    <row r="1323" spans="1:44" ht="12" customHeight="1" x14ac:dyDescent="0.15">
      <c r="A1323" s="447"/>
      <c r="B1323" s="393"/>
      <c r="C1323" s="428"/>
      <c r="D1323" s="428"/>
      <c r="E1323" s="224"/>
      <c r="F1323" s="224"/>
      <c r="G1323" s="224"/>
      <c r="H1323" s="224"/>
      <c r="I1323" s="224"/>
      <c r="J1323" s="224"/>
      <c r="Z1323" s="362"/>
      <c r="AA1323" s="362"/>
      <c r="AB1323" s="362"/>
      <c r="AC1323" s="362"/>
      <c r="AD1323" s="362"/>
      <c r="AE1323" s="362"/>
      <c r="AF1323" s="362"/>
      <c r="AG1323" s="362"/>
      <c r="AH1323" s="362"/>
      <c r="AI1323" s="360"/>
      <c r="AJ1323" s="360"/>
      <c r="AK1323" s="362"/>
      <c r="AL1323" s="362"/>
      <c r="AM1323" s="362"/>
      <c r="AN1323" s="362"/>
      <c r="AO1323" s="362"/>
      <c r="AP1323" s="362"/>
      <c r="AQ1323" s="362"/>
      <c r="AR1323" s="362"/>
    </row>
    <row r="1324" spans="1:44" ht="12" customHeight="1" x14ac:dyDescent="0.15">
      <c r="A1324" s="447"/>
      <c r="B1324" s="393"/>
      <c r="C1324" s="428"/>
      <c r="D1324" s="428"/>
      <c r="E1324" s="224"/>
      <c r="F1324" s="224"/>
      <c r="G1324" s="224"/>
      <c r="H1324" s="224"/>
      <c r="I1324" s="224"/>
      <c r="J1324" s="224"/>
      <c r="Z1324" s="362"/>
      <c r="AA1324" s="362"/>
      <c r="AB1324" s="362"/>
      <c r="AC1324" s="362"/>
      <c r="AD1324" s="362"/>
      <c r="AE1324" s="362"/>
      <c r="AF1324" s="362"/>
      <c r="AG1324" s="362"/>
      <c r="AH1324" s="362"/>
      <c r="AI1324" s="360"/>
      <c r="AJ1324" s="360"/>
      <c r="AK1324" s="362"/>
      <c r="AL1324" s="362"/>
      <c r="AM1324" s="362"/>
      <c r="AN1324" s="362"/>
      <c r="AO1324" s="362"/>
      <c r="AP1324" s="362"/>
      <c r="AQ1324" s="362"/>
      <c r="AR1324" s="362"/>
    </row>
    <row r="1325" spans="1:44" ht="12" customHeight="1" x14ac:dyDescent="0.15">
      <c r="A1325" s="447"/>
      <c r="B1325" s="393"/>
      <c r="C1325" s="428"/>
      <c r="D1325" s="428"/>
      <c r="E1325" s="224"/>
      <c r="F1325" s="224"/>
      <c r="G1325" s="224"/>
      <c r="H1325" s="224"/>
      <c r="I1325" s="224"/>
      <c r="J1325" s="224"/>
      <c r="Z1325" s="362"/>
      <c r="AA1325" s="362"/>
      <c r="AB1325" s="362"/>
      <c r="AC1325" s="362"/>
      <c r="AD1325" s="362"/>
      <c r="AE1325" s="362"/>
      <c r="AF1325" s="362"/>
      <c r="AG1325" s="362"/>
      <c r="AH1325" s="362"/>
      <c r="AI1325" s="360"/>
      <c r="AJ1325" s="360"/>
      <c r="AK1325" s="362"/>
      <c r="AL1325" s="362"/>
      <c r="AM1325" s="362"/>
      <c r="AN1325" s="362"/>
      <c r="AO1325" s="362"/>
      <c r="AP1325" s="362"/>
      <c r="AQ1325" s="362"/>
      <c r="AR1325" s="362"/>
    </row>
    <row r="1326" spans="1:44" ht="12" customHeight="1" x14ac:dyDescent="0.15">
      <c r="A1326" s="447"/>
      <c r="B1326" s="393"/>
      <c r="C1326" s="428"/>
      <c r="D1326" s="428"/>
      <c r="E1326" s="224"/>
      <c r="F1326" s="224"/>
      <c r="G1326" s="224"/>
      <c r="H1326" s="224"/>
      <c r="I1326" s="224"/>
      <c r="J1326" s="224"/>
      <c r="Z1326" s="362"/>
      <c r="AA1326" s="362"/>
      <c r="AB1326" s="362"/>
      <c r="AC1326" s="362"/>
      <c r="AD1326" s="362"/>
      <c r="AE1326" s="362"/>
      <c r="AF1326" s="362"/>
      <c r="AG1326" s="362"/>
      <c r="AH1326" s="362"/>
      <c r="AI1326" s="360"/>
      <c r="AJ1326" s="360"/>
      <c r="AK1326" s="362"/>
      <c r="AL1326" s="362"/>
      <c r="AM1326" s="362"/>
      <c r="AN1326" s="362"/>
      <c r="AO1326" s="362"/>
      <c r="AP1326" s="362"/>
      <c r="AQ1326" s="362"/>
      <c r="AR1326" s="362"/>
    </row>
    <row r="1327" spans="1:44" ht="12" customHeight="1" x14ac:dyDescent="0.15">
      <c r="A1327" s="447"/>
      <c r="B1327" s="393"/>
      <c r="C1327" s="428"/>
      <c r="D1327" s="428"/>
      <c r="E1327" s="224"/>
      <c r="F1327" s="224"/>
      <c r="G1327" s="224"/>
      <c r="H1327" s="224"/>
      <c r="I1327" s="224"/>
      <c r="J1327" s="224"/>
      <c r="Z1327" s="362"/>
      <c r="AA1327" s="362"/>
      <c r="AB1327" s="362"/>
      <c r="AC1327" s="362"/>
      <c r="AD1327" s="362"/>
      <c r="AE1327" s="362"/>
      <c r="AF1327" s="362"/>
      <c r="AG1327" s="362"/>
      <c r="AH1327" s="362"/>
      <c r="AI1327" s="360"/>
      <c r="AJ1327" s="360"/>
      <c r="AK1327" s="362"/>
      <c r="AL1327" s="362"/>
      <c r="AM1327" s="362"/>
      <c r="AN1327" s="362"/>
      <c r="AO1327" s="362"/>
      <c r="AP1327" s="362"/>
      <c r="AQ1327" s="362"/>
      <c r="AR1327" s="362"/>
    </row>
    <row r="1328" spans="1:44" ht="12" customHeight="1" x14ac:dyDescent="0.15">
      <c r="A1328" s="447"/>
      <c r="B1328" s="393"/>
      <c r="C1328" s="428"/>
      <c r="D1328" s="428"/>
      <c r="E1328" s="224"/>
      <c r="F1328" s="224"/>
      <c r="G1328" s="224"/>
      <c r="H1328" s="224"/>
      <c r="I1328" s="224"/>
      <c r="J1328" s="224"/>
      <c r="Z1328" s="362"/>
      <c r="AA1328" s="362"/>
      <c r="AB1328" s="362"/>
      <c r="AC1328" s="362"/>
      <c r="AD1328" s="362"/>
      <c r="AE1328" s="362"/>
      <c r="AF1328" s="362"/>
      <c r="AG1328" s="362"/>
      <c r="AH1328" s="362"/>
      <c r="AI1328" s="360"/>
      <c r="AJ1328" s="360"/>
      <c r="AK1328" s="362"/>
      <c r="AL1328" s="362"/>
      <c r="AM1328" s="362"/>
      <c r="AN1328" s="362"/>
      <c r="AO1328" s="362"/>
      <c r="AP1328" s="362"/>
      <c r="AQ1328" s="362"/>
      <c r="AR1328" s="362"/>
    </row>
    <row r="1329" spans="1:44" ht="12" customHeight="1" x14ac:dyDescent="0.15">
      <c r="A1329" s="447"/>
      <c r="B1329" s="393"/>
      <c r="C1329" s="428"/>
      <c r="D1329" s="428"/>
      <c r="E1329" s="224"/>
      <c r="F1329" s="224"/>
      <c r="G1329" s="224"/>
      <c r="H1329" s="224"/>
      <c r="I1329" s="224"/>
      <c r="J1329" s="224"/>
      <c r="Z1329" s="362"/>
      <c r="AA1329" s="362"/>
      <c r="AB1329" s="362"/>
      <c r="AC1329" s="362"/>
      <c r="AD1329" s="362"/>
      <c r="AE1329" s="362"/>
      <c r="AF1329" s="362"/>
      <c r="AG1329" s="362"/>
      <c r="AH1329" s="362"/>
      <c r="AI1329" s="360"/>
      <c r="AJ1329" s="360"/>
      <c r="AK1329" s="362"/>
      <c r="AL1329" s="362"/>
      <c r="AM1329" s="362"/>
      <c r="AN1329" s="362"/>
      <c r="AO1329" s="362"/>
      <c r="AP1329" s="362"/>
      <c r="AQ1329" s="362"/>
      <c r="AR1329" s="362"/>
    </row>
    <row r="1330" spans="1:44" ht="12" customHeight="1" x14ac:dyDescent="0.15">
      <c r="A1330" s="447"/>
      <c r="B1330" s="393"/>
      <c r="C1330" s="428"/>
      <c r="D1330" s="428"/>
      <c r="E1330" s="224"/>
      <c r="F1330" s="224"/>
      <c r="G1330" s="224"/>
      <c r="H1330" s="224"/>
      <c r="I1330" s="224"/>
      <c r="J1330" s="224"/>
      <c r="Z1330" s="362"/>
      <c r="AA1330" s="362"/>
      <c r="AB1330" s="362"/>
      <c r="AC1330" s="362"/>
      <c r="AD1330" s="362"/>
      <c r="AE1330" s="362"/>
      <c r="AF1330" s="362"/>
      <c r="AG1330" s="362"/>
      <c r="AH1330" s="362"/>
      <c r="AI1330" s="360"/>
      <c r="AJ1330" s="360"/>
      <c r="AK1330" s="362"/>
      <c r="AL1330" s="362"/>
      <c r="AM1330" s="362"/>
      <c r="AN1330" s="362"/>
      <c r="AO1330" s="362"/>
      <c r="AP1330" s="362"/>
      <c r="AQ1330" s="362"/>
      <c r="AR1330" s="362"/>
    </row>
    <row r="1331" spans="1:44" ht="12" customHeight="1" x14ac:dyDescent="0.15">
      <c r="A1331" s="447"/>
      <c r="B1331" s="393"/>
      <c r="C1331" s="428"/>
      <c r="D1331" s="428"/>
      <c r="E1331" s="224"/>
      <c r="F1331" s="224"/>
      <c r="G1331" s="224"/>
      <c r="H1331" s="224"/>
      <c r="I1331" s="224"/>
      <c r="J1331" s="224"/>
      <c r="Z1331" s="362"/>
      <c r="AA1331" s="362"/>
      <c r="AB1331" s="362"/>
      <c r="AC1331" s="362"/>
      <c r="AD1331" s="362"/>
      <c r="AE1331" s="362"/>
      <c r="AF1331" s="362"/>
      <c r="AG1331" s="362"/>
      <c r="AH1331" s="362"/>
      <c r="AI1331" s="360"/>
      <c r="AJ1331" s="360"/>
      <c r="AK1331" s="362"/>
      <c r="AL1331" s="362"/>
      <c r="AM1331" s="362"/>
      <c r="AN1331" s="362"/>
      <c r="AO1331" s="362"/>
      <c r="AP1331" s="362"/>
      <c r="AQ1331" s="362"/>
      <c r="AR1331" s="362"/>
    </row>
    <row r="1332" spans="1:44" ht="12" customHeight="1" x14ac:dyDescent="0.15">
      <c r="A1332" s="447"/>
      <c r="B1332" s="393"/>
      <c r="C1332" s="428"/>
      <c r="D1332" s="428"/>
      <c r="E1332" s="224"/>
      <c r="F1332" s="224"/>
      <c r="G1332" s="224"/>
      <c r="H1332" s="224"/>
      <c r="I1332" s="224"/>
      <c r="J1332" s="224"/>
      <c r="Z1332" s="362"/>
      <c r="AA1332" s="362"/>
      <c r="AB1332" s="362"/>
      <c r="AC1332" s="362"/>
      <c r="AD1332" s="362"/>
      <c r="AE1332" s="362"/>
      <c r="AF1332" s="362"/>
      <c r="AG1332" s="362"/>
      <c r="AH1332" s="362"/>
      <c r="AI1332" s="360"/>
      <c r="AJ1332" s="360"/>
      <c r="AK1332" s="362"/>
      <c r="AL1332" s="362"/>
      <c r="AM1332" s="362"/>
      <c r="AN1332" s="362"/>
      <c r="AO1332" s="362"/>
      <c r="AP1332" s="362"/>
      <c r="AQ1332" s="362"/>
      <c r="AR1332" s="362"/>
    </row>
    <row r="1333" spans="1:44" ht="12" customHeight="1" x14ac:dyDescent="0.15">
      <c r="A1333" s="447"/>
      <c r="B1333" s="393"/>
      <c r="C1333" s="428"/>
      <c r="D1333" s="428"/>
      <c r="E1333" s="224"/>
      <c r="F1333" s="224"/>
      <c r="G1333" s="224"/>
      <c r="H1333" s="224"/>
      <c r="I1333" s="224"/>
      <c r="J1333" s="224"/>
      <c r="Z1333" s="362"/>
      <c r="AA1333" s="362"/>
      <c r="AB1333" s="362"/>
      <c r="AC1333" s="362"/>
      <c r="AD1333" s="362"/>
      <c r="AE1333" s="362"/>
      <c r="AF1333" s="362"/>
      <c r="AG1333" s="362"/>
      <c r="AH1333" s="362"/>
      <c r="AI1333" s="360"/>
      <c r="AJ1333" s="360"/>
      <c r="AK1333" s="362"/>
      <c r="AL1333" s="362"/>
      <c r="AM1333" s="362"/>
      <c r="AN1333" s="362"/>
      <c r="AO1333" s="362"/>
      <c r="AP1333" s="362"/>
      <c r="AQ1333" s="362"/>
      <c r="AR1333" s="362"/>
    </row>
    <row r="1334" spans="1:44" ht="12" customHeight="1" x14ac:dyDescent="0.15">
      <c r="A1334" s="447"/>
      <c r="B1334" s="393"/>
      <c r="C1334" s="428"/>
      <c r="D1334" s="428"/>
      <c r="E1334" s="224"/>
      <c r="F1334" s="224"/>
      <c r="G1334" s="224"/>
      <c r="H1334" s="224"/>
      <c r="I1334" s="224"/>
      <c r="J1334" s="224"/>
      <c r="Z1334" s="362"/>
      <c r="AA1334" s="362"/>
      <c r="AB1334" s="362"/>
      <c r="AC1334" s="362"/>
      <c r="AD1334" s="362"/>
      <c r="AE1334" s="362"/>
      <c r="AF1334" s="362"/>
      <c r="AG1334" s="362"/>
      <c r="AH1334" s="362"/>
      <c r="AI1334" s="360"/>
      <c r="AJ1334" s="360"/>
      <c r="AK1334" s="362"/>
      <c r="AL1334" s="362"/>
      <c r="AM1334" s="362"/>
      <c r="AN1334" s="362"/>
      <c r="AO1334" s="362"/>
      <c r="AP1334" s="362"/>
      <c r="AQ1334" s="362"/>
      <c r="AR1334" s="362"/>
    </row>
    <row r="1335" spans="1:44" ht="12" customHeight="1" x14ac:dyDescent="0.15">
      <c r="A1335" s="447"/>
      <c r="B1335" s="393"/>
      <c r="C1335" s="428"/>
      <c r="D1335" s="428"/>
      <c r="E1335" s="224"/>
      <c r="F1335" s="224"/>
      <c r="G1335" s="224"/>
      <c r="H1335" s="224"/>
      <c r="I1335" s="224"/>
      <c r="J1335" s="224"/>
      <c r="Z1335" s="362"/>
      <c r="AA1335" s="362"/>
      <c r="AB1335" s="362"/>
      <c r="AC1335" s="362"/>
      <c r="AD1335" s="362"/>
      <c r="AE1335" s="362"/>
      <c r="AF1335" s="362"/>
      <c r="AG1335" s="362"/>
      <c r="AH1335" s="362"/>
      <c r="AI1335" s="360"/>
      <c r="AJ1335" s="360"/>
      <c r="AK1335" s="362"/>
      <c r="AL1335" s="362"/>
      <c r="AM1335" s="362"/>
      <c r="AN1335" s="362"/>
      <c r="AO1335" s="362"/>
      <c r="AP1335" s="362"/>
      <c r="AQ1335" s="362"/>
      <c r="AR1335" s="362"/>
    </row>
    <row r="1336" spans="1:44" ht="12" customHeight="1" x14ac:dyDescent="0.15">
      <c r="A1336" s="447"/>
      <c r="B1336" s="393"/>
      <c r="C1336" s="428"/>
      <c r="D1336" s="428"/>
      <c r="E1336" s="224"/>
      <c r="F1336" s="224"/>
      <c r="G1336" s="224"/>
      <c r="H1336" s="224"/>
      <c r="I1336" s="224"/>
      <c r="J1336" s="224"/>
      <c r="Z1336" s="362"/>
      <c r="AA1336" s="362"/>
      <c r="AB1336" s="362"/>
      <c r="AC1336" s="362"/>
      <c r="AD1336" s="362"/>
      <c r="AE1336" s="362"/>
      <c r="AF1336" s="362"/>
      <c r="AG1336" s="362"/>
      <c r="AH1336" s="362"/>
      <c r="AI1336" s="360"/>
      <c r="AJ1336" s="360"/>
      <c r="AK1336" s="362"/>
      <c r="AL1336" s="362"/>
      <c r="AM1336" s="362"/>
      <c r="AN1336" s="362"/>
      <c r="AO1336" s="362"/>
      <c r="AP1336" s="362"/>
      <c r="AQ1336" s="362"/>
      <c r="AR1336" s="362"/>
    </row>
    <row r="1337" spans="1:44" ht="12" customHeight="1" x14ac:dyDescent="0.15">
      <c r="A1337" s="447"/>
      <c r="B1337" s="393"/>
      <c r="C1337" s="428"/>
      <c r="D1337" s="428"/>
      <c r="E1337" s="224"/>
      <c r="F1337" s="224"/>
      <c r="G1337" s="224"/>
      <c r="H1337" s="224"/>
      <c r="I1337" s="224"/>
      <c r="J1337" s="224"/>
      <c r="Z1337" s="362"/>
      <c r="AA1337" s="362"/>
      <c r="AB1337" s="362"/>
      <c r="AC1337" s="362"/>
      <c r="AD1337" s="362"/>
      <c r="AE1337" s="362"/>
      <c r="AF1337" s="362"/>
      <c r="AG1337" s="362"/>
      <c r="AH1337" s="362"/>
      <c r="AI1337" s="360"/>
      <c r="AJ1337" s="360"/>
      <c r="AK1337" s="362"/>
      <c r="AL1337" s="362"/>
      <c r="AM1337" s="362"/>
      <c r="AN1337" s="362"/>
      <c r="AO1337" s="362"/>
      <c r="AP1337" s="362"/>
      <c r="AQ1337" s="362"/>
      <c r="AR1337" s="362"/>
    </row>
    <row r="1338" spans="1:44" ht="12" customHeight="1" x14ac:dyDescent="0.15">
      <c r="A1338" s="447"/>
      <c r="B1338" s="393"/>
      <c r="C1338" s="428"/>
      <c r="D1338" s="428"/>
      <c r="E1338" s="224"/>
      <c r="F1338" s="224"/>
      <c r="G1338" s="224"/>
      <c r="H1338" s="224"/>
      <c r="I1338" s="224"/>
      <c r="J1338" s="224"/>
      <c r="Z1338" s="362"/>
      <c r="AA1338" s="362"/>
      <c r="AB1338" s="362"/>
      <c r="AC1338" s="362"/>
      <c r="AD1338" s="362"/>
      <c r="AE1338" s="362"/>
      <c r="AF1338" s="362"/>
      <c r="AG1338" s="362"/>
      <c r="AH1338" s="362"/>
      <c r="AI1338" s="360"/>
      <c r="AJ1338" s="360"/>
      <c r="AK1338" s="362"/>
      <c r="AL1338" s="362"/>
      <c r="AM1338" s="362"/>
      <c r="AN1338" s="362"/>
      <c r="AO1338" s="362"/>
      <c r="AP1338" s="362"/>
      <c r="AQ1338" s="362"/>
      <c r="AR1338" s="362"/>
    </row>
    <row r="1339" spans="1:44" ht="12" customHeight="1" x14ac:dyDescent="0.15">
      <c r="A1339" s="447"/>
      <c r="B1339" s="393"/>
      <c r="C1339" s="428"/>
      <c r="D1339" s="428"/>
      <c r="E1339" s="224"/>
      <c r="F1339" s="224"/>
      <c r="G1339" s="224"/>
      <c r="H1339" s="224"/>
      <c r="I1339" s="224"/>
      <c r="J1339" s="224"/>
      <c r="Z1339" s="362"/>
      <c r="AA1339" s="362"/>
      <c r="AB1339" s="362"/>
      <c r="AC1339" s="362"/>
      <c r="AD1339" s="362"/>
      <c r="AE1339" s="362"/>
      <c r="AF1339" s="362"/>
      <c r="AG1339" s="362"/>
      <c r="AH1339" s="362"/>
      <c r="AI1339" s="360"/>
      <c r="AJ1339" s="360"/>
      <c r="AK1339" s="362"/>
      <c r="AL1339" s="362"/>
      <c r="AM1339" s="362"/>
      <c r="AN1339" s="362"/>
      <c r="AO1339" s="362"/>
      <c r="AP1339" s="362"/>
      <c r="AQ1339" s="362"/>
      <c r="AR1339" s="362"/>
    </row>
    <row r="1340" spans="1:44" ht="12" customHeight="1" x14ac:dyDescent="0.15">
      <c r="A1340" s="447"/>
      <c r="B1340" s="393"/>
      <c r="C1340" s="428"/>
      <c r="D1340" s="428"/>
      <c r="E1340" s="224"/>
      <c r="F1340" s="224"/>
      <c r="G1340" s="224"/>
      <c r="H1340" s="224"/>
      <c r="I1340" s="224"/>
      <c r="J1340" s="224"/>
      <c r="Z1340" s="362"/>
      <c r="AA1340" s="362"/>
      <c r="AB1340" s="362"/>
      <c r="AC1340" s="362"/>
      <c r="AD1340" s="362"/>
      <c r="AE1340" s="362"/>
      <c r="AF1340" s="362"/>
      <c r="AG1340" s="362"/>
      <c r="AH1340" s="362"/>
      <c r="AI1340" s="360"/>
      <c r="AJ1340" s="360"/>
      <c r="AK1340" s="362"/>
      <c r="AL1340" s="362"/>
      <c r="AM1340" s="362"/>
      <c r="AN1340" s="362"/>
      <c r="AO1340" s="362"/>
      <c r="AP1340" s="362"/>
      <c r="AQ1340" s="362"/>
      <c r="AR1340" s="362"/>
    </row>
    <row r="1341" spans="1:44" ht="12" customHeight="1" x14ac:dyDescent="0.15">
      <c r="A1341" s="447"/>
      <c r="B1341" s="393"/>
      <c r="C1341" s="428"/>
      <c r="D1341" s="428"/>
      <c r="E1341" s="224"/>
      <c r="F1341" s="224"/>
      <c r="G1341" s="224"/>
      <c r="H1341" s="224"/>
      <c r="I1341" s="224"/>
      <c r="J1341" s="224"/>
      <c r="Z1341" s="362"/>
      <c r="AA1341" s="362"/>
      <c r="AB1341" s="362"/>
      <c r="AC1341" s="362"/>
      <c r="AD1341" s="362"/>
      <c r="AE1341" s="362"/>
      <c r="AF1341" s="362"/>
      <c r="AG1341" s="362"/>
      <c r="AH1341" s="362"/>
      <c r="AI1341" s="360"/>
      <c r="AJ1341" s="360"/>
      <c r="AK1341" s="362"/>
      <c r="AL1341" s="362"/>
      <c r="AM1341" s="362"/>
      <c r="AN1341" s="362"/>
      <c r="AO1341" s="362"/>
      <c r="AP1341" s="362"/>
      <c r="AQ1341" s="362"/>
      <c r="AR1341" s="362"/>
    </row>
    <row r="1342" spans="1:44" ht="12" customHeight="1" x14ac:dyDescent="0.15">
      <c r="A1342" s="447"/>
      <c r="B1342" s="393"/>
      <c r="C1342" s="428"/>
      <c r="D1342" s="428"/>
      <c r="E1342" s="224"/>
      <c r="F1342" s="224"/>
      <c r="G1342" s="224"/>
      <c r="H1342" s="224"/>
      <c r="I1342" s="224"/>
      <c r="J1342" s="224"/>
      <c r="Z1342" s="362"/>
      <c r="AA1342" s="362"/>
      <c r="AB1342" s="362"/>
      <c r="AC1342" s="362"/>
      <c r="AD1342" s="362"/>
      <c r="AE1342" s="362"/>
      <c r="AF1342" s="362"/>
      <c r="AG1342" s="362"/>
      <c r="AH1342" s="362"/>
      <c r="AI1342" s="360"/>
      <c r="AJ1342" s="360"/>
      <c r="AK1342" s="362"/>
      <c r="AL1342" s="362"/>
      <c r="AM1342" s="362"/>
      <c r="AN1342" s="362"/>
      <c r="AO1342" s="362"/>
      <c r="AP1342" s="362"/>
      <c r="AQ1342" s="362"/>
      <c r="AR1342" s="362"/>
    </row>
    <row r="1343" spans="1:44" ht="12" customHeight="1" x14ac:dyDescent="0.15">
      <c r="A1343" s="447"/>
      <c r="B1343" s="393"/>
      <c r="C1343" s="428"/>
      <c r="D1343" s="428"/>
      <c r="E1343" s="224"/>
      <c r="F1343" s="224"/>
      <c r="G1343" s="224"/>
      <c r="H1343" s="224"/>
      <c r="I1343" s="224"/>
      <c r="J1343" s="224"/>
      <c r="Z1343" s="362"/>
      <c r="AA1343" s="362"/>
      <c r="AB1343" s="362"/>
      <c r="AC1343" s="362"/>
      <c r="AD1343" s="362"/>
      <c r="AE1343" s="362"/>
      <c r="AF1343" s="362"/>
      <c r="AG1343" s="362"/>
      <c r="AH1343" s="362"/>
      <c r="AI1343" s="360"/>
      <c r="AJ1343" s="360"/>
      <c r="AK1343" s="362"/>
      <c r="AL1343" s="362"/>
      <c r="AM1343" s="362"/>
      <c r="AN1343" s="362"/>
      <c r="AO1343" s="362"/>
      <c r="AP1343" s="362"/>
      <c r="AQ1343" s="362"/>
      <c r="AR1343" s="362"/>
    </row>
    <row r="1344" spans="1:44" ht="12" customHeight="1" x14ac:dyDescent="0.15">
      <c r="A1344" s="447"/>
      <c r="B1344" s="393"/>
      <c r="C1344" s="428"/>
      <c r="D1344" s="428"/>
      <c r="E1344" s="224"/>
      <c r="F1344" s="224"/>
      <c r="G1344" s="224"/>
      <c r="H1344" s="224"/>
      <c r="I1344" s="224"/>
      <c r="J1344" s="224"/>
      <c r="Z1344" s="362"/>
      <c r="AA1344" s="362"/>
      <c r="AB1344" s="362"/>
      <c r="AC1344" s="362"/>
      <c r="AD1344" s="362"/>
      <c r="AE1344" s="362"/>
      <c r="AF1344" s="362"/>
      <c r="AG1344" s="362"/>
      <c r="AH1344" s="362"/>
      <c r="AI1344" s="360"/>
      <c r="AJ1344" s="360"/>
      <c r="AK1344" s="362"/>
      <c r="AL1344" s="362"/>
      <c r="AM1344" s="362"/>
      <c r="AN1344" s="362"/>
      <c r="AO1344" s="362"/>
      <c r="AP1344" s="362"/>
      <c r="AQ1344" s="362"/>
      <c r="AR1344" s="362"/>
    </row>
    <row r="1345" spans="1:44" ht="12" customHeight="1" x14ac:dyDescent="0.15">
      <c r="A1345" s="447"/>
      <c r="B1345" s="393"/>
      <c r="C1345" s="428"/>
      <c r="D1345" s="428"/>
      <c r="E1345" s="224"/>
      <c r="F1345" s="224"/>
      <c r="G1345" s="224"/>
      <c r="H1345" s="224"/>
      <c r="I1345" s="224"/>
      <c r="J1345" s="224"/>
      <c r="Z1345" s="362"/>
      <c r="AA1345" s="362"/>
      <c r="AB1345" s="362"/>
      <c r="AC1345" s="362"/>
      <c r="AD1345" s="362"/>
      <c r="AE1345" s="362"/>
      <c r="AF1345" s="362"/>
      <c r="AG1345" s="362"/>
      <c r="AH1345" s="362"/>
      <c r="AI1345" s="360"/>
      <c r="AJ1345" s="360"/>
      <c r="AK1345" s="362"/>
      <c r="AL1345" s="362"/>
      <c r="AM1345" s="362"/>
      <c r="AN1345" s="362"/>
      <c r="AO1345" s="362"/>
      <c r="AP1345" s="362"/>
      <c r="AQ1345" s="362"/>
      <c r="AR1345" s="362"/>
    </row>
    <row r="1346" spans="1:44" ht="12" customHeight="1" x14ac:dyDescent="0.15">
      <c r="A1346" s="447"/>
      <c r="B1346" s="393"/>
      <c r="C1346" s="428"/>
      <c r="D1346" s="428"/>
      <c r="E1346" s="224"/>
      <c r="F1346" s="224"/>
      <c r="G1346" s="224"/>
      <c r="H1346" s="224"/>
      <c r="I1346" s="224"/>
      <c r="J1346" s="224"/>
      <c r="Z1346" s="362"/>
      <c r="AA1346" s="362"/>
      <c r="AB1346" s="362"/>
      <c r="AC1346" s="362"/>
      <c r="AD1346" s="362"/>
      <c r="AE1346" s="362"/>
      <c r="AF1346" s="362"/>
      <c r="AG1346" s="362"/>
      <c r="AH1346" s="362"/>
      <c r="AI1346" s="360"/>
      <c r="AJ1346" s="360"/>
      <c r="AK1346" s="362"/>
      <c r="AL1346" s="362"/>
      <c r="AM1346" s="362"/>
      <c r="AN1346" s="362"/>
      <c r="AO1346" s="362"/>
      <c r="AP1346" s="362"/>
      <c r="AQ1346" s="362"/>
      <c r="AR1346" s="362"/>
    </row>
    <row r="1347" spans="1:44" ht="12" customHeight="1" x14ac:dyDescent="0.15">
      <c r="A1347" s="447"/>
      <c r="B1347" s="393"/>
      <c r="C1347" s="428"/>
      <c r="D1347" s="428"/>
      <c r="E1347" s="224"/>
      <c r="F1347" s="224"/>
      <c r="G1347" s="224"/>
      <c r="H1347" s="224"/>
      <c r="I1347" s="224"/>
      <c r="J1347" s="224"/>
      <c r="Z1347" s="362"/>
      <c r="AA1347" s="362"/>
      <c r="AB1347" s="362"/>
      <c r="AC1347" s="362"/>
      <c r="AD1347" s="362"/>
      <c r="AE1347" s="362"/>
      <c r="AF1347" s="362"/>
      <c r="AG1347" s="362"/>
      <c r="AH1347" s="362"/>
      <c r="AI1347" s="360"/>
      <c r="AJ1347" s="360"/>
      <c r="AK1347" s="362"/>
      <c r="AL1347" s="362"/>
      <c r="AM1347" s="362"/>
      <c r="AN1347" s="362"/>
      <c r="AO1347" s="362"/>
      <c r="AP1347" s="362"/>
      <c r="AQ1347" s="362"/>
      <c r="AR1347" s="362"/>
    </row>
    <row r="1348" spans="1:44" ht="12" customHeight="1" x14ac:dyDescent="0.15">
      <c r="A1348" s="447"/>
      <c r="B1348" s="393"/>
      <c r="C1348" s="428"/>
      <c r="D1348" s="428"/>
      <c r="E1348" s="224"/>
      <c r="F1348" s="224"/>
      <c r="G1348" s="224"/>
      <c r="H1348" s="224"/>
      <c r="I1348" s="224"/>
      <c r="J1348" s="224"/>
      <c r="Z1348" s="362"/>
      <c r="AA1348" s="362"/>
      <c r="AB1348" s="362"/>
      <c r="AC1348" s="362"/>
      <c r="AD1348" s="362"/>
      <c r="AE1348" s="362"/>
      <c r="AF1348" s="362"/>
      <c r="AG1348" s="362"/>
      <c r="AH1348" s="362"/>
      <c r="AI1348" s="360"/>
      <c r="AJ1348" s="360"/>
      <c r="AK1348" s="362"/>
      <c r="AL1348" s="362"/>
      <c r="AM1348" s="362"/>
      <c r="AN1348" s="362"/>
      <c r="AO1348" s="362"/>
      <c r="AP1348" s="362"/>
      <c r="AQ1348" s="362"/>
      <c r="AR1348" s="362"/>
    </row>
    <row r="1349" spans="1:44" ht="12" customHeight="1" x14ac:dyDescent="0.15">
      <c r="A1349" s="447"/>
      <c r="B1349" s="393"/>
      <c r="C1349" s="428"/>
      <c r="D1349" s="428"/>
      <c r="E1349" s="224"/>
      <c r="F1349" s="224"/>
      <c r="G1349" s="224"/>
      <c r="H1349" s="224"/>
      <c r="I1349" s="224"/>
      <c r="J1349" s="224"/>
      <c r="Z1349" s="362"/>
      <c r="AA1349" s="362"/>
      <c r="AB1349" s="362"/>
      <c r="AC1349" s="362"/>
      <c r="AD1349" s="362"/>
      <c r="AE1349" s="362"/>
      <c r="AF1349" s="362"/>
      <c r="AG1349" s="362"/>
      <c r="AH1349" s="362"/>
      <c r="AI1349" s="360"/>
      <c r="AJ1349" s="360"/>
      <c r="AK1349" s="362"/>
      <c r="AL1349" s="362"/>
      <c r="AM1349" s="362"/>
      <c r="AN1349" s="362"/>
      <c r="AO1349" s="362"/>
      <c r="AP1349" s="362"/>
      <c r="AQ1349" s="362"/>
      <c r="AR1349" s="362"/>
    </row>
    <row r="1350" spans="1:44" ht="12" customHeight="1" x14ac:dyDescent="0.15">
      <c r="A1350" s="447"/>
      <c r="B1350" s="393"/>
      <c r="C1350" s="428"/>
      <c r="D1350" s="428"/>
      <c r="E1350" s="224"/>
      <c r="F1350" s="224"/>
      <c r="G1350" s="224"/>
      <c r="H1350" s="224"/>
      <c r="I1350" s="224"/>
      <c r="J1350" s="224"/>
      <c r="Z1350" s="362"/>
      <c r="AA1350" s="362"/>
      <c r="AB1350" s="362"/>
      <c r="AC1350" s="362"/>
      <c r="AD1350" s="362"/>
      <c r="AE1350" s="362"/>
      <c r="AF1350" s="362"/>
      <c r="AG1350" s="362"/>
      <c r="AH1350" s="362"/>
      <c r="AI1350" s="360"/>
      <c r="AJ1350" s="360"/>
      <c r="AK1350" s="362"/>
      <c r="AL1350" s="362"/>
      <c r="AM1350" s="362"/>
      <c r="AN1350" s="362"/>
      <c r="AO1350" s="362"/>
      <c r="AP1350" s="362"/>
      <c r="AQ1350" s="362"/>
      <c r="AR1350" s="362"/>
    </row>
    <row r="1351" spans="1:44" ht="12" customHeight="1" x14ac:dyDescent="0.15">
      <c r="A1351" s="447"/>
      <c r="B1351" s="393"/>
      <c r="C1351" s="428"/>
      <c r="D1351" s="428"/>
      <c r="E1351" s="224"/>
      <c r="F1351" s="224"/>
      <c r="G1351" s="224"/>
      <c r="H1351" s="224"/>
      <c r="I1351" s="224"/>
      <c r="J1351" s="224"/>
      <c r="Z1351" s="362"/>
      <c r="AA1351" s="362"/>
      <c r="AB1351" s="362"/>
      <c r="AC1351" s="362"/>
      <c r="AD1351" s="362"/>
      <c r="AE1351" s="362"/>
      <c r="AF1351" s="362"/>
      <c r="AG1351" s="362"/>
      <c r="AH1351" s="362"/>
      <c r="AI1351" s="360"/>
      <c r="AJ1351" s="360"/>
      <c r="AK1351" s="362"/>
      <c r="AL1351" s="362"/>
      <c r="AM1351" s="362"/>
      <c r="AN1351" s="362"/>
      <c r="AO1351" s="362"/>
      <c r="AP1351" s="362"/>
      <c r="AQ1351" s="362"/>
      <c r="AR1351" s="362"/>
    </row>
    <row r="1352" spans="1:44" ht="12" customHeight="1" x14ac:dyDescent="0.15">
      <c r="A1352" s="447"/>
      <c r="B1352" s="393"/>
      <c r="C1352" s="428"/>
      <c r="D1352" s="428"/>
      <c r="E1352" s="224"/>
      <c r="F1352" s="224"/>
      <c r="G1352" s="224"/>
      <c r="H1352" s="224"/>
      <c r="I1352" s="224"/>
      <c r="J1352" s="224"/>
      <c r="Z1352" s="362"/>
      <c r="AA1352" s="362"/>
      <c r="AB1352" s="362"/>
      <c r="AC1352" s="362"/>
      <c r="AD1352" s="362"/>
      <c r="AE1352" s="362"/>
      <c r="AF1352" s="362"/>
      <c r="AG1352" s="362"/>
      <c r="AH1352" s="362"/>
      <c r="AI1352" s="360"/>
      <c r="AJ1352" s="360"/>
      <c r="AK1352" s="362"/>
      <c r="AL1352" s="362"/>
      <c r="AM1352" s="362"/>
      <c r="AN1352" s="362"/>
      <c r="AO1352" s="362"/>
      <c r="AP1352" s="362"/>
      <c r="AQ1352" s="362"/>
      <c r="AR1352" s="362"/>
    </row>
    <row r="1353" spans="1:44" ht="12" customHeight="1" x14ac:dyDescent="0.15">
      <c r="A1353" s="447"/>
      <c r="B1353" s="393"/>
      <c r="C1353" s="428"/>
      <c r="D1353" s="428"/>
      <c r="E1353" s="224"/>
      <c r="F1353" s="224"/>
      <c r="G1353" s="224"/>
      <c r="H1353" s="224"/>
      <c r="I1353" s="224"/>
      <c r="J1353" s="224"/>
      <c r="Z1353" s="362"/>
      <c r="AA1353" s="362"/>
      <c r="AB1353" s="362"/>
      <c r="AC1353" s="362"/>
      <c r="AD1353" s="362"/>
      <c r="AE1353" s="362"/>
      <c r="AF1353" s="362"/>
      <c r="AG1353" s="362"/>
      <c r="AH1353" s="362"/>
      <c r="AI1353" s="360"/>
      <c r="AJ1353" s="360"/>
      <c r="AK1353" s="362"/>
      <c r="AL1353" s="362"/>
      <c r="AM1353" s="362"/>
      <c r="AN1353" s="362"/>
      <c r="AO1353" s="362"/>
      <c r="AP1353" s="362"/>
      <c r="AQ1353" s="362"/>
      <c r="AR1353" s="362"/>
    </row>
    <row r="1354" spans="1:44" ht="12" customHeight="1" x14ac:dyDescent="0.15">
      <c r="A1354" s="447"/>
      <c r="B1354" s="393"/>
      <c r="C1354" s="428"/>
      <c r="D1354" s="428"/>
      <c r="E1354" s="224"/>
      <c r="F1354" s="224"/>
      <c r="G1354" s="224"/>
      <c r="H1354" s="224"/>
      <c r="I1354" s="224"/>
      <c r="J1354" s="224"/>
      <c r="Z1354" s="362"/>
      <c r="AA1354" s="362"/>
      <c r="AB1354" s="362"/>
      <c r="AC1354" s="362"/>
      <c r="AD1354" s="362"/>
      <c r="AE1354" s="362"/>
      <c r="AF1354" s="362"/>
      <c r="AG1354" s="362"/>
      <c r="AH1354" s="362"/>
      <c r="AI1354" s="360"/>
      <c r="AJ1354" s="360"/>
      <c r="AK1354" s="362"/>
      <c r="AL1354" s="362"/>
      <c r="AM1354" s="362"/>
      <c r="AN1354" s="362"/>
      <c r="AO1354" s="362"/>
      <c r="AP1354" s="362"/>
      <c r="AQ1354" s="362"/>
      <c r="AR1354" s="362"/>
    </row>
    <row r="1355" spans="1:44" ht="12" customHeight="1" x14ac:dyDescent="0.15">
      <c r="A1355" s="447"/>
      <c r="B1355" s="393"/>
      <c r="C1355" s="428"/>
      <c r="D1355" s="428"/>
      <c r="E1355" s="224"/>
      <c r="F1355" s="224"/>
      <c r="G1355" s="224"/>
      <c r="H1355" s="224"/>
      <c r="I1355" s="224"/>
      <c r="J1355" s="224"/>
      <c r="Z1355" s="362"/>
      <c r="AA1355" s="362"/>
      <c r="AB1355" s="362"/>
      <c r="AC1355" s="362"/>
      <c r="AD1355" s="362"/>
      <c r="AE1355" s="362"/>
      <c r="AF1355" s="362"/>
      <c r="AG1355" s="362"/>
      <c r="AH1355" s="362"/>
      <c r="AI1355" s="360"/>
      <c r="AJ1355" s="360"/>
      <c r="AK1355" s="362"/>
      <c r="AL1355" s="362"/>
      <c r="AM1355" s="362"/>
      <c r="AN1355" s="362"/>
      <c r="AO1355" s="362"/>
      <c r="AP1355" s="362"/>
      <c r="AQ1355" s="362"/>
      <c r="AR1355" s="362"/>
    </row>
    <row r="1356" spans="1:44" ht="12" customHeight="1" x14ac:dyDescent="0.15">
      <c r="A1356" s="447"/>
      <c r="B1356" s="393"/>
      <c r="C1356" s="428"/>
      <c r="D1356" s="428"/>
      <c r="E1356" s="224"/>
      <c r="F1356" s="224"/>
      <c r="G1356" s="224"/>
      <c r="H1356" s="224"/>
      <c r="I1356" s="224"/>
      <c r="J1356" s="224"/>
      <c r="Z1356" s="362"/>
      <c r="AA1356" s="362"/>
      <c r="AB1356" s="362"/>
      <c r="AC1356" s="362"/>
      <c r="AD1356" s="362"/>
      <c r="AE1356" s="362"/>
      <c r="AF1356" s="362"/>
      <c r="AG1356" s="362"/>
      <c r="AH1356" s="362"/>
      <c r="AI1356" s="360"/>
      <c r="AJ1356" s="360"/>
      <c r="AK1356" s="362"/>
      <c r="AL1356" s="362"/>
      <c r="AM1356" s="362"/>
      <c r="AN1356" s="362"/>
      <c r="AO1356" s="362"/>
      <c r="AP1356" s="362"/>
      <c r="AQ1356" s="362"/>
      <c r="AR1356" s="362"/>
    </row>
    <row r="1357" spans="1:44" ht="12" customHeight="1" x14ac:dyDescent="0.15">
      <c r="A1357" s="447"/>
      <c r="B1357" s="393"/>
      <c r="C1357" s="428"/>
      <c r="D1357" s="428"/>
      <c r="E1357" s="224"/>
      <c r="F1357" s="224"/>
      <c r="G1357" s="224"/>
      <c r="H1357" s="224"/>
      <c r="I1357" s="224"/>
      <c r="J1357" s="224"/>
      <c r="Z1357" s="362"/>
      <c r="AA1357" s="362"/>
      <c r="AB1357" s="362"/>
      <c r="AC1357" s="362"/>
      <c r="AD1357" s="362"/>
      <c r="AE1357" s="362"/>
      <c r="AF1357" s="362"/>
      <c r="AG1357" s="362"/>
      <c r="AH1357" s="362"/>
      <c r="AI1357" s="360"/>
      <c r="AJ1357" s="360"/>
      <c r="AK1357" s="362"/>
      <c r="AL1357" s="362"/>
      <c r="AM1357" s="362"/>
      <c r="AN1357" s="362"/>
      <c r="AO1357" s="362"/>
      <c r="AP1357" s="362"/>
      <c r="AQ1357" s="362"/>
      <c r="AR1357" s="362"/>
    </row>
    <row r="1358" spans="1:44" ht="12" customHeight="1" x14ac:dyDescent="0.15">
      <c r="A1358" s="447"/>
      <c r="B1358" s="393"/>
      <c r="C1358" s="428"/>
      <c r="D1358" s="428"/>
      <c r="E1358" s="224"/>
      <c r="F1358" s="224"/>
      <c r="G1358" s="224"/>
      <c r="H1358" s="224"/>
      <c r="I1358" s="224"/>
      <c r="J1358" s="224"/>
      <c r="Z1358" s="362"/>
      <c r="AA1358" s="362"/>
      <c r="AB1358" s="362"/>
      <c r="AC1358" s="362"/>
      <c r="AD1358" s="362"/>
      <c r="AE1358" s="362"/>
      <c r="AF1358" s="362"/>
      <c r="AG1358" s="362"/>
      <c r="AH1358" s="362"/>
      <c r="AI1358" s="360"/>
      <c r="AJ1358" s="360"/>
      <c r="AK1358" s="362"/>
      <c r="AL1358" s="362"/>
      <c r="AM1358" s="362"/>
      <c r="AN1358" s="362"/>
      <c r="AO1358" s="362"/>
      <c r="AP1358" s="362"/>
      <c r="AQ1358" s="362"/>
      <c r="AR1358" s="362"/>
    </row>
    <row r="1359" spans="1:44" ht="12" customHeight="1" x14ac:dyDescent="0.15">
      <c r="A1359" s="447"/>
      <c r="B1359" s="393"/>
      <c r="C1359" s="428"/>
      <c r="D1359" s="428"/>
      <c r="E1359" s="224"/>
      <c r="F1359" s="224"/>
      <c r="G1359" s="224"/>
      <c r="H1359" s="224"/>
      <c r="I1359" s="224"/>
      <c r="J1359" s="224"/>
      <c r="Z1359" s="362"/>
      <c r="AA1359" s="362"/>
      <c r="AB1359" s="362"/>
      <c r="AC1359" s="362"/>
      <c r="AD1359" s="362"/>
      <c r="AE1359" s="362"/>
      <c r="AF1359" s="362"/>
      <c r="AG1359" s="362"/>
      <c r="AH1359" s="362"/>
      <c r="AI1359" s="360"/>
      <c r="AJ1359" s="360"/>
      <c r="AK1359" s="362"/>
      <c r="AL1359" s="362"/>
      <c r="AM1359" s="362"/>
      <c r="AN1359" s="362"/>
      <c r="AO1359" s="362"/>
      <c r="AP1359" s="362"/>
      <c r="AQ1359" s="362"/>
      <c r="AR1359" s="362"/>
    </row>
    <row r="1360" spans="1:44" ht="12" customHeight="1" x14ac:dyDescent="0.15">
      <c r="A1360" s="447"/>
      <c r="B1360" s="393"/>
      <c r="C1360" s="428"/>
      <c r="D1360" s="428"/>
      <c r="E1360" s="224"/>
      <c r="F1360" s="224"/>
      <c r="G1360" s="224"/>
      <c r="H1360" s="224"/>
      <c r="I1360" s="224"/>
      <c r="J1360" s="224"/>
      <c r="Z1360" s="362"/>
      <c r="AA1360" s="362"/>
      <c r="AB1360" s="362"/>
      <c r="AC1360" s="362"/>
      <c r="AD1360" s="362"/>
      <c r="AE1360" s="362"/>
      <c r="AF1360" s="362"/>
      <c r="AG1360" s="362"/>
      <c r="AH1360" s="362"/>
      <c r="AI1360" s="360"/>
      <c r="AJ1360" s="360"/>
      <c r="AK1360" s="362"/>
      <c r="AL1360" s="362"/>
      <c r="AM1360" s="362"/>
      <c r="AN1360" s="362"/>
      <c r="AO1360" s="362"/>
      <c r="AP1360" s="362"/>
      <c r="AQ1360" s="362"/>
      <c r="AR1360" s="362"/>
    </row>
    <row r="1361" spans="1:44" ht="12" customHeight="1" x14ac:dyDescent="0.15">
      <c r="A1361" s="447"/>
      <c r="B1361" s="393"/>
      <c r="C1361" s="428"/>
      <c r="D1361" s="428"/>
      <c r="E1361" s="224"/>
      <c r="F1361" s="224"/>
      <c r="G1361" s="224"/>
      <c r="H1361" s="224"/>
      <c r="I1361" s="224"/>
      <c r="J1361" s="224"/>
      <c r="Z1361" s="362"/>
      <c r="AA1361" s="362"/>
      <c r="AB1361" s="362"/>
      <c r="AC1361" s="362"/>
      <c r="AD1361" s="362"/>
      <c r="AE1361" s="362"/>
      <c r="AF1361" s="362"/>
      <c r="AG1361" s="362"/>
      <c r="AH1361" s="362"/>
      <c r="AI1361" s="360"/>
      <c r="AJ1361" s="360"/>
      <c r="AK1361" s="362"/>
      <c r="AL1361" s="362"/>
      <c r="AM1361" s="362"/>
      <c r="AN1361" s="362"/>
      <c r="AO1361" s="362"/>
      <c r="AP1361" s="362"/>
      <c r="AQ1361" s="362"/>
      <c r="AR1361" s="362"/>
    </row>
    <row r="1362" spans="1:44" ht="12" customHeight="1" x14ac:dyDescent="0.15">
      <c r="A1362" s="447"/>
      <c r="B1362" s="393"/>
      <c r="C1362" s="428"/>
      <c r="D1362" s="428"/>
      <c r="E1362" s="224"/>
      <c r="F1362" s="224"/>
      <c r="G1362" s="224"/>
      <c r="H1362" s="224"/>
      <c r="I1362" s="224"/>
      <c r="J1362" s="224"/>
      <c r="Z1362" s="362"/>
      <c r="AA1362" s="362"/>
      <c r="AB1362" s="362"/>
      <c r="AC1362" s="362"/>
      <c r="AD1362" s="362"/>
      <c r="AE1362" s="362"/>
      <c r="AF1362" s="362"/>
      <c r="AG1362" s="362"/>
      <c r="AH1362" s="362"/>
      <c r="AI1362" s="360"/>
      <c r="AJ1362" s="360"/>
      <c r="AK1362" s="362"/>
      <c r="AL1362" s="362"/>
      <c r="AM1362" s="362"/>
      <c r="AN1362" s="362"/>
      <c r="AO1362" s="362"/>
      <c r="AP1362" s="362"/>
      <c r="AQ1362" s="362"/>
      <c r="AR1362" s="362"/>
    </row>
    <row r="1363" spans="1:44" ht="12" customHeight="1" x14ac:dyDescent="0.15">
      <c r="A1363" s="447"/>
      <c r="B1363" s="393"/>
      <c r="C1363" s="428"/>
      <c r="D1363" s="428"/>
      <c r="E1363" s="224"/>
      <c r="F1363" s="224"/>
      <c r="G1363" s="224"/>
      <c r="H1363" s="224"/>
      <c r="I1363" s="224"/>
      <c r="J1363" s="224"/>
      <c r="Z1363" s="362"/>
      <c r="AA1363" s="362"/>
      <c r="AB1363" s="362"/>
      <c r="AC1363" s="362"/>
      <c r="AD1363" s="362"/>
      <c r="AE1363" s="362"/>
      <c r="AF1363" s="362"/>
      <c r="AG1363" s="362"/>
      <c r="AH1363" s="362"/>
      <c r="AI1363" s="360"/>
      <c r="AJ1363" s="360"/>
      <c r="AK1363" s="362"/>
      <c r="AL1363" s="362"/>
      <c r="AM1363" s="362"/>
      <c r="AN1363" s="362"/>
      <c r="AO1363" s="362"/>
      <c r="AP1363" s="362"/>
      <c r="AQ1363" s="362"/>
      <c r="AR1363" s="362"/>
    </row>
    <row r="1364" spans="1:44" ht="12" customHeight="1" x14ac:dyDescent="0.15">
      <c r="A1364" s="447"/>
      <c r="B1364" s="393"/>
      <c r="C1364" s="428"/>
      <c r="D1364" s="428"/>
      <c r="E1364" s="224"/>
      <c r="F1364" s="224"/>
      <c r="G1364" s="224"/>
      <c r="H1364" s="224"/>
      <c r="I1364" s="224"/>
      <c r="J1364" s="224"/>
      <c r="Z1364" s="362"/>
      <c r="AA1364" s="362"/>
      <c r="AB1364" s="362"/>
      <c r="AC1364" s="362"/>
      <c r="AD1364" s="362"/>
      <c r="AE1364" s="362"/>
      <c r="AF1364" s="362"/>
      <c r="AG1364" s="362"/>
      <c r="AH1364" s="362"/>
      <c r="AI1364" s="360"/>
      <c r="AJ1364" s="360"/>
      <c r="AK1364" s="362"/>
      <c r="AL1364" s="362"/>
      <c r="AM1364" s="362"/>
      <c r="AN1364" s="362"/>
      <c r="AO1364" s="362"/>
      <c r="AP1364" s="362"/>
      <c r="AQ1364" s="362"/>
      <c r="AR1364" s="362"/>
    </row>
    <row r="1365" spans="1:44" ht="12" customHeight="1" x14ac:dyDescent="0.15">
      <c r="A1365" s="447"/>
      <c r="B1365" s="393"/>
      <c r="C1365" s="428"/>
      <c r="D1365" s="428"/>
      <c r="E1365" s="224"/>
      <c r="F1365" s="224"/>
      <c r="G1365" s="224"/>
      <c r="H1365" s="224"/>
      <c r="I1365" s="224"/>
      <c r="J1365" s="224"/>
      <c r="Z1365" s="362"/>
      <c r="AA1365" s="362"/>
      <c r="AB1365" s="362"/>
      <c r="AC1365" s="362"/>
      <c r="AD1365" s="362"/>
      <c r="AE1365" s="362"/>
      <c r="AF1365" s="362"/>
      <c r="AG1365" s="362"/>
      <c r="AH1365" s="362"/>
      <c r="AI1365" s="360"/>
      <c r="AJ1365" s="360"/>
      <c r="AK1365" s="362"/>
      <c r="AL1365" s="362"/>
      <c r="AM1365" s="362"/>
      <c r="AN1365" s="362"/>
      <c r="AO1365" s="362"/>
      <c r="AP1365" s="362"/>
      <c r="AQ1365" s="362"/>
      <c r="AR1365" s="362"/>
    </row>
    <row r="1366" spans="1:44" ht="12" customHeight="1" x14ac:dyDescent="0.15">
      <c r="A1366" s="447"/>
      <c r="B1366" s="393"/>
      <c r="C1366" s="428"/>
      <c r="D1366" s="428"/>
      <c r="E1366" s="224"/>
      <c r="F1366" s="224"/>
      <c r="G1366" s="224"/>
      <c r="H1366" s="224"/>
      <c r="I1366" s="224"/>
      <c r="J1366" s="224"/>
      <c r="Z1366" s="362"/>
      <c r="AA1366" s="362"/>
      <c r="AB1366" s="362"/>
      <c r="AC1366" s="362"/>
      <c r="AD1366" s="362"/>
      <c r="AE1366" s="362"/>
      <c r="AF1366" s="362"/>
      <c r="AG1366" s="362"/>
      <c r="AH1366" s="362"/>
      <c r="AI1366" s="360"/>
      <c r="AJ1366" s="360"/>
      <c r="AK1366" s="362"/>
      <c r="AL1366" s="362"/>
      <c r="AM1366" s="362"/>
      <c r="AN1366" s="362"/>
      <c r="AO1366" s="362"/>
      <c r="AP1366" s="362"/>
      <c r="AQ1366" s="362"/>
      <c r="AR1366" s="362"/>
    </row>
    <row r="1367" spans="1:44" ht="12" customHeight="1" x14ac:dyDescent="0.15">
      <c r="A1367" s="447"/>
      <c r="B1367" s="393"/>
      <c r="C1367" s="428"/>
      <c r="D1367" s="428"/>
      <c r="E1367" s="224"/>
      <c r="F1367" s="224"/>
      <c r="G1367" s="224"/>
      <c r="H1367" s="224"/>
      <c r="I1367" s="224"/>
      <c r="J1367" s="224"/>
      <c r="Z1367" s="362"/>
      <c r="AA1367" s="362"/>
      <c r="AB1367" s="362"/>
      <c r="AC1367" s="362"/>
      <c r="AD1367" s="362"/>
      <c r="AE1367" s="362"/>
      <c r="AF1367" s="362"/>
      <c r="AG1367" s="362"/>
      <c r="AH1367" s="362"/>
      <c r="AI1367" s="360"/>
      <c r="AJ1367" s="360"/>
      <c r="AK1367" s="362"/>
      <c r="AL1367" s="362"/>
      <c r="AM1367" s="362"/>
      <c r="AN1367" s="362"/>
      <c r="AO1367" s="362"/>
      <c r="AP1367" s="362"/>
      <c r="AQ1367" s="362"/>
      <c r="AR1367" s="362"/>
    </row>
    <row r="1368" spans="1:44" ht="12" customHeight="1" x14ac:dyDescent="0.15">
      <c r="A1368" s="447"/>
      <c r="B1368" s="393"/>
      <c r="C1368" s="428"/>
      <c r="D1368" s="428"/>
      <c r="E1368" s="224"/>
      <c r="F1368" s="224"/>
      <c r="G1368" s="224"/>
      <c r="H1368" s="224"/>
      <c r="I1368" s="224"/>
      <c r="J1368" s="224"/>
      <c r="Z1368" s="362"/>
      <c r="AA1368" s="362"/>
      <c r="AB1368" s="362"/>
      <c r="AC1368" s="362"/>
      <c r="AD1368" s="362"/>
      <c r="AE1368" s="362"/>
      <c r="AF1368" s="362"/>
      <c r="AG1368" s="362"/>
      <c r="AH1368" s="362"/>
      <c r="AI1368" s="360"/>
      <c r="AJ1368" s="360"/>
      <c r="AK1368" s="362"/>
      <c r="AL1368" s="362"/>
      <c r="AM1368" s="362"/>
      <c r="AN1368" s="362"/>
      <c r="AO1368" s="362"/>
      <c r="AP1368" s="362"/>
      <c r="AQ1368" s="362"/>
      <c r="AR1368" s="362"/>
    </row>
    <row r="1369" spans="1:44" ht="12" customHeight="1" x14ac:dyDescent="0.15">
      <c r="A1369" s="447"/>
      <c r="B1369" s="393"/>
      <c r="C1369" s="428"/>
      <c r="D1369" s="428"/>
      <c r="E1369" s="224"/>
      <c r="F1369" s="224"/>
      <c r="G1369" s="224"/>
      <c r="H1369" s="224"/>
      <c r="I1369" s="224"/>
      <c r="J1369" s="224"/>
      <c r="Z1369" s="362"/>
      <c r="AA1369" s="362"/>
      <c r="AB1369" s="362"/>
      <c r="AC1369" s="362"/>
      <c r="AD1369" s="362"/>
      <c r="AE1369" s="362"/>
      <c r="AF1369" s="362"/>
      <c r="AG1369" s="362"/>
      <c r="AH1369" s="362"/>
      <c r="AI1369" s="360"/>
      <c r="AJ1369" s="360"/>
      <c r="AK1369" s="362"/>
      <c r="AL1369" s="362"/>
      <c r="AM1369" s="362"/>
      <c r="AN1369" s="362"/>
      <c r="AO1369" s="362"/>
      <c r="AP1369" s="362"/>
      <c r="AQ1369" s="362"/>
      <c r="AR1369" s="362"/>
    </row>
    <row r="1370" spans="1:44" ht="12" customHeight="1" x14ac:dyDescent="0.15">
      <c r="A1370" s="447"/>
      <c r="B1370" s="393"/>
      <c r="C1370" s="428"/>
      <c r="D1370" s="428"/>
      <c r="E1370" s="224"/>
      <c r="F1370" s="224"/>
      <c r="G1370" s="224"/>
      <c r="H1370" s="224"/>
      <c r="I1370" s="224"/>
      <c r="J1370" s="224"/>
      <c r="Z1370" s="362"/>
      <c r="AA1370" s="362"/>
      <c r="AB1370" s="362"/>
      <c r="AC1370" s="362"/>
      <c r="AD1370" s="362"/>
      <c r="AE1370" s="362"/>
      <c r="AF1370" s="362"/>
      <c r="AG1370" s="362"/>
      <c r="AH1370" s="362"/>
      <c r="AI1370" s="360"/>
      <c r="AJ1370" s="360"/>
      <c r="AK1370" s="362"/>
      <c r="AL1370" s="362"/>
      <c r="AM1370" s="362"/>
      <c r="AN1370" s="362"/>
      <c r="AO1370" s="362"/>
      <c r="AP1370" s="362"/>
      <c r="AQ1370" s="362"/>
      <c r="AR1370" s="362"/>
    </row>
    <row r="1371" spans="1:44" ht="12" customHeight="1" x14ac:dyDescent="0.15">
      <c r="A1371" s="447"/>
      <c r="B1371" s="393"/>
      <c r="C1371" s="428"/>
      <c r="D1371" s="428"/>
      <c r="E1371" s="224"/>
      <c r="F1371" s="224"/>
      <c r="G1371" s="224"/>
      <c r="H1371" s="224"/>
      <c r="I1371" s="224"/>
      <c r="J1371" s="224"/>
      <c r="Z1371" s="362"/>
      <c r="AA1371" s="362"/>
      <c r="AB1371" s="362"/>
      <c r="AC1371" s="362"/>
      <c r="AD1371" s="362"/>
      <c r="AE1371" s="362"/>
      <c r="AF1371" s="362"/>
      <c r="AG1371" s="362"/>
      <c r="AH1371" s="362"/>
      <c r="AI1371" s="360"/>
      <c r="AJ1371" s="360"/>
      <c r="AK1371" s="362"/>
      <c r="AL1371" s="362"/>
      <c r="AM1371" s="362"/>
      <c r="AN1371" s="362"/>
      <c r="AO1371" s="362"/>
      <c r="AP1371" s="362"/>
      <c r="AQ1371" s="362"/>
      <c r="AR1371" s="362"/>
    </row>
    <row r="1372" spans="1:44" ht="12" customHeight="1" x14ac:dyDescent="0.15">
      <c r="A1372" s="447"/>
      <c r="B1372" s="393"/>
      <c r="C1372" s="428"/>
      <c r="D1372" s="428"/>
      <c r="E1372" s="224"/>
      <c r="F1372" s="224"/>
      <c r="G1372" s="224"/>
      <c r="H1372" s="224"/>
      <c r="I1372" s="224"/>
      <c r="J1372" s="224"/>
      <c r="Z1372" s="362"/>
      <c r="AA1372" s="362"/>
      <c r="AB1372" s="362"/>
      <c r="AC1372" s="362"/>
      <c r="AD1372" s="362"/>
      <c r="AE1372" s="362"/>
      <c r="AF1372" s="362"/>
      <c r="AG1372" s="362"/>
      <c r="AH1372" s="362"/>
      <c r="AI1372" s="360"/>
      <c r="AJ1372" s="360"/>
      <c r="AK1372" s="362"/>
      <c r="AL1372" s="362"/>
      <c r="AM1372" s="362"/>
      <c r="AN1372" s="362"/>
      <c r="AO1372" s="362"/>
      <c r="AP1372" s="362"/>
      <c r="AQ1372" s="362"/>
      <c r="AR1372" s="362"/>
    </row>
    <row r="1373" spans="1:44" ht="12" customHeight="1" x14ac:dyDescent="0.15">
      <c r="A1373" s="447"/>
      <c r="B1373" s="393"/>
      <c r="C1373" s="428"/>
      <c r="D1373" s="428"/>
      <c r="E1373" s="224"/>
      <c r="F1373" s="224"/>
      <c r="G1373" s="224"/>
      <c r="H1373" s="224"/>
      <c r="I1373" s="224"/>
      <c r="J1373" s="224"/>
      <c r="Z1373" s="362"/>
      <c r="AA1373" s="362"/>
      <c r="AB1373" s="362"/>
      <c r="AC1373" s="362"/>
      <c r="AD1373" s="362"/>
      <c r="AE1373" s="362"/>
      <c r="AF1373" s="362"/>
      <c r="AG1373" s="362"/>
      <c r="AH1373" s="362"/>
      <c r="AI1373" s="360"/>
      <c r="AJ1373" s="360"/>
      <c r="AK1373" s="362"/>
      <c r="AL1373" s="362"/>
      <c r="AM1373" s="362"/>
      <c r="AN1373" s="362"/>
      <c r="AO1373" s="362"/>
      <c r="AP1373" s="362"/>
      <c r="AQ1373" s="362"/>
      <c r="AR1373" s="362"/>
    </row>
    <row r="1374" spans="1:44" ht="12" customHeight="1" x14ac:dyDescent="0.15">
      <c r="A1374" s="447"/>
      <c r="B1374" s="393"/>
      <c r="C1374" s="428"/>
      <c r="D1374" s="428"/>
      <c r="E1374" s="224"/>
      <c r="F1374" s="224"/>
      <c r="G1374" s="224"/>
      <c r="H1374" s="224"/>
      <c r="I1374" s="224"/>
      <c r="J1374" s="224"/>
      <c r="Z1374" s="362"/>
      <c r="AA1374" s="362"/>
      <c r="AB1374" s="362"/>
      <c r="AC1374" s="362"/>
      <c r="AD1374" s="362"/>
      <c r="AE1374" s="362"/>
      <c r="AF1374" s="362"/>
      <c r="AG1374" s="362"/>
      <c r="AH1374" s="362"/>
      <c r="AI1374" s="360"/>
      <c r="AJ1374" s="360"/>
      <c r="AK1374" s="362"/>
      <c r="AL1374" s="362"/>
      <c r="AM1374" s="362"/>
      <c r="AN1374" s="362"/>
      <c r="AO1374" s="362"/>
      <c r="AP1374" s="362"/>
      <c r="AQ1374" s="362"/>
      <c r="AR1374" s="362"/>
    </row>
    <row r="1375" spans="1:44" ht="12" customHeight="1" x14ac:dyDescent="0.15">
      <c r="A1375" s="447"/>
      <c r="B1375" s="393"/>
      <c r="C1375" s="428"/>
      <c r="D1375" s="428"/>
      <c r="E1375" s="224"/>
      <c r="F1375" s="224"/>
      <c r="G1375" s="224"/>
      <c r="H1375" s="224"/>
      <c r="I1375" s="224"/>
      <c r="J1375" s="224"/>
      <c r="Z1375" s="362"/>
      <c r="AA1375" s="362"/>
      <c r="AB1375" s="362"/>
      <c r="AC1375" s="362"/>
      <c r="AD1375" s="362"/>
      <c r="AE1375" s="362"/>
      <c r="AF1375" s="362"/>
      <c r="AG1375" s="362"/>
      <c r="AH1375" s="362"/>
      <c r="AI1375" s="360"/>
      <c r="AJ1375" s="360"/>
      <c r="AK1375" s="362"/>
      <c r="AL1375" s="362"/>
      <c r="AM1375" s="362"/>
      <c r="AN1375" s="362"/>
      <c r="AO1375" s="362"/>
      <c r="AP1375" s="362"/>
      <c r="AQ1375" s="362"/>
      <c r="AR1375" s="362"/>
    </row>
    <row r="1376" spans="1:44" ht="12" customHeight="1" x14ac:dyDescent="0.15">
      <c r="A1376" s="447"/>
      <c r="B1376" s="393"/>
      <c r="C1376" s="428"/>
      <c r="D1376" s="428"/>
      <c r="E1376" s="224"/>
      <c r="F1376" s="224"/>
      <c r="G1376" s="224"/>
      <c r="H1376" s="224"/>
      <c r="I1376" s="224"/>
      <c r="J1376" s="224"/>
      <c r="Z1376" s="362"/>
      <c r="AA1376" s="362"/>
      <c r="AB1376" s="362"/>
      <c r="AC1376" s="362"/>
      <c r="AD1376" s="362"/>
      <c r="AE1376" s="362"/>
      <c r="AF1376" s="362"/>
      <c r="AG1376" s="362"/>
      <c r="AH1376" s="362"/>
      <c r="AI1376" s="360"/>
      <c r="AJ1376" s="360"/>
      <c r="AK1376" s="362"/>
      <c r="AL1376" s="362"/>
      <c r="AM1376" s="362"/>
      <c r="AN1376" s="362"/>
      <c r="AO1376" s="362"/>
      <c r="AP1376" s="362"/>
      <c r="AQ1376" s="362"/>
      <c r="AR1376" s="362"/>
    </row>
    <row r="1377" spans="1:44" ht="12" customHeight="1" x14ac:dyDescent="0.15">
      <c r="A1377" s="447"/>
      <c r="B1377" s="393"/>
      <c r="C1377" s="428"/>
      <c r="D1377" s="428"/>
      <c r="E1377" s="224"/>
      <c r="F1377" s="224"/>
      <c r="G1377" s="224"/>
      <c r="H1377" s="224"/>
      <c r="I1377" s="224"/>
      <c r="J1377" s="224"/>
      <c r="Z1377" s="362"/>
      <c r="AA1377" s="362"/>
      <c r="AB1377" s="362"/>
      <c r="AC1377" s="362"/>
      <c r="AD1377" s="362"/>
      <c r="AE1377" s="362"/>
      <c r="AF1377" s="362"/>
      <c r="AG1377" s="362"/>
      <c r="AH1377" s="362"/>
      <c r="AI1377" s="360"/>
      <c r="AJ1377" s="360"/>
      <c r="AK1377" s="362"/>
      <c r="AL1377" s="362"/>
      <c r="AM1377" s="362"/>
      <c r="AN1377" s="362"/>
      <c r="AO1377" s="362"/>
      <c r="AP1377" s="362"/>
      <c r="AQ1377" s="362"/>
      <c r="AR1377" s="362"/>
    </row>
    <row r="1378" spans="1:44" ht="12" customHeight="1" x14ac:dyDescent="0.15">
      <c r="A1378" s="447"/>
      <c r="B1378" s="393"/>
      <c r="C1378" s="428"/>
      <c r="D1378" s="428"/>
      <c r="E1378" s="224"/>
      <c r="F1378" s="224"/>
      <c r="G1378" s="224"/>
      <c r="H1378" s="224"/>
      <c r="I1378" s="224"/>
      <c r="J1378" s="224"/>
      <c r="Z1378" s="362"/>
      <c r="AA1378" s="362"/>
      <c r="AB1378" s="362"/>
      <c r="AC1378" s="362"/>
      <c r="AD1378" s="362"/>
      <c r="AE1378" s="362"/>
      <c r="AF1378" s="362"/>
      <c r="AG1378" s="362"/>
      <c r="AH1378" s="362"/>
      <c r="AI1378" s="360"/>
      <c r="AJ1378" s="360"/>
      <c r="AK1378" s="362"/>
      <c r="AL1378" s="362"/>
      <c r="AM1378" s="362"/>
      <c r="AN1378" s="362"/>
      <c r="AO1378" s="362"/>
      <c r="AP1378" s="362"/>
      <c r="AQ1378" s="362"/>
      <c r="AR1378" s="362"/>
    </row>
    <row r="1379" spans="1:44" ht="12" customHeight="1" x14ac:dyDescent="0.15">
      <c r="A1379" s="447"/>
      <c r="B1379" s="393"/>
      <c r="C1379" s="428"/>
      <c r="D1379" s="428"/>
      <c r="E1379" s="224"/>
      <c r="F1379" s="224"/>
      <c r="G1379" s="224"/>
      <c r="H1379" s="224"/>
      <c r="I1379" s="224"/>
      <c r="J1379" s="224"/>
      <c r="Z1379" s="362"/>
      <c r="AA1379" s="362"/>
      <c r="AB1379" s="362"/>
      <c r="AC1379" s="362"/>
      <c r="AD1379" s="362"/>
      <c r="AE1379" s="362"/>
      <c r="AF1379" s="362"/>
      <c r="AG1379" s="362"/>
      <c r="AH1379" s="362"/>
      <c r="AI1379" s="360"/>
      <c r="AJ1379" s="360"/>
      <c r="AK1379" s="362"/>
      <c r="AL1379" s="362"/>
      <c r="AM1379" s="362"/>
      <c r="AN1379" s="362"/>
      <c r="AO1379" s="362"/>
      <c r="AP1379" s="362"/>
      <c r="AQ1379" s="362"/>
      <c r="AR1379" s="362"/>
    </row>
    <row r="1380" spans="1:44" ht="12" customHeight="1" x14ac:dyDescent="0.15">
      <c r="A1380" s="447"/>
      <c r="B1380" s="393"/>
      <c r="C1380" s="428"/>
      <c r="D1380" s="428"/>
      <c r="E1380" s="224"/>
      <c r="F1380" s="224"/>
      <c r="G1380" s="224"/>
      <c r="H1380" s="224"/>
      <c r="I1380" s="224"/>
      <c r="J1380" s="224"/>
      <c r="Z1380" s="362"/>
      <c r="AA1380" s="362"/>
      <c r="AB1380" s="362"/>
      <c r="AC1380" s="362"/>
      <c r="AD1380" s="362"/>
      <c r="AE1380" s="362"/>
      <c r="AF1380" s="362"/>
      <c r="AG1380" s="362"/>
      <c r="AH1380" s="362"/>
      <c r="AI1380" s="360"/>
      <c r="AJ1380" s="360"/>
      <c r="AK1380" s="362"/>
      <c r="AL1380" s="362"/>
      <c r="AM1380" s="362"/>
      <c r="AN1380" s="362"/>
      <c r="AO1380" s="362"/>
      <c r="AP1380" s="362"/>
      <c r="AQ1380" s="362"/>
      <c r="AR1380" s="362"/>
    </row>
    <row r="1381" spans="1:44" ht="12" customHeight="1" x14ac:dyDescent="0.15">
      <c r="A1381" s="447"/>
      <c r="B1381" s="393"/>
      <c r="C1381" s="428"/>
      <c r="D1381" s="428"/>
      <c r="E1381" s="224"/>
      <c r="F1381" s="224"/>
      <c r="G1381" s="224"/>
      <c r="H1381" s="224"/>
      <c r="I1381" s="224"/>
      <c r="J1381" s="224"/>
      <c r="Z1381" s="362"/>
      <c r="AA1381" s="362"/>
      <c r="AB1381" s="362"/>
      <c r="AC1381" s="362"/>
      <c r="AD1381" s="362"/>
      <c r="AE1381" s="362"/>
      <c r="AF1381" s="362"/>
      <c r="AG1381" s="362"/>
      <c r="AH1381" s="362"/>
      <c r="AI1381" s="360"/>
      <c r="AJ1381" s="360"/>
      <c r="AK1381" s="362"/>
      <c r="AL1381" s="362"/>
      <c r="AM1381" s="362"/>
      <c r="AN1381" s="362"/>
      <c r="AO1381" s="362"/>
      <c r="AP1381" s="362"/>
      <c r="AQ1381" s="362"/>
      <c r="AR1381" s="362"/>
    </row>
    <row r="1382" spans="1:44" ht="12" customHeight="1" x14ac:dyDescent="0.15">
      <c r="A1382" s="447"/>
      <c r="B1382" s="393"/>
      <c r="C1382" s="428"/>
      <c r="D1382" s="428"/>
      <c r="E1382" s="224"/>
      <c r="F1382" s="224"/>
      <c r="G1382" s="224"/>
      <c r="H1382" s="224"/>
      <c r="I1382" s="224"/>
      <c r="J1382" s="224"/>
      <c r="Z1382" s="362"/>
      <c r="AA1382" s="362"/>
      <c r="AB1382" s="362"/>
      <c r="AC1382" s="362"/>
      <c r="AD1382" s="362"/>
      <c r="AE1382" s="362"/>
      <c r="AF1382" s="362"/>
      <c r="AG1382" s="362"/>
      <c r="AH1382" s="362"/>
      <c r="AI1382" s="360"/>
      <c r="AJ1382" s="360"/>
      <c r="AK1382" s="362"/>
      <c r="AL1382" s="362"/>
      <c r="AM1382" s="362"/>
      <c r="AN1382" s="362"/>
      <c r="AO1382" s="362"/>
      <c r="AP1382" s="362"/>
      <c r="AQ1382" s="362"/>
      <c r="AR1382" s="362"/>
    </row>
    <row r="1383" spans="1:44" ht="12" customHeight="1" x14ac:dyDescent="0.15">
      <c r="A1383" s="447"/>
      <c r="B1383" s="393"/>
      <c r="C1383" s="428"/>
      <c r="D1383" s="428"/>
      <c r="E1383" s="224"/>
      <c r="F1383" s="224"/>
      <c r="G1383" s="224"/>
      <c r="H1383" s="224"/>
      <c r="I1383" s="224"/>
      <c r="J1383" s="224"/>
      <c r="Z1383" s="362"/>
      <c r="AA1383" s="362"/>
      <c r="AB1383" s="362"/>
      <c r="AC1383" s="362"/>
      <c r="AD1383" s="362"/>
      <c r="AE1383" s="362"/>
      <c r="AF1383" s="362"/>
      <c r="AG1383" s="362"/>
      <c r="AH1383" s="362"/>
      <c r="AI1383" s="360"/>
      <c r="AJ1383" s="360"/>
      <c r="AK1383" s="362"/>
      <c r="AL1383" s="362"/>
      <c r="AM1383" s="362"/>
      <c r="AN1383" s="362"/>
      <c r="AO1383" s="362"/>
      <c r="AP1383" s="362"/>
      <c r="AQ1383" s="362"/>
      <c r="AR1383" s="362"/>
    </row>
    <row r="1384" spans="1:44" ht="12" customHeight="1" x14ac:dyDescent="0.15">
      <c r="A1384" s="447"/>
      <c r="B1384" s="393"/>
      <c r="C1384" s="428"/>
      <c r="D1384" s="428"/>
      <c r="E1384" s="224"/>
      <c r="F1384" s="224"/>
      <c r="G1384" s="224"/>
      <c r="H1384" s="224"/>
      <c r="I1384" s="224"/>
      <c r="J1384" s="224"/>
      <c r="Z1384" s="362"/>
      <c r="AA1384" s="362"/>
      <c r="AB1384" s="362"/>
      <c r="AC1384" s="362"/>
      <c r="AD1384" s="362"/>
      <c r="AE1384" s="362"/>
      <c r="AF1384" s="362"/>
      <c r="AG1384" s="362"/>
      <c r="AH1384" s="362"/>
      <c r="AI1384" s="360"/>
      <c r="AJ1384" s="360"/>
      <c r="AK1384" s="362"/>
      <c r="AL1384" s="362"/>
      <c r="AM1384" s="362"/>
      <c r="AN1384" s="362"/>
      <c r="AO1384" s="362"/>
      <c r="AP1384" s="362"/>
      <c r="AQ1384" s="362"/>
      <c r="AR1384" s="362"/>
    </row>
    <row r="1385" spans="1:44" ht="12" customHeight="1" x14ac:dyDescent="0.15">
      <c r="A1385" s="447"/>
      <c r="B1385" s="393"/>
      <c r="C1385" s="428"/>
      <c r="D1385" s="428"/>
      <c r="E1385" s="224"/>
      <c r="F1385" s="224"/>
      <c r="G1385" s="224"/>
      <c r="H1385" s="224"/>
      <c r="I1385" s="224"/>
      <c r="J1385" s="224"/>
      <c r="Z1385" s="362"/>
      <c r="AA1385" s="362"/>
      <c r="AB1385" s="362"/>
      <c r="AC1385" s="362"/>
      <c r="AD1385" s="362"/>
      <c r="AE1385" s="362"/>
      <c r="AF1385" s="362"/>
      <c r="AG1385" s="362"/>
      <c r="AH1385" s="362"/>
      <c r="AI1385" s="360"/>
      <c r="AJ1385" s="360"/>
      <c r="AK1385" s="362"/>
      <c r="AL1385" s="362"/>
      <c r="AM1385" s="362"/>
      <c r="AN1385" s="362"/>
      <c r="AO1385" s="362"/>
      <c r="AP1385" s="362"/>
      <c r="AQ1385" s="362"/>
      <c r="AR1385" s="362"/>
    </row>
    <row r="1386" spans="1:44" ht="12" customHeight="1" x14ac:dyDescent="0.15">
      <c r="A1386" s="447"/>
      <c r="B1386" s="393"/>
      <c r="C1386" s="428"/>
      <c r="D1386" s="428"/>
      <c r="E1386" s="224"/>
      <c r="F1386" s="224"/>
      <c r="G1386" s="224"/>
      <c r="H1386" s="224"/>
      <c r="I1386" s="224"/>
      <c r="J1386" s="224"/>
      <c r="Z1386" s="362"/>
      <c r="AA1386" s="362"/>
      <c r="AB1386" s="362"/>
      <c r="AC1386" s="362"/>
      <c r="AD1386" s="362"/>
      <c r="AE1386" s="362"/>
      <c r="AF1386" s="362"/>
      <c r="AG1386" s="362"/>
      <c r="AH1386" s="362"/>
      <c r="AI1386" s="360"/>
      <c r="AJ1386" s="360"/>
      <c r="AK1386" s="362"/>
      <c r="AL1386" s="362"/>
      <c r="AM1386" s="362"/>
      <c r="AN1386" s="362"/>
      <c r="AO1386" s="362"/>
      <c r="AP1386" s="362"/>
      <c r="AQ1386" s="362"/>
      <c r="AR1386" s="362"/>
    </row>
    <row r="1387" spans="1:44" ht="12" customHeight="1" x14ac:dyDescent="0.15">
      <c r="A1387" s="447"/>
      <c r="B1387" s="393"/>
      <c r="C1387" s="428"/>
      <c r="D1387" s="428"/>
      <c r="E1387" s="224"/>
      <c r="F1387" s="224"/>
      <c r="G1387" s="224"/>
      <c r="H1387" s="224"/>
      <c r="I1387" s="224"/>
      <c r="J1387" s="224"/>
      <c r="Z1387" s="362"/>
      <c r="AA1387" s="362"/>
      <c r="AB1387" s="362"/>
      <c r="AC1387" s="362"/>
      <c r="AD1387" s="362"/>
      <c r="AE1387" s="362"/>
      <c r="AF1387" s="362"/>
      <c r="AG1387" s="362"/>
      <c r="AH1387" s="362"/>
      <c r="AI1387" s="360"/>
      <c r="AJ1387" s="360"/>
      <c r="AK1387" s="362"/>
      <c r="AL1387" s="362"/>
      <c r="AM1387" s="362"/>
      <c r="AN1387" s="362"/>
      <c r="AO1387" s="362"/>
      <c r="AP1387" s="362"/>
      <c r="AQ1387" s="362"/>
      <c r="AR1387" s="362"/>
    </row>
    <row r="1388" spans="1:44" ht="12" customHeight="1" x14ac:dyDescent="0.15">
      <c r="A1388" s="447"/>
      <c r="B1388" s="393"/>
      <c r="C1388" s="428"/>
      <c r="D1388" s="428"/>
      <c r="E1388" s="224"/>
      <c r="F1388" s="224"/>
      <c r="G1388" s="224"/>
      <c r="H1388" s="224"/>
      <c r="I1388" s="224"/>
      <c r="J1388" s="224"/>
      <c r="Z1388" s="362"/>
      <c r="AA1388" s="362"/>
      <c r="AB1388" s="362"/>
      <c r="AC1388" s="362"/>
      <c r="AD1388" s="362"/>
      <c r="AE1388" s="362"/>
      <c r="AF1388" s="362"/>
      <c r="AG1388" s="362"/>
      <c r="AH1388" s="362"/>
      <c r="AI1388" s="360"/>
      <c r="AJ1388" s="360"/>
      <c r="AK1388" s="362"/>
      <c r="AL1388" s="362"/>
      <c r="AM1388" s="362"/>
      <c r="AN1388" s="362"/>
      <c r="AO1388" s="362"/>
      <c r="AP1388" s="362"/>
      <c r="AQ1388" s="362"/>
      <c r="AR1388" s="362"/>
    </row>
    <row r="1389" spans="1:44" ht="12" customHeight="1" x14ac:dyDescent="0.15">
      <c r="A1389" s="447"/>
      <c r="B1389" s="393"/>
      <c r="C1389" s="428"/>
      <c r="D1389" s="428"/>
      <c r="E1389" s="224"/>
      <c r="F1389" s="224"/>
      <c r="G1389" s="224"/>
      <c r="H1389" s="224"/>
      <c r="I1389" s="224"/>
      <c r="J1389" s="224"/>
      <c r="Z1389" s="362"/>
      <c r="AA1389" s="362"/>
      <c r="AB1389" s="362"/>
      <c r="AC1389" s="362"/>
      <c r="AD1389" s="362"/>
      <c r="AE1389" s="362"/>
      <c r="AF1389" s="362"/>
      <c r="AG1389" s="362"/>
      <c r="AH1389" s="362"/>
      <c r="AI1389" s="360"/>
      <c r="AJ1389" s="360"/>
      <c r="AK1389" s="362"/>
      <c r="AL1389" s="362"/>
      <c r="AM1389" s="362"/>
      <c r="AN1389" s="362"/>
      <c r="AO1389" s="362"/>
      <c r="AP1389" s="362"/>
      <c r="AQ1389" s="362"/>
      <c r="AR1389" s="362"/>
    </row>
    <row r="1390" spans="1:44" ht="12" customHeight="1" x14ac:dyDescent="0.15">
      <c r="A1390" s="447"/>
      <c r="B1390" s="393"/>
      <c r="C1390" s="428"/>
      <c r="D1390" s="428"/>
      <c r="E1390" s="224"/>
      <c r="F1390" s="224"/>
      <c r="G1390" s="224"/>
      <c r="H1390" s="224"/>
      <c r="I1390" s="224"/>
      <c r="J1390" s="224"/>
      <c r="Z1390" s="362"/>
      <c r="AA1390" s="362"/>
      <c r="AB1390" s="362"/>
      <c r="AC1390" s="362"/>
      <c r="AD1390" s="362"/>
      <c r="AE1390" s="362"/>
      <c r="AF1390" s="362"/>
      <c r="AG1390" s="362"/>
      <c r="AH1390" s="362"/>
      <c r="AI1390" s="360"/>
      <c r="AJ1390" s="360"/>
      <c r="AK1390" s="362"/>
      <c r="AL1390" s="362"/>
      <c r="AM1390" s="362"/>
      <c r="AN1390" s="362"/>
      <c r="AO1390" s="362"/>
      <c r="AP1390" s="362"/>
      <c r="AQ1390" s="362"/>
      <c r="AR1390" s="362"/>
    </row>
    <row r="1391" spans="1:44" ht="12" customHeight="1" x14ac:dyDescent="0.15">
      <c r="A1391" s="447"/>
      <c r="B1391" s="393"/>
      <c r="C1391" s="428"/>
      <c r="D1391" s="428"/>
      <c r="E1391" s="224"/>
      <c r="F1391" s="224"/>
      <c r="G1391" s="224"/>
      <c r="H1391" s="224"/>
      <c r="I1391" s="224"/>
      <c r="J1391" s="224"/>
      <c r="Z1391" s="362"/>
      <c r="AA1391" s="362"/>
      <c r="AB1391" s="362"/>
      <c r="AC1391" s="362"/>
      <c r="AD1391" s="362"/>
      <c r="AE1391" s="362"/>
      <c r="AF1391" s="362"/>
      <c r="AG1391" s="362"/>
      <c r="AH1391" s="362"/>
      <c r="AI1391" s="360"/>
      <c r="AJ1391" s="360"/>
      <c r="AK1391" s="362"/>
      <c r="AL1391" s="362"/>
      <c r="AM1391" s="362"/>
      <c r="AN1391" s="362"/>
      <c r="AO1391" s="362"/>
      <c r="AP1391" s="362"/>
      <c r="AQ1391" s="362"/>
      <c r="AR1391" s="362"/>
    </row>
    <row r="1392" spans="1:44" ht="12" customHeight="1" x14ac:dyDescent="0.15">
      <c r="A1392" s="447"/>
      <c r="B1392" s="393"/>
      <c r="C1392" s="428"/>
      <c r="D1392" s="428"/>
      <c r="E1392" s="224"/>
      <c r="F1392" s="224"/>
      <c r="G1392" s="224"/>
      <c r="H1392" s="224"/>
      <c r="I1392" s="224"/>
      <c r="J1392" s="224"/>
      <c r="Z1392" s="362"/>
      <c r="AA1392" s="362"/>
      <c r="AB1392" s="362"/>
      <c r="AC1392" s="362"/>
      <c r="AD1392" s="362"/>
      <c r="AE1392" s="362"/>
      <c r="AF1392" s="362"/>
      <c r="AG1392" s="362"/>
      <c r="AH1392" s="362"/>
      <c r="AI1392" s="360"/>
      <c r="AJ1392" s="360"/>
      <c r="AK1392" s="362"/>
      <c r="AL1392" s="362"/>
      <c r="AM1392" s="362"/>
      <c r="AN1392" s="362"/>
      <c r="AO1392" s="362"/>
      <c r="AP1392" s="362"/>
      <c r="AQ1392" s="362"/>
      <c r="AR1392" s="362"/>
    </row>
    <row r="1393" spans="1:44" ht="12" customHeight="1" x14ac:dyDescent="0.15">
      <c r="A1393" s="447"/>
      <c r="B1393" s="393"/>
      <c r="C1393" s="428"/>
      <c r="D1393" s="428"/>
      <c r="E1393" s="224"/>
      <c r="F1393" s="224"/>
      <c r="G1393" s="224"/>
      <c r="H1393" s="224"/>
      <c r="I1393" s="224"/>
      <c r="J1393" s="224"/>
      <c r="Z1393" s="362"/>
      <c r="AA1393" s="362"/>
      <c r="AB1393" s="362"/>
      <c r="AC1393" s="362"/>
      <c r="AD1393" s="362"/>
      <c r="AE1393" s="362"/>
      <c r="AF1393" s="362"/>
      <c r="AG1393" s="362"/>
      <c r="AH1393" s="362"/>
      <c r="AI1393" s="360"/>
      <c r="AJ1393" s="360"/>
      <c r="AK1393" s="362"/>
      <c r="AL1393" s="362"/>
      <c r="AM1393" s="362"/>
      <c r="AN1393" s="362"/>
      <c r="AO1393" s="362"/>
      <c r="AP1393" s="362"/>
      <c r="AQ1393" s="362"/>
      <c r="AR1393" s="362"/>
    </row>
    <row r="1394" spans="1:44" ht="12" customHeight="1" x14ac:dyDescent="0.15">
      <c r="A1394" s="447"/>
      <c r="B1394" s="393"/>
      <c r="C1394" s="428"/>
      <c r="D1394" s="428"/>
      <c r="E1394" s="224"/>
      <c r="F1394" s="224"/>
      <c r="G1394" s="224"/>
      <c r="H1394" s="224"/>
      <c r="I1394" s="224"/>
      <c r="J1394" s="224"/>
      <c r="Z1394" s="362"/>
      <c r="AA1394" s="362"/>
      <c r="AB1394" s="362"/>
      <c r="AC1394" s="362"/>
      <c r="AD1394" s="362"/>
      <c r="AE1394" s="362"/>
      <c r="AF1394" s="362"/>
      <c r="AG1394" s="362"/>
      <c r="AH1394" s="362"/>
      <c r="AI1394" s="360"/>
      <c r="AJ1394" s="360"/>
      <c r="AK1394" s="362"/>
      <c r="AL1394" s="362"/>
      <c r="AM1394" s="362"/>
      <c r="AN1394" s="362"/>
      <c r="AO1394" s="362"/>
      <c r="AP1394" s="362"/>
      <c r="AQ1394" s="362"/>
      <c r="AR1394" s="362"/>
    </row>
    <row r="1395" spans="1:44" ht="12" customHeight="1" x14ac:dyDescent="0.15">
      <c r="A1395" s="447"/>
      <c r="B1395" s="393"/>
      <c r="C1395" s="428"/>
      <c r="D1395" s="428"/>
      <c r="E1395" s="224"/>
      <c r="F1395" s="224"/>
      <c r="G1395" s="224"/>
      <c r="H1395" s="224"/>
      <c r="I1395" s="224"/>
      <c r="J1395" s="224"/>
      <c r="Z1395" s="362"/>
      <c r="AA1395" s="362"/>
      <c r="AB1395" s="362"/>
      <c r="AC1395" s="362"/>
      <c r="AD1395" s="362"/>
      <c r="AE1395" s="362"/>
      <c r="AF1395" s="362"/>
      <c r="AG1395" s="362"/>
      <c r="AH1395" s="362"/>
      <c r="AI1395" s="360"/>
      <c r="AJ1395" s="360"/>
      <c r="AK1395" s="362"/>
      <c r="AL1395" s="362"/>
      <c r="AM1395" s="362"/>
      <c r="AN1395" s="362"/>
      <c r="AO1395" s="362"/>
      <c r="AP1395" s="362"/>
      <c r="AQ1395" s="362"/>
      <c r="AR1395" s="362"/>
    </row>
    <row r="1396" spans="1:44" ht="12" customHeight="1" x14ac:dyDescent="0.15">
      <c r="A1396" s="447"/>
      <c r="B1396" s="393"/>
      <c r="C1396" s="428"/>
      <c r="D1396" s="428"/>
      <c r="E1396" s="224"/>
      <c r="F1396" s="224"/>
      <c r="G1396" s="224"/>
      <c r="H1396" s="224"/>
      <c r="I1396" s="224"/>
      <c r="J1396" s="224"/>
      <c r="Z1396" s="362"/>
      <c r="AA1396" s="362"/>
      <c r="AB1396" s="362"/>
      <c r="AC1396" s="362"/>
      <c r="AD1396" s="362"/>
      <c r="AE1396" s="362"/>
      <c r="AF1396" s="362"/>
      <c r="AG1396" s="362"/>
      <c r="AH1396" s="362"/>
      <c r="AI1396" s="360"/>
      <c r="AJ1396" s="360"/>
      <c r="AK1396" s="362"/>
      <c r="AL1396" s="362"/>
      <c r="AM1396" s="362"/>
      <c r="AN1396" s="362"/>
      <c r="AO1396" s="362"/>
      <c r="AP1396" s="362"/>
      <c r="AQ1396" s="362"/>
      <c r="AR1396" s="362"/>
    </row>
    <row r="1397" spans="1:44" ht="12" customHeight="1" x14ac:dyDescent="0.15">
      <c r="A1397" s="447"/>
      <c r="B1397" s="393"/>
      <c r="C1397" s="428"/>
      <c r="D1397" s="428"/>
      <c r="E1397" s="224"/>
      <c r="F1397" s="224"/>
      <c r="G1397" s="224"/>
      <c r="H1397" s="224"/>
      <c r="I1397" s="224"/>
      <c r="J1397" s="224"/>
      <c r="Z1397" s="362"/>
      <c r="AA1397" s="362"/>
      <c r="AB1397" s="362"/>
      <c r="AC1397" s="362"/>
      <c r="AD1397" s="362"/>
      <c r="AE1397" s="362"/>
      <c r="AF1397" s="362"/>
      <c r="AG1397" s="362"/>
      <c r="AH1397" s="362"/>
      <c r="AI1397" s="360"/>
      <c r="AJ1397" s="360"/>
      <c r="AK1397" s="362"/>
      <c r="AL1397" s="362"/>
      <c r="AM1397" s="362"/>
      <c r="AN1397" s="362"/>
      <c r="AO1397" s="362"/>
      <c r="AP1397" s="362"/>
      <c r="AQ1397" s="362"/>
      <c r="AR1397" s="362"/>
    </row>
    <row r="1398" spans="1:44" ht="12" customHeight="1" x14ac:dyDescent="0.15">
      <c r="A1398" s="447"/>
      <c r="B1398" s="393"/>
      <c r="C1398" s="428"/>
      <c r="D1398" s="428"/>
      <c r="E1398" s="224"/>
      <c r="F1398" s="224"/>
      <c r="G1398" s="224"/>
      <c r="H1398" s="224"/>
      <c r="I1398" s="224"/>
      <c r="J1398" s="224"/>
      <c r="Z1398" s="362"/>
      <c r="AA1398" s="362"/>
      <c r="AB1398" s="362"/>
      <c r="AC1398" s="362"/>
      <c r="AD1398" s="362"/>
      <c r="AE1398" s="362"/>
      <c r="AF1398" s="362"/>
      <c r="AG1398" s="362"/>
      <c r="AH1398" s="362"/>
      <c r="AI1398" s="360"/>
      <c r="AJ1398" s="360"/>
      <c r="AK1398" s="362"/>
      <c r="AL1398" s="362"/>
      <c r="AM1398" s="362"/>
      <c r="AN1398" s="362"/>
      <c r="AO1398" s="362"/>
      <c r="AP1398" s="362"/>
      <c r="AQ1398" s="362"/>
      <c r="AR1398" s="362"/>
    </row>
    <row r="1399" spans="1:44" ht="12" customHeight="1" x14ac:dyDescent="0.15">
      <c r="A1399" s="447"/>
      <c r="B1399" s="393"/>
      <c r="C1399" s="428"/>
      <c r="D1399" s="428"/>
      <c r="E1399" s="224"/>
      <c r="F1399" s="224"/>
      <c r="G1399" s="224"/>
      <c r="H1399" s="224"/>
      <c r="I1399" s="224"/>
      <c r="J1399" s="224"/>
      <c r="Z1399" s="362"/>
      <c r="AA1399" s="362"/>
      <c r="AB1399" s="362"/>
      <c r="AC1399" s="362"/>
      <c r="AD1399" s="362"/>
      <c r="AE1399" s="362"/>
      <c r="AF1399" s="362"/>
      <c r="AG1399" s="362"/>
      <c r="AH1399" s="362"/>
      <c r="AI1399" s="360"/>
      <c r="AJ1399" s="360"/>
      <c r="AK1399" s="362"/>
      <c r="AL1399" s="362"/>
      <c r="AM1399" s="362"/>
      <c r="AN1399" s="362"/>
      <c r="AO1399" s="362"/>
      <c r="AP1399" s="362"/>
      <c r="AQ1399" s="362"/>
      <c r="AR1399" s="362"/>
    </row>
    <row r="1400" spans="1:44" ht="12" customHeight="1" x14ac:dyDescent="0.15">
      <c r="A1400" s="447"/>
      <c r="B1400" s="393"/>
      <c r="C1400" s="428"/>
      <c r="D1400" s="428"/>
      <c r="E1400" s="224"/>
      <c r="F1400" s="224"/>
      <c r="G1400" s="224"/>
      <c r="H1400" s="224"/>
      <c r="I1400" s="224"/>
      <c r="J1400" s="224"/>
      <c r="Z1400" s="362"/>
      <c r="AA1400" s="362"/>
      <c r="AB1400" s="362"/>
      <c r="AC1400" s="362"/>
      <c r="AD1400" s="362"/>
      <c r="AE1400" s="362"/>
      <c r="AF1400" s="362"/>
      <c r="AG1400" s="362"/>
      <c r="AH1400" s="362"/>
      <c r="AI1400" s="360"/>
      <c r="AJ1400" s="360"/>
      <c r="AK1400" s="362"/>
      <c r="AL1400" s="362"/>
      <c r="AM1400" s="362"/>
      <c r="AN1400" s="362"/>
      <c r="AO1400" s="362"/>
      <c r="AP1400" s="362"/>
      <c r="AQ1400" s="362"/>
      <c r="AR1400" s="362"/>
    </row>
    <row r="1401" spans="1:44" ht="12" customHeight="1" x14ac:dyDescent="0.15">
      <c r="A1401" s="447"/>
      <c r="B1401" s="393"/>
      <c r="C1401" s="428"/>
      <c r="D1401" s="428"/>
      <c r="E1401" s="224"/>
      <c r="F1401" s="224"/>
      <c r="G1401" s="224"/>
      <c r="H1401" s="224"/>
      <c r="I1401" s="224"/>
      <c r="J1401" s="224"/>
      <c r="Z1401" s="362"/>
      <c r="AA1401" s="362"/>
      <c r="AB1401" s="362"/>
      <c r="AC1401" s="362"/>
      <c r="AD1401" s="362"/>
      <c r="AE1401" s="362"/>
      <c r="AF1401" s="362"/>
      <c r="AG1401" s="362"/>
      <c r="AH1401" s="362"/>
      <c r="AI1401" s="360"/>
      <c r="AJ1401" s="360"/>
      <c r="AK1401" s="362"/>
      <c r="AL1401" s="362"/>
      <c r="AM1401" s="362"/>
      <c r="AN1401" s="362"/>
      <c r="AO1401" s="362"/>
      <c r="AP1401" s="362"/>
      <c r="AQ1401" s="362"/>
      <c r="AR1401" s="362"/>
    </row>
    <row r="1402" spans="1:44" ht="12" customHeight="1" x14ac:dyDescent="0.15">
      <c r="A1402" s="447"/>
      <c r="B1402" s="393"/>
      <c r="C1402" s="428"/>
      <c r="D1402" s="428"/>
      <c r="E1402" s="224"/>
      <c r="F1402" s="224"/>
      <c r="G1402" s="224"/>
      <c r="H1402" s="224"/>
      <c r="I1402" s="224"/>
      <c r="J1402" s="224"/>
      <c r="Z1402" s="362"/>
      <c r="AA1402" s="362"/>
      <c r="AB1402" s="362"/>
      <c r="AC1402" s="362"/>
      <c r="AD1402" s="362"/>
      <c r="AE1402" s="362"/>
      <c r="AF1402" s="362"/>
      <c r="AG1402" s="362"/>
      <c r="AH1402" s="362"/>
      <c r="AI1402" s="360"/>
      <c r="AJ1402" s="360"/>
      <c r="AK1402" s="362"/>
      <c r="AL1402" s="362"/>
      <c r="AM1402" s="362"/>
      <c r="AN1402" s="362"/>
      <c r="AO1402" s="362"/>
      <c r="AP1402" s="362"/>
      <c r="AQ1402" s="362"/>
      <c r="AR1402" s="362"/>
    </row>
    <row r="1403" spans="1:44" ht="12" customHeight="1" x14ac:dyDescent="0.15">
      <c r="A1403" s="447"/>
      <c r="B1403" s="393"/>
      <c r="C1403" s="428"/>
      <c r="D1403" s="428"/>
      <c r="E1403" s="224"/>
      <c r="F1403" s="224"/>
      <c r="G1403" s="224"/>
      <c r="H1403" s="224"/>
      <c r="I1403" s="224"/>
      <c r="J1403" s="224"/>
      <c r="Z1403" s="362"/>
      <c r="AA1403" s="362"/>
      <c r="AB1403" s="362"/>
      <c r="AC1403" s="362"/>
      <c r="AD1403" s="362"/>
      <c r="AE1403" s="362"/>
      <c r="AF1403" s="362"/>
      <c r="AG1403" s="362"/>
      <c r="AH1403" s="362"/>
      <c r="AI1403" s="360"/>
      <c r="AJ1403" s="360"/>
      <c r="AK1403" s="362"/>
      <c r="AL1403" s="362"/>
      <c r="AM1403" s="362"/>
      <c r="AN1403" s="362"/>
      <c r="AO1403" s="362"/>
      <c r="AP1403" s="362"/>
      <c r="AQ1403" s="362"/>
      <c r="AR1403" s="362"/>
    </row>
    <row r="1404" spans="1:44" ht="12" customHeight="1" x14ac:dyDescent="0.15">
      <c r="A1404" s="447"/>
      <c r="B1404" s="393"/>
      <c r="C1404" s="428"/>
      <c r="D1404" s="428"/>
      <c r="E1404" s="224"/>
      <c r="F1404" s="224"/>
      <c r="G1404" s="224"/>
      <c r="H1404" s="224"/>
      <c r="I1404" s="224"/>
      <c r="J1404" s="224"/>
      <c r="Z1404" s="362"/>
      <c r="AA1404" s="362"/>
      <c r="AB1404" s="362"/>
      <c r="AC1404" s="362"/>
      <c r="AD1404" s="362"/>
      <c r="AE1404" s="362"/>
      <c r="AF1404" s="362"/>
      <c r="AG1404" s="362"/>
      <c r="AH1404" s="362"/>
      <c r="AI1404" s="360"/>
      <c r="AJ1404" s="360"/>
      <c r="AK1404" s="362"/>
      <c r="AL1404" s="362"/>
      <c r="AM1404" s="362"/>
      <c r="AN1404" s="362"/>
      <c r="AO1404" s="362"/>
      <c r="AP1404" s="362"/>
      <c r="AQ1404" s="362"/>
      <c r="AR1404" s="362"/>
    </row>
    <row r="1405" spans="1:44" ht="12" customHeight="1" x14ac:dyDescent="0.15">
      <c r="A1405" s="447"/>
      <c r="B1405" s="393"/>
      <c r="C1405" s="428"/>
      <c r="D1405" s="428"/>
      <c r="E1405" s="224"/>
      <c r="F1405" s="224"/>
      <c r="G1405" s="224"/>
      <c r="H1405" s="224"/>
      <c r="I1405" s="224"/>
      <c r="J1405" s="224"/>
      <c r="Z1405" s="362"/>
      <c r="AA1405" s="362"/>
      <c r="AB1405" s="362"/>
      <c r="AC1405" s="362"/>
      <c r="AD1405" s="362"/>
      <c r="AE1405" s="362"/>
      <c r="AF1405" s="362"/>
      <c r="AG1405" s="362"/>
      <c r="AH1405" s="362"/>
      <c r="AI1405" s="360"/>
      <c r="AJ1405" s="360"/>
      <c r="AK1405" s="362"/>
      <c r="AL1405" s="362"/>
      <c r="AM1405" s="362"/>
      <c r="AN1405" s="362"/>
      <c r="AO1405" s="362"/>
      <c r="AP1405" s="362"/>
      <c r="AQ1405" s="362"/>
      <c r="AR1405" s="362"/>
    </row>
    <row r="1406" spans="1:44" ht="12" customHeight="1" x14ac:dyDescent="0.15">
      <c r="A1406" s="447"/>
      <c r="B1406" s="393"/>
      <c r="C1406" s="428"/>
      <c r="D1406" s="428"/>
      <c r="E1406" s="224"/>
      <c r="F1406" s="224"/>
      <c r="G1406" s="224"/>
      <c r="H1406" s="224"/>
      <c r="I1406" s="224"/>
      <c r="J1406" s="224"/>
      <c r="Z1406" s="362"/>
      <c r="AA1406" s="362"/>
      <c r="AB1406" s="362"/>
      <c r="AC1406" s="362"/>
      <c r="AD1406" s="362"/>
      <c r="AE1406" s="362"/>
      <c r="AF1406" s="362"/>
      <c r="AG1406" s="362"/>
      <c r="AH1406" s="362"/>
      <c r="AI1406" s="360"/>
      <c r="AJ1406" s="360"/>
      <c r="AK1406" s="362"/>
      <c r="AL1406" s="362"/>
      <c r="AM1406" s="362"/>
      <c r="AN1406" s="362"/>
      <c r="AO1406" s="362"/>
      <c r="AP1406" s="362"/>
      <c r="AQ1406" s="362"/>
      <c r="AR1406" s="362"/>
    </row>
    <row r="1407" spans="1:44" ht="12" customHeight="1" x14ac:dyDescent="0.15">
      <c r="A1407" s="447"/>
      <c r="B1407" s="393"/>
      <c r="C1407" s="428"/>
      <c r="D1407" s="428"/>
      <c r="E1407" s="224"/>
      <c r="F1407" s="224"/>
      <c r="G1407" s="224"/>
      <c r="H1407" s="224"/>
      <c r="I1407" s="224"/>
      <c r="J1407" s="224"/>
      <c r="Z1407" s="362"/>
      <c r="AA1407" s="362"/>
      <c r="AB1407" s="362"/>
      <c r="AC1407" s="362"/>
      <c r="AD1407" s="362"/>
      <c r="AE1407" s="362"/>
      <c r="AF1407" s="362"/>
      <c r="AG1407" s="362"/>
      <c r="AH1407" s="362"/>
      <c r="AI1407" s="360"/>
      <c r="AJ1407" s="360"/>
      <c r="AK1407" s="362"/>
      <c r="AL1407" s="362"/>
      <c r="AM1407" s="362"/>
      <c r="AN1407" s="362"/>
      <c r="AO1407" s="362"/>
      <c r="AP1407" s="362"/>
      <c r="AQ1407" s="362"/>
      <c r="AR1407" s="362"/>
    </row>
    <row r="1408" spans="1:44" ht="12" customHeight="1" x14ac:dyDescent="0.15">
      <c r="A1408" s="447"/>
      <c r="B1408" s="393"/>
      <c r="C1408" s="428"/>
      <c r="D1408" s="428"/>
      <c r="E1408" s="224"/>
      <c r="F1408" s="224"/>
      <c r="G1408" s="224"/>
      <c r="H1408" s="224"/>
      <c r="I1408" s="224"/>
      <c r="J1408" s="224"/>
      <c r="Z1408" s="362"/>
      <c r="AA1408" s="362"/>
      <c r="AB1408" s="362"/>
      <c r="AC1408" s="362"/>
      <c r="AD1408" s="362"/>
      <c r="AE1408" s="362"/>
      <c r="AF1408" s="362"/>
      <c r="AG1408" s="362"/>
      <c r="AH1408" s="362"/>
      <c r="AI1408" s="360"/>
      <c r="AJ1408" s="360"/>
      <c r="AK1408" s="362"/>
      <c r="AL1408" s="362"/>
      <c r="AM1408" s="362"/>
      <c r="AN1408" s="362"/>
      <c r="AO1408" s="362"/>
      <c r="AP1408" s="362"/>
      <c r="AQ1408" s="362"/>
      <c r="AR1408" s="362"/>
    </row>
    <row r="1409" spans="1:44" ht="12" customHeight="1" x14ac:dyDescent="0.15">
      <c r="A1409" s="447"/>
      <c r="B1409" s="393"/>
      <c r="C1409" s="428"/>
      <c r="D1409" s="428"/>
      <c r="E1409" s="224"/>
      <c r="F1409" s="224"/>
      <c r="G1409" s="224"/>
      <c r="H1409" s="224"/>
      <c r="I1409" s="224"/>
      <c r="J1409" s="224"/>
      <c r="Z1409" s="362"/>
      <c r="AA1409" s="362"/>
      <c r="AB1409" s="362"/>
      <c r="AC1409" s="362"/>
      <c r="AD1409" s="362"/>
      <c r="AE1409" s="362"/>
      <c r="AF1409" s="362"/>
      <c r="AG1409" s="362"/>
      <c r="AH1409" s="362"/>
      <c r="AI1409" s="360"/>
      <c r="AJ1409" s="360"/>
      <c r="AK1409" s="362"/>
      <c r="AL1409" s="362"/>
      <c r="AM1409" s="362"/>
      <c r="AN1409" s="362"/>
      <c r="AO1409" s="362"/>
      <c r="AP1409" s="362"/>
      <c r="AQ1409" s="362"/>
      <c r="AR1409" s="362"/>
    </row>
    <row r="1410" spans="1:44" ht="12" customHeight="1" x14ac:dyDescent="0.15">
      <c r="A1410" s="447"/>
      <c r="B1410" s="393"/>
      <c r="C1410" s="428"/>
      <c r="D1410" s="428"/>
      <c r="E1410" s="224"/>
      <c r="F1410" s="224"/>
      <c r="G1410" s="224"/>
      <c r="H1410" s="224"/>
      <c r="I1410" s="224"/>
      <c r="J1410" s="224"/>
      <c r="Z1410" s="362"/>
      <c r="AA1410" s="362"/>
      <c r="AB1410" s="362"/>
      <c r="AC1410" s="362"/>
      <c r="AD1410" s="362"/>
      <c r="AE1410" s="362"/>
      <c r="AF1410" s="362"/>
      <c r="AG1410" s="362"/>
      <c r="AH1410" s="362"/>
      <c r="AI1410" s="360"/>
      <c r="AJ1410" s="360"/>
      <c r="AK1410" s="362"/>
      <c r="AL1410" s="362"/>
      <c r="AM1410" s="362"/>
      <c r="AN1410" s="362"/>
      <c r="AO1410" s="362"/>
      <c r="AP1410" s="362"/>
      <c r="AQ1410" s="362"/>
      <c r="AR1410" s="362"/>
    </row>
    <row r="1411" spans="1:44" ht="12" customHeight="1" x14ac:dyDescent="0.15">
      <c r="A1411" s="447"/>
      <c r="B1411" s="393"/>
      <c r="C1411" s="428"/>
      <c r="D1411" s="428"/>
      <c r="E1411" s="224"/>
      <c r="F1411" s="224"/>
      <c r="G1411" s="224"/>
      <c r="H1411" s="224"/>
      <c r="I1411" s="224"/>
      <c r="J1411" s="224"/>
      <c r="Z1411" s="362"/>
      <c r="AA1411" s="362"/>
      <c r="AB1411" s="362"/>
      <c r="AC1411" s="362"/>
      <c r="AD1411" s="362"/>
      <c r="AE1411" s="362"/>
      <c r="AF1411" s="362"/>
      <c r="AG1411" s="362"/>
      <c r="AH1411" s="362"/>
      <c r="AI1411" s="360"/>
      <c r="AJ1411" s="360"/>
      <c r="AK1411" s="362"/>
      <c r="AL1411" s="362"/>
      <c r="AM1411" s="362"/>
      <c r="AN1411" s="362"/>
      <c r="AO1411" s="362"/>
      <c r="AP1411" s="362"/>
      <c r="AQ1411" s="362"/>
      <c r="AR1411" s="362"/>
    </row>
    <row r="1412" spans="1:44" ht="12" customHeight="1" x14ac:dyDescent="0.15">
      <c r="A1412" s="447"/>
      <c r="B1412" s="393"/>
      <c r="C1412" s="428"/>
      <c r="D1412" s="428"/>
      <c r="E1412" s="224"/>
      <c r="F1412" s="224"/>
      <c r="G1412" s="224"/>
      <c r="H1412" s="224"/>
      <c r="I1412" s="224"/>
      <c r="J1412" s="224"/>
      <c r="Z1412" s="362"/>
      <c r="AA1412" s="362"/>
      <c r="AB1412" s="362"/>
      <c r="AC1412" s="362"/>
      <c r="AD1412" s="362"/>
      <c r="AE1412" s="362"/>
      <c r="AF1412" s="362"/>
      <c r="AG1412" s="362"/>
      <c r="AH1412" s="362"/>
      <c r="AI1412" s="360"/>
      <c r="AJ1412" s="360"/>
      <c r="AK1412" s="362"/>
      <c r="AL1412" s="362"/>
      <c r="AM1412" s="362"/>
      <c r="AN1412" s="362"/>
      <c r="AO1412" s="362"/>
      <c r="AP1412" s="362"/>
      <c r="AQ1412" s="362"/>
      <c r="AR1412" s="362"/>
    </row>
    <row r="1413" spans="1:44" ht="12" customHeight="1" x14ac:dyDescent="0.15">
      <c r="A1413" s="447"/>
      <c r="B1413" s="393"/>
      <c r="C1413" s="428"/>
      <c r="D1413" s="428"/>
      <c r="E1413" s="224"/>
      <c r="F1413" s="224"/>
      <c r="G1413" s="224"/>
      <c r="H1413" s="224"/>
      <c r="I1413" s="224"/>
      <c r="J1413" s="224"/>
      <c r="Z1413" s="362"/>
      <c r="AA1413" s="362"/>
      <c r="AB1413" s="362"/>
      <c r="AC1413" s="362"/>
      <c r="AD1413" s="362"/>
      <c r="AE1413" s="362"/>
      <c r="AF1413" s="362"/>
      <c r="AG1413" s="362"/>
      <c r="AH1413" s="362"/>
      <c r="AI1413" s="360"/>
      <c r="AJ1413" s="360"/>
      <c r="AK1413" s="362"/>
      <c r="AL1413" s="362"/>
      <c r="AM1413" s="362"/>
      <c r="AN1413" s="362"/>
      <c r="AO1413" s="362"/>
      <c r="AP1413" s="362"/>
      <c r="AQ1413" s="362"/>
      <c r="AR1413" s="362"/>
    </row>
    <row r="1414" spans="1:44" ht="12" customHeight="1" x14ac:dyDescent="0.15">
      <c r="A1414" s="447"/>
      <c r="B1414" s="393"/>
      <c r="C1414" s="428"/>
      <c r="D1414" s="428"/>
      <c r="E1414" s="224"/>
      <c r="F1414" s="224"/>
      <c r="G1414" s="224"/>
      <c r="H1414" s="224"/>
      <c r="I1414" s="224"/>
      <c r="J1414" s="224"/>
      <c r="Z1414" s="362"/>
      <c r="AA1414" s="362"/>
      <c r="AB1414" s="362"/>
      <c r="AC1414" s="362"/>
      <c r="AD1414" s="362"/>
      <c r="AE1414" s="362"/>
      <c r="AF1414" s="362"/>
      <c r="AG1414" s="362"/>
      <c r="AH1414" s="362"/>
      <c r="AI1414" s="360"/>
      <c r="AJ1414" s="360"/>
      <c r="AK1414" s="362"/>
      <c r="AL1414" s="362"/>
      <c r="AM1414" s="362"/>
      <c r="AN1414" s="362"/>
      <c r="AO1414" s="362"/>
      <c r="AP1414" s="362"/>
      <c r="AQ1414" s="362"/>
      <c r="AR1414" s="362"/>
    </row>
    <row r="1415" spans="1:44" ht="12" customHeight="1" x14ac:dyDescent="0.15">
      <c r="A1415" s="447"/>
      <c r="B1415" s="393"/>
      <c r="C1415" s="428"/>
      <c r="D1415" s="428"/>
      <c r="E1415" s="224"/>
      <c r="F1415" s="224"/>
      <c r="G1415" s="224"/>
      <c r="H1415" s="224"/>
      <c r="I1415" s="224"/>
      <c r="J1415" s="224"/>
      <c r="Z1415" s="362"/>
      <c r="AA1415" s="362"/>
      <c r="AB1415" s="362"/>
      <c r="AC1415" s="362"/>
      <c r="AD1415" s="362"/>
      <c r="AE1415" s="362"/>
      <c r="AF1415" s="362"/>
      <c r="AG1415" s="362"/>
      <c r="AH1415" s="362"/>
      <c r="AI1415" s="360"/>
      <c r="AJ1415" s="360"/>
      <c r="AK1415" s="362"/>
      <c r="AL1415" s="362"/>
      <c r="AM1415" s="362"/>
      <c r="AN1415" s="362"/>
      <c r="AO1415" s="362"/>
      <c r="AP1415" s="362"/>
      <c r="AQ1415" s="362"/>
      <c r="AR1415" s="362"/>
    </row>
    <row r="1416" spans="1:44" ht="12" customHeight="1" x14ac:dyDescent="0.15">
      <c r="A1416" s="447"/>
      <c r="B1416" s="393"/>
      <c r="C1416" s="428"/>
      <c r="D1416" s="428"/>
      <c r="E1416" s="224"/>
      <c r="F1416" s="224"/>
      <c r="G1416" s="224"/>
      <c r="H1416" s="224"/>
      <c r="I1416" s="224"/>
      <c r="J1416" s="224"/>
      <c r="Z1416" s="362"/>
      <c r="AA1416" s="362"/>
      <c r="AB1416" s="362"/>
      <c r="AC1416" s="362"/>
      <c r="AD1416" s="362"/>
      <c r="AE1416" s="362"/>
      <c r="AF1416" s="362"/>
      <c r="AG1416" s="362"/>
      <c r="AH1416" s="362"/>
      <c r="AI1416" s="360"/>
      <c r="AJ1416" s="360"/>
      <c r="AK1416" s="362"/>
      <c r="AL1416" s="362"/>
      <c r="AM1416" s="362"/>
      <c r="AN1416" s="362"/>
      <c r="AO1416" s="362"/>
      <c r="AP1416" s="362"/>
      <c r="AQ1416" s="362"/>
      <c r="AR1416" s="362"/>
    </row>
    <row r="1417" spans="1:44" ht="12" customHeight="1" x14ac:dyDescent="0.15">
      <c r="A1417" s="447"/>
      <c r="B1417" s="393"/>
      <c r="C1417" s="428"/>
      <c r="D1417" s="428"/>
      <c r="E1417" s="224"/>
      <c r="F1417" s="224"/>
      <c r="G1417" s="224"/>
      <c r="H1417" s="224"/>
      <c r="I1417" s="224"/>
      <c r="J1417" s="224"/>
      <c r="Z1417" s="362"/>
      <c r="AA1417" s="362"/>
      <c r="AB1417" s="362"/>
      <c r="AC1417" s="362"/>
      <c r="AD1417" s="362"/>
      <c r="AE1417" s="362"/>
      <c r="AF1417" s="362"/>
      <c r="AG1417" s="362"/>
      <c r="AH1417" s="362"/>
      <c r="AI1417" s="360"/>
      <c r="AJ1417" s="360"/>
      <c r="AK1417" s="362"/>
      <c r="AL1417" s="362"/>
      <c r="AM1417" s="362"/>
      <c r="AN1417" s="362"/>
      <c r="AO1417" s="362"/>
      <c r="AP1417" s="362"/>
      <c r="AQ1417" s="362"/>
      <c r="AR1417" s="362"/>
    </row>
    <row r="1418" spans="1:44" ht="12" customHeight="1" x14ac:dyDescent="0.15">
      <c r="A1418" s="447"/>
      <c r="B1418" s="393"/>
      <c r="C1418" s="428"/>
      <c r="D1418" s="428"/>
      <c r="E1418" s="224"/>
      <c r="F1418" s="224"/>
      <c r="G1418" s="224"/>
      <c r="H1418" s="224"/>
      <c r="I1418" s="224"/>
      <c r="J1418" s="224"/>
      <c r="Z1418" s="362"/>
      <c r="AA1418" s="362"/>
      <c r="AB1418" s="362"/>
      <c r="AC1418" s="362"/>
      <c r="AD1418" s="362"/>
      <c r="AE1418" s="362"/>
      <c r="AF1418" s="362"/>
      <c r="AG1418" s="362"/>
      <c r="AH1418" s="362"/>
      <c r="AI1418" s="360"/>
      <c r="AJ1418" s="360"/>
      <c r="AK1418" s="362"/>
      <c r="AL1418" s="362"/>
      <c r="AM1418" s="362"/>
      <c r="AN1418" s="362"/>
      <c r="AO1418" s="362"/>
      <c r="AP1418" s="362"/>
      <c r="AQ1418" s="362"/>
      <c r="AR1418" s="362"/>
    </row>
    <row r="1419" spans="1:44" ht="12" customHeight="1" x14ac:dyDescent="0.15">
      <c r="A1419" s="447"/>
      <c r="B1419" s="393"/>
      <c r="C1419" s="428"/>
      <c r="D1419" s="428"/>
      <c r="E1419" s="224"/>
      <c r="F1419" s="224"/>
      <c r="G1419" s="224"/>
      <c r="H1419" s="224"/>
      <c r="I1419" s="224"/>
      <c r="J1419" s="224"/>
      <c r="Z1419" s="362"/>
      <c r="AA1419" s="362"/>
      <c r="AB1419" s="362"/>
      <c r="AC1419" s="362"/>
      <c r="AD1419" s="362"/>
      <c r="AE1419" s="362"/>
      <c r="AF1419" s="362"/>
      <c r="AG1419" s="362"/>
      <c r="AH1419" s="362"/>
      <c r="AI1419" s="360"/>
      <c r="AJ1419" s="360"/>
      <c r="AK1419" s="362"/>
      <c r="AL1419" s="362"/>
      <c r="AM1419" s="362"/>
      <c r="AN1419" s="362"/>
      <c r="AO1419" s="362"/>
      <c r="AP1419" s="362"/>
      <c r="AQ1419" s="362"/>
      <c r="AR1419" s="362"/>
    </row>
    <row r="1420" spans="1:44" ht="12" customHeight="1" x14ac:dyDescent="0.15">
      <c r="A1420" s="447"/>
      <c r="B1420" s="393"/>
      <c r="C1420" s="428"/>
      <c r="D1420" s="428"/>
      <c r="E1420" s="224"/>
      <c r="F1420" s="224"/>
      <c r="G1420" s="224"/>
      <c r="H1420" s="224"/>
      <c r="I1420" s="224"/>
      <c r="J1420" s="224"/>
      <c r="Z1420" s="362"/>
      <c r="AA1420" s="362"/>
      <c r="AB1420" s="362"/>
      <c r="AC1420" s="362"/>
      <c r="AD1420" s="362"/>
      <c r="AE1420" s="362"/>
      <c r="AF1420" s="362"/>
      <c r="AG1420" s="362"/>
      <c r="AH1420" s="362"/>
      <c r="AI1420" s="360"/>
      <c r="AJ1420" s="360"/>
      <c r="AK1420" s="362"/>
      <c r="AL1420" s="362"/>
      <c r="AM1420" s="362"/>
      <c r="AN1420" s="362"/>
      <c r="AO1420" s="362"/>
      <c r="AP1420" s="362"/>
      <c r="AQ1420" s="362"/>
      <c r="AR1420" s="362"/>
    </row>
    <row r="1421" spans="1:44" ht="12" customHeight="1" x14ac:dyDescent="0.15">
      <c r="A1421" s="447"/>
      <c r="B1421" s="393"/>
      <c r="C1421" s="428"/>
      <c r="D1421" s="428"/>
      <c r="E1421" s="224"/>
      <c r="F1421" s="224"/>
      <c r="G1421" s="224"/>
      <c r="H1421" s="224"/>
      <c r="I1421" s="224"/>
      <c r="J1421" s="224"/>
      <c r="Z1421" s="362"/>
      <c r="AA1421" s="362"/>
      <c r="AB1421" s="362"/>
      <c r="AC1421" s="362"/>
      <c r="AD1421" s="362"/>
      <c r="AE1421" s="362"/>
      <c r="AF1421" s="362"/>
      <c r="AG1421" s="362"/>
      <c r="AH1421" s="362"/>
      <c r="AI1421" s="360"/>
      <c r="AJ1421" s="360"/>
      <c r="AK1421" s="362"/>
      <c r="AL1421" s="362"/>
      <c r="AM1421" s="362"/>
      <c r="AN1421" s="362"/>
      <c r="AO1421" s="362"/>
      <c r="AP1421" s="362"/>
      <c r="AQ1421" s="362"/>
      <c r="AR1421" s="362"/>
    </row>
    <row r="1422" spans="1:44" ht="12" customHeight="1" x14ac:dyDescent="0.15">
      <c r="A1422" s="447"/>
      <c r="B1422" s="393"/>
      <c r="C1422" s="428"/>
      <c r="D1422" s="428"/>
      <c r="E1422" s="224"/>
      <c r="F1422" s="224"/>
      <c r="G1422" s="224"/>
      <c r="H1422" s="224"/>
      <c r="I1422" s="224"/>
      <c r="J1422" s="224"/>
      <c r="Z1422" s="362"/>
      <c r="AA1422" s="362"/>
      <c r="AB1422" s="362"/>
      <c r="AC1422" s="362"/>
      <c r="AD1422" s="362"/>
      <c r="AE1422" s="362"/>
      <c r="AF1422" s="362"/>
      <c r="AG1422" s="362"/>
      <c r="AH1422" s="362"/>
      <c r="AI1422" s="360"/>
      <c r="AJ1422" s="360"/>
      <c r="AK1422" s="362"/>
      <c r="AL1422" s="362"/>
      <c r="AM1422" s="362"/>
      <c r="AN1422" s="362"/>
      <c r="AO1422" s="362"/>
      <c r="AP1422" s="362"/>
      <c r="AQ1422" s="362"/>
      <c r="AR1422" s="362"/>
    </row>
    <row r="1423" spans="1:44" ht="12" customHeight="1" x14ac:dyDescent="0.15">
      <c r="A1423" s="447"/>
      <c r="B1423" s="393"/>
      <c r="C1423" s="428"/>
      <c r="D1423" s="428"/>
      <c r="E1423" s="224"/>
      <c r="F1423" s="224"/>
      <c r="G1423" s="224"/>
      <c r="H1423" s="224"/>
      <c r="I1423" s="224"/>
      <c r="J1423" s="224"/>
      <c r="Z1423" s="362"/>
      <c r="AA1423" s="362"/>
      <c r="AB1423" s="362"/>
      <c r="AC1423" s="362"/>
      <c r="AD1423" s="362"/>
      <c r="AE1423" s="362"/>
      <c r="AF1423" s="362"/>
      <c r="AG1423" s="362"/>
      <c r="AH1423" s="362"/>
      <c r="AI1423" s="360"/>
      <c r="AJ1423" s="360"/>
      <c r="AK1423" s="362"/>
      <c r="AL1423" s="362"/>
      <c r="AM1423" s="362"/>
      <c r="AN1423" s="362"/>
      <c r="AO1423" s="362"/>
      <c r="AP1423" s="362"/>
      <c r="AQ1423" s="362"/>
      <c r="AR1423" s="362"/>
    </row>
    <row r="1424" spans="1:44" ht="12" customHeight="1" x14ac:dyDescent="0.15">
      <c r="A1424" s="447"/>
      <c r="B1424" s="393"/>
      <c r="C1424" s="428"/>
      <c r="D1424" s="428"/>
      <c r="E1424" s="224"/>
      <c r="F1424" s="224"/>
      <c r="G1424" s="224"/>
      <c r="H1424" s="224"/>
      <c r="I1424" s="224"/>
      <c r="J1424" s="224"/>
      <c r="Z1424" s="362"/>
      <c r="AA1424" s="362"/>
      <c r="AB1424" s="362"/>
      <c r="AC1424" s="362"/>
      <c r="AD1424" s="362"/>
      <c r="AE1424" s="362"/>
      <c r="AF1424" s="362"/>
      <c r="AG1424" s="362"/>
      <c r="AH1424" s="362"/>
      <c r="AI1424" s="360"/>
      <c r="AJ1424" s="360"/>
      <c r="AK1424" s="362"/>
      <c r="AL1424" s="362"/>
      <c r="AM1424" s="362"/>
      <c r="AN1424" s="362"/>
      <c r="AO1424" s="362"/>
      <c r="AP1424" s="362"/>
      <c r="AQ1424" s="362"/>
      <c r="AR1424" s="362"/>
    </row>
    <row r="1425" spans="1:44" ht="12" customHeight="1" x14ac:dyDescent="0.15">
      <c r="A1425" s="447"/>
      <c r="B1425" s="393"/>
      <c r="C1425" s="428"/>
      <c r="D1425" s="428"/>
      <c r="E1425" s="224"/>
      <c r="F1425" s="224"/>
      <c r="G1425" s="224"/>
      <c r="H1425" s="224"/>
      <c r="I1425" s="224"/>
      <c r="J1425" s="224"/>
      <c r="Z1425" s="362"/>
      <c r="AA1425" s="362"/>
      <c r="AB1425" s="362"/>
      <c r="AC1425" s="362"/>
      <c r="AD1425" s="362"/>
      <c r="AE1425" s="362"/>
      <c r="AF1425" s="362"/>
      <c r="AG1425" s="362"/>
      <c r="AH1425" s="362"/>
      <c r="AI1425" s="360"/>
      <c r="AJ1425" s="360"/>
      <c r="AK1425" s="362"/>
      <c r="AL1425" s="362"/>
      <c r="AM1425" s="362"/>
      <c r="AN1425" s="362"/>
      <c r="AO1425" s="362"/>
      <c r="AP1425" s="362"/>
      <c r="AQ1425" s="362"/>
      <c r="AR1425" s="362"/>
    </row>
    <row r="1426" spans="1:44" ht="12" customHeight="1" x14ac:dyDescent="0.15">
      <c r="A1426" s="447"/>
      <c r="B1426" s="393"/>
      <c r="C1426" s="428"/>
      <c r="D1426" s="428"/>
      <c r="E1426" s="224"/>
      <c r="F1426" s="224"/>
      <c r="G1426" s="224"/>
      <c r="H1426" s="224"/>
      <c r="I1426" s="224"/>
      <c r="J1426" s="224"/>
      <c r="Z1426" s="362"/>
      <c r="AA1426" s="362"/>
      <c r="AB1426" s="362"/>
      <c r="AC1426" s="362"/>
      <c r="AD1426" s="362"/>
      <c r="AE1426" s="362"/>
      <c r="AF1426" s="362"/>
      <c r="AG1426" s="362"/>
      <c r="AH1426" s="362"/>
      <c r="AI1426" s="360"/>
      <c r="AJ1426" s="360"/>
      <c r="AK1426" s="362"/>
      <c r="AL1426" s="362"/>
      <c r="AM1426" s="362"/>
      <c r="AN1426" s="362"/>
      <c r="AO1426" s="362"/>
      <c r="AP1426" s="362"/>
      <c r="AQ1426" s="362"/>
      <c r="AR1426" s="362"/>
    </row>
    <row r="1427" spans="1:44" ht="12" customHeight="1" x14ac:dyDescent="0.15">
      <c r="A1427" s="447"/>
      <c r="B1427" s="393"/>
      <c r="C1427" s="428"/>
      <c r="D1427" s="428"/>
      <c r="E1427" s="224"/>
      <c r="F1427" s="224"/>
      <c r="G1427" s="224"/>
      <c r="H1427" s="224"/>
      <c r="I1427" s="224"/>
      <c r="J1427" s="224"/>
      <c r="Z1427" s="362"/>
      <c r="AA1427" s="362"/>
      <c r="AB1427" s="362"/>
      <c r="AC1427" s="362"/>
      <c r="AD1427" s="362"/>
      <c r="AE1427" s="362"/>
      <c r="AF1427" s="362"/>
      <c r="AG1427" s="362"/>
      <c r="AH1427" s="362"/>
      <c r="AI1427" s="360"/>
      <c r="AJ1427" s="360"/>
      <c r="AK1427" s="362"/>
      <c r="AL1427" s="362"/>
      <c r="AM1427" s="362"/>
      <c r="AN1427" s="362"/>
      <c r="AO1427" s="362"/>
      <c r="AP1427" s="362"/>
      <c r="AQ1427" s="362"/>
      <c r="AR1427" s="362"/>
    </row>
    <row r="1428" spans="1:44" ht="12" customHeight="1" x14ac:dyDescent="0.15">
      <c r="A1428" s="447"/>
      <c r="B1428" s="393"/>
      <c r="C1428" s="428"/>
      <c r="D1428" s="428"/>
      <c r="E1428" s="224"/>
      <c r="F1428" s="224"/>
      <c r="G1428" s="224"/>
      <c r="H1428" s="224"/>
      <c r="I1428" s="224"/>
      <c r="J1428" s="224"/>
      <c r="Z1428" s="362"/>
      <c r="AA1428" s="362"/>
      <c r="AB1428" s="362"/>
      <c r="AC1428" s="362"/>
      <c r="AD1428" s="362"/>
      <c r="AE1428" s="362"/>
      <c r="AF1428" s="362"/>
      <c r="AG1428" s="362"/>
      <c r="AH1428" s="362"/>
      <c r="AI1428" s="360"/>
      <c r="AJ1428" s="360"/>
      <c r="AK1428" s="362"/>
      <c r="AL1428" s="362"/>
      <c r="AM1428" s="362"/>
      <c r="AN1428" s="362"/>
      <c r="AO1428" s="362"/>
      <c r="AP1428" s="362"/>
      <c r="AQ1428" s="362"/>
      <c r="AR1428" s="362"/>
    </row>
    <row r="1429" spans="1:44" ht="12" customHeight="1" x14ac:dyDescent="0.15">
      <c r="A1429" s="447"/>
      <c r="B1429" s="393"/>
      <c r="C1429" s="428"/>
      <c r="D1429" s="428"/>
      <c r="E1429" s="224"/>
      <c r="F1429" s="224"/>
      <c r="G1429" s="224"/>
      <c r="H1429" s="224"/>
      <c r="I1429" s="224"/>
      <c r="J1429" s="224"/>
      <c r="Z1429" s="362"/>
      <c r="AA1429" s="362"/>
      <c r="AB1429" s="362"/>
      <c r="AC1429" s="362"/>
      <c r="AD1429" s="362"/>
      <c r="AE1429" s="362"/>
      <c r="AF1429" s="362"/>
      <c r="AG1429" s="362"/>
      <c r="AH1429" s="362"/>
      <c r="AI1429" s="360"/>
      <c r="AJ1429" s="360"/>
      <c r="AK1429" s="362"/>
      <c r="AL1429" s="362"/>
      <c r="AM1429" s="362"/>
      <c r="AN1429" s="362"/>
      <c r="AO1429" s="362"/>
      <c r="AP1429" s="362"/>
      <c r="AQ1429" s="362"/>
      <c r="AR1429" s="362"/>
    </row>
    <row r="1430" spans="1:44" ht="12" customHeight="1" x14ac:dyDescent="0.15">
      <c r="A1430" s="447"/>
      <c r="B1430" s="393"/>
      <c r="C1430" s="428"/>
      <c r="D1430" s="428"/>
      <c r="E1430" s="224"/>
      <c r="F1430" s="224"/>
      <c r="G1430" s="224"/>
      <c r="H1430" s="224"/>
      <c r="I1430" s="224"/>
      <c r="J1430" s="224"/>
      <c r="Z1430" s="362"/>
      <c r="AA1430" s="362"/>
      <c r="AB1430" s="362"/>
      <c r="AC1430" s="362"/>
      <c r="AD1430" s="362"/>
      <c r="AE1430" s="362"/>
      <c r="AF1430" s="362"/>
      <c r="AG1430" s="362"/>
      <c r="AH1430" s="362"/>
      <c r="AI1430" s="360"/>
      <c r="AJ1430" s="360"/>
      <c r="AK1430" s="362"/>
      <c r="AL1430" s="362"/>
      <c r="AM1430" s="362"/>
      <c r="AN1430" s="362"/>
      <c r="AO1430" s="362"/>
      <c r="AP1430" s="362"/>
      <c r="AQ1430" s="362"/>
      <c r="AR1430" s="362"/>
    </row>
    <row r="1431" spans="1:44" ht="12" customHeight="1" x14ac:dyDescent="0.15">
      <c r="A1431" s="447"/>
      <c r="B1431" s="393"/>
      <c r="C1431" s="428"/>
      <c r="D1431" s="428"/>
      <c r="E1431" s="224"/>
      <c r="F1431" s="224"/>
      <c r="G1431" s="224"/>
      <c r="H1431" s="224"/>
      <c r="I1431" s="224"/>
      <c r="J1431" s="224"/>
      <c r="Z1431" s="362"/>
      <c r="AA1431" s="362"/>
      <c r="AB1431" s="362"/>
      <c r="AC1431" s="362"/>
      <c r="AD1431" s="362"/>
      <c r="AE1431" s="362"/>
      <c r="AF1431" s="362"/>
      <c r="AG1431" s="362"/>
      <c r="AH1431" s="362"/>
      <c r="AI1431" s="360"/>
      <c r="AJ1431" s="360"/>
      <c r="AK1431" s="362"/>
      <c r="AL1431" s="362"/>
      <c r="AM1431" s="362"/>
      <c r="AN1431" s="362"/>
      <c r="AO1431" s="362"/>
      <c r="AP1431" s="362"/>
      <c r="AQ1431" s="362"/>
      <c r="AR1431" s="362"/>
    </row>
    <row r="1432" spans="1:44" ht="12" customHeight="1" x14ac:dyDescent="0.15">
      <c r="A1432" s="447"/>
      <c r="B1432" s="393"/>
      <c r="C1432" s="428"/>
      <c r="D1432" s="428"/>
      <c r="E1432" s="224"/>
      <c r="F1432" s="224"/>
      <c r="G1432" s="224"/>
      <c r="H1432" s="224"/>
      <c r="I1432" s="224"/>
      <c r="J1432" s="224"/>
      <c r="Z1432" s="362"/>
      <c r="AA1432" s="362"/>
      <c r="AB1432" s="362"/>
      <c r="AC1432" s="362"/>
      <c r="AD1432" s="362"/>
      <c r="AE1432" s="362"/>
      <c r="AF1432" s="362"/>
      <c r="AG1432" s="362"/>
      <c r="AH1432" s="362"/>
      <c r="AI1432" s="360"/>
      <c r="AJ1432" s="360"/>
      <c r="AK1432" s="362"/>
      <c r="AL1432" s="362"/>
      <c r="AM1432" s="362"/>
      <c r="AN1432" s="362"/>
      <c r="AO1432" s="362"/>
      <c r="AP1432" s="362"/>
      <c r="AQ1432" s="362"/>
      <c r="AR1432" s="362"/>
    </row>
    <row r="1433" spans="1:44" ht="12" customHeight="1" x14ac:dyDescent="0.15">
      <c r="A1433" s="447"/>
      <c r="B1433" s="393"/>
      <c r="C1433" s="428"/>
      <c r="D1433" s="428"/>
      <c r="E1433" s="224"/>
      <c r="F1433" s="224"/>
      <c r="G1433" s="224"/>
      <c r="H1433" s="224"/>
      <c r="I1433" s="224"/>
      <c r="J1433" s="224"/>
      <c r="Z1433" s="362"/>
      <c r="AA1433" s="362"/>
      <c r="AB1433" s="362"/>
      <c r="AC1433" s="362"/>
      <c r="AD1433" s="362"/>
      <c r="AE1433" s="362"/>
      <c r="AF1433" s="362"/>
      <c r="AG1433" s="362"/>
      <c r="AH1433" s="362"/>
      <c r="AI1433" s="360"/>
      <c r="AJ1433" s="360"/>
      <c r="AK1433" s="362"/>
      <c r="AL1433" s="362"/>
      <c r="AM1433" s="362"/>
      <c r="AN1433" s="362"/>
      <c r="AO1433" s="362"/>
      <c r="AP1433" s="362"/>
      <c r="AQ1433" s="362"/>
      <c r="AR1433" s="362"/>
    </row>
    <row r="1434" spans="1:44" ht="12" customHeight="1" x14ac:dyDescent="0.15">
      <c r="A1434" s="447"/>
      <c r="B1434" s="393"/>
      <c r="C1434" s="428"/>
      <c r="D1434" s="428"/>
      <c r="E1434" s="224"/>
      <c r="F1434" s="224"/>
      <c r="G1434" s="224"/>
      <c r="H1434" s="224"/>
      <c r="I1434" s="224"/>
      <c r="J1434" s="224"/>
      <c r="Z1434" s="362"/>
      <c r="AA1434" s="362"/>
      <c r="AB1434" s="362"/>
      <c r="AC1434" s="362"/>
      <c r="AD1434" s="362"/>
      <c r="AE1434" s="362"/>
      <c r="AF1434" s="362"/>
      <c r="AG1434" s="362"/>
      <c r="AH1434" s="362"/>
      <c r="AI1434" s="360"/>
      <c r="AJ1434" s="360"/>
      <c r="AK1434" s="362"/>
      <c r="AL1434" s="362"/>
      <c r="AM1434" s="362"/>
      <c r="AN1434" s="362"/>
      <c r="AO1434" s="362"/>
      <c r="AP1434" s="362"/>
      <c r="AQ1434" s="362"/>
      <c r="AR1434" s="362"/>
    </row>
    <row r="1435" spans="1:44" ht="12" customHeight="1" x14ac:dyDescent="0.15">
      <c r="A1435" s="447"/>
      <c r="B1435" s="393"/>
      <c r="C1435" s="428"/>
      <c r="D1435" s="428"/>
      <c r="E1435" s="224"/>
      <c r="F1435" s="224"/>
      <c r="G1435" s="224"/>
      <c r="H1435" s="224"/>
      <c r="I1435" s="224"/>
      <c r="J1435" s="224"/>
      <c r="Z1435" s="362"/>
      <c r="AA1435" s="362"/>
      <c r="AB1435" s="362"/>
      <c r="AC1435" s="362"/>
      <c r="AD1435" s="362"/>
      <c r="AE1435" s="362"/>
      <c r="AF1435" s="362"/>
      <c r="AG1435" s="362"/>
      <c r="AH1435" s="362"/>
      <c r="AI1435" s="360"/>
      <c r="AJ1435" s="360"/>
      <c r="AK1435" s="362"/>
      <c r="AL1435" s="362"/>
      <c r="AM1435" s="362"/>
      <c r="AN1435" s="362"/>
      <c r="AO1435" s="362"/>
      <c r="AP1435" s="362"/>
      <c r="AQ1435" s="362"/>
      <c r="AR1435" s="362"/>
    </row>
    <row r="1436" spans="1:44" ht="12" customHeight="1" x14ac:dyDescent="0.15">
      <c r="A1436" s="447"/>
      <c r="B1436" s="393"/>
      <c r="C1436" s="428"/>
      <c r="D1436" s="428"/>
      <c r="E1436" s="224"/>
      <c r="F1436" s="224"/>
      <c r="G1436" s="224"/>
      <c r="H1436" s="224"/>
      <c r="I1436" s="224"/>
      <c r="J1436" s="224"/>
      <c r="Z1436" s="362"/>
      <c r="AA1436" s="362"/>
      <c r="AB1436" s="362"/>
      <c r="AC1436" s="362"/>
      <c r="AD1436" s="362"/>
      <c r="AE1436" s="362"/>
      <c r="AF1436" s="362"/>
      <c r="AG1436" s="362"/>
      <c r="AH1436" s="362"/>
      <c r="AI1436" s="360"/>
      <c r="AJ1436" s="360"/>
      <c r="AK1436" s="362"/>
      <c r="AL1436" s="362"/>
      <c r="AM1436" s="362"/>
      <c r="AN1436" s="362"/>
      <c r="AO1436" s="362"/>
      <c r="AP1436" s="362"/>
      <c r="AQ1436" s="362"/>
      <c r="AR1436" s="362"/>
    </row>
    <row r="1437" spans="1:44" ht="12" customHeight="1" x14ac:dyDescent="0.15">
      <c r="A1437" s="447"/>
      <c r="B1437" s="393"/>
      <c r="C1437" s="428"/>
      <c r="D1437" s="428"/>
      <c r="E1437" s="224"/>
      <c r="F1437" s="224"/>
      <c r="G1437" s="224"/>
      <c r="H1437" s="224"/>
      <c r="I1437" s="224"/>
      <c r="J1437" s="224"/>
      <c r="Z1437" s="362"/>
      <c r="AA1437" s="362"/>
      <c r="AB1437" s="362"/>
      <c r="AC1437" s="362"/>
      <c r="AD1437" s="362"/>
      <c r="AE1437" s="362"/>
      <c r="AF1437" s="362"/>
      <c r="AG1437" s="362"/>
      <c r="AH1437" s="362"/>
      <c r="AI1437" s="360"/>
      <c r="AJ1437" s="360"/>
      <c r="AK1437" s="362"/>
      <c r="AL1437" s="362"/>
      <c r="AM1437" s="362"/>
      <c r="AN1437" s="362"/>
      <c r="AO1437" s="362"/>
      <c r="AP1437" s="362"/>
      <c r="AQ1437" s="362"/>
      <c r="AR1437" s="362"/>
    </row>
    <row r="1438" spans="1:44" ht="12" customHeight="1" x14ac:dyDescent="0.15">
      <c r="A1438" s="447"/>
      <c r="B1438" s="393"/>
      <c r="C1438" s="428"/>
      <c r="D1438" s="428"/>
      <c r="E1438" s="224"/>
      <c r="F1438" s="224"/>
      <c r="G1438" s="224"/>
      <c r="H1438" s="224"/>
      <c r="I1438" s="224"/>
      <c r="J1438" s="224"/>
      <c r="Z1438" s="362"/>
      <c r="AA1438" s="362"/>
      <c r="AB1438" s="362"/>
      <c r="AC1438" s="362"/>
      <c r="AD1438" s="362"/>
      <c r="AE1438" s="362"/>
      <c r="AF1438" s="362"/>
      <c r="AG1438" s="362"/>
      <c r="AH1438" s="362"/>
      <c r="AI1438" s="360"/>
      <c r="AJ1438" s="360"/>
      <c r="AK1438" s="362"/>
      <c r="AL1438" s="362"/>
      <c r="AM1438" s="362"/>
      <c r="AN1438" s="362"/>
      <c r="AO1438" s="362"/>
      <c r="AP1438" s="362"/>
      <c r="AQ1438" s="362"/>
      <c r="AR1438" s="362"/>
    </row>
    <row r="1439" spans="1:44" ht="12" customHeight="1" x14ac:dyDescent="0.15">
      <c r="A1439" s="447"/>
      <c r="B1439" s="393"/>
      <c r="C1439" s="428"/>
      <c r="D1439" s="428"/>
      <c r="E1439" s="224"/>
      <c r="F1439" s="224"/>
      <c r="G1439" s="224"/>
      <c r="H1439" s="224"/>
      <c r="I1439" s="224"/>
      <c r="J1439" s="224"/>
      <c r="Z1439" s="362"/>
      <c r="AA1439" s="362"/>
      <c r="AB1439" s="362"/>
      <c r="AC1439" s="362"/>
      <c r="AD1439" s="362"/>
      <c r="AE1439" s="362"/>
      <c r="AF1439" s="362"/>
      <c r="AG1439" s="362"/>
      <c r="AH1439" s="362"/>
      <c r="AI1439" s="360"/>
      <c r="AJ1439" s="360"/>
      <c r="AK1439" s="362"/>
      <c r="AL1439" s="362"/>
      <c r="AM1439" s="362"/>
      <c r="AN1439" s="362"/>
      <c r="AO1439" s="362"/>
      <c r="AP1439" s="362"/>
      <c r="AQ1439" s="362"/>
      <c r="AR1439" s="362"/>
    </row>
    <row r="1440" spans="1:44" ht="12" customHeight="1" x14ac:dyDescent="0.15">
      <c r="A1440" s="447"/>
      <c r="B1440" s="393"/>
      <c r="C1440" s="428"/>
      <c r="D1440" s="428"/>
      <c r="E1440" s="224"/>
      <c r="F1440" s="224"/>
      <c r="G1440" s="224"/>
      <c r="H1440" s="224"/>
      <c r="I1440" s="224"/>
      <c r="J1440" s="224"/>
      <c r="Z1440" s="362"/>
      <c r="AA1440" s="362"/>
      <c r="AB1440" s="362"/>
      <c r="AC1440" s="362"/>
      <c r="AD1440" s="362"/>
      <c r="AE1440" s="362"/>
      <c r="AF1440" s="362"/>
      <c r="AG1440" s="362"/>
      <c r="AH1440" s="362"/>
      <c r="AI1440" s="360"/>
      <c r="AJ1440" s="360"/>
      <c r="AK1440" s="362"/>
      <c r="AL1440" s="362"/>
      <c r="AM1440" s="362"/>
      <c r="AN1440" s="362"/>
      <c r="AO1440" s="362"/>
      <c r="AP1440" s="362"/>
      <c r="AQ1440" s="362"/>
      <c r="AR1440" s="362"/>
    </row>
    <row r="1441" spans="1:44" ht="12" customHeight="1" x14ac:dyDescent="0.15">
      <c r="A1441" s="447"/>
      <c r="B1441" s="393"/>
      <c r="C1441" s="428"/>
      <c r="D1441" s="428"/>
      <c r="E1441" s="224"/>
      <c r="F1441" s="224"/>
      <c r="G1441" s="224"/>
      <c r="H1441" s="224"/>
      <c r="I1441" s="224"/>
      <c r="J1441" s="224"/>
      <c r="Z1441" s="362"/>
      <c r="AA1441" s="362"/>
      <c r="AB1441" s="362"/>
      <c r="AC1441" s="362"/>
      <c r="AD1441" s="362"/>
      <c r="AE1441" s="362"/>
      <c r="AF1441" s="362"/>
      <c r="AG1441" s="362"/>
      <c r="AH1441" s="362"/>
      <c r="AI1441" s="360"/>
      <c r="AJ1441" s="360"/>
      <c r="AK1441" s="362"/>
      <c r="AL1441" s="362"/>
      <c r="AM1441" s="362"/>
      <c r="AN1441" s="362"/>
      <c r="AO1441" s="362"/>
      <c r="AP1441" s="362"/>
      <c r="AQ1441" s="362"/>
      <c r="AR1441" s="362"/>
    </row>
    <row r="1442" spans="1:44" ht="12" customHeight="1" x14ac:dyDescent="0.15">
      <c r="A1442" s="447"/>
      <c r="B1442" s="393"/>
      <c r="C1442" s="428"/>
      <c r="D1442" s="428"/>
      <c r="E1442" s="224"/>
      <c r="F1442" s="224"/>
      <c r="G1442" s="224"/>
      <c r="H1442" s="224"/>
      <c r="I1442" s="224"/>
      <c r="J1442" s="224"/>
      <c r="Z1442" s="362"/>
      <c r="AA1442" s="362"/>
      <c r="AB1442" s="362"/>
      <c r="AC1442" s="362"/>
      <c r="AD1442" s="362"/>
      <c r="AE1442" s="362"/>
      <c r="AF1442" s="362"/>
      <c r="AG1442" s="362"/>
      <c r="AH1442" s="362"/>
      <c r="AI1442" s="360"/>
      <c r="AJ1442" s="360"/>
      <c r="AK1442" s="362"/>
      <c r="AL1442" s="362"/>
      <c r="AM1442" s="362"/>
      <c r="AN1442" s="362"/>
      <c r="AO1442" s="362"/>
      <c r="AP1442" s="362"/>
      <c r="AQ1442" s="362"/>
      <c r="AR1442" s="362"/>
    </row>
    <row r="1443" spans="1:44" ht="12" customHeight="1" x14ac:dyDescent="0.15">
      <c r="A1443" s="447"/>
      <c r="B1443" s="393"/>
      <c r="C1443" s="428"/>
      <c r="D1443" s="428"/>
      <c r="E1443" s="224"/>
      <c r="F1443" s="224"/>
      <c r="G1443" s="224"/>
      <c r="H1443" s="224"/>
      <c r="I1443" s="224"/>
      <c r="J1443" s="224"/>
      <c r="Z1443" s="362"/>
      <c r="AA1443" s="362"/>
      <c r="AB1443" s="362"/>
      <c r="AC1443" s="362"/>
      <c r="AD1443" s="362"/>
      <c r="AE1443" s="362"/>
      <c r="AF1443" s="362"/>
      <c r="AG1443" s="362"/>
      <c r="AH1443" s="362"/>
      <c r="AI1443" s="360"/>
      <c r="AJ1443" s="360"/>
      <c r="AK1443" s="362"/>
      <c r="AL1443" s="362"/>
      <c r="AM1443" s="362"/>
      <c r="AN1443" s="362"/>
      <c r="AO1443" s="362"/>
      <c r="AP1443" s="362"/>
      <c r="AQ1443" s="362"/>
      <c r="AR1443" s="362"/>
    </row>
    <row r="1444" spans="1:44" ht="12" customHeight="1" x14ac:dyDescent="0.15">
      <c r="A1444" s="447"/>
      <c r="B1444" s="393"/>
      <c r="C1444" s="428"/>
      <c r="D1444" s="428"/>
      <c r="E1444" s="224"/>
      <c r="F1444" s="224"/>
      <c r="G1444" s="224"/>
      <c r="H1444" s="224"/>
      <c r="I1444" s="224"/>
      <c r="J1444" s="224"/>
      <c r="Z1444" s="362"/>
      <c r="AA1444" s="362"/>
      <c r="AB1444" s="362"/>
      <c r="AC1444" s="362"/>
      <c r="AD1444" s="362"/>
      <c r="AE1444" s="362"/>
      <c r="AF1444" s="362"/>
      <c r="AG1444" s="362"/>
      <c r="AH1444" s="362"/>
      <c r="AI1444" s="360"/>
      <c r="AJ1444" s="360"/>
      <c r="AK1444" s="362"/>
      <c r="AL1444" s="362"/>
      <c r="AM1444" s="362"/>
      <c r="AN1444" s="362"/>
      <c r="AO1444" s="362"/>
      <c r="AP1444" s="362"/>
      <c r="AQ1444" s="362"/>
      <c r="AR1444" s="362"/>
    </row>
    <row r="1445" spans="1:44" ht="12" customHeight="1" x14ac:dyDescent="0.15">
      <c r="A1445" s="447"/>
      <c r="B1445" s="393"/>
      <c r="C1445" s="428"/>
      <c r="D1445" s="428"/>
      <c r="E1445" s="224"/>
      <c r="F1445" s="224"/>
      <c r="G1445" s="224"/>
      <c r="H1445" s="224"/>
      <c r="I1445" s="224"/>
      <c r="J1445" s="224"/>
      <c r="Z1445" s="362"/>
      <c r="AA1445" s="362"/>
      <c r="AB1445" s="362"/>
      <c r="AC1445" s="362"/>
      <c r="AD1445" s="362"/>
      <c r="AE1445" s="362"/>
      <c r="AF1445" s="362"/>
      <c r="AG1445" s="362"/>
      <c r="AH1445" s="362"/>
      <c r="AI1445" s="360"/>
      <c r="AJ1445" s="360"/>
      <c r="AK1445" s="362"/>
      <c r="AL1445" s="362"/>
      <c r="AM1445" s="362"/>
      <c r="AN1445" s="362"/>
      <c r="AO1445" s="362"/>
      <c r="AP1445" s="362"/>
      <c r="AQ1445" s="362"/>
      <c r="AR1445" s="362"/>
    </row>
    <row r="1446" spans="1:44" ht="12" customHeight="1" x14ac:dyDescent="0.15">
      <c r="A1446" s="447"/>
      <c r="B1446" s="393"/>
      <c r="C1446" s="428"/>
      <c r="D1446" s="428"/>
      <c r="E1446" s="224"/>
      <c r="F1446" s="224"/>
      <c r="G1446" s="224"/>
      <c r="H1446" s="224"/>
      <c r="I1446" s="224"/>
      <c r="J1446" s="224"/>
      <c r="Z1446" s="362"/>
      <c r="AA1446" s="362"/>
      <c r="AB1446" s="362"/>
      <c r="AC1446" s="362"/>
      <c r="AD1446" s="362"/>
      <c r="AE1446" s="362"/>
      <c r="AF1446" s="362"/>
      <c r="AG1446" s="362"/>
      <c r="AH1446" s="362"/>
      <c r="AI1446" s="360"/>
      <c r="AJ1446" s="360"/>
      <c r="AK1446" s="362"/>
      <c r="AL1446" s="362"/>
      <c r="AM1446" s="362"/>
      <c r="AN1446" s="362"/>
      <c r="AO1446" s="362"/>
      <c r="AP1446" s="362"/>
      <c r="AQ1446" s="362"/>
      <c r="AR1446" s="362"/>
    </row>
    <row r="1447" spans="1:44" ht="12" customHeight="1" x14ac:dyDescent="0.15">
      <c r="A1447" s="447"/>
      <c r="B1447" s="393"/>
      <c r="C1447" s="428"/>
      <c r="D1447" s="428"/>
      <c r="E1447" s="224"/>
      <c r="F1447" s="224"/>
      <c r="G1447" s="224"/>
      <c r="H1447" s="224"/>
      <c r="I1447" s="224"/>
      <c r="J1447" s="224"/>
      <c r="Z1447" s="362"/>
      <c r="AA1447" s="362"/>
      <c r="AB1447" s="362"/>
      <c r="AC1447" s="362"/>
      <c r="AD1447" s="362"/>
      <c r="AE1447" s="362"/>
      <c r="AF1447" s="362"/>
      <c r="AG1447" s="362"/>
      <c r="AH1447" s="362"/>
      <c r="AI1447" s="360"/>
      <c r="AJ1447" s="360"/>
      <c r="AK1447" s="362"/>
      <c r="AL1447" s="362"/>
      <c r="AM1447" s="362"/>
      <c r="AN1447" s="362"/>
      <c r="AO1447" s="362"/>
      <c r="AP1447" s="362"/>
      <c r="AQ1447" s="362"/>
      <c r="AR1447" s="362"/>
    </row>
    <row r="1448" spans="1:44" ht="12" customHeight="1" x14ac:dyDescent="0.15">
      <c r="A1448" s="447"/>
      <c r="B1448" s="393"/>
      <c r="C1448" s="428"/>
      <c r="D1448" s="428"/>
      <c r="E1448" s="224"/>
      <c r="F1448" s="224"/>
      <c r="G1448" s="224"/>
      <c r="H1448" s="224"/>
      <c r="I1448" s="224"/>
      <c r="J1448" s="224"/>
      <c r="Z1448" s="362"/>
      <c r="AA1448" s="362"/>
      <c r="AB1448" s="362"/>
      <c r="AC1448" s="362"/>
      <c r="AD1448" s="362"/>
      <c r="AE1448" s="362"/>
      <c r="AF1448" s="362"/>
      <c r="AG1448" s="362"/>
      <c r="AH1448" s="362"/>
      <c r="AI1448" s="360"/>
      <c r="AJ1448" s="360"/>
      <c r="AK1448" s="362"/>
      <c r="AL1448" s="362"/>
      <c r="AM1448" s="362"/>
      <c r="AN1448" s="362"/>
      <c r="AO1448" s="362"/>
      <c r="AP1448" s="362"/>
      <c r="AQ1448" s="362"/>
      <c r="AR1448" s="362"/>
    </row>
    <row r="1449" spans="1:44" ht="12" customHeight="1" x14ac:dyDescent="0.15">
      <c r="A1449" s="447"/>
      <c r="B1449" s="393"/>
      <c r="C1449" s="428"/>
      <c r="D1449" s="428"/>
      <c r="E1449" s="224"/>
      <c r="F1449" s="224"/>
      <c r="G1449" s="224"/>
      <c r="H1449" s="224"/>
      <c r="I1449" s="224"/>
      <c r="J1449" s="224"/>
      <c r="Z1449" s="362"/>
      <c r="AA1449" s="362"/>
      <c r="AB1449" s="362"/>
      <c r="AC1449" s="362"/>
      <c r="AD1449" s="362"/>
      <c r="AE1449" s="362"/>
      <c r="AF1449" s="362"/>
      <c r="AG1449" s="362"/>
      <c r="AH1449" s="362"/>
      <c r="AI1449" s="360"/>
      <c r="AJ1449" s="360"/>
      <c r="AK1449" s="362"/>
      <c r="AL1449" s="362"/>
      <c r="AM1449" s="362"/>
      <c r="AN1449" s="362"/>
      <c r="AO1449" s="362"/>
      <c r="AP1449" s="362"/>
      <c r="AQ1449" s="362"/>
      <c r="AR1449" s="362"/>
    </row>
    <row r="1450" spans="1:44" ht="12" customHeight="1" x14ac:dyDescent="0.15">
      <c r="A1450" s="447"/>
      <c r="B1450" s="393"/>
      <c r="C1450" s="428"/>
      <c r="D1450" s="428"/>
      <c r="E1450" s="224"/>
      <c r="F1450" s="224"/>
      <c r="G1450" s="224"/>
      <c r="H1450" s="224"/>
      <c r="I1450" s="224"/>
      <c r="J1450" s="224"/>
      <c r="Z1450" s="362"/>
      <c r="AA1450" s="362"/>
      <c r="AB1450" s="362"/>
      <c r="AC1450" s="362"/>
      <c r="AD1450" s="362"/>
      <c r="AE1450" s="362"/>
      <c r="AF1450" s="362"/>
      <c r="AG1450" s="362"/>
      <c r="AH1450" s="362"/>
      <c r="AI1450" s="360"/>
      <c r="AJ1450" s="360"/>
      <c r="AK1450" s="362"/>
      <c r="AL1450" s="362"/>
      <c r="AM1450" s="362"/>
      <c r="AN1450" s="362"/>
      <c r="AO1450" s="362"/>
      <c r="AP1450" s="362"/>
      <c r="AQ1450" s="362"/>
      <c r="AR1450" s="362"/>
    </row>
    <row r="1451" spans="1:44" ht="12" customHeight="1" x14ac:dyDescent="0.15">
      <c r="A1451" s="447"/>
      <c r="B1451" s="393"/>
      <c r="C1451" s="428"/>
      <c r="D1451" s="428"/>
      <c r="E1451" s="224"/>
      <c r="F1451" s="224"/>
      <c r="G1451" s="224"/>
      <c r="H1451" s="224"/>
      <c r="I1451" s="224"/>
      <c r="J1451" s="224"/>
      <c r="Z1451" s="362"/>
      <c r="AA1451" s="362"/>
      <c r="AB1451" s="362"/>
      <c r="AC1451" s="362"/>
      <c r="AD1451" s="362"/>
      <c r="AE1451" s="362"/>
      <c r="AF1451" s="362"/>
      <c r="AG1451" s="362"/>
      <c r="AH1451" s="362"/>
      <c r="AI1451" s="360"/>
      <c r="AJ1451" s="360"/>
      <c r="AK1451" s="362"/>
      <c r="AL1451" s="362"/>
      <c r="AM1451" s="362"/>
      <c r="AN1451" s="362"/>
      <c r="AO1451" s="362"/>
      <c r="AP1451" s="362"/>
      <c r="AQ1451" s="362"/>
      <c r="AR1451" s="362"/>
    </row>
    <row r="1452" spans="1:44" ht="12" customHeight="1" x14ac:dyDescent="0.15">
      <c r="A1452" s="447"/>
      <c r="B1452" s="393"/>
      <c r="C1452" s="428"/>
      <c r="D1452" s="428"/>
      <c r="E1452" s="224"/>
      <c r="F1452" s="224"/>
      <c r="G1452" s="224"/>
      <c r="H1452" s="224"/>
      <c r="I1452" s="224"/>
      <c r="J1452" s="224"/>
      <c r="Z1452" s="362"/>
      <c r="AA1452" s="362"/>
      <c r="AB1452" s="362"/>
      <c r="AC1452" s="362"/>
      <c r="AD1452" s="362"/>
      <c r="AE1452" s="362"/>
      <c r="AF1452" s="362"/>
      <c r="AG1452" s="362"/>
      <c r="AH1452" s="362"/>
      <c r="AI1452" s="360"/>
      <c r="AJ1452" s="360"/>
      <c r="AK1452" s="362"/>
      <c r="AL1452" s="362"/>
      <c r="AM1452" s="362"/>
      <c r="AN1452" s="362"/>
      <c r="AO1452" s="362"/>
      <c r="AP1452" s="362"/>
      <c r="AQ1452" s="362"/>
      <c r="AR1452" s="362"/>
    </row>
    <row r="1453" spans="1:44" ht="12" customHeight="1" x14ac:dyDescent="0.15">
      <c r="A1453" s="447"/>
      <c r="B1453" s="393"/>
      <c r="C1453" s="428"/>
      <c r="D1453" s="428"/>
      <c r="E1453" s="224"/>
      <c r="F1453" s="224"/>
      <c r="G1453" s="224"/>
      <c r="H1453" s="224"/>
      <c r="I1453" s="224"/>
      <c r="J1453" s="224"/>
      <c r="Z1453" s="362"/>
      <c r="AA1453" s="362"/>
      <c r="AB1453" s="362"/>
      <c r="AC1453" s="362"/>
      <c r="AD1453" s="362"/>
      <c r="AE1453" s="362"/>
      <c r="AF1453" s="362"/>
      <c r="AG1453" s="362"/>
      <c r="AH1453" s="362"/>
      <c r="AI1453" s="360"/>
      <c r="AJ1453" s="360"/>
      <c r="AK1453" s="362"/>
      <c r="AL1453" s="362"/>
      <c r="AM1453" s="362"/>
      <c r="AN1453" s="362"/>
      <c r="AO1453" s="362"/>
      <c r="AP1453" s="362"/>
      <c r="AQ1453" s="362"/>
      <c r="AR1453" s="362"/>
    </row>
    <row r="1454" spans="1:44" ht="12" customHeight="1" x14ac:dyDescent="0.15">
      <c r="A1454" s="447"/>
      <c r="B1454" s="393"/>
      <c r="C1454" s="428"/>
      <c r="D1454" s="428"/>
      <c r="E1454" s="224"/>
      <c r="F1454" s="224"/>
      <c r="G1454" s="224"/>
      <c r="H1454" s="224"/>
      <c r="I1454" s="224"/>
      <c r="J1454" s="224"/>
      <c r="Z1454" s="362"/>
      <c r="AA1454" s="362"/>
      <c r="AB1454" s="362"/>
      <c r="AC1454" s="362"/>
      <c r="AD1454" s="362"/>
      <c r="AE1454" s="362"/>
      <c r="AF1454" s="362"/>
      <c r="AG1454" s="362"/>
      <c r="AH1454" s="362"/>
      <c r="AI1454" s="360"/>
      <c r="AJ1454" s="360"/>
      <c r="AK1454" s="362"/>
      <c r="AL1454" s="362"/>
      <c r="AM1454" s="362"/>
      <c r="AN1454" s="362"/>
      <c r="AO1454" s="362"/>
      <c r="AP1454" s="362"/>
      <c r="AQ1454" s="362"/>
      <c r="AR1454" s="362"/>
    </row>
    <row r="1455" spans="1:44" ht="12" customHeight="1" x14ac:dyDescent="0.15">
      <c r="A1455" s="447"/>
      <c r="B1455" s="393"/>
      <c r="C1455" s="428"/>
      <c r="D1455" s="428"/>
      <c r="E1455" s="224"/>
      <c r="F1455" s="224"/>
      <c r="G1455" s="224"/>
      <c r="H1455" s="224"/>
      <c r="I1455" s="224"/>
      <c r="J1455" s="224"/>
      <c r="Z1455" s="362"/>
      <c r="AA1455" s="362"/>
      <c r="AB1455" s="362"/>
      <c r="AC1455" s="362"/>
      <c r="AD1455" s="362"/>
      <c r="AE1455" s="362"/>
      <c r="AF1455" s="362"/>
      <c r="AG1455" s="362"/>
      <c r="AH1455" s="362"/>
      <c r="AI1455" s="360"/>
      <c r="AJ1455" s="360"/>
      <c r="AK1455" s="362"/>
      <c r="AL1455" s="362"/>
      <c r="AM1455" s="362"/>
      <c r="AN1455" s="362"/>
      <c r="AO1455" s="362"/>
      <c r="AP1455" s="362"/>
      <c r="AQ1455" s="362"/>
      <c r="AR1455" s="362"/>
    </row>
    <row r="1456" spans="1:44" ht="12" customHeight="1" x14ac:dyDescent="0.15">
      <c r="A1456" s="447"/>
      <c r="B1456" s="393"/>
      <c r="C1456" s="428"/>
      <c r="D1456" s="428"/>
      <c r="E1456" s="224"/>
      <c r="F1456" s="224"/>
      <c r="G1456" s="224"/>
      <c r="H1456" s="224"/>
      <c r="I1456" s="224"/>
      <c r="J1456" s="224"/>
      <c r="Z1456" s="362"/>
      <c r="AA1456" s="362"/>
      <c r="AB1456" s="362"/>
      <c r="AC1456" s="362"/>
      <c r="AD1456" s="362"/>
      <c r="AE1456" s="362"/>
      <c r="AF1456" s="362"/>
      <c r="AG1456" s="362"/>
      <c r="AH1456" s="362"/>
      <c r="AI1456" s="360"/>
      <c r="AJ1456" s="360"/>
      <c r="AK1456" s="362"/>
      <c r="AL1456" s="362"/>
      <c r="AM1456" s="362"/>
      <c r="AN1456" s="362"/>
      <c r="AO1456" s="362"/>
      <c r="AP1456" s="362"/>
      <c r="AQ1456" s="362"/>
      <c r="AR1456" s="362"/>
    </row>
    <row r="1457" spans="1:44" ht="12" customHeight="1" x14ac:dyDescent="0.15">
      <c r="A1457" s="447"/>
      <c r="B1457" s="393"/>
      <c r="C1457" s="428"/>
      <c r="D1457" s="428"/>
      <c r="E1457" s="224"/>
      <c r="F1457" s="224"/>
      <c r="G1457" s="224"/>
      <c r="H1457" s="224"/>
      <c r="I1457" s="224"/>
      <c r="J1457" s="224"/>
      <c r="Z1457" s="362"/>
      <c r="AA1457" s="362"/>
      <c r="AB1457" s="362"/>
      <c r="AC1457" s="362"/>
      <c r="AD1457" s="362"/>
      <c r="AE1457" s="362"/>
      <c r="AF1457" s="362"/>
      <c r="AG1457" s="362"/>
      <c r="AH1457" s="362"/>
      <c r="AI1457" s="360"/>
      <c r="AJ1457" s="360"/>
      <c r="AK1457" s="362"/>
      <c r="AL1457" s="362"/>
      <c r="AM1457" s="362"/>
      <c r="AN1457" s="362"/>
      <c r="AO1457" s="362"/>
      <c r="AP1457" s="362"/>
      <c r="AQ1457" s="362"/>
      <c r="AR1457" s="362"/>
    </row>
    <row r="1458" spans="1:44" ht="12" customHeight="1" x14ac:dyDescent="0.15">
      <c r="A1458" s="447"/>
      <c r="B1458" s="393"/>
      <c r="C1458" s="428"/>
      <c r="D1458" s="428"/>
      <c r="E1458" s="224"/>
      <c r="F1458" s="224"/>
      <c r="G1458" s="224"/>
      <c r="H1458" s="224"/>
      <c r="I1458" s="224"/>
      <c r="J1458" s="224"/>
      <c r="Z1458" s="362"/>
      <c r="AA1458" s="362"/>
      <c r="AB1458" s="362"/>
      <c r="AC1458" s="362"/>
      <c r="AD1458" s="362"/>
      <c r="AE1458" s="362"/>
      <c r="AF1458" s="362"/>
      <c r="AG1458" s="362"/>
      <c r="AH1458" s="362"/>
      <c r="AI1458" s="360"/>
      <c r="AJ1458" s="360"/>
      <c r="AK1458" s="362"/>
      <c r="AL1458" s="362"/>
      <c r="AM1458" s="362"/>
      <c r="AN1458" s="362"/>
      <c r="AO1458" s="362"/>
      <c r="AP1458" s="362"/>
      <c r="AQ1458" s="362"/>
      <c r="AR1458" s="362"/>
    </row>
    <row r="1459" spans="1:44" ht="12" customHeight="1" x14ac:dyDescent="0.15">
      <c r="A1459" s="447"/>
      <c r="B1459" s="393"/>
      <c r="C1459" s="428"/>
      <c r="D1459" s="428"/>
      <c r="E1459" s="224"/>
      <c r="F1459" s="224"/>
      <c r="G1459" s="224"/>
      <c r="H1459" s="224"/>
      <c r="I1459" s="224"/>
      <c r="J1459" s="224"/>
      <c r="Z1459" s="362"/>
      <c r="AA1459" s="362"/>
      <c r="AB1459" s="362"/>
      <c r="AC1459" s="362"/>
      <c r="AD1459" s="362"/>
      <c r="AE1459" s="362"/>
      <c r="AF1459" s="362"/>
      <c r="AG1459" s="362"/>
      <c r="AH1459" s="362"/>
      <c r="AI1459" s="360"/>
      <c r="AJ1459" s="360"/>
      <c r="AK1459" s="362"/>
      <c r="AL1459" s="362"/>
      <c r="AM1459" s="362"/>
      <c r="AN1459" s="362"/>
      <c r="AO1459" s="362"/>
      <c r="AP1459" s="362"/>
      <c r="AQ1459" s="362"/>
      <c r="AR1459" s="362"/>
    </row>
    <row r="1460" spans="1:44" ht="12" customHeight="1" x14ac:dyDescent="0.15">
      <c r="A1460" s="447"/>
      <c r="B1460" s="393"/>
      <c r="C1460" s="428"/>
      <c r="D1460" s="428"/>
      <c r="E1460" s="224"/>
      <c r="F1460" s="224"/>
      <c r="G1460" s="224"/>
      <c r="H1460" s="224"/>
      <c r="I1460" s="224"/>
      <c r="J1460" s="224"/>
      <c r="Z1460" s="362"/>
      <c r="AA1460" s="362"/>
      <c r="AB1460" s="362"/>
      <c r="AC1460" s="362"/>
      <c r="AD1460" s="362"/>
      <c r="AE1460" s="362"/>
      <c r="AF1460" s="362"/>
      <c r="AG1460" s="362"/>
      <c r="AH1460" s="362"/>
      <c r="AI1460" s="360"/>
      <c r="AJ1460" s="360"/>
      <c r="AK1460" s="362"/>
      <c r="AL1460" s="362"/>
      <c r="AM1460" s="362"/>
      <c r="AN1460" s="362"/>
      <c r="AO1460" s="362"/>
      <c r="AP1460" s="362"/>
      <c r="AQ1460" s="362"/>
      <c r="AR1460" s="362"/>
    </row>
    <row r="1461" spans="1:44" ht="12" customHeight="1" x14ac:dyDescent="0.15">
      <c r="A1461" s="447"/>
      <c r="B1461" s="393"/>
      <c r="C1461" s="428"/>
      <c r="D1461" s="428"/>
      <c r="E1461" s="224"/>
      <c r="F1461" s="224"/>
      <c r="G1461" s="224"/>
      <c r="H1461" s="224"/>
      <c r="I1461" s="224"/>
      <c r="J1461" s="224"/>
      <c r="Z1461" s="362"/>
      <c r="AA1461" s="362"/>
      <c r="AB1461" s="362"/>
      <c r="AC1461" s="362"/>
      <c r="AD1461" s="362"/>
      <c r="AE1461" s="362"/>
      <c r="AF1461" s="362"/>
      <c r="AG1461" s="362"/>
      <c r="AH1461" s="362"/>
      <c r="AI1461" s="360"/>
      <c r="AJ1461" s="360"/>
      <c r="AK1461" s="362"/>
      <c r="AL1461" s="362"/>
      <c r="AM1461" s="362"/>
      <c r="AN1461" s="362"/>
      <c r="AO1461" s="362"/>
      <c r="AP1461" s="362"/>
      <c r="AQ1461" s="362"/>
      <c r="AR1461" s="362"/>
    </row>
    <row r="1462" spans="1:44" ht="12" customHeight="1" x14ac:dyDescent="0.15">
      <c r="A1462" s="447"/>
      <c r="B1462" s="393"/>
      <c r="C1462" s="428"/>
      <c r="D1462" s="428"/>
      <c r="E1462" s="224"/>
      <c r="F1462" s="224"/>
      <c r="G1462" s="224"/>
      <c r="H1462" s="224"/>
      <c r="I1462" s="224"/>
      <c r="J1462" s="224"/>
      <c r="Z1462" s="362"/>
      <c r="AA1462" s="362"/>
      <c r="AB1462" s="362"/>
      <c r="AC1462" s="362"/>
      <c r="AD1462" s="362"/>
      <c r="AE1462" s="362"/>
      <c r="AF1462" s="362"/>
      <c r="AG1462" s="362"/>
      <c r="AH1462" s="362"/>
      <c r="AI1462" s="360"/>
      <c r="AJ1462" s="360"/>
      <c r="AK1462" s="362"/>
      <c r="AL1462" s="362"/>
      <c r="AM1462" s="362"/>
      <c r="AN1462" s="362"/>
      <c r="AO1462" s="362"/>
      <c r="AP1462" s="362"/>
      <c r="AQ1462" s="362"/>
      <c r="AR1462" s="362"/>
    </row>
    <row r="1463" spans="1:44" ht="12" customHeight="1" x14ac:dyDescent="0.15">
      <c r="A1463" s="447"/>
      <c r="B1463" s="393"/>
      <c r="C1463" s="428"/>
      <c r="D1463" s="428"/>
      <c r="E1463" s="224"/>
      <c r="F1463" s="224"/>
      <c r="G1463" s="224"/>
      <c r="H1463" s="224"/>
      <c r="I1463" s="224"/>
      <c r="J1463" s="224"/>
      <c r="Z1463" s="362"/>
      <c r="AA1463" s="362"/>
      <c r="AB1463" s="362"/>
      <c r="AC1463" s="362"/>
      <c r="AD1463" s="362"/>
      <c r="AE1463" s="362"/>
      <c r="AF1463" s="362"/>
      <c r="AG1463" s="362"/>
      <c r="AH1463" s="362"/>
      <c r="AI1463" s="360"/>
      <c r="AJ1463" s="360"/>
      <c r="AK1463" s="362"/>
      <c r="AL1463" s="362"/>
      <c r="AM1463" s="362"/>
      <c r="AN1463" s="362"/>
      <c r="AO1463" s="362"/>
      <c r="AP1463" s="362"/>
      <c r="AQ1463" s="362"/>
      <c r="AR1463" s="362"/>
    </row>
    <row r="1464" spans="1:44" ht="12" customHeight="1" x14ac:dyDescent="0.15">
      <c r="A1464" s="447"/>
      <c r="B1464" s="393"/>
      <c r="C1464" s="428"/>
      <c r="D1464" s="428"/>
      <c r="E1464" s="224"/>
      <c r="F1464" s="224"/>
      <c r="G1464" s="224"/>
      <c r="H1464" s="224"/>
      <c r="I1464" s="224"/>
      <c r="J1464" s="224"/>
      <c r="Z1464" s="362"/>
      <c r="AA1464" s="362"/>
      <c r="AB1464" s="362"/>
      <c r="AC1464" s="362"/>
      <c r="AD1464" s="362"/>
      <c r="AE1464" s="362"/>
      <c r="AF1464" s="362"/>
      <c r="AG1464" s="362"/>
      <c r="AH1464" s="362"/>
      <c r="AI1464" s="360"/>
      <c r="AJ1464" s="360"/>
      <c r="AK1464" s="362"/>
      <c r="AL1464" s="362"/>
      <c r="AM1464" s="362"/>
      <c r="AN1464" s="362"/>
      <c r="AO1464" s="362"/>
      <c r="AP1464" s="362"/>
      <c r="AQ1464" s="362"/>
      <c r="AR1464" s="362"/>
    </row>
    <row r="1465" spans="1:44" ht="12" customHeight="1" x14ac:dyDescent="0.15">
      <c r="A1465" s="447"/>
      <c r="B1465" s="393"/>
      <c r="C1465" s="428"/>
      <c r="D1465" s="428"/>
      <c r="E1465" s="224"/>
      <c r="F1465" s="224"/>
      <c r="G1465" s="224"/>
      <c r="H1465" s="224"/>
      <c r="I1465" s="224"/>
      <c r="J1465" s="224"/>
      <c r="Z1465" s="362"/>
      <c r="AA1465" s="362"/>
      <c r="AB1465" s="362"/>
      <c r="AC1465" s="362"/>
      <c r="AD1465" s="362"/>
      <c r="AE1465" s="362"/>
      <c r="AF1465" s="362"/>
      <c r="AG1465" s="362"/>
      <c r="AH1465" s="362"/>
      <c r="AI1465" s="360"/>
      <c r="AJ1465" s="360"/>
      <c r="AK1465" s="362"/>
      <c r="AL1465" s="362"/>
      <c r="AM1465" s="362"/>
      <c r="AN1465" s="362"/>
      <c r="AO1465" s="362"/>
      <c r="AP1465" s="362"/>
      <c r="AQ1465" s="362"/>
      <c r="AR1465" s="362"/>
    </row>
    <row r="1466" spans="1:44" ht="12" customHeight="1" x14ac:dyDescent="0.15">
      <c r="A1466" s="447"/>
      <c r="B1466" s="393"/>
      <c r="C1466" s="428"/>
      <c r="D1466" s="428"/>
      <c r="E1466" s="224"/>
      <c r="F1466" s="224"/>
      <c r="G1466" s="224"/>
      <c r="H1466" s="224"/>
      <c r="I1466" s="224"/>
      <c r="J1466" s="224"/>
      <c r="Z1466" s="362"/>
      <c r="AA1466" s="362"/>
      <c r="AB1466" s="362"/>
      <c r="AC1466" s="362"/>
      <c r="AD1466" s="362"/>
      <c r="AE1466" s="362"/>
      <c r="AF1466" s="362"/>
      <c r="AG1466" s="362"/>
      <c r="AH1466" s="362"/>
      <c r="AI1466" s="360"/>
      <c r="AJ1466" s="360"/>
      <c r="AK1466" s="362"/>
      <c r="AL1466" s="362"/>
      <c r="AM1466" s="362"/>
      <c r="AN1466" s="362"/>
      <c r="AO1466" s="362"/>
      <c r="AP1466" s="362"/>
      <c r="AQ1466" s="362"/>
      <c r="AR1466" s="362"/>
    </row>
    <row r="1467" spans="1:44" ht="12" customHeight="1" x14ac:dyDescent="0.15">
      <c r="A1467" s="447"/>
      <c r="B1467" s="393"/>
      <c r="C1467" s="428"/>
      <c r="D1467" s="428"/>
      <c r="E1467" s="224"/>
      <c r="F1467" s="224"/>
      <c r="G1467" s="224"/>
      <c r="H1467" s="224"/>
      <c r="I1467" s="224"/>
      <c r="J1467" s="224"/>
      <c r="Z1467" s="362"/>
      <c r="AA1467" s="362"/>
      <c r="AB1467" s="362"/>
      <c r="AC1467" s="362"/>
      <c r="AD1467" s="362"/>
      <c r="AE1467" s="362"/>
      <c r="AF1467" s="362"/>
      <c r="AG1467" s="362"/>
      <c r="AH1467" s="362"/>
      <c r="AI1467" s="360"/>
      <c r="AJ1467" s="360"/>
      <c r="AK1467" s="362"/>
      <c r="AL1467" s="362"/>
      <c r="AM1467" s="362"/>
      <c r="AN1467" s="362"/>
      <c r="AO1467" s="362"/>
      <c r="AP1467" s="362"/>
      <c r="AQ1467" s="362"/>
      <c r="AR1467" s="362"/>
    </row>
    <row r="1468" spans="1:44" ht="12" customHeight="1" x14ac:dyDescent="0.15">
      <c r="A1468" s="447"/>
      <c r="B1468" s="393"/>
      <c r="C1468" s="428"/>
      <c r="D1468" s="428"/>
      <c r="E1468" s="224"/>
      <c r="F1468" s="224"/>
      <c r="G1468" s="224"/>
      <c r="H1468" s="224"/>
      <c r="I1468" s="224"/>
      <c r="J1468" s="224"/>
      <c r="Z1468" s="362"/>
      <c r="AA1468" s="362"/>
      <c r="AB1468" s="362"/>
      <c r="AC1468" s="362"/>
      <c r="AD1468" s="362"/>
      <c r="AE1468" s="362"/>
      <c r="AF1468" s="362"/>
      <c r="AG1468" s="362"/>
      <c r="AH1468" s="362"/>
      <c r="AI1468" s="360"/>
      <c r="AJ1468" s="360"/>
      <c r="AK1468" s="362"/>
      <c r="AL1468" s="362"/>
      <c r="AM1468" s="362"/>
      <c r="AN1468" s="362"/>
      <c r="AO1468" s="362"/>
      <c r="AP1468" s="362"/>
      <c r="AQ1468" s="362"/>
      <c r="AR1468" s="362"/>
    </row>
    <row r="1469" spans="1:44" ht="12" customHeight="1" x14ac:dyDescent="0.15">
      <c r="A1469" s="447"/>
      <c r="B1469" s="393"/>
      <c r="C1469" s="428"/>
      <c r="D1469" s="428"/>
      <c r="E1469" s="224"/>
      <c r="F1469" s="224"/>
      <c r="G1469" s="224"/>
      <c r="H1469" s="224"/>
      <c r="I1469" s="224"/>
      <c r="J1469" s="224"/>
      <c r="Z1469" s="362"/>
      <c r="AA1469" s="362"/>
      <c r="AB1469" s="362"/>
      <c r="AC1469" s="362"/>
      <c r="AD1469" s="362"/>
      <c r="AE1469" s="362"/>
      <c r="AF1469" s="362"/>
      <c r="AG1469" s="362"/>
      <c r="AH1469" s="362"/>
      <c r="AI1469" s="360"/>
      <c r="AJ1469" s="360"/>
      <c r="AK1469" s="362"/>
      <c r="AL1469" s="362"/>
      <c r="AM1469" s="362"/>
      <c r="AN1469" s="362"/>
      <c r="AO1469" s="362"/>
      <c r="AP1469" s="362"/>
      <c r="AQ1469" s="362"/>
      <c r="AR1469" s="362"/>
    </row>
    <row r="1470" spans="1:44" ht="12" customHeight="1" x14ac:dyDescent="0.15">
      <c r="A1470" s="447"/>
      <c r="B1470" s="393"/>
      <c r="C1470" s="428"/>
      <c r="D1470" s="428"/>
      <c r="E1470" s="224"/>
      <c r="F1470" s="224"/>
      <c r="G1470" s="224"/>
      <c r="H1470" s="224"/>
      <c r="I1470" s="224"/>
      <c r="J1470" s="224"/>
      <c r="Z1470" s="362"/>
      <c r="AA1470" s="362"/>
      <c r="AB1470" s="362"/>
      <c r="AC1470" s="362"/>
      <c r="AD1470" s="362"/>
      <c r="AE1470" s="362"/>
      <c r="AF1470" s="362"/>
      <c r="AG1470" s="362"/>
      <c r="AH1470" s="362"/>
      <c r="AI1470" s="360"/>
      <c r="AJ1470" s="360"/>
      <c r="AK1470" s="362"/>
      <c r="AL1470" s="362"/>
      <c r="AM1470" s="362"/>
      <c r="AN1470" s="362"/>
      <c r="AO1470" s="362"/>
      <c r="AP1470" s="362"/>
      <c r="AQ1470" s="362"/>
      <c r="AR1470" s="362"/>
    </row>
    <row r="1471" spans="1:44" ht="12" customHeight="1" x14ac:dyDescent="0.15">
      <c r="A1471" s="447"/>
      <c r="B1471" s="393"/>
      <c r="C1471" s="428"/>
      <c r="D1471" s="428"/>
      <c r="E1471" s="224"/>
      <c r="F1471" s="224"/>
      <c r="G1471" s="224"/>
      <c r="H1471" s="224"/>
      <c r="I1471" s="224"/>
      <c r="J1471" s="224"/>
      <c r="Z1471" s="362"/>
      <c r="AA1471" s="362"/>
      <c r="AB1471" s="362"/>
      <c r="AC1471" s="362"/>
      <c r="AD1471" s="362"/>
      <c r="AE1471" s="362"/>
      <c r="AF1471" s="362"/>
      <c r="AG1471" s="362"/>
      <c r="AH1471" s="362"/>
      <c r="AI1471" s="360"/>
      <c r="AJ1471" s="360"/>
      <c r="AK1471" s="362"/>
      <c r="AL1471" s="362"/>
      <c r="AM1471" s="362"/>
      <c r="AN1471" s="362"/>
      <c r="AO1471" s="362"/>
      <c r="AP1471" s="362"/>
      <c r="AQ1471" s="362"/>
      <c r="AR1471" s="362"/>
    </row>
    <row r="1472" spans="1:44" ht="12" customHeight="1" x14ac:dyDescent="0.15">
      <c r="A1472" s="447"/>
      <c r="B1472" s="393"/>
      <c r="C1472" s="428"/>
      <c r="D1472" s="428"/>
      <c r="E1472" s="224"/>
      <c r="F1472" s="224"/>
      <c r="G1472" s="224"/>
      <c r="H1472" s="224"/>
      <c r="I1472" s="224"/>
      <c r="J1472" s="224"/>
      <c r="Z1472" s="362"/>
      <c r="AA1472" s="362"/>
      <c r="AB1472" s="362"/>
      <c r="AC1472" s="362"/>
      <c r="AD1472" s="362"/>
      <c r="AE1472" s="362"/>
      <c r="AF1472" s="362"/>
      <c r="AG1472" s="362"/>
      <c r="AH1472" s="362"/>
      <c r="AI1472" s="360"/>
      <c r="AJ1472" s="360"/>
      <c r="AK1472" s="362"/>
      <c r="AL1472" s="362"/>
      <c r="AM1472" s="362"/>
      <c r="AN1472" s="362"/>
      <c r="AO1472" s="362"/>
      <c r="AP1472" s="362"/>
      <c r="AQ1472" s="362"/>
      <c r="AR1472" s="362"/>
    </row>
    <row r="1473" spans="1:44" ht="12" customHeight="1" x14ac:dyDescent="0.15">
      <c r="A1473" s="447"/>
      <c r="B1473" s="393"/>
      <c r="C1473" s="428"/>
      <c r="D1473" s="428"/>
      <c r="E1473" s="224"/>
      <c r="F1473" s="224"/>
      <c r="G1473" s="224"/>
      <c r="H1473" s="224"/>
      <c r="I1473" s="224"/>
      <c r="J1473" s="224"/>
      <c r="Z1473" s="362"/>
      <c r="AA1473" s="362"/>
      <c r="AB1473" s="362"/>
      <c r="AC1473" s="362"/>
      <c r="AD1473" s="362"/>
      <c r="AE1473" s="362"/>
      <c r="AF1473" s="362"/>
      <c r="AG1473" s="362"/>
      <c r="AH1473" s="362"/>
      <c r="AI1473" s="360"/>
      <c r="AJ1473" s="360"/>
      <c r="AK1473" s="362"/>
      <c r="AL1473" s="362"/>
      <c r="AM1473" s="362"/>
      <c r="AN1473" s="362"/>
      <c r="AO1473" s="362"/>
      <c r="AP1473" s="362"/>
      <c r="AQ1473" s="362"/>
      <c r="AR1473" s="362"/>
    </row>
    <row r="1474" spans="1:44" ht="12" customHeight="1" x14ac:dyDescent="0.15">
      <c r="A1474" s="447"/>
      <c r="B1474" s="393"/>
      <c r="C1474" s="428"/>
      <c r="D1474" s="428"/>
      <c r="E1474" s="224"/>
      <c r="F1474" s="224"/>
      <c r="G1474" s="224"/>
      <c r="H1474" s="224"/>
      <c r="I1474" s="224"/>
      <c r="J1474" s="224"/>
      <c r="Z1474" s="362"/>
      <c r="AA1474" s="362"/>
      <c r="AB1474" s="362"/>
      <c r="AC1474" s="362"/>
      <c r="AD1474" s="362"/>
      <c r="AE1474" s="362"/>
      <c r="AF1474" s="362"/>
      <c r="AG1474" s="362"/>
      <c r="AH1474" s="362"/>
      <c r="AI1474" s="360"/>
      <c r="AJ1474" s="360"/>
      <c r="AK1474" s="362"/>
      <c r="AL1474" s="362"/>
      <c r="AM1474" s="362"/>
      <c r="AN1474" s="362"/>
      <c r="AO1474" s="362"/>
      <c r="AP1474" s="362"/>
      <c r="AQ1474" s="362"/>
      <c r="AR1474" s="362"/>
    </row>
    <row r="1475" spans="1:44" ht="12" customHeight="1" x14ac:dyDescent="0.15">
      <c r="A1475" s="447"/>
      <c r="B1475" s="393"/>
      <c r="C1475" s="428"/>
      <c r="D1475" s="428"/>
      <c r="E1475" s="224"/>
      <c r="F1475" s="224"/>
      <c r="G1475" s="224"/>
      <c r="H1475" s="224"/>
      <c r="I1475" s="224"/>
      <c r="J1475" s="224"/>
      <c r="Z1475" s="362"/>
      <c r="AA1475" s="362"/>
      <c r="AB1475" s="362"/>
      <c r="AC1475" s="362"/>
      <c r="AD1475" s="362"/>
      <c r="AE1475" s="362"/>
      <c r="AF1475" s="362"/>
      <c r="AG1475" s="362"/>
      <c r="AH1475" s="362"/>
      <c r="AI1475" s="360"/>
      <c r="AJ1475" s="360"/>
      <c r="AK1475" s="362"/>
      <c r="AL1475" s="362"/>
      <c r="AM1475" s="362"/>
      <c r="AN1475" s="362"/>
      <c r="AO1475" s="362"/>
      <c r="AP1475" s="362"/>
      <c r="AQ1475" s="362"/>
      <c r="AR1475" s="362"/>
    </row>
    <row r="1476" spans="1:44" ht="12" customHeight="1" x14ac:dyDescent="0.15">
      <c r="A1476" s="447"/>
      <c r="B1476" s="393"/>
      <c r="C1476" s="428"/>
      <c r="D1476" s="428"/>
      <c r="E1476" s="224"/>
      <c r="F1476" s="224"/>
      <c r="G1476" s="224"/>
      <c r="H1476" s="224"/>
      <c r="I1476" s="224"/>
      <c r="J1476" s="224"/>
      <c r="Z1476" s="362"/>
      <c r="AA1476" s="362"/>
      <c r="AB1476" s="362"/>
      <c r="AC1476" s="362"/>
      <c r="AD1476" s="362"/>
      <c r="AE1476" s="362"/>
      <c r="AF1476" s="362"/>
      <c r="AG1476" s="362"/>
      <c r="AH1476" s="362"/>
      <c r="AI1476" s="360"/>
      <c r="AJ1476" s="360"/>
      <c r="AK1476" s="362"/>
      <c r="AL1476" s="362"/>
      <c r="AM1476" s="362"/>
      <c r="AN1476" s="362"/>
      <c r="AO1476" s="362"/>
      <c r="AP1476" s="362"/>
      <c r="AQ1476" s="362"/>
      <c r="AR1476" s="362"/>
    </row>
    <row r="1477" spans="1:44" ht="12" customHeight="1" x14ac:dyDescent="0.15">
      <c r="A1477" s="447"/>
      <c r="B1477" s="393"/>
      <c r="C1477" s="428"/>
      <c r="D1477" s="428"/>
      <c r="E1477" s="224"/>
      <c r="F1477" s="224"/>
      <c r="G1477" s="224"/>
      <c r="H1477" s="224"/>
      <c r="I1477" s="224"/>
      <c r="J1477" s="224"/>
      <c r="Z1477" s="362"/>
      <c r="AA1477" s="362"/>
      <c r="AB1477" s="362"/>
      <c r="AC1477" s="362"/>
      <c r="AD1477" s="362"/>
      <c r="AE1477" s="362"/>
      <c r="AF1477" s="362"/>
      <c r="AG1477" s="362"/>
      <c r="AH1477" s="362"/>
      <c r="AI1477" s="360"/>
      <c r="AJ1477" s="360"/>
      <c r="AK1477" s="362"/>
      <c r="AL1477" s="362"/>
      <c r="AM1477" s="362"/>
      <c r="AN1477" s="362"/>
      <c r="AO1477" s="362"/>
      <c r="AP1477" s="362"/>
      <c r="AQ1477" s="362"/>
      <c r="AR1477" s="362"/>
    </row>
    <row r="1478" spans="1:44" ht="12" customHeight="1" x14ac:dyDescent="0.15">
      <c r="A1478" s="447"/>
      <c r="B1478" s="393"/>
      <c r="C1478" s="428"/>
      <c r="D1478" s="428"/>
      <c r="E1478" s="224"/>
      <c r="F1478" s="224"/>
      <c r="G1478" s="224"/>
      <c r="H1478" s="224"/>
      <c r="I1478" s="224"/>
      <c r="J1478" s="224"/>
      <c r="Z1478" s="362"/>
      <c r="AA1478" s="362"/>
      <c r="AB1478" s="362"/>
      <c r="AC1478" s="362"/>
      <c r="AD1478" s="362"/>
      <c r="AE1478" s="362"/>
      <c r="AF1478" s="362"/>
      <c r="AG1478" s="362"/>
      <c r="AH1478" s="362"/>
      <c r="AI1478" s="360"/>
      <c r="AJ1478" s="360"/>
      <c r="AK1478" s="362"/>
      <c r="AL1478" s="362"/>
      <c r="AM1478" s="362"/>
      <c r="AN1478" s="362"/>
      <c r="AO1478" s="362"/>
      <c r="AP1478" s="362"/>
      <c r="AQ1478" s="362"/>
      <c r="AR1478" s="362"/>
    </row>
    <row r="1479" spans="1:44" ht="12" customHeight="1" x14ac:dyDescent="0.15">
      <c r="A1479" s="447"/>
      <c r="B1479" s="393"/>
      <c r="C1479" s="428"/>
      <c r="D1479" s="428"/>
      <c r="E1479" s="224"/>
      <c r="F1479" s="224"/>
      <c r="G1479" s="224"/>
      <c r="H1479" s="224"/>
      <c r="I1479" s="224"/>
      <c r="J1479" s="224"/>
      <c r="Z1479" s="362"/>
      <c r="AA1479" s="362"/>
      <c r="AB1479" s="362"/>
      <c r="AC1479" s="362"/>
      <c r="AD1479" s="362"/>
      <c r="AE1479" s="362"/>
      <c r="AF1479" s="362"/>
      <c r="AG1479" s="362"/>
      <c r="AH1479" s="362"/>
      <c r="AI1479" s="360"/>
      <c r="AJ1479" s="360"/>
      <c r="AK1479" s="362"/>
      <c r="AL1479" s="362"/>
      <c r="AM1479" s="362"/>
      <c r="AN1479" s="362"/>
      <c r="AO1479" s="362"/>
      <c r="AP1479" s="362"/>
      <c r="AQ1479" s="362"/>
      <c r="AR1479" s="362"/>
    </row>
    <row r="1480" spans="1:44" ht="12" customHeight="1" x14ac:dyDescent="0.15">
      <c r="A1480" s="447"/>
      <c r="B1480" s="393"/>
      <c r="C1480" s="428"/>
      <c r="D1480" s="428"/>
      <c r="E1480" s="224"/>
      <c r="F1480" s="224"/>
      <c r="G1480" s="224"/>
      <c r="H1480" s="224"/>
      <c r="I1480" s="224"/>
      <c r="J1480" s="224"/>
      <c r="Z1480" s="362"/>
      <c r="AA1480" s="362"/>
      <c r="AB1480" s="362"/>
      <c r="AC1480" s="362"/>
      <c r="AD1480" s="362"/>
      <c r="AE1480" s="362"/>
      <c r="AF1480" s="362"/>
      <c r="AG1480" s="362"/>
      <c r="AH1480" s="362"/>
      <c r="AI1480" s="360"/>
      <c r="AJ1480" s="360"/>
      <c r="AK1480" s="362"/>
      <c r="AL1480" s="362"/>
      <c r="AM1480" s="362"/>
      <c r="AN1480" s="362"/>
      <c r="AO1480" s="362"/>
      <c r="AP1480" s="362"/>
      <c r="AQ1480" s="362"/>
      <c r="AR1480" s="362"/>
    </row>
    <row r="1481" spans="1:44" ht="12" customHeight="1" x14ac:dyDescent="0.15">
      <c r="A1481" s="447"/>
      <c r="B1481" s="393"/>
      <c r="C1481" s="428"/>
      <c r="D1481" s="428"/>
      <c r="E1481" s="224"/>
      <c r="F1481" s="224"/>
      <c r="G1481" s="224"/>
      <c r="H1481" s="224"/>
      <c r="I1481" s="224"/>
      <c r="J1481" s="224"/>
      <c r="Z1481" s="362"/>
      <c r="AA1481" s="362"/>
      <c r="AB1481" s="362"/>
      <c r="AC1481" s="362"/>
      <c r="AD1481" s="362"/>
      <c r="AE1481" s="362"/>
      <c r="AF1481" s="362"/>
      <c r="AG1481" s="362"/>
      <c r="AH1481" s="362"/>
      <c r="AI1481" s="360"/>
      <c r="AJ1481" s="360"/>
      <c r="AK1481" s="362"/>
      <c r="AL1481" s="362"/>
      <c r="AM1481" s="362"/>
      <c r="AN1481" s="362"/>
      <c r="AO1481" s="362"/>
      <c r="AP1481" s="362"/>
      <c r="AQ1481" s="362"/>
      <c r="AR1481" s="362"/>
    </row>
    <row r="1482" spans="1:44" ht="12" customHeight="1" x14ac:dyDescent="0.15">
      <c r="A1482" s="447"/>
      <c r="B1482" s="393"/>
      <c r="C1482" s="428"/>
      <c r="D1482" s="428"/>
      <c r="E1482" s="224"/>
      <c r="F1482" s="224"/>
      <c r="G1482" s="224"/>
      <c r="H1482" s="224"/>
      <c r="I1482" s="224"/>
      <c r="J1482" s="224"/>
      <c r="Z1482" s="362"/>
      <c r="AA1482" s="362"/>
      <c r="AB1482" s="362"/>
      <c r="AC1482" s="362"/>
      <c r="AD1482" s="362"/>
      <c r="AE1482" s="362"/>
      <c r="AF1482" s="362"/>
      <c r="AG1482" s="362"/>
      <c r="AH1482" s="362"/>
      <c r="AI1482" s="360"/>
      <c r="AJ1482" s="360"/>
      <c r="AK1482" s="362"/>
      <c r="AL1482" s="362"/>
      <c r="AM1482" s="362"/>
      <c r="AN1482" s="362"/>
      <c r="AO1482" s="362"/>
      <c r="AP1482" s="362"/>
      <c r="AQ1482" s="362"/>
      <c r="AR1482" s="362"/>
    </row>
    <row r="1483" spans="1:44" ht="12" customHeight="1" x14ac:dyDescent="0.15">
      <c r="A1483" s="447"/>
      <c r="B1483" s="393"/>
      <c r="C1483" s="428"/>
      <c r="D1483" s="428"/>
      <c r="E1483" s="224"/>
      <c r="F1483" s="224"/>
      <c r="G1483" s="224"/>
      <c r="H1483" s="224"/>
      <c r="I1483" s="224"/>
      <c r="J1483" s="224"/>
      <c r="Z1483" s="362"/>
      <c r="AA1483" s="362"/>
      <c r="AB1483" s="362"/>
      <c r="AC1483" s="362"/>
      <c r="AD1483" s="362"/>
      <c r="AE1483" s="362"/>
      <c r="AF1483" s="362"/>
      <c r="AG1483" s="362"/>
      <c r="AH1483" s="362"/>
      <c r="AI1483" s="360"/>
      <c r="AJ1483" s="360"/>
      <c r="AK1483" s="362"/>
      <c r="AL1483" s="362"/>
      <c r="AM1483" s="362"/>
      <c r="AN1483" s="362"/>
      <c r="AO1483" s="362"/>
      <c r="AP1483" s="362"/>
      <c r="AQ1483" s="362"/>
      <c r="AR1483" s="362"/>
    </row>
    <row r="1484" spans="1:44" ht="12" customHeight="1" x14ac:dyDescent="0.15">
      <c r="A1484" s="447"/>
      <c r="B1484" s="393"/>
      <c r="C1484" s="428"/>
      <c r="D1484" s="428"/>
      <c r="E1484" s="224"/>
      <c r="F1484" s="224"/>
      <c r="G1484" s="224"/>
      <c r="H1484" s="224"/>
      <c r="I1484" s="224"/>
      <c r="J1484" s="224"/>
      <c r="Z1484" s="362"/>
      <c r="AA1484" s="362"/>
      <c r="AB1484" s="362"/>
      <c r="AC1484" s="362"/>
      <c r="AD1484" s="362"/>
      <c r="AE1484" s="362"/>
      <c r="AF1484" s="362"/>
      <c r="AG1484" s="362"/>
      <c r="AH1484" s="362"/>
      <c r="AI1484" s="360"/>
      <c r="AJ1484" s="360"/>
      <c r="AK1484" s="362"/>
      <c r="AL1484" s="362"/>
      <c r="AM1484" s="362"/>
      <c r="AN1484" s="362"/>
      <c r="AO1484" s="362"/>
      <c r="AP1484" s="362"/>
      <c r="AQ1484" s="362"/>
      <c r="AR1484" s="362"/>
    </row>
    <row r="1485" spans="1:44" ht="12" customHeight="1" x14ac:dyDescent="0.15">
      <c r="A1485" s="447"/>
      <c r="B1485" s="393"/>
      <c r="C1485" s="428"/>
      <c r="D1485" s="428"/>
      <c r="E1485" s="224"/>
      <c r="F1485" s="224"/>
      <c r="G1485" s="224"/>
      <c r="H1485" s="224"/>
      <c r="I1485" s="224"/>
      <c r="J1485" s="224"/>
      <c r="Z1485" s="362"/>
      <c r="AA1485" s="362"/>
      <c r="AB1485" s="362"/>
      <c r="AC1485" s="362"/>
      <c r="AD1485" s="362"/>
      <c r="AE1485" s="362"/>
      <c r="AF1485" s="362"/>
      <c r="AG1485" s="362"/>
      <c r="AH1485" s="362"/>
      <c r="AI1485" s="360"/>
      <c r="AJ1485" s="360"/>
      <c r="AK1485" s="362"/>
      <c r="AL1485" s="362"/>
      <c r="AM1485" s="362"/>
      <c r="AN1485" s="362"/>
      <c r="AO1485" s="362"/>
      <c r="AP1485" s="362"/>
      <c r="AQ1485" s="362"/>
      <c r="AR1485" s="362"/>
    </row>
    <row r="1486" spans="1:44" ht="12" customHeight="1" x14ac:dyDescent="0.15">
      <c r="A1486" s="447"/>
      <c r="B1486" s="393"/>
      <c r="C1486" s="428"/>
      <c r="D1486" s="428"/>
      <c r="E1486" s="224"/>
      <c r="F1486" s="224"/>
      <c r="G1486" s="224"/>
      <c r="H1486" s="224"/>
      <c r="I1486" s="224"/>
      <c r="J1486" s="224"/>
      <c r="Z1486" s="362"/>
      <c r="AA1486" s="362"/>
      <c r="AB1486" s="362"/>
      <c r="AC1486" s="362"/>
      <c r="AD1486" s="362"/>
      <c r="AE1486" s="362"/>
      <c r="AF1486" s="362"/>
      <c r="AG1486" s="362"/>
      <c r="AH1486" s="362"/>
      <c r="AI1486" s="360"/>
      <c r="AJ1486" s="360"/>
      <c r="AK1486" s="362"/>
      <c r="AL1486" s="362"/>
      <c r="AM1486" s="362"/>
      <c r="AN1486" s="362"/>
      <c r="AO1486" s="362"/>
      <c r="AP1486" s="362"/>
      <c r="AQ1486" s="362"/>
      <c r="AR1486" s="362"/>
    </row>
    <row r="1487" spans="1:44" ht="12" customHeight="1" x14ac:dyDescent="0.15">
      <c r="A1487" s="447"/>
      <c r="B1487" s="393"/>
      <c r="C1487" s="428"/>
      <c r="D1487" s="428"/>
      <c r="E1487" s="224"/>
      <c r="F1487" s="224"/>
      <c r="G1487" s="224"/>
      <c r="H1487" s="224"/>
      <c r="I1487" s="224"/>
      <c r="J1487" s="224"/>
      <c r="Z1487" s="362"/>
      <c r="AA1487" s="362"/>
      <c r="AB1487" s="362"/>
      <c r="AC1487" s="362"/>
      <c r="AD1487" s="362"/>
      <c r="AE1487" s="362"/>
      <c r="AF1487" s="362"/>
      <c r="AG1487" s="362"/>
      <c r="AH1487" s="362"/>
      <c r="AI1487" s="360"/>
      <c r="AJ1487" s="360"/>
      <c r="AK1487" s="362"/>
      <c r="AL1487" s="362"/>
      <c r="AM1487" s="362"/>
      <c r="AN1487" s="362"/>
      <c r="AO1487" s="362"/>
      <c r="AP1487" s="362"/>
      <c r="AQ1487" s="362"/>
      <c r="AR1487" s="362"/>
    </row>
    <row r="1488" spans="1:44" ht="12" customHeight="1" x14ac:dyDescent="0.15">
      <c r="A1488" s="447"/>
      <c r="B1488" s="393"/>
      <c r="C1488" s="428"/>
      <c r="D1488" s="428"/>
      <c r="E1488" s="224"/>
      <c r="F1488" s="224"/>
      <c r="G1488" s="224"/>
      <c r="H1488" s="224"/>
      <c r="I1488" s="224"/>
      <c r="J1488" s="224"/>
      <c r="Z1488" s="362"/>
      <c r="AA1488" s="362"/>
      <c r="AB1488" s="362"/>
      <c r="AC1488" s="362"/>
      <c r="AD1488" s="362"/>
      <c r="AE1488" s="362"/>
      <c r="AF1488" s="362"/>
      <c r="AG1488" s="362"/>
      <c r="AH1488" s="362"/>
      <c r="AI1488" s="360"/>
      <c r="AJ1488" s="360"/>
      <c r="AK1488" s="362"/>
      <c r="AL1488" s="362"/>
      <c r="AM1488" s="362"/>
      <c r="AN1488" s="362"/>
      <c r="AO1488" s="362"/>
      <c r="AP1488" s="362"/>
      <c r="AQ1488" s="362"/>
      <c r="AR1488" s="362"/>
    </row>
    <row r="1489" spans="1:44" ht="12" customHeight="1" x14ac:dyDescent="0.15">
      <c r="A1489" s="447"/>
      <c r="B1489" s="393"/>
      <c r="C1489" s="428"/>
      <c r="D1489" s="428"/>
      <c r="E1489" s="224"/>
      <c r="F1489" s="224"/>
      <c r="G1489" s="224"/>
      <c r="H1489" s="224"/>
      <c r="I1489" s="224"/>
      <c r="J1489" s="224"/>
      <c r="Z1489" s="362"/>
      <c r="AA1489" s="362"/>
      <c r="AB1489" s="362"/>
      <c r="AC1489" s="362"/>
      <c r="AD1489" s="362"/>
      <c r="AE1489" s="362"/>
      <c r="AF1489" s="362"/>
      <c r="AG1489" s="362"/>
      <c r="AH1489" s="362"/>
      <c r="AI1489" s="360"/>
      <c r="AJ1489" s="360"/>
      <c r="AK1489" s="362"/>
      <c r="AL1489" s="362"/>
      <c r="AM1489" s="362"/>
      <c r="AN1489" s="362"/>
      <c r="AO1489" s="362"/>
      <c r="AP1489" s="362"/>
      <c r="AQ1489" s="362"/>
      <c r="AR1489" s="362"/>
    </row>
    <row r="1490" spans="1:44" ht="12" customHeight="1" x14ac:dyDescent="0.15">
      <c r="A1490" s="447"/>
      <c r="B1490" s="393"/>
      <c r="C1490" s="428"/>
      <c r="D1490" s="428"/>
      <c r="E1490" s="224"/>
      <c r="F1490" s="224"/>
      <c r="G1490" s="224"/>
      <c r="H1490" s="224"/>
      <c r="I1490" s="224"/>
      <c r="J1490" s="224"/>
      <c r="Z1490" s="362"/>
      <c r="AA1490" s="362"/>
      <c r="AB1490" s="362"/>
      <c r="AC1490" s="362"/>
      <c r="AD1490" s="362"/>
      <c r="AE1490" s="362"/>
      <c r="AF1490" s="362"/>
      <c r="AG1490" s="362"/>
      <c r="AH1490" s="362"/>
      <c r="AI1490" s="360"/>
      <c r="AJ1490" s="360"/>
      <c r="AK1490" s="362"/>
      <c r="AL1490" s="362"/>
      <c r="AM1490" s="362"/>
      <c r="AN1490" s="362"/>
      <c r="AO1490" s="362"/>
      <c r="AP1490" s="362"/>
      <c r="AQ1490" s="362"/>
      <c r="AR1490" s="362"/>
    </row>
    <row r="1491" spans="1:44" ht="12" customHeight="1" x14ac:dyDescent="0.15">
      <c r="A1491" s="447"/>
      <c r="B1491" s="393"/>
      <c r="C1491" s="428"/>
      <c r="D1491" s="428"/>
      <c r="E1491" s="224"/>
      <c r="F1491" s="224"/>
      <c r="G1491" s="224"/>
      <c r="H1491" s="224"/>
      <c r="I1491" s="224"/>
      <c r="J1491" s="224"/>
      <c r="Z1491" s="362"/>
      <c r="AA1491" s="362"/>
      <c r="AB1491" s="362"/>
      <c r="AC1491" s="362"/>
      <c r="AD1491" s="362"/>
      <c r="AE1491" s="362"/>
      <c r="AF1491" s="362"/>
      <c r="AG1491" s="362"/>
      <c r="AH1491" s="362"/>
      <c r="AI1491" s="360"/>
      <c r="AJ1491" s="360"/>
      <c r="AK1491" s="362"/>
      <c r="AL1491" s="362"/>
      <c r="AM1491" s="362"/>
      <c r="AN1491" s="362"/>
      <c r="AO1491" s="362"/>
      <c r="AP1491" s="362"/>
      <c r="AQ1491" s="362"/>
      <c r="AR1491" s="362"/>
    </row>
    <row r="1492" spans="1:44" ht="12" customHeight="1" x14ac:dyDescent="0.15">
      <c r="A1492" s="447"/>
      <c r="B1492" s="393"/>
      <c r="C1492" s="428"/>
      <c r="D1492" s="428"/>
      <c r="E1492" s="224"/>
      <c r="F1492" s="224"/>
      <c r="G1492" s="224"/>
      <c r="H1492" s="224"/>
      <c r="I1492" s="224"/>
      <c r="J1492" s="224"/>
      <c r="Z1492" s="362"/>
      <c r="AA1492" s="362"/>
      <c r="AB1492" s="362"/>
      <c r="AC1492" s="362"/>
      <c r="AD1492" s="362"/>
      <c r="AE1492" s="362"/>
      <c r="AF1492" s="362"/>
      <c r="AG1492" s="362"/>
      <c r="AH1492" s="362"/>
      <c r="AI1492" s="360"/>
      <c r="AJ1492" s="360"/>
      <c r="AK1492" s="362"/>
      <c r="AL1492" s="362"/>
      <c r="AM1492" s="362"/>
      <c r="AN1492" s="362"/>
      <c r="AO1492" s="362"/>
      <c r="AP1492" s="362"/>
      <c r="AQ1492" s="362"/>
      <c r="AR1492" s="362"/>
    </row>
    <row r="1493" spans="1:44" ht="12" customHeight="1" x14ac:dyDescent="0.15">
      <c r="A1493" s="447"/>
      <c r="B1493" s="393"/>
      <c r="C1493" s="428"/>
      <c r="D1493" s="428"/>
      <c r="E1493" s="224"/>
      <c r="F1493" s="224"/>
      <c r="G1493" s="224"/>
      <c r="H1493" s="224"/>
      <c r="I1493" s="224"/>
      <c r="J1493" s="224"/>
      <c r="Z1493" s="362"/>
      <c r="AA1493" s="362"/>
      <c r="AB1493" s="362"/>
      <c r="AC1493" s="362"/>
      <c r="AD1493" s="362"/>
      <c r="AE1493" s="362"/>
      <c r="AF1493" s="362"/>
      <c r="AG1493" s="362"/>
      <c r="AH1493" s="362"/>
      <c r="AI1493" s="360"/>
      <c r="AJ1493" s="360"/>
      <c r="AK1493" s="362"/>
      <c r="AL1493" s="362"/>
      <c r="AM1493" s="362"/>
      <c r="AN1493" s="362"/>
      <c r="AO1493" s="362"/>
      <c r="AP1493" s="362"/>
      <c r="AQ1493" s="362"/>
      <c r="AR1493" s="362"/>
    </row>
    <row r="1494" spans="1:44" ht="12" customHeight="1" x14ac:dyDescent="0.15">
      <c r="A1494" s="447"/>
      <c r="B1494" s="393"/>
      <c r="C1494" s="428"/>
      <c r="D1494" s="428"/>
      <c r="E1494" s="224"/>
      <c r="F1494" s="224"/>
      <c r="G1494" s="224"/>
      <c r="H1494" s="224"/>
      <c r="I1494" s="224"/>
      <c r="J1494" s="224"/>
      <c r="Z1494" s="362"/>
      <c r="AA1494" s="362"/>
      <c r="AB1494" s="362"/>
      <c r="AC1494" s="362"/>
      <c r="AD1494" s="362"/>
      <c r="AE1494" s="362"/>
      <c r="AF1494" s="362"/>
      <c r="AG1494" s="362"/>
      <c r="AH1494" s="362"/>
      <c r="AI1494" s="360"/>
      <c r="AJ1494" s="360"/>
      <c r="AK1494" s="362"/>
      <c r="AL1494" s="362"/>
      <c r="AM1494" s="362"/>
      <c r="AN1494" s="362"/>
      <c r="AO1494" s="362"/>
      <c r="AP1494" s="362"/>
      <c r="AQ1494" s="362"/>
      <c r="AR1494" s="362"/>
    </row>
    <row r="1495" spans="1:44" ht="12" customHeight="1" x14ac:dyDescent="0.15">
      <c r="A1495" s="447"/>
      <c r="B1495" s="393"/>
      <c r="C1495" s="428"/>
      <c r="D1495" s="428"/>
      <c r="E1495" s="224"/>
      <c r="F1495" s="224"/>
      <c r="G1495" s="224"/>
      <c r="H1495" s="224"/>
      <c r="I1495" s="224"/>
      <c r="J1495" s="224"/>
      <c r="Z1495" s="362"/>
      <c r="AA1495" s="362"/>
      <c r="AB1495" s="362"/>
      <c r="AC1495" s="362"/>
      <c r="AD1495" s="362"/>
      <c r="AE1495" s="362"/>
      <c r="AF1495" s="362"/>
      <c r="AG1495" s="362"/>
      <c r="AH1495" s="362"/>
      <c r="AI1495" s="360"/>
      <c r="AJ1495" s="360"/>
      <c r="AK1495" s="362"/>
      <c r="AL1495" s="362"/>
      <c r="AM1495" s="362"/>
      <c r="AN1495" s="362"/>
      <c r="AO1495" s="362"/>
      <c r="AP1495" s="362"/>
      <c r="AQ1495" s="362"/>
      <c r="AR1495" s="362"/>
    </row>
    <row r="1496" spans="1:44" ht="12" customHeight="1" x14ac:dyDescent="0.15">
      <c r="A1496" s="447"/>
      <c r="B1496" s="393"/>
      <c r="C1496" s="428"/>
      <c r="D1496" s="428"/>
      <c r="E1496" s="224"/>
      <c r="F1496" s="224"/>
      <c r="G1496" s="224"/>
      <c r="H1496" s="224"/>
      <c r="I1496" s="224"/>
      <c r="J1496" s="224"/>
      <c r="Z1496" s="362"/>
      <c r="AA1496" s="362"/>
      <c r="AB1496" s="362"/>
      <c r="AC1496" s="362"/>
      <c r="AD1496" s="362"/>
      <c r="AE1496" s="362"/>
      <c r="AF1496" s="362"/>
      <c r="AG1496" s="362"/>
      <c r="AH1496" s="362"/>
      <c r="AI1496" s="360"/>
      <c r="AJ1496" s="360"/>
      <c r="AK1496" s="362"/>
      <c r="AL1496" s="362"/>
      <c r="AM1496" s="362"/>
      <c r="AN1496" s="362"/>
      <c r="AO1496" s="362"/>
      <c r="AP1496" s="362"/>
      <c r="AQ1496" s="362"/>
      <c r="AR1496" s="362"/>
    </row>
    <row r="1497" spans="1:44" ht="12" customHeight="1" x14ac:dyDescent="0.15">
      <c r="A1497" s="447"/>
      <c r="B1497" s="393"/>
      <c r="C1497" s="428"/>
      <c r="D1497" s="428"/>
      <c r="E1497" s="224"/>
      <c r="F1497" s="224"/>
      <c r="G1497" s="224"/>
      <c r="H1497" s="224"/>
      <c r="I1497" s="224"/>
      <c r="J1497" s="224"/>
      <c r="Z1497" s="362"/>
      <c r="AA1497" s="362"/>
      <c r="AB1497" s="362"/>
      <c r="AC1497" s="362"/>
      <c r="AD1497" s="362"/>
      <c r="AE1497" s="362"/>
      <c r="AF1497" s="362"/>
      <c r="AG1497" s="362"/>
      <c r="AH1497" s="362"/>
      <c r="AI1497" s="360"/>
      <c r="AJ1497" s="360"/>
      <c r="AK1497" s="362"/>
      <c r="AL1497" s="362"/>
      <c r="AM1497" s="362"/>
      <c r="AN1497" s="362"/>
      <c r="AO1497" s="362"/>
      <c r="AP1497" s="362"/>
      <c r="AQ1497" s="362"/>
      <c r="AR1497" s="362"/>
    </row>
    <row r="1498" spans="1:44" ht="12" customHeight="1" x14ac:dyDescent="0.15">
      <c r="A1498" s="447"/>
      <c r="B1498" s="393"/>
      <c r="C1498" s="428"/>
      <c r="D1498" s="428"/>
      <c r="E1498" s="224"/>
      <c r="F1498" s="224"/>
      <c r="G1498" s="224"/>
      <c r="H1498" s="224"/>
      <c r="I1498" s="224"/>
      <c r="J1498" s="224"/>
      <c r="Z1498" s="362"/>
      <c r="AA1498" s="362"/>
      <c r="AB1498" s="362"/>
      <c r="AC1498" s="362"/>
      <c r="AD1498" s="362"/>
      <c r="AE1498" s="362"/>
      <c r="AF1498" s="362"/>
      <c r="AG1498" s="362"/>
      <c r="AH1498" s="362"/>
      <c r="AI1498" s="360"/>
      <c r="AJ1498" s="360"/>
      <c r="AK1498" s="362"/>
      <c r="AL1498" s="362"/>
      <c r="AM1498" s="362"/>
      <c r="AN1498" s="362"/>
      <c r="AO1498" s="362"/>
      <c r="AP1498" s="362"/>
      <c r="AQ1498" s="362"/>
      <c r="AR1498" s="362"/>
    </row>
    <row r="1499" spans="1:44" ht="12" customHeight="1" x14ac:dyDescent="0.15">
      <c r="A1499" s="447"/>
      <c r="B1499" s="393"/>
      <c r="C1499" s="428"/>
      <c r="D1499" s="428"/>
      <c r="E1499" s="224"/>
      <c r="F1499" s="224"/>
      <c r="G1499" s="224"/>
      <c r="H1499" s="224"/>
      <c r="I1499" s="224"/>
      <c r="J1499" s="224"/>
      <c r="Z1499" s="362"/>
      <c r="AA1499" s="362"/>
      <c r="AB1499" s="362"/>
      <c r="AC1499" s="362"/>
      <c r="AD1499" s="362"/>
      <c r="AE1499" s="362"/>
      <c r="AF1499" s="362"/>
      <c r="AG1499" s="362"/>
      <c r="AH1499" s="362"/>
      <c r="AI1499" s="360"/>
      <c r="AJ1499" s="360"/>
      <c r="AK1499" s="362"/>
      <c r="AL1499" s="362"/>
      <c r="AM1499" s="362"/>
      <c r="AN1499" s="362"/>
      <c r="AO1499" s="362"/>
      <c r="AP1499" s="362"/>
      <c r="AQ1499" s="362"/>
      <c r="AR1499" s="362"/>
    </row>
    <row r="1500" spans="1:44" ht="12" customHeight="1" x14ac:dyDescent="0.15">
      <c r="A1500" s="447"/>
      <c r="B1500" s="393"/>
      <c r="C1500" s="428"/>
      <c r="D1500" s="428"/>
      <c r="E1500" s="224"/>
      <c r="F1500" s="224"/>
      <c r="G1500" s="224"/>
      <c r="H1500" s="224"/>
      <c r="I1500" s="224"/>
      <c r="J1500" s="224"/>
      <c r="Z1500" s="362"/>
      <c r="AA1500" s="362"/>
      <c r="AB1500" s="362"/>
      <c r="AC1500" s="362"/>
      <c r="AD1500" s="362"/>
      <c r="AE1500" s="362"/>
      <c r="AF1500" s="362"/>
      <c r="AG1500" s="362"/>
      <c r="AH1500" s="362"/>
      <c r="AI1500" s="360"/>
      <c r="AJ1500" s="360"/>
      <c r="AK1500" s="362"/>
      <c r="AL1500" s="362"/>
      <c r="AM1500" s="362"/>
      <c r="AN1500" s="362"/>
      <c r="AO1500" s="362"/>
      <c r="AP1500" s="362"/>
      <c r="AQ1500" s="362"/>
      <c r="AR1500" s="362"/>
    </row>
    <row r="1501" spans="1:44" ht="12" customHeight="1" x14ac:dyDescent="0.15">
      <c r="A1501" s="447"/>
      <c r="B1501" s="393"/>
      <c r="C1501" s="428"/>
      <c r="D1501" s="428"/>
      <c r="E1501" s="224"/>
      <c r="F1501" s="224"/>
      <c r="G1501" s="224"/>
      <c r="H1501" s="224"/>
      <c r="I1501" s="224"/>
      <c r="J1501" s="224"/>
      <c r="Z1501" s="362"/>
      <c r="AA1501" s="362"/>
      <c r="AB1501" s="362"/>
      <c r="AC1501" s="362"/>
      <c r="AD1501" s="362"/>
      <c r="AE1501" s="362"/>
      <c r="AF1501" s="362"/>
      <c r="AG1501" s="362"/>
      <c r="AH1501" s="362"/>
      <c r="AI1501" s="360"/>
      <c r="AJ1501" s="360"/>
      <c r="AK1501" s="362"/>
      <c r="AL1501" s="362"/>
      <c r="AM1501" s="362"/>
      <c r="AN1501" s="362"/>
      <c r="AO1501" s="362"/>
      <c r="AP1501" s="362"/>
      <c r="AQ1501" s="362"/>
      <c r="AR1501" s="362"/>
    </row>
    <row r="1502" spans="1:44" ht="12" customHeight="1" x14ac:dyDescent="0.15">
      <c r="A1502" s="447"/>
      <c r="B1502" s="393"/>
      <c r="C1502" s="428"/>
      <c r="D1502" s="428"/>
      <c r="E1502" s="224"/>
      <c r="F1502" s="224"/>
      <c r="G1502" s="224"/>
      <c r="H1502" s="224"/>
      <c r="I1502" s="224"/>
      <c r="J1502" s="224"/>
      <c r="Z1502" s="362"/>
      <c r="AA1502" s="362"/>
      <c r="AB1502" s="362"/>
      <c r="AC1502" s="362"/>
      <c r="AD1502" s="362"/>
      <c r="AE1502" s="362"/>
      <c r="AF1502" s="362"/>
      <c r="AG1502" s="362"/>
      <c r="AH1502" s="362"/>
      <c r="AI1502" s="360"/>
      <c r="AJ1502" s="360"/>
      <c r="AK1502" s="362"/>
      <c r="AL1502" s="362"/>
      <c r="AM1502" s="362"/>
      <c r="AN1502" s="362"/>
      <c r="AO1502" s="362"/>
      <c r="AP1502" s="362"/>
      <c r="AQ1502" s="362"/>
      <c r="AR1502" s="362"/>
    </row>
    <row r="1503" spans="1:44" ht="12" customHeight="1" x14ac:dyDescent="0.15">
      <c r="A1503" s="447"/>
      <c r="B1503" s="393"/>
      <c r="C1503" s="428"/>
      <c r="D1503" s="428"/>
      <c r="E1503" s="224"/>
      <c r="F1503" s="224"/>
      <c r="G1503" s="224"/>
      <c r="H1503" s="224"/>
      <c r="I1503" s="224"/>
      <c r="J1503" s="224"/>
      <c r="Z1503" s="362"/>
      <c r="AA1503" s="362"/>
      <c r="AB1503" s="362"/>
      <c r="AC1503" s="362"/>
      <c r="AD1503" s="362"/>
      <c r="AE1503" s="362"/>
      <c r="AF1503" s="362"/>
      <c r="AG1503" s="362"/>
      <c r="AH1503" s="362"/>
      <c r="AI1503" s="360"/>
      <c r="AJ1503" s="360"/>
      <c r="AK1503" s="362"/>
      <c r="AL1503" s="362"/>
      <c r="AM1503" s="362"/>
      <c r="AN1503" s="362"/>
      <c r="AO1503" s="362"/>
      <c r="AP1503" s="362"/>
      <c r="AQ1503" s="362"/>
      <c r="AR1503" s="362"/>
    </row>
    <row r="1504" spans="1:44" ht="12" customHeight="1" x14ac:dyDescent="0.15">
      <c r="A1504" s="447"/>
      <c r="B1504" s="393"/>
      <c r="C1504" s="428"/>
      <c r="D1504" s="428"/>
      <c r="E1504" s="224"/>
      <c r="F1504" s="224"/>
      <c r="G1504" s="224"/>
      <c r="H1504" s="224"/>
      <c r="I1504" s="224"/>
      <c r="J1504" s="224"/>
      <c r="Z1504" s="362"/>
      <c r="AA1504" s="362"/>
      <c r="AB1504" s="362"/>
      <c r="AC1504" s="362"/>
      <c r="AD1504" s="362"/>
      <c r="AE1504" s="362"/>
      <c r="AF1504" s="362"/>
      <c r="AG1504" s="362"/>
      <c r="AH1504" s="362"/>
      <c r="AI1504" s="360"/>
      <c r="AJ1504" s="360"/>
      <c r="AK1504" s="362"/>
      <c r="AL1504" s="362"/>
      <c r="AM1504" s="362"/>
      <c r="AN1504" s="362"/>
      <c r="AO1504" s="362"/>
      <c r="AP1504" s="362"/>
      <c r="AQ1504" s="362"/>
      <c r="AR1504" s="362"/>
    </row>
    <row r="1505" spans="1:44" ht="12" customHeight="1" x14ac:dyDescent="0.15">
      <c r="A1505" s="447"/>
      <c r="B1505" s="393"/>
      <c r="C1505" s="428"/>
      <c r="D1505" s="428"/>
      <c r="E1505" s="224"/>
      <c r="F1505" s="224"/>
      <c r="G1505" s="224"/>
      <c r="H1505" s="224"/>
      <c r="I1505" s="224"/>
      <c r="J1505" s="224"/>
      <c r="Z1505" s="362"/>
      <c r="AA1505" s="362"/>
      <c r="AB1505" s="362"/>
      <c r="AC1505" s="362"/>
      <c r="AD1505" s="362"/>
      <c r="AE1505" s="362"/>
      <c r="AF1505" s="362"/>
      <c r="AG1505" s="362"/>
      <c r="AH1505" s="362"/>
      <c r="AI1505" s="360"/>
      <c r="AJ1505" s="360"/>
      <c r="AK1505" s="362"/>
      <c r="AL1505" s="362"/>
      <c r="AM1505" s="362"/>
      <c r="AN1505" s="362"/>
      <c r="AO1505" s="362"/>
      <c r="AP1505" s="362"/>
      <c r="AQ1505" s="362"/>
      <c r="AR1505" s="362"/>
    </row>
    <row r="1506" spans="1:44" ht="12" customHeight="1" x14ac:dyDescent="0.15">
      <c r="A1506" s="447"/>
      <c r="B1506" s="393"/>
      <c r="C1506" s="428"/>
      <c r="D1506" s="428"/>
      <c r="E1506" s="224"/>
      <c r="F1506" s="224"/>
      <c r="G1506" s="224"/>
      <c r="H1506" s="224"/>
      <c r="I1506" s="224"/>
      <c r="J1506" s="224"/>
      <c r="Z1506" s="362"/>
      <c r="AA1506" s="362"/>
      <c r="AB1506" s="362"/>
      <c r="AC1506" s="362"/>
      <c r="AD1506" s="362"/>
      <c r="AE1506" s="362"/>
      <c r="AF1506" s="362"/>
      <c r="AG1506" s="362"/>
      <c r="AH1506" s="362"/>
      <c r="AI1506" s="360"/>
      <c r="AJ1506" s="360"/>
      <c r="AK1506" s="362"/>
      <c r="AL1506" s="362"/>
      <c r="AM1506" s="362"/>
      <c r="AN1506" s="362"/>
      <c r="AO1506" s="362"/>
      <c r="AP1506" s="362"/>
      <c r="AQ1506" s="362"/>
      <c r="AR1506" s="362"/>
    </row>
    <row r="1507" spans="1:44" ht="12" customHeight="1" x14ac:dyDescent="0.15">
      <c r="A1507" s="447"/>
      <c r="B1507" s="393"/>
      <c r="C1507" s="428"/>
      <c r="D1507" s="428"/>
      <c r="E1507" s="224"/>
      <c r="F1507" s="224"/>
      <c r="G1507" s="224"/>
      <c r="H1507" s="224"/>
      <c r="I1507" s="224"/>
      <c r="J1507" s="224"/>
      <c r="Z1507" s="362"/>
      <c r="AA1507" s="362"/>
      <c r="AB1507" s="362"/>
      <c r="AC1507" s="362"/>
      <c r="AD1507" s="362"/>
      <c r="AE1507" s="362"/>
      <c r="AF1507" s="362"/>
      <c r="AG1507" s="362"/>
      <c r="AH1507" s="362"/>
      <c r="AI1507" s="360"/>
      <c r="AJ1507" s="360"/>
      <c r="AK1507" s="362"/>
      <c r="AL1507" s="362"/>
      <c r="AM1507" s="362"/>
      <c r="AN1507" s="362"/>
      <c r="AO1507" s="362"/>
      <c r="AP1507" s="362"/>
      <c r="AQ1507" s="362"/>
      <c r="AR1507" s="362"/>
    </row>
    <row r="1508" spans="1:44" ht="12" customHeight="1" x14ac:dyDescent="0.15">
      <c r="A1508" s="447"/>
      <c r="B1508" s="393"/>
      <c r="C1508" s="428"/>
      <c r="D1508" s="428"/>
      <c r="E1508" s="224"/>
      <c r="F1508" s="224"/>
      <c r="G1508" s="224"/>
      <c r="H1508" s="224"/>
      <c r="I1508" s="224"/>
      <c r="J1508" s="224"/>
      <c r="Z1508" s="362"/>
      <c r="AA1508" s="362"/>
      <c r="AB1508" s="362"/>
      <c r="AC1508" s="362"/>
      <c r="AD1508" s="362"/>
      <c r="AE1508" s="362"/>
      <c r="AF1508" s="362"/>
      <c r="AG1508" s="362"/>
      <c r="AH1508" s="362"/>
      <c r="AI1508" s="360"/>
      <c r="AJ1508" s="360"/>
      <c r="AK1508" s="362"/>
      <c r="AL1508" s="362"/>
      <c r="AM1508" s="362"/>
      <c r="AN1508" s="362"/>
      <c r="AO1508" s="362"/>
      <c r="AP1508" s="362"/>
      <c r="AQ1508" s="362"/>
      <c r="AR1508" s="362"/>
    </row>
    <row r="1509" spans="1:44" ht="12" customHeight="1" x14ac:dyDescent="0.15">
      <c r="A1509" s="447"/>
      <c r="B1509" s="393"/>
      <c r="C1509" s="428"/>
      <c r="D1509" s="428"/>
      <c r="E1509" s="224"/>
      <c r="F1509" s="224"/>
      <c r="G1509" s="224"/>
      <c r="H1509" s="224"/>
      <c r="I1509" s="224"/>
      <c r="J1509" s="224"/>
      <c r="Z1509" s="362"/>
      <c r="AA1509" s="362"/>
      <c r="AB1509" s="362"/>
      <c r="AC1509" s="362"/>
      <c r="AD1509" s="362"/>
      <c r="AE1509" s="362"/>
      <c r="AF1509" s="362"/>
      <c r="AG1509" s="362"/>
      <c r="AH1509" s="362"/>
      <c r="AI1509" s="360"/>
      <c r="AJ1509" s="360"/>
      <c r="AK1509" s="362"/>
      <c r="AL1509" s="362"/>
      <c r="AM1509" s="362"/>
      <c r="AN1509" s="362"/>
      <c r="AO1509" s="362"/>
      <c r="AP1509" s="362"/>
      <c r="AQ1509" s="362"/>
      <c r="AR1509" s="362"/>
    </row>
    <row r="1510" spans="1:44" ht="12" customHeight="1" x14ac:dyDescent="0.15">
      <c r="A1510" s="447"/>
      <c r="B1510" s="393"/>
      <c r="C1510" s="428"/>
      <c r="D1510" s="428"/>
      <c r="E1510" s="224"/>
      <c r="F1510" s="224"/>
      <c r="G1510" s="224"/>
      <c r="H1510" s="224"/>
      <c r="I1510" s="224"/>
      <c r="J1510" s="224"/>
      <c r="Z1510" s="362"/>
      <c r="AA1510" s="362"/>
      <c r="AB1510" s="362"/>
      <c r="AC1510" s="362"/>
      <c r="AD1510" s="362"/>
      <c r="AE1510" s="362"/>
      <c r="AF1510" s="362"/>
      <c r="AG1510" s="362"/>
      <c r="AH1510" s="362"/>
      <c r="AI1510" s="360"/>
      <c r="AJ1510" s="360"/>
      <c r="AK1510" s="362"/>
      <c r="AL1510" s="362"/>
      <c r="AM1510" s="362"/>
      <c r="AN1510" s="362"/>
      <c r="AO1510" s="362"/>
      <c r="AP1510" s="362"/>
      <c r="AQ1510" s="362"/>
      <c r="AR1510" s="362"/>
    </row>
    <row r="1511" spans="1:44" ht="12" customHeight="1" x14ac:dyDescent="0.15">
      <c r="A1511" s="447"/>
      <c r="B1511" s="393"/>
      <c r="C1511" s="428"/>
      <c r="D1511" s="428"/>
      <c r="E1511" s="224"/>
      <c r="F1511" s="224"/>
      <c r="G1511" s="224"/>
      <c r="H1511" s="224"/>
      <c r="I1511" s="224"/>
      <c r="J1511" s="224"/>
      <c r="Z1511" s="362"/>
      <c r="AA1511" s="362"/>
      <c r="AB1511" s="362"/>
      <c r="AC1511" s="362"/>
      <c r="AD1511" s="362"/>
      <c r="AE1511" s="362"/>
      <c r="AF1511" s="362"/>
      <c r="AG1511" s="362"/>
      <c r="AH1511" s="362"/>
      <c r="AI1511" s="360"/>
      <c r="AJ1511" s="360"/>
      <c r="AK1511" s="362"/>
      <c r="AL1511" s="362"/>
      <c r="AM1511" s="362"/>
      <c r="AN1511" s="362"/>
      <c r="AO1511" s="362"/>
      <c r="AP1511" s="362"/>
      <c r="AQ1511" s="362"/>
      <c r="AR1511" s="362"/>
    </row>
    <row r="1512" spans="1:44" ht="12" customHeight="1" x14ac:dyDescent="0.15">
      <c r="A1512" s="447"/>
      <c r="B1512" s="393"/>
      <c r="C1512" s="428"/>
      <c r="D1512" s="428"/>
      <c r="E1512" s="224"/>
      <c r="F1512" s="224"/>
      <c r="G1512" s="224"/>
      <c r="H1512" s="224"/>
      <c r="I1512" s="224"/>
      <c r="J1512" s="224"/>
      <c r="Z1512" s="362"/>
      <c r="AA1512" s="362"/>
      <c r="AB1512" s="362"/>
      <c r="AC1512" s="362"/>
      <c r="AD1512" s="362"/>
      <c r="AE1512" s="362"/>
      <c r="AF1512" s="362"/>
      <c r="AG1512" s="362"/>
      <c r="AH1512" s="362"/>
      <c r="AI1512" s="360"/>
      <c r="AJ1512" s="360"/>
      <c r="AK1512" s="362"/>
      <c r="AL1512" s="362"/>
      <c r="AM1512" s="362"/>
      <c r="AN1512" s="362"/>
      <c r="AO1512" s="362"/>
      <c r="AP1512" s="362"/>
      <c r="AQ1512" s="362"/>
      <c r="AR1512" s="362"/>
    </row>
    <row r="1513" spans="1:44" ht="12" customHeight="1" x14ac:dyDescent="0.15">
      <c r="A1513" s="447"/>
      <c r="B1513" s="393"/>
      <c r="C1513" s="428"/>
      <c r="D1513" s="428"/>
      <c r="E1513" s="224"/>
      <c r="F1513" s="224"/>
      <c r="G1513" s="224"/>
      <c r="H1513" s="224"/>
      <c r="I1513" s="224"/>
      <c r="J1513" s="224"/>
      <c r="Z1513" s="362"/>
      <c r="AA1513" s="362"/>
      <c r="AB1513" s="362"/>
      <c r="AC1513" s="362"/>
      <c r="AD1513" s="362"/>
      <c r="AE1513" s="362"/>
      <c r="AF1513" s="362"/>
      <c r="AG1513" s="362"/>
      <c r="AH1513" s="362"/>
      <c r="AI1513" s="360"/>
      <c r="AJ1513" s="360"/>
      <c r="AK1513" s="362"/>
      <c r="AL1513" s="362"/>
      <c r="AM1513" s="362"/>
      <c r="AN1513" s="362"/>
      <c r="AO1513" s="362"/>
      <c r="AP1513" s="362"/>
      <c r="AQ1513" s="362"/>
      <c r="AR1513" s="362"/>
    </row>
    <row r="1514" spans="1:44" ht="12" customHeight="1" x14ac:dyDescent="0.15">
      <c r="A1514" s="447"/>
      <c r="B1514" s="393"/>
      <c r="C1514" s="428"/>
      <c r="D1514" s="428"/>
      <c r="E1514" s="224"/>
      <c r="F1514" s="224"/>
      <c r="G1514" s="224"/>
      <c r="H1514" s="224"/>
      <c r="I1514" s="224"/>
      <c r="J1514" s="224"/>
      <c r="Z1514" s="362"/>
      <c r="AA1514" s="362"/>
      <c r="AB1514" s="362"/>
      <c r="AC1514" s="362"/>
      <c r="AD1514" s="362"/>
      <c r="AE1514" s="362"/>
      <c r="AF1514" s="362"/>
      <c r="AG1514" s="362"/>
      <c r="AH1514" s="362"/>
      <c r="AI1514" s="360"/>
      <c r="AJ1514" s="360"/>
      <c r="AK1514" s="362"/>
      <c r="AL1514" s="362"/>
      <c r="AM1514" s="362"/>
      <c r="AN1514" s="362"/>
      <c r="AO1514" s="362"/>
      <c r="AP1514" s="362"/>
      <c r="AQ1514" s="362"/>
      <c r="AR1514" s="362"/>
    </row>
    <row r="1515" spans="1:44" ht="12" customHeight="1" x14ac:dyDescent="0.15">
      <c r="A1515" s="447"/>
      <c r="B1515" s="393"/>
      <c r="C1515" s="428"/>
      <c r="D1515" s="428"/>
      <c r="E1515" s="224"/>
      <c r="F1515" s="224"/>
      <c r="G1515" s="224"/>
      <c r="H1515" s="224"/>
      <c r="I1515" s="224"/>
      <c r="J1515" s="224"/>
      <c r="Z1515" s="362"/>
      <c r="AA1515" s="362"/>
      <c r="AB1515" s="362"/>
      <c r="AC1515" s="362"/>
      <c r="AD1515" s="362"/>
      <c r="AE1515" s="362"/>
      <c r="AF1515" s="362"/>
      <c r="AG1515" s="362"/>
      <c r="AH1515" s="362"/>
      <c r="AI1515" s="360"/>
      <c r="AJ1515" s="360"/>
      <c r="AK1515" s="362"/>
      <c r="AL1515" s="362"/>
      <c r="AM1515" s="362"/>
      <c r="AN1515" s="362"/>
      <c r="AO1515" s="362"/>
      <c r="AP1515" s="362"/>
      <c r="AQ1515" s="362"/>
      <c r="AR1515" s="362"/>
    </row>
    <row r="1516" spans="1:44" ht="12" customHeight="1" x14ac:dyDescent="0.15">
      <c r="A1516" s="447"/>
      <c r="B1516" s="393"/>
      <c r="C1516" s="428"/>
      <c r="D1516" s="428"/>
      <c r="E1516" s="224"/>
      <c r="F1516" s="224"/>
      <c r="G1516" s="224"/>
      <c r="H1516" s="224"/>
      <c r="I1516" s="224"/>
      <c r="J1516" s="224"/>
      <c r="Z1516" s="362"/>
      <c r="AA1516" s="362"/>
      <c r="AB1516" s="362"/>
      <c r="AC1516" s="362"/>
      <c r="AD1516" s="362"/>
      <c r="AE1516" s="362"/>
      <c r="AF1516" s="362"/>
      <c r="AG1516" s="362"/>
      <c r="AH1516" s="362"/>
      <c r="AI1516" s="360"/>
      <c r="AJ1516" s="360"/>
      <c r="AK1516" s="362"/>
      <c r="AL1516" s="362"/>
      <c r="AM1516" s="362"/>
      <c r="AN1516" s="362"/>
      <c r="AO1516" s="362"/>
      <c r="AP1516" s="362"/>
      <c r="AQ1516" s="362"/>
      <c r="AR1516" s="362"/>
    </row>
    <row r="1517" spans="1:44" ht="12" customHeight="1" x14ac:dyDescent="0.15">
      <c r="A1517" s="447"/>
      <c r="B1517" s="393"/>
      <c r="C1517" s="428"/>
      <c r="D1517" s="428"/>
      <c r="E1517" s="224"/>
      <c r="F1517" s="224"/>
      <c r="G1517" s="224"/>
      <c r="H1517" s="224"/>
      <c r="I1517" s="224"/>
      <c r="J1517" s="224"/>
      <c r="Z1517" s="362"/>
      <c r="AA1517" s="362"/>
      <c r="AB1517" s="362"/>
      <c r="AC1517" s="362"/>
      <c r="AD1517" s="362"/>
      <c r="AE1517" s="362"/>
      <c r="AF1517" s="362"/>
      <c r="AG1517" s="362"/>
      <c r="AH1517" s="362"/>
      <c r="AI1517" s="360"/>
      <c r="AJ1517" s="360"/>
      <c r="AK1517" s="362"/>
      <c r="AL1517" s="362"/>
      <c r="AM1517" s="362"/>
      <c r="AN1517" s="362"/>
      <c r="AO1517" s="362"/>
      <c r="AP1517" s="362"/>
      <c r="AQ1517" s="362"/>
      <c r="AR1517" s="362"/>
    </row>
    <row r="1518" spans="1:44" ht="12" customHeight="1" x14ac:dyDescent="0.15">
      <c r="A1518" s="447"/>
      <c r="B1518" s="393"/>
      <c r="C1518" s="428"/>
      <c r="D1518" s="428"/>
      <c r="E1518" s="224"/>
      <c r="F1518" s="224"/>
      <c r="G1518" s="224"/>
      <c r="H1518" s="224"/>
      <c r="I1518" s="224"/>
      <c r="J1518" s="224"/>
      <c r="Z1518" s="362"/>
      <c r="AA1518" s="362"/>
      <c r="AB1518" s="362"/>
      <c r="AC1518" s="362"/>
      <c r="AD1518" s="362"/>
      <c r="AE1518" s="362"/>
      <c r="AF1518" s="362"/>
      <c r="AG1518" s="362"/>
      <c r="AH1518" s="362"/>
      <c r="AI1518" s="360"/>
      <c r="AJ1518" s="360"/>
      <c r="AK1518" s="362"/>
      <c r="AL1518" s="362"/>
      <c r="AM1518" s="362"/>
      <c r="AN1518" s="362"/>
      <c r="AO1518" s="362"/>
      <c r="AP1518" s="362"/>
      <c r="AQ1518" s="362"/>
      <c r="AR1518" s="362"/>
    </row>
    <row r="1519" spans="1:44" ht="12" customHeight="1" x14ac:dyDescent="0.15">
      <c r="A1519" s="447"/>
      <c r="B1519" s="393"/>
      <c r="C1519" s="428"/>
      <c r="D1519" s="428"/>
      <c r="E1519" s="224"/>
      <c r="F1519" s="224"/>
      <c r="G1519" s="224"/>
      <c r="H1519" s="224"/>
      <c r="I1519" s="224"/>
      <c r="J1519" s="224"/>
      <c r="Z1519" s="362"/>
      <c r="AA1519" s="362"/>
      <c r="AB1519" s="362"/>
      <c r="AC1519" s="362"/>
      <c r="AD1519" s="362"/>
      <c r="AE1519" s="362"/>
      <c r="AF1519" s="362"/>
      <c r="AG1519" s="362"/>
      <c r="AH1519" s="362"/>
      <c r="AI1519" s="360"/>
      <c r="AJ1519" s="360"/>
      <c r="AK1519" s="362"/>
      <c r="AL1519" s="362"/>
      <c r="AM1519" s="362"/>
      <c r="AN1519" s="362"/>
      <c r="AO1519" s="362"/>
      <c r="AP1519" s="362"/>
      <c r="AQ1519" s="362"/>
      <c r="AR1519" s="362"/>
    </row>
    <row r="1520" spans="1:44" ht="12" customHeight="1" x14ac:dyDescent="0.15">
      <c r="A1520" s="447"/>
      <c r="B1520" s="393"/>
      <c r="C1520" s="428"/>
      <c r="D1520" s="428"/>
      <c r="E1520" s="224"/>
      <c r="F1520" s="224"/>
      <c r="G1520" s="224"/>
      <c r="H1520" s="224"/>
      <c r="I1520" s="224"/>
      <c r="J1520" s="224"/>
      <c r="Z1520" s="362"/>
      <c r="AA1520" s="362"/>
      <c r="AB1520" s="362"/>
      <c r="AC1520" s="362"/>
      <c r="AD1520" s="362"/>
      <c r="AE1520" s="362"/>
      <c r="AF1520" s="362"/>
      <c r="AG1520" s="362"/>
      <c r="AH1520" s="362"/>
      <c r="AI1520" s="360"/>
      <c r="AJ1520" s="360"/>
      <c r="AK1520" s="362"/>
      <c r="AL1520" s="362"/>
      <c r="AM1520" s="362"/>
      <c r="AN1520" s="362"/>
      <c r="AO1520" s="362"/>
      <c r="AP1520" s="362"/>
      <c r="AQ1520" s="362"/>
      <c r="AR1520" s="362"/>
    </row>
    <row r="1521" spans="1:44" ht="12" customHeight="1" x14ac:dyDescent="0.15">
      <c r="A1521" s="447"/>
      <c r="B1521" s="393"/>
      <c r="C1521" s="428"/>
      <c r="D1521" s="428"/>
      <c r="E1521" s="224"/>
      <c r="F1521" s="224"/>
      <c r="G1521" s="224"/>
      <c r="H1521" s="224"/>
      <c r="I1521" s="224"/>
      <c r="J1521" s="224"/>
      <c r="Z1521" s="362"/>
      <c r="AA1521" s="362"/>
      <c r="AB1521" s="362"/>
      <c r="AC1521" s="362"/>
      <c r="AD1521" s="362"/>
      <c r="AE1521" s="362"/>
      <c r="AF1521" s="362"/>
      <c r="AG1521" s="362"/>
      <c r="AH1521" s="362"/>
      <c r="AI1521" s="360"/>
      <c r="AJ1521" s="360"/>
      <c r="AK1521" s="362"/>
      <c r="AL1521" s="362"/>
      <c r="AM1521" s="362"/>
      <c r="AN1521" s="362"/>
      <c r="AO1521" s="362"/>
      <c r="AP1521" s="362"/>
      <c r="AQ1521" s="362"/>
      <c r="AR1521" s="362"/>
    </row>
    <row r="1522" spans="1:44" ht="12" customHeight="1" x14ac:dyDescent="0.15">
      <c r="A1522" s="447"/>
      <c r="B1522" s="393"/>
      <c r="C1522" s="428"/>
      <c r="D1522" s="428"/>
      <c r="E1522" s="224"/>
      <c r="F1522" s="224"/>
      <c r="G1522" s="224"/>
      <c r="H1522" s="224"/>
      <c r="I1522" s="224"/>
      <c r="J1522" s="224"/>
      <c r="Z1522" s="362"/>
      <c r="AA1522" s="362"/>
      <c r="AB1522" s="362"/>
      <c r="AC1522" s="362"/>
      <c r="AD1522" s="362"/>
      <c r="AE1522" s="362"/>
      <c r="AF1522" s="362"/>
      <c r="AG1522" s="362"/>
      <c r="AH1522" s="362"/>
      <c r="AI1522" s="360"/>
      <c r="AJ1522" s="360"/>
      <c r="AK1522" s="362"/>
      <c r="AL1522" s="362"/>
      <c r="AM1522" s="362"/>
      <c r="AN1522" s="362"/>
      <c r="AO1522" s="362"/>
      <c r="AP1522" s="362"/>
      <c r="AQ1522" s="362"/>
      <c r="AR1522" s="362"/>
    </row>
    <row r="1523" spans="1:44" ht="12" customHeight="1" x14ac:dyDescent="0.15">
      <c r="A1523" s="447"/>
      <c r="B1523" s="393"/>
      <c r="C1523" s="428"/>
      <c r="D1523" s="428"/>
      <c r="E1523" s="224"/>
      <c r="F1523" s="224"/>
      <c r="G1523" s="224"/>
      <c r="H1523" s="224"/>
      <c r="I1523" s="224"/>
      <c r="J1523" s="224"/>
      <c r="Z1523" s="362"/>
      <c r="AA1523" s="362"/>
      <c r="AB1523" s="362"/>
      <c r="AC1523" s="362"/>
      <c r="AD1523" s="362"/>
      <c r="AE1523" s="362"/>
      <c r="AF1523" s="362"/>
      <c r="AG1523" s="362"/>
      <c r="AH1523" s="362"/>
      <c r="AI1523" s="360"/>
      <c r="AJ1523" s="360"/>
      <c r="AK1523" s="362"/>
      <c r="AL1523" s="362"/>
      <c r="AM1523" s="362"/>
      <c r="AN1523" s="362"/>
      <c r="AO1523" s="362"/>
      <c r="AP1523" s="362"/>
      <c r="AQ1523" s="362"/>
      <c r="AR1523" s="362"/>
    </row>
    <row r="1524" spans="1:44" ht="12" customHeight="1" x14ac:dyDescent="0.15">
      <c r="A1524" s="447"/>
      <c r="B1524" s="393"/>
      <c r="C1524" s="428"/>
      <c r="D1524" s="428"/>
      <c r="E1524" s="224"/>
      <c r="F1524" s="224"/>
      <c r="G1524" s="224"/>
      <c r="H1524" s="224"/>
      <c r="I1524" s="224"/>
      <c r="J1524" s="224"/>
      <c r="Z1524" s="362"/>
      <c r="AA1524" s="362"/>
      <c r="AB1524" s="362"/>
      <c r="AC1524" s="362"/>
      <c r="AD1524" s="362"/>
      <c r="AE1524" s="362"/>
      <c r="AF1524" s="362"/>
      <c r="AG1524" s="362"/>
      <c r="AH1524" s="362"/>
      <c r="AI1524" s="360"/>
      <c r="AJ1524" s="360"/>
      <c r="AK1524" s="362"/>
      <c r="AL1524" s="362"/>
      <c r="AM1524" s="362"/>
      <c r="AN1524" s="362"/>
      <c r="AO1524" s="362"/>
      <c r="AP1524" s="362"/>
      <c r="AQ1524" s="362"/>
      <c r="AR1524" s="362"/>
    </row>
    <row r="1525" spans="1:44" ht="12" customHeight="1" x14ac:dyDescent="0.15">
      <c r="A1525" s="447"/>
      <c r="B1525" s="393"/>
      <c r="C1525" s="428"/>
      <c r="D1525" s="428"/>
      <c r="E1525" s="224"/>
      <c r="F1525" s="224"/>
      <c r="G1525" s="224"/>
      <c r="H1525" s="224"/>
      <c r="I1525" s="224"/>
      <c r="J1525" s="224"/>
      <c r="Z1525" s="362"/>
      <c r="AA1525" s="362"/>
      <c r="AB1525" s="362"/>
      <c r="AC1525" s="362"/>
      <c r="AD1525" s="362"/>
      <c r="AE1525" s="362"/>
      <c r="AF1525" s="362"/>
      <c r="AG1525" s="362"/>
      <c r="AH1525" s="362"/>
      <c r="AI1525" s="360"/>
      <c r="AJ1525" s="360"/>
      <c r="AK1525" s="362"/>
      <c r="AL1525" s="362"/>
      <c r="AM1525" s="362"/>
      <c r="AN1525" s="362"/>
      <c r="AO1525" s="362"/>
      <c r="AP1525" s="362"/>
      <c r="AQ1525" s="362"/>
      <c r="AR1525" s="362"/>
    </row>
    <row r="1526" spans="1:44" ht="12" customHeight="1" x14ac:dyDescent="0.15">
      <c r="A1526" s="447"/>
      <c r="B1526" s="393"/>
      <c r="C1526" s="428"/>
      <c r="D1526" s="428"/>
      <c r="E1526" s="224"/>
      <c r="F1526" s="224"/>
      <c r="G1526" s="224"/>
      <c r="H1526" s="224"/>
      <c r="I1526" s="224"/>
      <c r="J1526" s="224"/>
      <c r="Z1526" s="362"/>
      <c r="AA1526" s="362"/>
      <c r="AB1526" s="362"/>
      <c r="AC1526" s="362"/>
      <c r="AD1526" s="362"/>
      <c r="AE1526" s="362"/>
      <c r="AF1526" s="362"/>
      <c r="AG1526" s="362"/>
      <c r="AH1526" s="362"/>
      <c r="AI1526" s="360"/>
      <c r="AJ1526" s="360"/>
      <c r="AK1526" s="362"/>
      <c r="AL1526" s="362"/>
      <c r="AM1526" s="362"/>
      <c r="AN1526" s="362"/>
      <c r="AO1526" s="362"/>
      <c r="AP1526" s="362"/>
      <c r="AQ1526" s="362"/>
      <c r="AR1526" s="362"/>
    </row>
    <row r="1527" spans="1:44" ht="12" customHeight="1" x14ac:dyDescent="0.15">
      <c r="A1527" s="447"/>
      <c r="B1527" s="393"/>
      <c r="C1527" s="428"/>
      <c r="D1527" s="428"/>
      <c r="E1527" s="224"/>
      <c r="F1527" s="224"/>
      <c r="G1527" s="224"/>
      <c r="H1527" s="224"/>
      <c r="I1527" s="224"/>
      <c r="J1527" s="224"/>
      <c r="Z1527" s="362"/>
      <c r="AA1527" s="362"/>
      <c r="AB1527" s="362"/>
      <c r="AC1527" s="362"/>
      <c r="AD1527" s="362"/>
      <c r="AE1527" s="362"/>
      <c r="AF1527" s="362"/>
      <c r="AG1527" s="362"/>
      <c r="AH1527" s="362"/>
      <c r="AI1527" s="360"/>
      <c r="AJ1527" s="360"/>
      <c r="AK1527" s="362"/>
      <c r="AL1527" s="362"/>
      <c r="AM1527" s="362"/>
      <c r="AN1527" s="362"/>
      <c r="AO1527" s="362"/>
      <c r="AP1527" s="362"/>
      <c r="AQ1527" s="362"/>
      <c r="AR1527" s="362"/>
    </row>
    <row r="1528" spans="1:44" ht="12" customHeight="1" x14ac:dyDescent="0.15">
      <c r="A1528" s="447"/>
      <c r="B1528" s="393"/>
      <c r="C1528" s="428"/>
      <c r="D1528" s="428"/>
      <c r="E1528" s="224"/>
      <c r="F1528" s="224"/>
      <c r="G1528" s="224"/>
      <c r="H1528" s="224"/>
      <c r="I1528" s="224"/>
      <c r="J1528" s="224"/>
      <c r="Z1528" s="362"/>
      <c r="AA1528" s="362"/>
      <c r="AB1528" s="362"/>
      <c r="AC1528" s="362"/>
      <c r="AD1528" s="362"/>
      <c r="AE1528" s="362"/>
      <c r="AF1528" s="362"/>
      <c r="AG1528" s="362"/>
      <c r="AH1528" s="362"/>
      <c r="AI1528" s="360"/>
      <c r="AJ1528" s="360"/>
      <c r="AK1528" s="362"/>
      <c r="AL1528" s="362"/>
      <c r="AM1528" s="362"/>
      <c r="AN1528" s="362"/>
      <c r="AO1528" s="362"/>
      <c r="AP1528" s="362"/>
      <c r="AQ1528" s="362"/>
      <c r="AR1528" s="362"/>
    </row>
    <row r="1529" spans="1:44" ht="12" customHeight="1" x14ac:dyDescent="0.15">
      <c r="A1529" s="447"/>
      <c r="B1529" s="393"/>
      <c r="C1529" s="428"/>
      <c r="D1529" s="428"/>
      <c r="E1529" s="224"/>
      <c r="F1529" s="224"/>
      <c r="G1529" s="224"/>
      <c r="H1529" s="224"/>
      <c r="I1529" s="224"/>
      <c r="J1529" s="224"/>
      <c r="Z1529" s="362"/>
      <c r="AA1529" s="362"/>
      <c r="AB1529" s="362"/>
      <c r="AC1529" s="362"/>
      <c r="AD1529" s="362"/>
      <c r="AE1529" s="362"/>
      <c r="AF1529" s="362"/>
      <c r="AG1529" s="362"/>
      <c r="AH1529" s="362"/>
      <c r="AI1529" s="360"/>
      <c r="AJ1529" s="360"/>
      <c r="AK1529" s="362"/>
      <c r="AL1529" s="362"/>
      <c r="AM1529" s="362"/>
      <c r="AN1529" s="362"/>
      <c r="AO1529" s="362"/>
      <c r="AP1529" s="362"/>
      <c r="AQ1529" s="362"/>
      <c r="AR1529" s="362"/>
    </row>
    <row r="1530" spans="1:44" ht="12" customHeight="1" x14ac:dyDescent="0.15">
      <c r="A1530" s="447"/>
      <c r="B1530" s="393"/>
      <c r="C1530" s="428"/>
      <c r="D1530" s="428"/>
      <c r="E1530" s="224"/>
      <c r="F1530" s="224"/>
      <c r="G1530" s="224"/>
      <c r="H1530" s="224"/>
      <c r="I1530" s="224"/>
      <c r="J1530" s="224"/>
      <c r="Z1530" s="362"/>
      <c r="AA1530" s="362"/>
      <c r="AB1530" s="362"/>
      <c r="AC1530" s="362"/>
      <c r="AD1530" s="362"/>
      <c r="AE1530" s="362"/>
      <c r="AF1530" s="362"/>
      <c r="AG1530" s="362"/>
      <c r="AH1530" s="362"/>
      <c r="AI1530" s="360"/>
      <c r="AJ1530" s="360"/>
      <c r="AK1530" s="362"/>
      <c r="AL1530" s="362"/>
      <c r="AM1530" s="362"/>
      <c r="AN1530" s="362"/>
      <c r="AO1530" s="362"/>
      <c r="AP1530" s="362"/>
      <c r="AQ1530" s="362"/>
      <c r="AR1530" s="362"/>
    </row>
    <row r="1531" spans="1:44" ht="12" customHeight="1" x14ac:dyDescent="0.15">
      <c r="A1531" s="447"/>
      <c r="B1531" s="393"/>
      <c r="C1531" s="428"/>
      <c r="D1531" s="428"/>
      <c r="E1531" s="224"/>
      <c r="F1531" s="224"/>
      <c r="G1531" s="224"/>
      <c r="H1531" s="224"/>
      <c r="I1531" s="224"/>
      <c r="J1531" s="224"/>
      <c r="Z1531" s="362"/>
      <c r="AA1531" s="362"/>
      <c r="AB1531" s="362"/>
      <c r="AC1531" s="362"/>
      <c r="AD1531" s="362"/>
      <c r="AE1531" s="362"/>
      <c r="AF1531" s="362"/>
      <c r="AG1531" s="362"/>
      <c r="AH1531" s="362"/>
      <c r="AI1531" s="360"/>
      <c r="AJ1531" s="360"/>
      <c r="AK1531" s="362"/>
      <c r="AL1531" s="362"/>
      <c r="AM1531" s="362"/>
      <c r="AN1531" s="362"/>
      <c r="AO1531" s="362"/>
      <c r="AP1531" s="362"/>
      <c r="AQ1531" s="362"/>
      <c r="AR1531" s="362"/>
    </row>
    <row r="1532" spans="1:44" ht="12" customHeight="1" x14ac:dyDescent="0.15">
      <c r="A1532" s="447"/>
      <c r="B1532" s="393"/>
      <c r="C1532" s="428"/>
      <c r="D1532" s="428"/>
      <c r="E1532" s="224"/>
      <c r="F1532" s="224"/>
      <c r="G1532" s="224"/>
      <c r="H1532" s="224"/>
      <c r="I1532" s="224"/>
      <c r="J1532" s="224"/>
      <c r="Z1532" s="362"/>
      <c r="AA1532" s="362"/>
      <c r="AB1532" s="362"/>
      <c r="AC1532" s="362"/>
      <c r="AD1532" s="362"/>
      <c r="AE1532" s="362"/>
      <c r="AF1532" s="362"/>
      <c r="AG1532" s="362"/>
      <c r="AH1532" s="362"/>
      <c r="AI1532" s="360"/>
      <c r="AJ1532" s="360"/>
      <c r="AK1532" s="362"/>
      <c r="AL1532" s="362"/>
      <c r="AM1532" s="362"/>
      <c r="AN1532" s="362"/>
      <c r="AO1532" s="362"/>
      <c r="AP1532" s="362"/>
      <c r="AQ1532" s="362"/>
      <c r="AR1532" s="362"/>
    </row>
    <row r="1533" spans="1:44" ht="12" customHeight="1" x14ac:dyDescent="0.15">
      <c r="A1533" s="447"/>
      <c r="B1533" s="393"/>
      <c r="C1533" s="428"/>
      <c r="D1533" s="428"/>
      <c r="E1533" s="224"/>
      <c r="F1533" s="224"/>
      <c r="G1533" s="224"/>
      <c r="H1533" s="224"/>
      <c r="I1533" s="224"/>
      <c r="J1533" s="224"/>
      <c r="Z1533" s="362"/>
      <c r="AA1533" s="362"/>
      <c r="AB1533" s="362"/>
      <c r="AC1533" s="362"/>
      <c r="AD1533" s="362"/>
      <c r="AE1533" s="362"/>
      <c r="AF1533" s="362"/>
      <c r="AG1533" s="362"/>
      <c r="AH1533" s="362"/>
      <c r="AI1533" s="360"/>
      <c r="AJ1533" s="360"/>
      <c r="AK1533" s="362"/>
      <c r="AL1533" s="362"/>
      <c r="AM1533" s="362"/>
      <c r="AN1533" s="362"/>
      <c r="AO1533" s="362"/>
      <c r="AP1533" s="362"/>
      <c r="AQ1533" s="362"/>
      <c r="AR1533" s="362"/>
    </row>
    <row r="1534" spans="1:44" ht="12" customHeight="1" x14ac:dyDescent="0.15">
      <c r="A1534" s="447"/>
      <c r="B1534" s="393"/>
      <c r="C1534" s="428"/>
      <c r="D1534" s="428"/>
      <c r="E1534" s="224"/>
      <c r="F1534" s="224"/>
      <c r="G1534" s="224"/>
      <c r="H1534" s="224"/>
      <c r="I1534" s="224"/>
      <c r="J1534" s="224"/>
      <c r="Z1534" s="362"/>
      <c r="AA1534" s="362"/>
      <c r="AB1534" s="362"/>
      <c r="AC1534" s="362"/>
      <c r="AD1534" s="362"/>
      <c r="AE1534" s="362"/>
      <c r="AF1534" s="362"/>
      <c r="AG1534" s="362"/>
      <c r="AH1534" s="362"/>
      <c r="AI1534" s="360"/>
      <c r="AJ1534" s="360"/>
      <c r="AK1534" s="362"/>
      <c r="AL1534" s="362"/>
      <c r="AM1534" s="362"/>
      <c r="AN1534" s="362"/>
      <c r="AO1534" s="362"/>
      <c r="AP1534" s="362"/>
      <c r="AQ1534" s="362"/>
      <c r="AR1534" s="362"/>
    </row>
    <row r="1535" spans="1:44" ht="12" customHeight="1" x14ac:dyDescent="0.15">
      <c r="A1535" s="447"/>
      <c r="B1535" s="393"/>
      <c r="C1535" s="428"/>
      <c r="D1535" s="428"/>
      <c r="E1535" s="224"/>
      <c r="F1535" s="224"/>
      <c r="G1535" s="224"/>
      <c r="H1535" s="224"/>
      <c r="I1535" s="224"/>
      <c r="J1535" s="224"/>
      <c r="Z1535" s="362"/>
      <c r="AA1535" s="362"/>
      <c r="AB1535" s="362"/>
      <c r="AC1535" s="362"/>
      <c r="AD1535" s="362"/>
      <c r="AE1535" s="362"/>
      <c r="AF1535" s="362"/>
      <c r="AG1535" s="362"/>
      <c r="AH1535" s="362"/>
      <c r="AI1535" s="360"/>
      <c r="AJ1535" s="360"/>
      <c r="AK1535" s="362"/>
      <c r="AL1535" s="362"/>
      <c r="AM1535" s="362"/>
      <c r="AN1535" s="362"/>
      <c r="AO1535" s="362"/>
      <c r="AP1535" s="362"/>
      <c r="AQ1535" s="362"/>
      <c r="AR1535" s="362"/>
    </row>
    <row r="1536" spans="1:44" ht="12" customHeight="1" x14ac:dyDescent="0.15">
      <c r="A1536" s="447"/>
      <c r="B1536" s="393"/>
      <c r="C1536" s="428"/>
      <c r="D1536" s="428"/>
      <c r="E1536" s="224"/>
      <c r="F1536" s="224"/>
      <c r="G1536" s="224"/>
      <c r="H1536" s="224"/>
      <c r="I1536" s="224"/>
      <c r="J1536" s="224"/>
      <c r="Z1536" s="362"/>
      <c r="AA1536" s="362"/>
      <c r="AB1536" s="362"/>
      <c r="AC1536" s="362"/>
      <c r="AD1536" s="362"/>
      <c r="AE1536" s="362"/>
      <c r="AF1536" s="362"/>
      <c r="AG1536" s="362"/>
      <c r="AH1536" s="362"/>
      <c r="AI1536" s="360"/>
      <c r="AJ1536" s="360"/>
      <c r="AK1536" s="362"/>
      <c r="AL1536" s="362"/>
      <c r="AM1536" s="362"/>
      <c r="AN1536" s="362"/>
      <c r="AO1536" s="362"/>
      <c r="AP1536" s="362"/>
      <c r="AQ1536" s="362"/>
      <c r="AR1536" s="362"/>
    </row>
    <row r="1537" spans="1:44" ht="12" customHeight="1" x14ac:dyDescent="0.15">
      <c r="A1537" s="447"/>
      <c r="B1537" s="393"/>
      <c r="C1537" s="428"/>
      <c r="D1537" s="428"/>
      <c r="E1537" s="224"/>
      <c r="F1537" s="224"/>
      <c r="G1537" s="224"/>
      <c r="H1537" s="224"/>
      <c r="I1537" s="224"/>
      <c r="J1537" s="224"/>
      <c r="Z1537" s="362"/>
      <c r="AA1537" s="362"/>
      <c r="AB1537" s="362"/>
      <c r="AC1537" s="362"/>
      <c r="AD1537" s="362"/>
      <c r="AE1537" s="362"/>
      <c r="AF1537" s="362"/>
      <c r="AG1537" s="362"/>
      <c r="AH1537" s="362"/>
      <c r="AI1537" s="360"/>
      <c r="AJ1537" s="360"/>
      <c r="AK1537" s="362"/>
      <c r="AL1537" s="362"/>
      <c r="AM1537" s="362"/>
      <c r="AN1537" s="362"/>
      <c r="AO1537" s="362"/>
      <c r="AP1537" s="362"/>
      <c r="AQ1537" s="362"/>
      <c r="AR1537" s="362"/>
    </row>
    <row r="1538" spans="1:44" ht="12" customHeight="1" x14ac:dyDescent="0.15">
      <c r="A1538" s="447"/>
      <c r="B1538" s="393"/>
      <c r="C1538" s="428"/>
      <c r="D1538" s="428"/>
      <c r="E1538" s="224"/>
      <c r="F1538" s="224"/>
      <c r="G1538" s="224"/>
      <c r="H1538" s="224"/>
      <c r="I1538" s="224"/>
      <c r="J1538" s="224"/>
      <c r="Z1538" s="362"/>
      <c r="AA1538" s="362"/>
      <c r="AB1538" s="362"/>
      <c r="AC1538" s="362"/>
      <c r="AD1538" s="362"/>
      <c r="AE1538" s="362"/>
      <c r="AF1538" s="362"/>
      <c r="AG1538" s="362"/>
      <c r="AH1538" s="362"/>
      <c r="AI1538" s="360"/>
      <c r="AJ1538" s="360"/>
      <c r="AK1538" s="362"/>
      <c r="AL1538" s="362"/>
      <c r="AM1538" s="362"/>
      <c r="AN1538" s="362"/>
      <c r="AO1538" s="362"/>
      <c r="AP1538" s="362"/>
      <c r="AQ1538" s="362"/>
      <c r="AR1538" s="362"/>
    </row>
    <row r="1539" spans="1:44" ht="12" customHeight="1" x14ac:dyDescent="0.15">
      <c r="A1539" s="447"/>
      <c r="B1539" s="393"/>
      <c r="C1539" s="428"/>
      <c r="D1539" s="428"/>
      <c r="E1539" s="224"/>
      <c r="F1539" s="224"/>
      <c r="G1539" s="224"/>
      <c r="H1539" s="224"/>
      <c r="I1539" s="224"/>
      <c r="J1539" s="224"/>
      <c r="Z1539" s="362"/>
      <c r="AA1539" s="362"/>
      <c r="AB1539" s="362"/>
      <c r="AC1539" s="362"/>
      <c r="AD1539" s="362"/>
      <c r="AE1539" s="362"/>
      <c r="AF1539" s="362"/>
      <c r="AG1539" s="362"/>
      <c r="AH1539" s="362"/>
      <c r="AI1539" s="360"/>
      <c r="AJ1539" s="360"/>
      <c r="AK1539" s="362"/>
      <c r="AL1539" s="362"/>
      <c r="AM1539" s="362"/>
      <c r="AN1539" s="362"/>
      <c r="AO1539" s="362"/>
      <c r="AP1539" s="362"/>
      <c r="AQ1539" s="362"/>
      <c r="AR1539" s="362"/>
    </row>
    <row r="1540" spans="1:44" ht="12" customHeight="1" x14ac:dyDescent="0.15">
      <c r="A1540" s="447"/>
      <c r="B1540" s="393"/>
      <c r="C1540" s="428"/>
      <c r="D1540" s="428"/>
      <c r="E1540" s="224"/>
      <c r="F1540" s="224"/>
      <c r="G1540" s="224"/>
      <c r="H1540" s="224"/>
      <c r="I1540" s="224"/>
      <c r="J1540" s="224"/>
      <c r="Z1540" s="362"/>
      <c r="AA1540" s="362"/>
      <c r="AB1540" s="362"/>
      <c r="AC1540" s="362"/>
      <c r="AD1540" s="362"/>
      <c r="AE1540" s="362"/>
      <c r="AF1540" s="362"/>
      <c r="AG1540" s="362"/>
      <c r="AH1540" s="362"/>
      <c r="AI1540" s="360"/>
      <c r="AJ1540" s="360"/>
      <c r="AK1540" s="362"/>
      <c r="AL1540" s="362"/>
      <c r="AM1540" s="362"/>
      <c r="AN1540" s="362"/>
      <c r="AO1540" s="362"/>
      <c r="AP1540" s="362"/>
      <c r="AQ1540" s="362"/>
      <c r="AR1540" s="362"/>
    </row>
    <row r="1541" spans="1:44" ht="12" customHeight="1" x14ac:dyDescent="0.15">
      <c r="A1541" s="447"/>
      <c r="B1541" s="393"/>
      <c r="C1541" s="428"/>
      <c r="D1541" s="428"/>
      <c r="E1541" s="224"/>
      <c r="F1541" s="224"/>
      <c r="G1541" s="224"/>
      <c r="H1541" s="224"/>
      <c r="I1541" s="224"/>
      <c r="J1541" s="224"/>
      <c r="Z1541" s="362"/>
      <c r="AA1541" s="362"/>
      <c r="AB1541" s="362"/>
      <c r="AC1541" s="362"/>
      <c r="AD1541" s="362"/>
      <c r="AE1541" s="362"/>
      <c r="AF1541" s="362"/>
      <c r="AG1541" s="362"/>
      <c r="AH1541" s="362"/>
      <c r="AI1541" s="360"/>
      <c r="AJ1541" s="360"/>
      <c r="AK1541" s="362"/>
      <c r="AL1541" s="362"/>
      <c r="AM1541" s="362"/>
      <c r="AN1541" s="362"/>
      <c r="AO1541" s="362"/>
      <c r="AP1541" s="362"/>
      <c r="AQ1541" s="362"/>
      <c r="AR1541" s="362"/>
    </row>
    <row r="1542" spans="1:44" ht="12" customHeight="1" x14ac:dyDescent="0.15">
      <c r="A1542" s="447"/>
      <c r="B1542" s="393"/>
      <c r="C1542" s="428"/>
      <c r="D1542" s="428"/>
      <c r="E1542" s="224"/>
      <c r="F1542" s="224"/>
      <c r="G1542" s="224"/>
      <c r="H1542" s="224"/>
      <c r="I1542" s="224"/>
      <c r="J1542" s="224"/>
      <c r="Z1542" s="362"/>
      <c r="AA1542" s="362"/>
      <c r="AB1542" s="362"/>
      <c r="AC1542" s="362"/>
      <c r="AD1542" s="362"/>
      <c r="AE1542" s="362"/>
      <c r="AF1542" s="362"/>
      <c r="AG1542" s="362"/>
      <c r="AH1542" s="362"/>
      <c r="AI1542" s="360"/>
      <c r="AJ1542" s="360"/>
      <c r="AK1542" s="362"/>
      <c r="AL1542" s="362"/>
      <c r="AM1542" s="362"/>
      <c r="AN1542" s="362"/>
      <c r="AO1542" s="362"/>
      <c r="AP1542" s="362"/>
      <c r="AQ1542" s="362"/>
      <c r="AR1542" s="362"/>
    </row>
    <row r="1543" spans="1:44" ht="12" customHeight="1" x14ac:dyDescent="0.15">
      <c r="A1543" s="447"/>
      <c r="B1543" s="393"/>
      <c r="C1543" s="428"/>
      <c r="D1543" s="428"/>
      <c r="E1543" s="224"/>
      <c r="F1543" s="224"/>
      <c r="G1543" s="224"/>
      <c r="H1543" s="224"/>
      <c r="I1543" s="224"/>
      <c r="J1543" s="224"/>
      <c r="Z1543" s="362"/>
      <c r="AA1543" s="362"/>
      <c r="AB1543" s="362"/>
      <c r="AC1543" s="362"/>
      <c r="AD1543" s="362"/>
      <c r="AE1543" s="362"/>
      <c r="AF1543" s="362"/>
      <c r="AG1543" s="362"/>
      <c r="AH1543" s="362"/>
      <c r="AI1543" s="360"/>
      <c r="AJ1543" s="360"/>
      <c r="AK1543" s="362"/>
      <c r="AL1543" s="362"/>
      <c r="AM1543" s="362"/>
      <c r="AN1543" s="362"/>
      <c r="AO1543" s="362"/>
      <c r="AP1543" s="362"/>
      <c r="AQ1543" s="362"/>
      <c r="AR1543" s="362"/>
    </row>
    <row r="1544" spans="1:44" ht="12" customHeight="1" x14ac:dyDescent="0.15">
      <c r="A1544" s="447"/>
      <c r="B1544" s="393"/>
      <c r="C1544" s="428"/>
      <c r="D1544" s="428"/>
      <c r="E1544" s="224"/>
      <c r="F1544" s="224"/>
      <c r="G1544" s="224"/>
      <c r="H1544" s="224"/>
      <c r="I1544" s="224"/>
      <c r="J1544" s="224"/>
      <c r="Z1544" s="362"/>
      <c r="AA1544" s="362"/>
      <c r="AB1544" s="362"/>
      <c r="AC1544" s="362"/>
      <c r="AD1544" s="362"/>
      <c r="AE1544" s="362"/>
      <c r="AF1544" s="362"/>
      <c r="AG1544" s="362"/>
      <c r="AH1544" s="362"/>
      <c r="AI1544" s="360"/>
      <c r="AJ1544" s="360"/>
      <c r="AK1544" s="362"/>
      <c r="AL1544" s="362"/>
      <c r="AM1544" s="362"/>
      <c r="AN1544" s="362"/>
      <c r="AO1544" s="362"/>
      <c r="AP1544" s="362"/>
      <c r="AQ1544" s="362"/>
      <c r="AR1544" s="362"/>
    </row>
    <row r="1545" spans="1:44" ht="12" customHeight="1" x14ac:dyDescent="0.15">
      <c r="A1545" s="447"/>
      <c r="B1545" s="393"/>
      <c r="C1545" s="428"/>
      <c r="D1545" s="428"/>
      <c r="E1545" s="224"/>
      <c r="F1545" s="224"/>
      <c r="G1545" s="224"/>
      <c r="H1545" s="224"/>
      <c r="I1545" s="224"/>
      <c r="J1545" s="224"/>
      <c r="Z1545" s="362"/>
      <c r="AA1545" s="362"/>
      <c r="AB1545" s="362"/>
      <c r="AC1545" s="362"/>
      <c r="AD1545" s="362"/>
      <c r="AE1545" s="362"/>
      <c r="AF1545" s="362"/>
      <c r="AG1545" s="362"/>
      <c r="AH1545" s="362"/>
      <c r="AI1545" s="360"/>
      <c r="AJ1545" s="360"/>
      <c r="AK1545" s="362"/>
      <c r="AL1545" s="362"/>
      <c r="AM1545" s="362"/>
      <c r="AN1545" s="362"/>
      <c r="AO1545" s="362"/>
      <c r="AP1545" s="362"/>
      <c r="AQ1545" s="362"/>
      <c r="AR1545" s="362"/>
    </row>
    <row r="1546" spans="1:44" ht="12" customHeight="1" x14ac:dyDescent="0.15">
      <c r="A1546" s="447"/>
      <c r="B1546" s="393"/>
      <c r="C1546" s="428"/>
      <c r="D1546" s="428"/>
      <c r="E1546" s="224"/>
      <c r="F1546" s="224"/>
      <c r="G1546" s="224"/>
      <c r="H1546" s="224"/>
      <c r="I1546" s="224"/>
      <c r="J1546" s="224"/>
      <c r="Z1546" s="362"/>
      <c r="AA1546" s="362"/>
      <c r="AB1546" s="362"/>
      <c r="AC1546" s="362"/>
      <c r="AD1546" s="362"/>
      <c r="AE1546" s="362"/>
      <c r="AF1546" s="362"/>
      <c r="AG1546" s="362"/>
      <c r="AH1546" s="362"/>
      <c r="AI1546" s="360"/>
      <c r="AJ1546" s="360"/>
      <c r="AK1546" s="362"/>
      <c r="AL1546" s="362"/>
      <c r="AM1546" s="362"/>
      <c r="AN1546" s="362"/>
      <c r="AO1546" s="362"/>
      <c r="AP1546" s="362"/>
      <c r="AQ1546" s="362"/>
      <c r="AR1546" s="362"/>
    </row>
    <row r="1547" spans="1:44" ht="12" customHeight="1" x14ac:dyDescent="0.15">
      <c r="A1547" s="447"/>
      <c r="B1547" s="393"/>
      <c r="C1547" s="428"/>
      <c r="D1547" s="428"/>
      <c r="E1547" s="224"/>
      <c r="F1547" s="224"/>
      <c r="G1547" s="224"/>
      <c r="H1547" s="224"/>
      <c r="I1547" s="224"/>
      <c r="J1547" s="224"/>
      <c r="Z1547" s="362"/>
      <c r="AA1547" s="362"/>
      <c r="AB1547" s="362"/>
      <c r="AC1547" s="362"/>
      <c r="AD1547" s="362"/>
      <c r="AE1547" s="362"/>
      <c r="AF1547" s="362"/>
      <c r="AG1547" s="362"/>
      <c r="AH1547" s="362"/>
      <c r="AI1547" s="360"/>
      <c r="AJ1547" s="360"/>
      <c r="AK1547" s="362"/>
      <c r="AL1547" s="362"/>
      <c r="AM1547" s="362"/>
      <c r="AN1547" s="362"/>
      <c r="AO1547" s="362"/>
      <c r="AP1547" s="362"/>
      <c r="AQ1547" s="362"/>
      <c r="AR1547" s="362"/>
    </row>
    <row r="1548" spans="1:44" ht="12" customHeight="1" x14ac:dyDescent="0.15">
      <c r="A1548" s="447"/>
      <c r="B1548" s="393"/>
      <c r="C1548" s="428"/>
      <c r="D1548" s="428"/>
      <c r="E1548" s="224"/>
      <c r="F1548" s="224"/>
      <c r="G1548" s="224"/>
      <c r="H1548" s="224"/>
      <c r="I1548" s="224"/>
      <c r="J1548" s="224"/>
      <c r="Z1548" s="362"/>
      <c r="AA1548" s="362"/>
      <c r="AB1548" s="362"/>
      <c r="AC1548" s="362"/>
      <c r="AD1548" s="362"/>
      <c r="AE1548" s="362"/>
      <c r="AF1548" s="362"/>
      <c r="AG1548" s="362"/>
      <c r="AH1548" s="362"/>
      <c r="AI1548" s="360"/>
      <c r="AJ1548" s="360"/>
      <c r="AK1548" s="362"/>
      <c r="AL1548" s="362"/>
      <c r="AM1548" s="362"/>
      <c r="AN1548" s="362"/>
      <c r="AO1548" s="362"/>
      <c r="AP1548" s="362"/>
      <c r="AQ1548" s="362"/>
      <c r="AR1548" s="362"/>
    </row>
    <row r="1549" spans="1:44" ht="12" customHeight="1" x14ac:dyDescent="0.15">
      <c r="A1549" s="447"/>
      <c r="B1549" s="393"/>
      <c r="C1549" s="428"/>
      <c r="D1549" s="428"/>
      <c r="E1549" s="224"/>
      <c r="F1549" s="224"/>
      <c r="G1549" s="224"/>
      <c r="H1549" s="224"/>
      <c r="I1549" s="224"/>
      <c r="J1549" s="224"/>
      <c r="Z1549" s="362"/>
      <c r="AA1549" s="362"/>
      <c r="AB1549" s="362"/>
      <c r="AC1549" s="362"/>
      <c r="AD1549" s="362"/>
      <c r="AE1549" s="362"/>
      <c r="AF1549" s="362"/>
      <c r="AG1549" s="362"/>
      <c r="AH1549" s="362"/>
      <c r="AI1549" s="360"/>
      <c r="AJ1549" s="360"/>
      <c r="AK1549" s="362"/>
      <c r="AL1549" s="362"/>
      <c r="AM1549" s="362"/>
      <c r="AN1549" s="362"/>
      <c r="AO1549" s="362"/>
      <c r="AP1549" s="362"/>
      <c r="AQ1549" s="362"/>
      <c r="AR1549" s="362"/>
    </row>
    <row r="1550" spans="1:44" ht="12" customHeight="1" x14ac:dyDescent="0.15">
      <c r="A1550" s="447"/>
      <c r="B1550" s="393"/>
      <c r="C1550" s="428"/>
      <c r="D1550" s="428"/>
      <c r="E1550" s="224"/>
      <c r="F1550" s="224"/>
      <c r="G1550" s="224"/>
      <c r="H1550" s="224"/>
      <c r="I1550" s="224"/>
      <c r="J1550" s="224"/>
      <c r="Z1550" s="362"/>
      <c r="AA1550" s="362"/>
      <c r="AB1550" s="362"/>
      <c r="AC1550" s="362"/>
      <c r="AD1550" s="362"/>
      <c r="AE1550" s="362"/>
      <c r="AF1550" s="362"/>
      <c r="AG1550" s="362"/>
      <c r="AH1550" s="362"/>
      <c r="AI1550" s="360"/>
      <c r="AJ1550" s="360"/>
      <c r="AK1550" s="362"/>
      <c r="AL1550" s="362"/>
      <c r="AM1550" s="362"/>
      <c r="AN1550" s="362"/>
      <c r="AO1550" s="362"/>
      <c r="AP1550" s="362"/>
      <c r="AQ1550" s="362"/>
      <c r="AR1550" s="362"/>
    </row>
    <row r="1551" spans="1:44" ht="12" customHeight="1" x14ac:dyDescent="0.15">
      <c r="A1551" s="447"/>
      <c r="B1551" s="393"/>
      <c r="C1551" s="428"/>
      <c r="D1551" s="428"/>
      <c r="E1551" s="224"/>
      <c r="F1551" s="224"/>
      <c r="G1551" s="224"/>
      <c r="H1551" s="224"/>
      <c r="I1551" s="224"/>
      <c r="J1551" s="224"/>
      <c r="Z1551" s="362"/>
      <c r="AA1551" s="362"/>
      <c r="AB1551" s="362"/>
      <c r="AC1551" s="362"/>
      <c r="AD1551" s="362"/>
      <c r="AE1551" s="362"/>
      <c r="AF1551" s="362"/>
      <c r="AG1551" s="362"/>
      <c r="AH1551" s="362"/>
      <c r="AI1551" s="360"/>
      <c r="AJ1551" s="360"/>
      <c r="AK1551" s="362"/>
      <c r="AL1551" s="362"/>
      <c r="AM1551" s="362"/>
      <c r="AN1551" s="362"/>
      <c r="AO1551" s="362"/>
      <c r="AP1551" s="362"/>
      <c r="AQ1551" s="362"/>
      <c r="AR1551" s="362"/>
    </row>
    <row r="1552" spans="1:44" ht="12" customHeight="1" x14ac:dyDescent="0.15">
      <c r="A1552" s="447"/>
      <c r="B1552" s="393"/>
      <c r="C1552" s="428"/>
      <c r="D1552" s="428"/>
      <c r="E1552" s="224"/>
      <c r="F1552" s="224"/>
      <c r="G1552" s="224"/>
      <c r="H1552" s="224"/>
      <c r="I1552" s="224"/>
      <c r="J1552" s="224"/>
      <c r="Z1552" s="362"/>
      <c r="AA1552" s="362"/>
      <c r="AB1552" s="362"/>
      <c r="AC1552" s="362"/>
      <c r="AD1552" s="362"/>
      <c r="AE1552" s="362"/>
      <c r="AF1552" s="362"/>
      <c r="AG1552" s="362"/>
      <c r="AH1552" s="362"/>
      <c r="AI1552" s="360"/>
      <c r="AJ1552" s="360"/>
      <c r="AK1552" s="362"/>
      <c r="AL1552" s="362"/>
      <c r="AM1552" s="362"/>
      <c r="AN1552" s="362"/>
      <c r="AO1552" s="362"/>
      <c r="AP1552" s="362"/>
      <c r="AQ1552" s="362"/>
      <c r="AR1552" s="362"/>
    </row>
    <row r="1553" spans="1:44" ht="12" customHeight="1" x14ac:dyDescent="0.15">
      <c r="A1553" s="447"/>
      <c r="B1553" s="393"/>
      <c r="C1553" s="428"/>
      <c r="D1553" s="428"/>
      <c r="E1553" s="224"/>
      <c r="F1553" s="224"/>
      <c r="G1553" s="224"/>
      <c r="H1553" s="224"/>
      <c r="I1553" s="224"/>
      <c r="J1553" s="224"/>
      <c r="Z1553" s="362"/>
      <c r="AA1553" s="362"/>
      <c r="AB1553" s="362"/>
      <c r="AC1553" s="362"/>
      <c r="AD1553" s="362"/>
      <c r="AE1553" s="362"/>
      <c r="AF1553" s="362"/>
      <c r="AG1553" s="362"/>
      <c r="AH1553" s="362"/>
      <c r="AI1553" s="360"/>
      <c r="AJ1553" s="360"/>
      <c r="AK1553" s="362"/>
      <c r="AL1553" s="362"/>
      <c r="AM1553" s="362"/>
      <c r="AN1553" s="362"/>
      <c r="AO1553" s="362"/>
      <c r="AP1553" s="362"/>
      <c r="AQ1553" s="362"/>
      <c r="AR1553" s="362"/>
    </row>
    <row r="1554" spans="1:44" ht="12" customHeight="1" x14ac:dyDescent="0.15">
      <c r="A1554" s="447"/>
      <c r="B1554" s="393"/>
      <c r="C1554" s="428"/>
      <c r="D1554" s="428"/>
      <c r="E1554" s="224"/>
      <c r="F1554" s="224"/>
      <c r="G1554" s="224"/>
      <c r="H1554" s="224"/>
      <c r="I1554" s="224"/>
      <c r="J1554" s="224"/>
      <c r="Z1554" s="362"/>
      <c r="AA1554" s="362"/>
      <c r="AB1554" s="362"/>
      <c r="AC1554" s="362"/>
      <c r="AD1554" s="362"/>
      <c r="AE1554" s="362"/>
      <c r="AF1554" s="362"/>
      <c r="AG1554" s="362"/>
      <c r="AH1554" s="362"/>
      <c r="AI1554" s="360"/>
      <c r="AJ1554" s="360"/>
      <c r="AK1554" s="362"/>
      <c r="AL1554" s="362"/>
      <c r="AM1554" s="362"/>
      <c r="AN1554" s="362"/>
      <c r="AO1554" s="362"/>
      <c r="AP1554" s="362"/>
      <c r="AQ1554" s="362"/>
      <c r="AR1554" s="362"/>
    </row>
    <row r="1555" spans="1:44" ht="12" customHeight="1" x14ac:dyDescent="0.15">
      <c r="A1555" s="447"/>
      <c r="B1555" s="393"/>
      <c r="C1555" s="428"/>
      <c r="D1555" s="428"/>
      <c r="E1555" s="224"/>
      <c r="F1555" s="224"/>
      <c r="G1555" s="224"/>
      <c r="H1555" s="224"/>
      <c r="I1555" s="224"/>
      <c r="J1555" s="224"/>
      <c r="Z1555" s="362"/>
      <c r="AA1555" s="362"/>
      <c r="AB1555" s="362"/>
      <c r="AC1555" s="362"/>
      <c r="AD1555" s="362"/>
      <c r="AE1555" s="362"/>
      <c r="AF1555" s="362"/>
      <c r="AG1555" s="362"/>
      <c r="AH1555" s="362"/>
      <c r="AI1555" s="360"/>
      <c r="AJ1555" s="360"/>
      <c r="AK1555" s="362"/>
      <c r="AL1555" s="362"/>
      <c r="AM1555" s="362"/>
      <c r="AN1555" s="362"/>
      <c r="AO1555" s="362"/>
      <c r="AP1555" s="362"/>
      <c r="AQ1555" s="362"/>
      <c r="AR1555" s="362"/>
    </row>
    <row r="1556" spans="1:44" ht="12" customHeight="1" x14ac:dyDescent="0.15">
      <c r="A1556" s="447"/>
      <c r="B1556" s="393"/>
      <c r="C1556" s="428"/>
      <c r="D1556" s="428"/>
      <c r="E1556" s="224"/>
      <c r="F1556" s="224"/>
      <c r="G1556" s="224"/>
      <c r="H1556" s="224"/>
      <c r="I1556" s="224"/>
      <c r="J1556" s="224"/>
      <c r="Z1556" s="362"/>
      <c r="AA1556" s="362"/>
      <c r="AB1556" s="362"/>
      <c r="AC1556" s="362"/>
      <c r="AD1556" s="362"/>
      <c r="AE1556" s="362"/>
      <c r="AF1556" s="362"/>
      <c r="AG1556" s="362"/>
      <c r="AH1556" s="362"/>
      <c r="AI1556" s="360"/>
      <c r="AJ1556" s="360"/>
      <c r="AK1556" s="362"/>
      <c r="AL1556" s="362"/>
      <c r="AM1556" s="362"/>
      <c r="AN1556" s="362"/>
      <c r="AO1556" s="362"/>
      <c r="AP1556" s="362"/>
      <c r="AQ1556" s="362"/>
      <c r="AR1556" s="362"/>
    </row>
    <row r="1557" spans="1:44" ht="12" customHeight="1" x14ac:dyDescent="0.15">
      <c r="A1557" s="447"/>
      <c r="B1557" s="393"/>
      <c r="C1557" s="428"/>
      <c r="D1557" s="428"/>
      <c r="E1557" s="224"/>
      <c r="F1557" s="224"/>
      <c r="G1557" s="224"/>
      <c r="H1557" s="224"/>
      <c r="I1557" s="224"/>
      <c r="J1557" s="224"/>
      <c r="Z1557" s="362"/>
      <c r="AA1557" s="362"/>
      <c r="AB1557" s="362"/>
      <c r="AC1557" s="362"/>
      <c r="AD1557" s="362"/>
      <c r="AE1557" s="362"/>
      <c r="AF1557" s="362"/>
      <c r="AG1557" s="362"/>
      <c r="AH1557" s="362"/>
      <c r="AI1557" s="360"/>
      <c r="AJ1557" s="360"/>
      <c r="AK1557" s="362"/>
      <c r="AL1557" s="362"/>
      <c r="AM1557" s="362"/>
      <c r="AN1557" s="362"/>
      <c r="AO1557" s="362"/>
      <c r="AP1557" s="362"/>
      <c r="AQ1557" s="362"/>
      <c r="AR1557" s="362"/>
    </row>
    <row r="1558" spans="1:44" ht="12" customHeight="1" x14ac:dyDescent="0.15">
      <c r="A1558" s="447"/>
      <c r="B1558" s="393"/>
      <c r="C1558" s="428"/>
      <c r="D1558" s="428"/>
      <c r="E1558" s="224"/>
      <c r="F1558" s="224"/>
      <c r="G1558" s="224"/>
      <c r="H1558" s="224"/>
      <c r="I1558" s="224"/>
      <c r="J1558" s="224"/>
      <c r="Z1558" s="362"/>
      <c r="AA1558" s="362"/>
      <c r="AB1558" s="362"/>
      <c r="AC1558" s="362"/>
      <c r="AD1558" s="362"/>
      <c r="AE1558" s="362"/>
      <c r="AF1558" s="362"/>
      <c r="AG1558" s="362"/>
      <c r="AH1558" s="362"/>
      <c r="AI1558" s="360"/>
      <c r="AJ1558" s="360"/>
      <c r="AK1558" s="362"/>
      <c r="AL1558" s="362"/>
      <c r="AM1558" s="362"/>
      <c r="AN1558" s="362"/>
      <c r="AO1558" s="362"/>
      <c r="AP1558" s="362"/>
      <c r="AQ1558" s="362"/>
      <c r="AR1558" s="362"/>
    </row>
    <row r="1559" spans="1:44" ht="12" customHeight="1" x14ac:dyDescent="0.15">
      <c r="A1559" s="447"/>
      <c r="B1559" s="393"/>
      <c r="C1559" s="428"/>
      <c r="D1559" s="428"/>
      <c r="E1559" s="224"/>
      <c r="F1559" s="224"/>
      <c r="G1559" s="224"/>
      <c r="H1559" s="224"/>
      <c r="I1559" s="224"/>
      <c r="J1559" s="224"/>
      <c r="Z1559" s="362"/>
      <c r="AA1559" s="362"/>
      <c r="AB1559" s="362"/>
      <c r="AC1559" s="362"/>
      <c r="AD1559" s="362"/>
      <c r="AE1559" s="362"/>
      <c r="AF1559" s="362"/>
      <c r="AG1559" s="362"/>
      <c r="AH1559" s="362"/>
      <c r="AI1559" s="360"/>
      <c r="AJ1559" s="360"/>
      <c r="AK1559" s="362"/>
      <c r="AL1559" s="362"/>
      <c r="AM1559" s="362"/>
      <c r="AN1559" s="362"/>
      <c r="AO1559" s="362"/>
      <c r="AP1559" s="362"/>
      <c r="AQ1559" s="362"/>
      <c r="AR1559" s="362"/>
    </row>
    <row r="1560" spans="1:44" ht="12" customHeight="1" x14ac:dyDescent="0.15">
      <c r="A1560" s="447"/>
      <c r="B1560" s="393"/>
      <c r="C1560" s="428"/>
      <c r="D1560" s="428"/>
      <c r="E1560" s="224"/>
      <c r="F1560" s="224"/>
      <c r="G1560" s="224"/>
      <c r="H1560" s="224"/>
      <c r="I1560" s="224"/>
      <c r="J1560" s="224"/>
      <c r="Z1560" s="362"/>
      <c r="AA1560" s="362"/>
      <c r="AB1560" s="362"/>
      <c r="AC1560" s="362"/>
      <c r="AD1560" s="362"/>
      <c r="AE1560" s="362"/>
      <c r="AF1560" s="362"/>
      <c r="AG1560" s="362"/>
      <c r="AH1560" s="362"/>
      <c r="AI1560" s="360"/>
      <c r="AJ1560" s="360"/>
      <c r="AK1560" s="362"/>
      <c r="AL1560" s="362"/>
      <c r="AM1560" s="362"/>
      <c r="AN1560" s="362"/>
      <c r="AO1560" s="362"/>
      <c r="AP1560" s="362"/>
      <c r="AQ1560" s="362"/>
      <c r="AR1560" s="362"/>
    </row>
    <row r="1561" spans="1:44" ht="12" customHeight="1" x14ac:dyDescent="0.15">
      <c r="A1561" s="447"/>
      <c r="B1561" s="393"/>
      <c r="C1561" s="428"/>
      <c r="D1561" s="428"/>
      <c r="E1561" s="224"/>
      <c r="F1561" s="224"/>
      <c r="G1561" s="224"/>
      <c r="H1561" s="224"/>
      <c r="I1561" s="224"/>
      <c r="J1561" s="224"/>
      <c r="Z1561" s="362"/>
      <c r="AA1561" s="362"/>
      <c r="AB1561" s="362"/>
      <c r="AC1561" s="362"/>
      <c r="AD1561" s="362"/>
      <c r="AE1561" s="362"/>
      <c r="AF1561" s="362"/>
      <c r="AG1561" s="362"/>
      <c r="AH1561" s="362"/>
      <c r="AI1561" s="360"/>
      <c r="AJ1561" s="360"/>
      <c r="AK1561" s="362"/>
      <c r="AL1561" s="362"/>
      <c r="AM1561" s="362"/>
      <c r="AN1561" s="362"/>
      <c r="AO1561" s="362"/>
      <c r="AP1561" s="362"/>
      <c r="AQ1561" s="362"/>
      <c r="AR1561" s="362"/>
    </row>
    <row r="1562" spans="1:44" ht="12" customHeight="1" x14ac:dyDescent="0.15">
      <c r="A1562" s="447"/>
      <c r="B1562" s="393"/>
      <c r="C1562" s="428"/>
      <c r="D1562" s="428"/>
      <c r="E1562" s="224"/>
      <c r="F1562" s="224"/>
      <c r="G1562" s="224"/>
      <c r="H1562" s="224"/>
      <c r="I1562" s="224"/>
      <c r="J1562" s="224"/>
      <c r="Z1562" s="362"/>
      <c r="AA1562" s="362"/>
      <c r="AB1562" s="362"/>
      <c r="AC1562" s="362"/>
      <c r="AD1562" s="362"/>
      <c r="AE1562" s="362"/>
      <c r="AF1562" s="362"/>
      <c r="AG1562" s="362"/>
      <c r="AH1562" s="362"/>
      <c r="AI1562" s="360"/>
      <c r="AJ1562" s="360"/>
      <c r="AK1562" s="362"/>
      <c r="AL1562" s="362"/>
      <c r="AM1562" s="362"/>
      <c r="AN1562" s="362"/>
      <c r="AO1562" s="362"/>
      <c r="AP1562" s="362"/>
      <c r="AQ1562" s="362"/>
      <c r="AR1562" s="362"/>
    </row>
    <row r="1563" spans="1:44" ht="12" customHeight="1" x14ac:dyDescent="0.15">
      <c r="A1563" s="447"/>
      <c r="B1563" s="393"/>
      <c r="C1563" s="428"/>
      <c r="D1563" s="428"/>
      <c r="E1563" s="224"/>
      <c r="F1563" s="224"/>
      <c r="G1563" s="224"/>
      <c r="H1563" s="224"/>
      <c r="I1563" s="224"/>
      <c r="J1563" s="224"/>
      <c r="Z1563" s="362"/>
      <c r="AA1563" s="362"/>
      <c r="AB1563" s="362"/>
      <c r="AC1563" s="362"/>
      <c r="AD1563" s="362"/>
      <c r="AE1563" s="362"/>
      <c r="AF1563" s="362"/>
      <c r="AG1563" s="362"/>
      <c r="AH1563" s="362"/>
      <c r="AI1563" s="360"/>
      <c r="AJ1563" s="360"/>
      <c r="AK1563" s="362"/>
      <c r="AL1563" s="362"/>
      <c r="AM1563" s="362"/>
      <c r="AN1563" s="362"/>
      <c r="AO1563" s="362"/>
      <c r="AP1563" s="362"/>
      <c r="AQ1563" s="362"/>
      <c r="AR1563" s="362"/>
    </row>
    <row r="1564" spans="1:44" ht="12" customHeight="1" x14ac:dyDescent="0.15">
      <c r="A1564" s="447"/>
      <c r="B1564" s="393"/>
      <c r="C1564" s="428"/>
      <c r="D1564" s="428"/>
      <c r="E1564" s="224"/>
      <c r="F1564" s="224"/>
      <c r="G1564" s="224"/>
      <c r="H1564" s="224"/>
      <c r="I1564" s="224"/>
      <c r="J1564" s="224"/>
      <c r="Z1564" s="362"/>
      <c r="AA1564" s="362"/>
      <c r="AB1564" s="362"/>
      <c r="AC1564" s="362"/>
      <c r="AD1564" s="362"/>
      <c r="AE1564" s="362"/>
      <c r="AF1564" s="362"/>
      <c r="AG1564" s="362"/>
      <c r="AH1564" s="362"/>
      <c r="AI1564" s="360"/>
      <c r="AJ1564" s="360"/>
      <c r="AK1564" s="362"/>
      <c r="AL1564" s="362"/>
      <c r="AM1564" s="362"/>
      <c r="AN1564" s="362"/>
      <c r="AO1564" s="362"/>
      <c r="AP1564" s="362"/>
      <c r="AQ1564" s="362"/>
      <c r="AR1564" s="362"/>
    </row>
    <row r="1565" spans="1:44" ht="12" customHeight="1" x14ac:dyDescent="0.15">
      <c r="A1565" s="447"/>
      <c r="B1565" s="393"/>
      <c r="C1565" s="428"/>
      <c r="D1565" s="428"/>
      <c r="E1565" s="224"/>
      <c r="F1565" s="224"/>
      <c r="G1565" s="224"/>
      <c r="H1565" s="224"/>
      <c r="I1565" s="224"/>
      <c r="J1565" s="224"/>
      <c r="Z1565" s="362"/>
      <c r="AA1565" s="362"/>
      <c r="AB1565" s="362"/>
      <c r="AC1565" s="362"/>
      <c r="AD1565" s="362"/>
      <c r="AE1565" s="362"/>
      <c r="AF1565" s="362"/>
      <c r="AG1565" s="362"/>
      <c r="AH1565" s="362"/>
      <c r="AI1565" s="360"/>
      <c r="AJ1565" s="360"/>
      <c r="AK1565" s="362"/>
      <c r="AL1565" s="362"/>
      <c r="AM1565" s="362"/>
      <c r="AN1565" s="362"/>
      <c r="AO1565" s="362"/>
      <c r="AP1565" s="362"/>
      <c r="AQ1565" s="362"/>
      <c r="AR1565" s="362"/>
    </row>
    <row r="1566" spans="1:44" ht="12" customHeight="1" x14ac:dyDescent="0.15">
      <c r="A1566" s="447"/>
      <c r="B1566" s="393"/>
      <c r="C1566" s="428"/>
      <c r="D1566" s="428"/>
      <c r="E1566" s="224"/>
      <c r="F1566" s="224"/>
      <c r="G1566" s="224"/>
      <c r="H1566" s="224"/>
      <c r="I1566" s="224"/>
      <c r="J1566" s="224"/>
      <c r="Z1566" s="362"/>
      <c r="AA1566" s="362"/>
      <c r="AB1566" s="362"/>
      <c r="AC1566" s="362"/>
      <c r="AD1566" s="362"/>
      <c r="AE1566" s="362"/>
      <c r="AF1566" s="362"/>
      <c r="AG1566" s="362"/>
      <c r="AH1566" s="362"/>
      <c r="AI1566" s="360"/>
      <c r="AJ1566" s="360"/>
      <c r="AK1566" s="362"/>
      <c r="AL1566" s="362"/>
      <c r="AM1566" s="362"/>
      <c r="AN1566" s="362"/>
      <c r="AO1566" s="362"/>
      <c r="AP1566" s="362"/>
      <c r="AQ1566" s="362"/>
      <c r="AR1566" s="362"/>
    </row>
    <row r="1567" spans="1:44" ht="12" customHeight="1" x14ac:dyDescent="0.15">
      <c r="A1567" s="447"/>
      <c r="B1567" s="393"/>
      <c r="C1567" s="428"/>
      <c r="D1567" s="428"/>
      <c r="E1567" s="224"/>
      <c r="F1567" s="224"/>
      <c r="G1567" s="224"/>
      <c r="H1567" s="224"/>
      <c r="I1567" s="224"/>
      <c r="J1567" s="224"/>
      <c r="Z1567" s="362"/>
      <c r="AA1567" s="362"/>
      <c r="AB1567" s="362"/>
      <c r="AC1567" s="362"/>
      <c r="AD1567" s="362"/>
      <c r="AE1567" s="362"/>
      <c r="AF1567" s="362"/>
      <c r="AG1567" s="362"/>
      <c r="AH1567" s="362"/>
      <c r="AI1567" s="360"/>
      <c r="AJ1567" s="360"/>
      <c r="AK1567" s="362"/>
      <c r="AL1567" s="362"/>
      <c r="AM1567" s="362"/>
      <c r="AN1567" s="362"/>
      <c r="AO1567" s="362"/>
      <c r="AP1567" s="362"/>
      <c r="AQ1567" s="362"/>
      <c r="AR1567" s="362"/>
    </row>
    <row r="1568" spans="1:44" ht="12" customHeight="1" x14ac:dyDescent="0.15">
      <c r="A1568" s="447"/>
      <c r="B1568" s="393"/>
      <c r="C1568" s="428"/>
      <c r="D1568" s="428"/>
      <c r="E1568" s="224"/>
      <c r="F1568" s="224"/>
      <c r="G1568" s="224"/>
      <c r="H1568" s="224"/>
      <c r="I1568" s="224"/>
      <c r="J1568" s="224"/>
      <c r="Z1568" s="362"/>
      <c r="AA1568" s="362"/>
      <c r="AB1568" s="362"/>
      <c r="AC1568" s="362"/>
      <c r="AD1568" s="362"/>
      <c r="AE1568" s="362"/>
      <c r="AF1568" s="362"/>
      <c r="AG1568" s="362"/>
      <c r="AH1568" s="362"/>
      <c r="AI1568" s="360"/>
      <c r="AJ1568" s="360"/>
      <c r="AK1568" s="362"/>
      <c r="AL1568" s="362"/>
      <c r="AM1568" s="362"/>
      <c r="AN1568" s="362"/>
      <c r="AO1568" s="362"/>
      <c r="AP1568" s="362"/>
      <c r="AQ1568" s="362"/>
      <c r="AR1568" s="362"/>
    </row>
    <row r="1569" spans="1:44" ht="12" customHeight="1" x14ac:dyDescent="0.15">
      <c r="A1569" s="447"/>
      <c r="B1569" s="393"/>
      <c r="C1569" s="428"/>
      <c r="D1569" s="428"/>
      <c r="E1569" s="224"/>
      <c r="F1569" s="224"/>
      <c r="G1569" s="224"/>
      <c r="H1569" s="224"/>
      <c r="I1569" s="224"/>
      <c r="J1569" s="224"/>
      <c r="Z1569" s="362"/>
      <c r="AA1569" s="362"/>
      <c r="AB1569" s="362"/>
      <c r="AC1569" s="362"/>
      <c r="AD1569" s="362"/>
      <c r="AE1569" s="362"/>
      <c r="AF1569" s="362"/>
      <c r="AG1569" s="362"/>
      <c r="AH1569" s="362"/>
      <c r="AI1569" s="360"/>
      <c r="AJ1569" s="360"/>
      <c r="AK1569" s="362"/>
      <c r="AL1569" s="362"/>
      <c r="AM1569" s="362"/>
      <c r="AN1569" s="362"/>
      <c r="AO1569" s="362"/>
      <c r="AP1569" s="362"/>
      <c r="AQ1569" s="362"/>
      <c r="AR1569" s="362"/>
    </row>
    <row r="1570" spans="1:44" ht="12" customHeight="1" x14ac:dyDescent="0.15">
      <c r="A1570" s="447"/>
      <c r="B1570" s="393"/>
      <c r="C1570" s="428"/>
      <c r="D1570" s="428"/>
      <c r="E1570" s="224"/>
      <c r="F1570" s="224"/>
      <c r="G1570" s="224"/>
      <c r="H1570" s="224"/>
      <c r="I1570" s="224"/>
      <c r="J1570" s="224"/>
      <c r="Z1570" s="362"/>
      <c r="AA1570" s="362"/>
      <c r="AB1570" s="362"/>
      <c r="AC1570" s="362"/>
      <c r="AD1570" s="362"/>
      <c r="AE1570" s="362"/>
      <c r="AF1570" s="362"/>
      <c r="AG1570" s="362"/>
      <c r="AH1570" s="362"/>
      <c r="AI1570" s="360"/>
      <c r="AJ1570" s="360"/>
      <c r="AK1570" s="362"/>
      <c r="AL1570" s="362"/>
      <c r="AM1570" s="362"/>
      <c r="AN1570" s="362"/>
      <c r="AO1570" s="362"/>
      <c r="AP1570" s="362"/>
      <c r="AQ1570" s="362"/>
      <c r="AR1570" s="362"/>
    </row>
    <row r="1571" spans="1:44" ht="12" customHeight="1" x14ac:dyDescent="0.15">
      <c r="A1571" s="447"/>
      <c r="B1571" s="393"/>
      <c r="C1571" s="428"/>
      <c r="D1571" s="428"/>
      <c r="E1571" s="224"/>
      <c r="F1571" s="224"/>
      <c r="G1571" s="224"/>
      <c r="H1571" s="224"/>
      <c r="I1571" s="224"/>
      <c r="J1571" s="224"/>
      <c r="Z1571" s="362"/>
      <c r="AA1571" s="362"/>
      <c r="AB1571" s="362"/>
      <c r="AC1571" s="362"/>
      <c r="AD1571" s="362"/>
      <c r="AE1571" s="362"/>
      <c r="AF1571" s="362"/>
      <c r="AG1571" s="362"/>
      <c r="AH1571" s="362"/>
      <c r="AI1571" s="360"/>
      <c r="AJ1571" s="360"/>
      <c r="AK1571" s="362"/>
      <c r="AL1571" s="362"/>
      <c r="AM1571" s="362"/>
      <c r="AN1571" s="362"/>
      <c r="AO1571" s="362"/>
      <c r="AP1571" s="362"/>
      <c r="AQ1571" s="362"/>
      <c r="AR1571" s="362"/>
    </row>
    <row r="1572" spans="1:44" ht="12" customHeight="1" x14ac:dyDescent="0.15">
      <c r="A1572" s="447"/>
      <c r="B1572" s="393"/>
      <c r="C1572" s="428"/>
      <c r="D1572" s="428"/>
      <c r="E1572" s="224"/>
      <c r="F1572" s="224"/>
      <c r="G1572" s="224"/>
      <c r="H1572" s="224"/>
      <c r="I1572" s="224"/>
      <c r="J1572" s="224"/>
      <c r="Z1572" s="362"/>
      <c r="AA1572" s="362"/>
      <c r="AB1572" s="362"/>
      <c r="AC1572" s="362"/>
      <c r="AD1572" s="362"/>
      <c r="AE1572" s="362"/>
      <c r="AF1572" s="362"/>
      <c r="AG1572" s="362"/>
      <c r="AH1572" s="362"/>
      <c r="AI1572" s="360"/>
      <c r="AJ1572" s="360"/>
      <c r="AK1572" s="362"/>
      <c r="AL1572" s="362"/>
      <c r="AM1572" s="362"/>
      <c r="AN1572" s="362"/>
      <c r="AO1572" s="362"/>
      <c r="AP1572" s="362"/>
      <c r="AQ1572" s="362"/>
      <c r="AR1572" s="362"/>
    </row>
    <row r="1573" spans="1:44" ht="12" customHeight="1" x14ac:dyDescent="0.15">
      <c r="A1573" s="447"/>
      <c r="B1573" s="393"/>
      <c r="C1573" s="428"/>
      <c r="D1573" s="428"/>
      <c r="E1573" s="224"/>
      <c r="F1573" s="224"/>
      <c r="G1573" s="224"/>
      <c r="H1573" s="224"/>
      <c r="I1573" s="224"/>
      <c r="J1573" s="224"/>
      <c r="Z1573" s="362"/>
      <c r="AA1573" s="362"/>
      <c r="AB1573" s="362"/>
      <c r="AC1573" s="362"/>
      <c r="AD1573" s="362"/>
      <c r="AE1573" s="362"/>
      <c r="AF1573" s="362"/>
      <c r="AG1573" s="362"/>
      <c r="AH1573" s="362"/>
      <c r="AI1573" s="360"/>
      <c r="AJ1573" s="360"/>
      <c r="AK1573" s="362"/>
      <c r="AL1573" s="362"/>
      <c r="AM1573" s="362"/>
      <c r="AN1573" s="362"/>
      <c r="AO1573" s="362"/>
      <c r="AP1573" s="362"/>
      <c r="AQ1573" s="362"/>
      <c r="AR1573" s="362"/>
    </row>
    <row r="1574" spans="1:44" ht="12" customHeight="1" x14ac:dyDescent="0.15">
      <c r="A1574" s="447"/>
      <c r="B1574" s="393"/>
      <c r="C1574" s="428"/>
      <c r="D1574" s="428"/>
      <c r="E1574" s="224"/>
      <c r="F1574" s="224"/>
      <c r="G1574" s="224"/>
      <c r="H1574" s="224"/>
      <c r="I1574" s="224"/>
      <c r="J1574" s="224"/>
      <c r="Z1574" s="362"/>
      <c r="AA1574" s="362"/>
      <c r="AB1574" s="362"/>
      <c r="AC1574" s="362"/>
      <c r="AD1574" s="362"/>
      <c r="AE1574" s="362"/>
      <c r="AF1574" s="362"/>
      <c r="AG1574" s="362"/>
      <c r="AH1574" s="362"/>
      <c r="AI1574" s="360"/>
      <c r="AJ1574" s="360"/>
      <c r="AK1574" s="362"/>
      <c r="AL1574" s="362"/>
      <c r="AM1574" s="362"/>
      <c r="AN1574" s="362"/>
      <c r="AO1574" s="362"/>
      <c r="AP1574" s="362"/>
      <c r="AQ1574" s="362"/>
      <c r="AR1574" s="362"/>
    </row>
    <row r="1575" spans="1:44" ht="12" customHeight="1" x14ac:dyDescent="0.15">
      <c r="A1575" s="447"/>
      <c r="B1575" s="393"/>
      <c r="C1575" s="428"/>
      <c r="D1575" s="428"/>
      <c r="E1575" s="224"/>
      <c r="F1575" s="224"/>
      <c r="G1575" s="224"/>
      <c r="H1575" s="224"/>
      <c r="I1575" s="224"/>
      <c r="J1575" s="224"/>
      <c r="Z1575" s="362"/>
      <c r="AA1575" s="362"/>
      <c r="AB1575" s="362"/>
      <c r="AC1575" s="362"/>
      <c r="AD1575" s="362"/>
      <c r="AE1575" s="362"/>
      <c r="AF1575" s="362"/>
      <c r="AG1575" s="362"/>
      <c r="AH1575" s="362"/>
      <c r="AI1575" s="360"/>
      <c r="AJ1575" s="360"/>
      <c r="AK1575" s="362"/>
      <c r="AL1575" s="362"/>
      <c r="AM1575" s="362"/>
      <c r="AN1575" s="362"/>
      <c r="AO1575" s="362"/>
      <c r="AP1575" s="362"/>
      <c r="AQ1575" s="362"/>
      <c r="AR1575" s="362"/>
    </row>
    <row r="1576" spans="1:44" ht="12" customHeight="1" x14ac:dyDescent="0.15">
      <c r="A1576" s="447"/>
      <c r="B1576" s="393"/>
      <c r="C1576" s="428"/>
      <c r="D1576" s="428"/>
      <c r="E1576" s="224"/>
      <c r="F1576" s="224"/>
      <c r="G1576" s="224"/>
      <c r="H1576" s="224"/>
      <c r="I1576" s="224"/>
      <c r="J1576" s="224"/>
      <c r="Z1576" s="362"/>
      <c r="AA1576" s="362"/>
      <c r="AB1576" s="362"/>
      <c r="AC1576" s="362"/>
      <c r="AD1576" s="362"/>
      <c r="AE1576" s="362"/>
      <c r="AF1576" s="362"/>
      <c r="AG1576" s="362"/>
      <c r="AH1576" s="362"/>
      <c r="AI1576" s="360"/>
      <c r="AJ1576" s="360"/>
      <c r="AK1576" s="362"/>
      <c r="AL1576" s="362"/>
      <c r="AM1576" s="362"/>
      <c r="AN1576" s="362"/>
      <c r="AO1576" s="362"/>
      <c r="AP1576" s="362"/>
      <c r="AQ1576" s="362"/>
      <c r="AR1576" s="362"/>
    </row>
    <row r="1577" spans="1:44" ht="12" customHeight="1" x14ac:dyDescent="0.15">
      <c r="A1577" s="447"/>
      <c r="B1577" s="393"/>
      <c r="C1577" s="428"/>
      <c r="D1577" s="428"/>
      <c r="E1577" s="224"/>
      <c r="F1577" s="224"/>
      <c r="G1577" s="224"/>
      <c r="H1577" s="224"/>
      <c r="I1577" s="224"/>
      <c r="J1577" s="224"/>
      <c r="Z1577" s="362"/>
      <c r="AA1577" s="362"/>
      <c r="AB1577" s="362"/>
      <c r="AC1577" s="362"/>
      <c r="AD1577" s="362"/>
      <c r="AE1577" s="362"/>
      <c r="AF1577" s="362"/>
      <c r="AG1577" s="362"/>
      <c r="AH1577" s="362"/>
      <c r="AI1577" s="360"/>
      <c r="AJ1577" s="360"/>
      <c r="AK1577" s="362"/>
      <c r="AL1577" s="362"/>
      <c r="AM1577" s="362"/>
      <c r="AN1577" s="362"/>
      <c r="AO1577" s="362"/>
      <c r="AP1577" s="362"/>
      <c r="AQ1577" s="362"/>
      <c r="AR1577" s="362"/>
    </row>
    <row r="1578" spans="1:44" ht="12" customHeight="1" x14ac:dyDescent="0.15">
      <c r="A1578" s="447"/>
      <c r="B1578" s="393"/>
      <c r="C1578" s="428"/>
      <c r="D1578" s="428"/>
      <c r="E1578" s="224"/>
      <c r="F1578" s="224"/>
      <c r="G1578" s="224"/>
      <c r="H1578" s="224"/>
      <c r="I1578" s="224"/>
      <c r="J1578" s="224"/>
      <c r="Z1578" s="362"/>
      <c r="AA1578" s="362"/>
      <c r="AB1578" s="362"/>
      <c r="AC1578" s="362"/>
      <c r="AD1578" s="362"/>
      <c r="AE1578" s="362"/>
      <c r="AF1578" s="362"/>
      <c r="AG1578" s="362"/>
      <c r="AH1578" s="362"/>
      <c r="AI1578" s="360"/>
      <c r="AJ1578" s="360"/>
      <c r="AK1578" s="362"/>
      <c r="AL1578" s="362"/>
      <c r="AM1578" s="362"/>
      <c r="AN1578" s="362"/>
      <c r="AO1578" s="362"/>
      <c r="AP1578" s="362"/>
      <c r="AQ1578" s="362"/>
      <c r="AR1578" s="362"/>
    </row>
    <row r="1579" spans="1:44" ht="12" customHeight="1" x14ac:dyDescent="0.15">
      <c r="A1579" s="447"/>
      <c r="B1579" s="393"/>
      <c r="C1579" s="428"/>
      <c r="D1579" s="428"/>
      <c r="E1579" s="224"/>
      <c r="F1579" s="224"/>
      <c r="G1579" s="224"/>
      <c r="H1579" s="224"/>
      <c r="I1579" s="224"/>
      <c r="J1579" s="224"/>
      <c r="Z1579" s="362"/>
      <c r="AA1579" s="362"/>
      <c r="AB1579" s="362"/>
      <c r="AC1579" s="362"/>
      <c r="AD1579" s="362"/>
      <c r="AE1579" s="362"/>
      <c r="AF1579" s="362"/>
      <c r="AG1579" s="362"/>
      <c r="AH1579" s="362"/>
      <c r="AI1579" s="360"/>
      <c r="AJ1579" s="360"/>
      <c r="AK1579" s="362"/>
      <c r="AL1579" s="362"/>
      <c r="AM1579" s="362"/>
      <c r="AN1579" s="362"/>
      <c r="AO1579" s="362"/>
      <c r="AP1579" s="362"/>
      <c r="AQ1579" s="362"/>
      <c r="AR1579" s="362"/>
    </row>
    <row r="1580" spans="1:44" ht="12" customHeight="1" x14ac:dyDescent="0.15">
      <c r="A1580" s="447"/>
      <c r="B1580" s="393"/>
      <c r="C1580" s="428"/>
      <c r="D1580" s="428"/>
      <c r="E1580" s="224"/>
      <c r="F1580" s="224"/>
      <c r="G1580" s="224"/>
      <c r="H1580" s="224"/>
      <c r="I1580" s="224"/>
      <c r="J1580" s="224"/>
      <c r="Z1580" s="362"/>
      <c r="AA1580" s="362"/>
      <c r="AB1580" s="362"/>
      <c r="AC1580" s="362"/>
      <c r="AD1580" s="362"/>
      <c r="AE1580" s="362"/>
      <c r="AF1580" s="362"/>
      <c r="AG1580" s="362"/>
      <c r="AH1580" s="362"/>
      <c r="AI1580" s="360"/>
      <c r="AJ1580" s="360"/>
      <c r="AK1580" s="362"/>
      <c r="AL1580" s="362"/>
      <c r="AM1580" s="362"/>
      <c r="AN1580" s="362"/>
      <c r="AO1580" s="362"/>
      <c r="AP1580" s="362"/>
      <c r="AQ1580" s="362"/>
      <c r="AR1580" s="362"/>
    </row>
    <row r="1581" spans="1:44" ht="12" customHeight="1" x14ac:dyDescent="0.15">
      <c r="A1581" s="447"/>
      <c r="B1581" s="393"/>
      <c r="C1581" s="428"/>
      <c r="D1581" s="428"/>
      <c r="E1581" s="224"/>
      <c r="F1581" s="224"/>
      <c r="G1581" s="224"/>
      <c r="H1581" s="224"/>
      <c r="I1581" s="224"/>
      <c r="J1581" s="224"/>
      <c r="Z1581" s="362"/>
      <c r="AA1581" s="362"/>
      <c r="AB1581" s="362"/>
      <c r="AC1581" s="362"/>
      <c r="AD1581" s="362"/>
      <c r="AE1581" s="362"/>
      <c r="AF1581" s="362"/>
      <c r="AG1581" s="362"/>
      <c r="AH1581" s="362"/>
      <c r="AI1581" s="360"/>
      <c r="AJ1581" s="360"/>
      <c r="AK1581" s="362"/>
      <c r="AL1581" s="362"/>
      <c r="AM1581" s="362"/>
      <c r="AN1581" s="362"/>
      <c r="AO1581" s="362"/>
      <c r="AP1581" s="362"/>
      <c r="AQ1581" s="362"/>
      <c r="AR1581" s="362"/>
    </row>
    <row r="1582" spans="1:44" ht="12" customHeight="1" x14ac:dyDescent="0.15">
      <c r="A1582" s="447"/>
      <c r="B1582" s="393"/>
      <c r="C1582" s="428"/>
      <c r="D1582" s="428"/>
      <c r="E1582" s="224"/>
      <c r="F1582" s="224"/>
      <c r="G1582" s="224"/>
      <c r="H1582" s="224"/>
      <c r="I1582" s="224"/>
      <c r="J1582" s="224"/>
      <c r="Z1582" s="362"/>
      <c r="AA1582" s="362"/>
      <c r="AB1582" s="362"/>
      <c r="AC1582" s="362"/>
      <c r="AD1582" s="362"/>
      <c r="AE1582" s="362"/>
      <c r="AF1582" s="362"/>
      <c r="AG1582" s="362"/>
      <c r="AH1582" s="362"/>
      <c r="AI1582" s="360"/>
      <c r="AJ1582" s="360"/>
      <c r="AK1582" s="362"/>
      <c r="AL1582" s="362"/>
      <c r="AM1582" s="362"/>
      <c r="AN1582" s="362"/>
      <c r="AO1582" s="362"/>
      <c r="AP1582" s="362"/>
      <c r="AQ1582" s="362"/>
      <c r="AR1582" s="362"/>
    </row>
    <row r="1583" spans="1:44" ht="12" customHeight="1" x14ac:dyDescent="0.15">
      <c r="A1583" s="447"/>
      <c r="B1583" s="393"/>
      <c r="C1583" s="428"/>
      <c r="D1583" s="428"/>
      <c r="E1583" s="224"/>
      <c r="F1583" s="224"/>
      <c r="G1583" s="224"/>
      <c r="H1583" s="224"/>
      <c r="I1583" s="224"/>
      <c r="J1583" s="224"/>
      <c r="Z1583" s="362"/>
      <c r="AA1583" s="362"/>
      <c r="AB1583" s="362"/>
      <c r="AC1583" s="362"/>
      <c r="AD1583" s="362"/>
      <c r="AE1583" s="362"/>
      <c r="AF1583" s="362"/>
      <c r="AG1583" s="362"/>
      <c r="AH1583" s="362"/>
      <c r="AI1583" s="360"/>
      <c r="AJ1583" s="360"/>
      <c r="AK1583" s="362"/>
      <c r="AL1583" s="362"/>
      <c r="AM1583" s="362"/>
      <c r="AN1583" s="362"/>
      <c r="AO1583" s="362"/>
      <c r="AP1583" s="362"/>
      <c r="AQ1583" s="362"/>
      <c r="AR1583" s="362"/>
    </row>
    <row r="1584" spans="1:44" ht="12" customHeight="1" x14ac:dyDescent="0.15">
      <c r="A1584" s="447"/>
      <c r="B1584" s="393"/>
      <c r="C1584" s="428"/>
      <c r="D1584" s="428"/>
      <c r="E1584" s="224"/>
      <c r="F1584" s="224"/>
      <c r="G1584" s="224"/>
      <c r="H1584" s="224"/>
      <c r="I1584" s="224"/>
      <c r="J1584" s="224"/>
      <c r="Z1584" s="362"/>
      <c r="AA1584" s="362"/>
      <c r="AB1584" s="362"/>
      <c r="AC1584" s="362"/>
      <c r="AD1584" s="362"/>
      <c r="AE1584" s="362"/>
      <c r="AF1584" s="362"/>
      <c r="AG1584" s="362"/>
      <c r="AH1584" s="362"/>
      <c r="AI1584" s="360"/>
      <c r="AJ1584" s="360"/>
      <c r="AK1584" s="362"/>
      <c r="AL1584" s="362"/>
      <c r="AM1584" s="362"/>
      <c r="AN1584" s="362"/>
      <c r="AO1584" s="362"/>
      <c r="AP1584" s="362"/>
      <c r="AQ1584" s="362"/>
      <c r="AR1584" s="362"/>
    </row>
    <row r="1585" spans="1:44" ht="12" customHeight="1" x14ac:dyDescent="0.15">
      <c r="A1585" s="447"/>
      <c r="B1585" s="393"/>
      <c r="C1585" s="428"/>
      <c r="D1585" s="428"/>
      <c r="E1585" s="224"/>
      <c r="F1585" s="224"/>
      <c r="G1585" s="224"/>
      <c r="H1585" s="224"/>
      <c r="I1585" s="224"/>
      <c r="J1585" s="224"/>
      <c r="Z1585" s="362"/>
      <c r="AA1585" s="362"/>
      <c r="AB1585" s="362"/>
      <c r="AC1585" s="362"/>
      <c r="AD1585" s="362"/>
      <c r="AE1585" s="362"/>
      <c r="AF1585" s="362"/>
      <c r="AG1585" s="362"/>
      <c r="AH1585" s="362"/>
      <c r="AI1585" s="360"/>
      <c r="AJ1585" s="360"/>
      <c r="AK1585" s="362"/>
      <c r="AL1585" s="362"/>
      <c r="AM1585" s="362"/>
      <c r="AN1585" s="362"/>
      <c r="AO1585" s="362"/>
      <c r="AP1585" s="362"/>
      <c r="AQ1585" s="362"/>
      <c r="AR1585" s="362"/>
    </row>
    <row r="1586" spans="1:44" ht="12" customHeight="1" x14ac:dyDescent="0.15">
      <c r="A1586" s="447"/>
      <c r="B1586" s="393"/>
      <c r="C1586" s="428"/>
      <c r="D1586" s="428"/>
      <c r="E1586" s="224"/>
      <c r="F1586" s="224"/>
      <c r="G1586" s="224"/>
      <c r="H1586" s="224"/>
      <c r="I1586" s="224"/>
      <c r="J1586" s="224"/>
      <c r="Z1586" s="362"/>
      <c r="AA1586" s="362"/>
      <c r="AB1586" s="362"/>
      <c r="AC1586" s="362"/>
      <c r="AD1586" s="362"/>
      <c r="AE1586" s="362"/>
      <c r="AF1586" s="362"/>
      <c r="AG1586" s="362"/>
      <c r="AH1586" s="362"/>
      <c r="AI1586" s="360"/>
      <c r="AJ1586" s="360"/>
      <c r="AK1586" s="362"/>
      <c r="AL1586" s="362"/>
      <c r="AM1586" s="362"/>
      <c r="AN1586" s="362"/>
      <c r="AO1586" s="362"/>
      <c r="AP1586" s="362"/>
      <c r="AQ1586" s="362"/>
      <c r="AR1586" s="362"/>
    </row>
    <row r="1587" spans="1:44" ht="12" customHeight="1" x14ac:dyDescent="0.15">
      <c r="A1587" s="447"/>
      <c r="B1587" s="393"/>
      <c r="C1587" s="428"/>
      <c r="D1587" s="428"/>
      <c r="E1587" s="224"/>
      <c r="F1587" s="224"/>
      <c r="G1587" s="224"/>
      <c r="H1587" s="224"/>
      <c r="I1587" s="224"/>
      <c r="J1587" s="224"/>
      <c r="Z1587" s="362"/>
      <c r="AA1587" s="362"/>
      <c r="AB1587" s="362"/>
      <c r="AC1587" s="362"/>
      <c r="AD1587" s="362"/>
      <c r="AE1587" s="362"/>
      <c r="AF1587" s="362"/>
      <c r="AG1587" s="362"/>
      <c r="AH1587" s="362"/>
      <c r="AI1587" s="360"/>
      <c r="AJ1587" s="360"/>
      <c r="AK1587" s="362"/>
      <c r="AL1587" s="362"/>
      <c r="AM1587" s="362"/>
      <c r="AN1587" s="362"/>
      <c r="AO1587" s="362"/>
      <c r="AP1587" s="362"/>
      <c r="AQ1587" s="362"/>
      <c r="AR1587" s="362"/>
    </row>
    <row r="1588" spans="1:44" ht="12" customHeight="1" x14ac:dyDescent="0.15">
      <c r="A1588" s="447"/>
      <c r="B1588" s="393"/>
      <c r="C1588" s="428"/>
      <c r="D1588" s="428"/>
      <c r="E1588" s="224"/>
      <c r="F1588" s="224"/>
      <c r="G1588" s="224"/>
      <c r="H1588" s="224"/>
      <c r="I1588" s="224"/>
      <c r="J1588" s="224"/>
      <c r="Z1588" s="362"/>
      <c r="AA1588" s="362"/>
      <c r="AB1588" s="362"/>
      <c r="AC1588" s="362"/>
      <c r="AD1588" s="362"/>
      <c r="AE1588" s="362"/>
      <c r="AF1588" s="362"/>
      <c r="AG1588" s="362"/>
      <c r="AH1588" s="362"/>
      <c r="AI1588" s="360"/>
      <c r="AJ1588" s="360"/>
      <c r="AK1588" s="362"/>
      <c r="AL1588" s="362"/>
      <c r="AM1588" s="362"/>
      <c r="AN1588" s="362"/>
      <c r="AO1588" s="362"/>
      <c r="AP1588" s="362"/>
      <c r="AQ1588" s="362"/>
      <c r="AR1588" s="362"/>
    </row>
    <row r="1589" spans="1:44" ht="12" customHeight="1" x14ac:dyDescent="0.15">
      <c r="A1589" s="447"/>
      <c r="B1589" s="393"/>
      <c r="C1589" s="428"/>
      <c r="D1589" s="428"/>
      <c r="E1589" s="224"/>
      <c r="F1589" s="224"/>
      <c r="G1589" s="224"/>
      <c r="H1589" s="224"/>
      <c r="I1589" s="224"/>
      <c r="J1589" s="224"/>
      <c r="Z1589" s="362"/>
      <c r="AA1589" s="362"/>
      <c r="AB1589" s="362"/>
      <c r="AC1589" s="362"/>
      <c r="AD1589" s="362"/>
      <c r="AE1589" s="362"/>
      <c r="AF1589" s="362"/>
      <c r="AG1589" s="362"/>
      <c r="AH1589" s="362"/>
      <c r="AI1589" s="360"/>
      <c r="AJ1589" s="360"/>
      <c r="AK1589" s="362"/>
      <c r="AL1589" s="362"/>
      <c r="AM1589" s="362"/>
      <c r="AN1589" s="362"/>
      <c r="AO1589" s="362"/>
      <c r="AP1589" s="362"/>
      <c r="AQ1589" s="362"/>
      <c r="AR1589" s="362"/>
    </row>
    <row r="1590" spans="1:44" ht="12" customHeight="1" x14ac:dyDescent="0.15">
      <c r="A1590" s="447"/>
      <c r="B1590" s="393"/>
      <c r="C1590" s="428"/>
      <c r="D1590" s="428"/>
      <c r="E1590" s="224"/>
      <c r="F1590" s="224"/>
      <c r="G1590" s="224"/>
      <c r="H1590" s="224"/>
      <c r="I1590" s="224"/>
      <c r="J1590" s="224"/>
      <c r="Z1590" s="362"/>
      <c r="AA1590" s="362"/>
      <c r="AB1590" s="362"/>
      <c r="AC1590" s="362"/>
      <c r="AD1590" s="362"/>
      <c r="AE1590" s="362"/>
      <c r="AF1590" s="362"/>
      <c r="AG1590" s="362"/>
      <c r="AH1590" s="362"/>
      <c r="AI1590" s="360"/>
      <c r="AJ1590" s="360"/>
      <c r="AK1590" s="362"/>
      <c r="AL1590" s="362"/>
      <c r="AM1590" s="362"/>
      <c r="AN1590" s="362"/>
      <c r="AO1590" s="362"/>
      <c r="AP1590" s="362"/>
      <c r="AQ1590" s="362"/>
      <c r="AR1590" s="362"/>
    </row>
    <row r="1591" spans="1:44" ht="12" customHeight="1" x14ac:dyDescent="0.15">
      <c r="A1591" s="447"/>
      <c r="B1591" s="393"/>
      <c r="C1591" s="428"/>
      <c r="D1591" s="428"/>
      <c r="E1591" s="224"/>
      <c r="F1591" s="224"/>
      <c r="G1591" s="224"/>
      <c r="H1591" s="224"/>
      <c r="I1591" s="224"/>
      <c r="J1591" s="224"/>
      <c r="Z1591" s="362"/>
      <c r="AA1591" s="362"/>
      <c r="AB1591" s="362"/>
      <c r="AC1591" s="362"/>
      <c r="AD1591" s="362"/>
      <c r="AE1591" s="362"/>
      <c r="AF1591" s="362"/>
      <c r="AG1591" s="362"/>
      <c r="AH1591" s="362"/>
      <c r="AI1591" s="360"/>
      <c r="AJ1591" s="360"/>
      <c r="AK1591" s="362"/>
      <c r="AL1591" s="362"/>
      <c r="AM1591" s="362"/>
      <c r="AN1591" s="362"/>
      <c r="AO1591" s="362"/>
      <c r="AP1591" s="362"/>
      <c r="AQ1591" s="362"/>
      <c r="AR1591" s="362"/>
    </row>
    <row r="1592" spans="1:44" ht="12" customHeight="1" x14ac:dyDescent="0.15">
      <c r="A1592" s="447"/>
      <c r="B1592" s="393"/>
      <c r="C1592" s="428"/>
      <c r="D1592" s="428"/>
      <c r="E1592" s="224"/>
      <c r="F1592" s="224"/>
      <c r="G1592" s="224"/>
      <c r="H1592" s="224"/>
      <c r="I1592" s="224"/>
      <c r="J1592" s="224"/>
      <c r="Z1592" s="362"/>
      <c r="AA1592" s="362"/>
      <c r="AB1592" s="362"/>
      <c r="AC1592" s="362"/>
      <c r="AD1592" s="362"/>
      <c r="AE1592" s="362"/>
      <c r="AF1592" s="362"/>
      <c r="AG1592" s="362"/>
      <c r="AH1592" s="362"/>
      <c r="AI1592" s="360"/>
      <c r="AJ1592" s="360"/>
      <c r="AK1592" s="362"/>
      <c r="AL1592" s="362"/>
      <c r="AM1592" s="362"/>
      <c r="AN1592" s="362"/>
      <c r="AO1592" s="362"/>
      <c r="AP1592" s="362"/>
      <c r="AQ1592" s="362"/>
      <c r="AR1592" s="362"/>
    </row>
    <row r="1593" spans="1:44" ht="12" customHeight="1" x14ac:dyDescent="0.15">
      <c r="A1593" s="447"/>
      <c r="B1593" s="393"/>
      <c r="C1593" s="428"/>
      <c r="D1593" s="428"/>
      <c r="E1593" s="224"/>
      <c r="F1593" s="224"/>
      <c r="G1593" s="224"/>
      <c r="H1593" s="224"/>
      <c r="I1593" s="224"/>
      <c r="J1593" s="224"/>
      <c r="Z1593" s="362"/>
      <c r="AA1593" s="362"/>
      <c r="AB1593" s="362"/>
      <c r="AC1593" s="362"/>
      <c r="AD1593" s="362"/>
      <c r="AE1593" s="362"/>
      <c r="AF1593" s="362"/>
      <c r="AG1593" s="362"/>
      <c r="AH1593" s="362"/>
      <c r="AI1593" s="360"/>
      <c r="AJ1593" s="360"/>
      <c r="AK1593" s="362"/>
      <c r="AL1593" s="362"/>
      <c r="AM1593" s="362"/>
      <c r="AN1593" s="362"/>
      <c r="AO1593" s="362"/>
      <c r="AP1593" s="362"/>
      <c r="AQ1593" s="362"/>
      <c r="AR1593" s="362"/>
    </row>
    <row r="1594" spans="1:44" ht="12" customHeight="1" x14ac:dyDescent="0.15">
      <c r="A1594" s="447"/>
      <c r="B1594" s="393"/>
      <c r="C1594" s="428"/>
      <c r="D1594" s="428"/>
      <c r="E1594" s="224"/>
      <c r="F1594" s="224"/>
      <c r="G1594" s="224"/>
      <c r="H1594" s="224"/>
      <c r="I1594" s="224"/>
      <c r="J1594" s="224"/>
      <c r="Z1594" s="362"/>
      <c r="AA1594" s="362"/>
      <c r="AB1594" s="362"/>
      <c r="AC1594" s="362"/>
      <c r="AD1594" s="362"/>
      <c r="AE1594" s="362"/>
      <c r="AF1594" s="362"/>
      <c r="AG1594" s="362"/>
      <c r="AH1594" s="362"/>
      <c r="AI1594" s="360"/>
      <c r="AJ1594" s="360"/>
      <c r="AK1594" s="362"/>
      <c r="AL1594" s="362"/>
      <c r="AM1594" s="362"/>
      <c r="AN1594" s="362"/>
      <c r="AO1594" s="362"/>
      <c r="AP1594" s="362"/>
      <c r="AQ1594" s="362"/>
      <c r="AR1594" s="362"/>
    </row>
    <row r="1595" spans="1:44" ht="12" customHeight="1" x14ac:dyDescent="0.15">
      <c r="A1595" s="447"/>
      <c r="B1595" s="393"/>
      <c r="C1595" s="428"/>
      <c r="D1595" s="428"/>
      <c r="E1595" s="224"/>
      <c r="F1595" s="224"/>
      <c r="G1595" s="224"/>
      <c r="H1595" s="224"/>
      <c r="I1595" s="224"/>
      <c r="J1595" s="224"/>
      <c r="Z1595" s="362"/>
      <c r="AA1595" s="362"/>
      <c r="AB1595" s="362"/>
      <c r="AC1595" s="362"/>
      <c r="AD1595" s="362"/>
      <c r="AE1595" s="362"/>
      <c r="AF1595" s="362"/>
      <c r="AG1595" s="362"/>
      <c r="AH1595" s="362"/>
      <c r="AI1595" s="360"/>
      <c r="AJ1595" s="360"/>
      <c r="AK1595" s="362"/>
      <c r="AL1595" s="362"/>
      <c r="AM1595" s="362"/>
      <c r="AN1595" s="362"/>
      <c r="AO1595" s="362"/>
      <c r="AP1595" s="362"/>
      <c r="AQ1595" s="362"/>
      <c r="AR1595" s="362"/>
    </row>
    <row r="1596" spans="1:44" ht="12" customHeight="1" x14ac:dyDescent="0.15">
      <c r="A1596" s="447"/>
      <c r="B1596" s="393"/>
      <c r="C1596" s="428"/>
      <c r="D1596" s="428"/>
      <c r="E1596" s="224"/>
      <c r="F1596" s="224"/>
      <c r="G1596" s="224"/>
      <c r="H1596" s="224"/>
      <c r="I1596" s="224"/>
      <c r="J1596" s="224"/>
      <c r="Z1596" s="362"/>
      <c r="AA1596" s="362"/>
      <c r="AB1596" s="362"/>
      <c r="AC1596" s="362"/>
      <c r="AD1596" s="362"/>
      <c r="AE1596" s="362"/>
      <c r="AF1596" s="362"/>
      <c r="AG1596" s="362"/>
      <c r="AH1596" s="362"/>
      <c r="AI1596" s="360"/>
      <c r="AJ1596" s="360"/>
      <c r="AK1596" s="362"/>
      <c r="AL1596" s="362"/>
      <c r="AM1596" s="362"/>
      <c r="AN1596" s="362"/>
      <c r="AO1596" s="362"/>
      <c r="AP1596" s="362"/>
      <c r="AQ1596" s="362"/>
      <c r="AR1596" s="362"/>
    </row>
    <row r="1597" spans="1:44" ht="12" customHeight="1" x14ac:dyDescent="0.15">
      <c r="A1597" s="447"/>
      <c r="B1597" s="393"/>
      <c r="C1597" s="428"/>
      <c r="D1597" s="428"/>
      <c r="E1597" s="224"/>
      <c r="F1597" s="224"/>
      <c r="G1597" s="224"/>
      <c r="H1597" s="224"/>
      <c r="I1597" s="224"/>
      <c r="J1597" s="224"/>
      <c r="Z1597" s="362"/>
      <c r="AA1597" s="362"/>
      <c r="AB1597" s="362"/>
      <c r="AC1597" s="362"/>
      <c r="AD1597" s="362"/>
      <c r="AE1597" s="362"/>
      <c r="AF1597" s="362"/>
      <c r="AG1597" s="362"/>
      <c r="AH1597" s="362"/>
      <c r="AI1597" s="360"/>
      <c r="AJ1597" s="360"/>
      <c r="AK1597" s="362"/>
      <c r="AL1597" s="362"/>
      <c r="AM1597" s="362"/>
      <c r="AN1597" s="362"/>
      <c r="AO1597" s="362"/>
      <c r="AP1597" s="362"/>
      <c r="AQ1597" s="362"/>
      <c r="AR1597" s="362"/>
    </row>
    <row r="1598" spans="1:44" ht="12" customHeight="1" x14ac:dyDescent="0.15">
      <c r="A1598" s="447"/>
      <c r="B1598" s="393"/>
      <c r="C1598" s="428"/>
      <c r="D1598" s="428"/>
      <c r="E1598" s="224"/>
      <c r="F1598" s="224"/>
      <c r="G1598" s="224"/>
      <c r="H1598" s="224"/>
      <c r="I1598" s="224"/>
      <c r="J1598" s="224"/>
      <c r="Z1598" s="362"/>
      <c r="AA1598" s="362"/>
      <c r="AB1598" s="362"/>
      <c r="AC1598" s="362"/>
      <c r="AD1598" s="362"/>
      <c r="AE1598" s="362"/>
      <c r="AF1598" s="362"/>
      <c r="AG1598" s="362"/>
      <c r="AH1598" s="362"/>
      <c r="AI1598" s="360"/>
      <c r="AJ1598" s="360"/>
      <c r="AK1598" s="362"/>
      <c r="AL1598" s="362"/>
      <c r="AM1598" s="362"/>
      <c r="AN1598" s="362"/>
      <c r="AO1598" s="362"/>
      <c r="AP1598" s="362"/>
      <c r="AQ1598" s="362"/>
      <c r="AR1598" s="362"/>
    </row>
    <row r="1599" spans="1:44" ht="12" customHeight="1" x14ac:dyDescent="0.15">
      <c r="A1599" s="447"/>
      <c r="B1599" s="393"/>
      <c r="C1599" s="428"/>
      <c r="D1599" s="428"/>
      <c r="E1599" s="224"/>
      <c r="F1599" s="224"/>
      <c r="G1599" s="224"/>
      <c r="H1599" s="224"/>
      <c r="I1599" s="224"/>
      <c r="J1599" s="224"/>
      <c r="Z1599" s="362"/>
      <c r="AA1599" s="362"/>
      <c r="AB1599" s="362"/>
      <c r="AC1599" s="362"/>
      <c r="AD1599" s="362"/>
      <c r="AE1599" s="362"/>
      <c r="AF1599" s="362"/>
      <c r="AG1599" s="362"/>
      <c r="AH1599" s="362"/>
      <c r="AI1599" s="360"/>
      <c r="AJ1599" s="360"/>
      <c r="AK1599" s="362"/>
      <c r="AL1599" s="362"/>
      <c r="AM1599" s="362"/>
      <c r="AN1599" s="362"/>
      <c r="AO1599" s="362"/>
      <c r="AP1599" s="362"/>
      <c r="AQ1599" s="362"/>
      <c r="AR1599" s="362"/>
    </row>
    <row r="1600" spans="1:44" ht="12" customHeight="1" x14ac:dyDescent="0.15">
      <c r="A1600" s="447"/>
      <c r="B1600" s="393"/>
      <c r="C1600" s="428"/>
      <c r="D1600" s="428"/>
      <c r="E1600" s="224"/>
      <c r="F1600" s="224"/>
      <c r="G1600" s="224"/>
      <c r="H1600" s="224"/>
      <c r="I1600" s="224"/>
      <c r="J1600" s="224"/>
      <c r="Z1600" s="362"/>
      <c r="AA1600" s="362"/>
      <c r="AB1600" s="362"/>
      <c r="AC1600" s="362"/>
      <c r="AD1600" s="362"/>
      <c r="AE1600" s="362"/>
      <c r="AF1600" s="362"/>
      <c r="AG1600" s="362"/>
      <c r="AH1600" s="362"/>
      <c r="AI1600" s="360"/>
      <c r="AJ1600" s="360"/>
      <c r="AK1600" s="362"/>
      <c r="AL1600" s="362"/>
      <c r="AM1600" s="362"/>
      <c r="AN1600" s="362"/>
      <c r="AO1600" s="362"/>
      <c r="AP1600" s="362"/>
      <c r="AQ1600" s="362"/>
      <c r="AR1600" s="362"/>
    </row>
    <row r="1601" spans="1:44" ht="12" customHeight="1" x14ac:dyDescent="0.15">
      <c r="A1601" s="447"/>
      <c r="B1601" s="393"/>
      <c r="C1601" s="428"/>
      <c r="D1601" s="428"/>
      <c r="E1601" s="224"/>
      <c r="F1601" s="224"/>
      <c r="G1601" s="224"/>
      <c r="H1601" s="224"/>
      <c r="I1601" s="224"/>
      <c r="J1601" s="224"/>
      <c r="Z1601" s="362"/>
      <c r="AA1601" s="362"/>
      <c r="AB1601" s="362"/>
      <c r="AC1601" s="362"/>
      <c r="AD1601" s="362"/>
      <c r="AE1601" s="362"/>
      <c r="AF1601" s="362"/>
      <c r="AG1601" s="362"/>
      <c r="AH1601" s="362"/>
      <c r="AI1601" s="360"/>
      <c r="AJ1601" s="360"/>
      <c r="AK1601" s="362"/>
      <c r="AL1601" s="362"/>
      <c r="AM1601" s="362"/>
      <c r="AN1601" s="362"/>
      <c r="AO1601" s="362"/>
      <c r="AP1601" s="362"/>
      <c r="AQ1601" s="362"/>
      <c r="AR1601" s="362"/>
    </row>
    <row r="1602" spans="1:44" ht="12" customHeight="1" x14ac:dyDescent="0.15">
      <c r="A1602" s="447"/>
      <c r="B1602" s="393"/>
      <c r="C1602" s="428"/>
      <c r="D1602" s="428"/>
      <c r="E1602" s="224"/>
      <c r="F1602" s="224"/>
      <c r="G1602" s="224"/>
      <c r="H1602" s="224"/>
      <c r="I1602" s="224"/>
      <c r="J1602" s="224"/>
      <c r="Z1602" s="362"/>
      <c r="AA1602" s="362"/>
      <c r="AB1602" s="362"/>
      <c r="AC1602" s="362"/>
      <c r="AD1602" s="362"/>
      <c r="AE1602" s="362"/>
      <c r="AF1602" s="362"/>
      <c r="AG1602" s="362"/>
      <c r="AH1602" s="362"/>
      <c r="AI1602" s="360"/>
      <c r="AJ1602" s="360"/>
      <c r="AK1602" s="362"/>
      <c r="AL1602" s="362"/>
      <c r="AM1602" s="362"/>
      <c r="AN1602" s="362"/>
      <c r="AO1602" s="362"/>
      <c r="AP1602" s="362"/>
      <c r="AQ1602" s="362"/>
      <c r="AR1602" s="362"/>
    </row>
    <row r="1603" spans="1:44" ht="12" customHeight="1" x14ac:dyDescent="0.15">
      <c r="A1603" s="447"/>
      <c r="B1603" s="393"/>
      <c r="C1603" s="428"/>
      <c r="D1603" s="428"/>
      <c r="E1603" s="224"/>
      <c r="F1603" s="224"/>
      <c r="G1603" s="224"/>
      <c r="H1603" s="224"/>
      <c r="I1603" s="224"/>
      <c r="J1603" s="224"/>
      <c r="Z1603" s="362"/>
      <c r="AA1603" s="362"/>
      <c r="AB1603" s="362"/>
      <c r="AC1603" s="362"/>
      <c r="AD1603" s="362"/>
      <c r="AE1603" s="362"/>
      <c r="AF1603" s="362"/>
      <c r="AG1603" s="362"/>
      <c r="AH1603" s="362"/>
      <c r="AI1603" s="360"/>
      <c r="AJ1603" s="360"/>
      <c r="AK1603" s="362"/>
      <c r="AL1603" s="362"/>
      <c r="AM1603" s="362"/>
      <c r="AN1603" s="362"/>
      <c r="AO1603" s="362"/>
      <c r="AP1603" s="362"/>
      <c r="AQ1603" s="362"/>
      <c r="AR1603" s="362"/>
    </row>
    <row r="1604" spans="1:44" ht="12" customHeight="1" x14ac:dyDescent="0.15">
      <c r="A1604" s="447"/>
      <c r="B1604" s="393"/>
      <c r="C1604" s="428"/>
      <c r="D1604" s="428"/>
      <c r="E1604" s="224"/>
      <c r="F1604" s="224"/>
      <c r="G1604" s="224"/>
      <c r="H1604" s="224"/>
      <c r="I1604" s="224"/>
      <c r="J1604" s="224"/>
      <c r="Z1604" s="362"/>
      <c r="AA1604" s="362"/>
      <c r="AB1604" s="362"/>
      <c r="AC1604" s="362"/>
      <c r="AD1604" s="362"/>
      <c r="AE1604" s="362"/>
      <c r="AF1604" s="362"/>
      <c r="AG1604" s="362"/>
      <c r="AH1604" s="362"/>
      <c r="AI1604" s="360"/>
      <c r="AJ1604" s="360"/>
      <c r="AK1604" s="362"/>
      <c r="AL1604" s="362"/>
      <c r="AM1604" s="362"/>
      <c r="AN1604" s="362"/>
      <c r="AO1604" s="362"/>
      <c r="AP1604" s="362"/>
      <c r="AQ1604" s="362"/>
      <c r="AR1604" s="362"/>
    </row>
    <row r="1605" spans="1:44" ht="12" customHeight="1" x14ac:dyDescent="0.15">
      <c r="A1605" s="447"/>
      <c r="B1605" s="393"/>
      <c r="C1605" s="428"/>
      <c r="D1605" s="428"/>
      <c r="E1605" s="224"/>
      <c r="F1605" s="224"/>
      <c r="G1605" s="224"/>
      <c r="H1605" s="224"/>
      <c r="I1605" s="224"/>
      <c r="J1605" s="224"/>
      <c r="Z1605" s="362"/>
      <c r="AA1605" s="362"/>
      <c r="AB1605" s="362"/>
      <c r="AC1605" s="362"/>
      <c r="AD1605" s="362"/>
      <c r="AE1605" s="362"/>
      <c r="AF1605" s="362"/>
      <c r="AG1605" s="362"/>
      <c r="AH1605" s="362"/>
      <c r="AI1605" s="360"/>
      <c r="AJ1605" s="360"/>
      <c r="AK1605" s="362"/>
      <c r="AL1605" s="362"/>
      <c r="AM1605" s="362"/>
      <c r="AN1605" s="362"/>
      <c r="AO1605" s="362"/>
      <c r="AP1605" s="362"/>
      <c r="AQ1605" s="362"/>
      <c r="AR1605" s="362"/>
    </row>
    <row r="1606" spans="1:44" ht="12" customHeight="1" x14ac:dyDescent="0.15">
      <c r="A1606" s="447"/>
      <c r="B1606" s="393"/>
      <c r="C1606" s="428"/>
      <c r="D1606" s="428"/>
      <c r="E1606" s="224"/>
      <c r="F1606" s="224"/>
      <c r="G1606" s="224"/>
      <c r="H1606" s="224"/>
      <c r="I1606" s="224"/>
      <c r="J1606" s="224"/>
      <c r="Z1606" s="362"/>
      <c r="AA1606" s="362"/>
      <c r="AB1606" s="362"/>
      <c r="AC1606" s="362"/>
      <c r="AD1606" s="362"/>
      <c r="AE1606" s="362"/>
      <c r="AF1606" s="362"/>
      <c r="AG1606" s="362"/>
      <c r="AH1606" s="362"/>
      <c r="AI1606" s="360"/>
      <c r="AJ1606" s="360"/>
      <c r="AK1606" s="362"/>
      <c r="AL1606" s="362"/>
      <c r="AM1606" s="362"/>
      <c r="AN1606" s="362"/>
      <c r="AO1606" s="362"/>
      <c r="AP1606" s="362"/>
      <c r="AQ1606" s="362"/>
      <c r="AR1606" s="362"/>
    </row>
    <row r="1607" spans="1:44" ht="12" customHeight="1" x14ac:dyDescent="0.15">
      <c r="A1607" s="447"/>
      <c r="B1607" s="393"/>
      <c r="C1607" s="428"/>
      <c r="D1607" s="428"/>
      <c r="E1607" s="224"/>
      <c r="F1607" s="224"/>
      <c r="G1607" s="224"/>
      <c r="H1607" s="224"/>
      <c r="I1607" s="224"/>
      <c r="J1607" s="224"/>
      <c r="Z1607" s="362"/>
      <c r="AA1607" s="362"/>
      <c r="AB1607" s="362"/>
      <c r="AC1607" s="362"/>
      <c r="AD1607" s="362"/>
      <c r="AE1607" s="362"/>
      <c r="AF1607" s="362"/>
      <c r="AG1607" s="362"/>
      <c r="AH1607" s="362"/>
      <c r="AI1607" s="360"/>
      <c r="AJ1607" s="360"/>
      <c r="AK1607" s="362"/>
      <c r="AL1607" s="362"/>
      <c r="AM1607" s="362"/>
      <c r="AN1607" s="362"/>
      <c r="AO1607" s="362"/>
      <c r="AP1607" s="362"/>
      <c r="AQ1607" s="362"/>
      <c r="AR1607" s="362"/>
    </row>
    <row r="1608" spans="1:44" ht="12" customHeight="1" x14ac:dyDescent="0.15">
      <c r="A1608" s="447"/>
      <c r="B1608" s="393"/>
      <c r="C1608" s="428"/>
      <c r="D1608" s="428"/>
      <c r="E1608" s="224"/>
      <c r="F1608" s="224"/>
      <c r="G1608" s="224"/>
      <c r="H1608" s="224"/>
      <c r="I1608" s="224"/>
      <c r="J1608" s="224"/>
      <c r="Z1608" s="362"/>
      <c r="AA1608" s="362"/>
      <c r="AB1608" s="362"/>
      <c r="AC1608" s="362"/>
      <c r="AD1608" s="362"/>
      <c r="AE1608" s="362"/>
      <c r="AF1608" s="362"/>
      <c r="AG1608" s="362"/>
      <c r="AH1608" s="362"/>
      <c r="AI1608" s="360"/>
      <c r="AJ1608" s="360"/>
      <c r="AK1608" s="362"/>
      <c r="AL1608" s="362"/>
      <c r="AM1608" s="362"/>
      <c r="AN1608" s="362"/>
      <c r="AO1608" s="362"/>
      <c r="AP1608" s="362"/>
      <c r="AQ1608" s="362"/>
      <c r="AR1608" s="362"/>
    </row>
    <row r="1609" spans="1:44" ht="12" customHeight="1" x14ac:dyDescent="0.15">
      <c r="A1609" s="447"/>
      <c r="B1609" s="393"/>
      <c r="C1609" s="428"/>
      <c r="D1609" s="428"/>
      <c r="E1609" s="224"/>
      <c r="F1609" s="224"/>
      <c r="G1609" s="224"/>
      <c r="H1609" s="224"/>
      <c r="I1609" s="224"/>
      <c r="J1609" s="224"/>
      <c r="Z1609" s="362"/>
      <c r="AA1609" s="362"/>
      <c r="AB1609" s="362"/>
      <c r="AC1609" s="362"/>
      <c r="AD1609" s="362"/>
      <c r="AE1609" s="362"/>
      <c r="AF1609" s="362"/>
      <c r="AG1609" s="362"/>
      <c r="AH1609" s="362"/>
      <c r="AI1609" s="360"/>
      <c r="AJ1609" s="360"/>
      <c r="AK1609" s="362"/>
      <c r="AL1609" s="362"/>
      <c r="AM1609" s="362"/>
      <c r="AN1609" s="362"/>
      <c r="AO1609" s="362"/>
      <c r="AP1609" s="362"/>
      <c r="AQ1609" s="362"/>
      <c r="AR1609" s="362"/>
    </row>
    <row r="1610" spans="1:44" ht="12" customHeight="1" x14ac:dyDescent="0.15">
      <c r="A1610" s="447"/>
      <c r="B1610" s="393"/>
      <c r="C1610" s="428"/>
      <c r="D1610" s="428"/>
      <c r="E1610" s="224"/>
      <c r="F1610" s="224"/>
      <c r="G1610" s="224"/>
      <c r="H1610" s="224"/>
      <c r="I1610" s="224"/>
      <c r="J1610" s="224"/>
      <c r="Z1610" s="362"/>
      <c r="AA1610" s="362"/>
      <c r="AB1610" s="362"/>
      <c r="AC1610" s="362"/>
      <c r="AD1610" s="362"/>
      <c r="AE1610" s="362"/>
      <c r="AF1610" s="362"/>
      <c r="AG1610" s="362"/>
      <c r="AH1610" s="362"/>
      <c r="AI1610" s="360"/>
      <c r="AJ1610" s="360"/>
      <c r="AK1610" s="362"/>
      <c r="AL1610" s="362"/>
      <c r="AM1610" s="362"/>
      <c r="AN1610" s="362"/>
      <c r="AO1610" s="362"/>
      <c r="AP1610" s="362"/>
      <c r="AQ1610" s="362"/>
      <c r="AR1610" s="362"/>
    </row>
    <row r="1611" spans="1:44" ht="12" customHeight="1" x14ac:dyDescent="0.15">
      <c r="A1611" s="447"/>
      <c r="B1611" s="393"/>
      <c r="C1611" s="428"/>
      <c r="D1611" s="428"/>
      <c r="E1611" s="224"/>
      <c r="F1611" s="224"/>
      <c r="G1611" s="224"/>
      <c r="H1611" s="224"/>
      <c r="I1611" s="224"/>
      <c r="J1611" s="224"/>
      <c r="Z1611" s="362"/>
      <c r="AA1611" s="362"/>
      <c r="AB1611" s="362"/>
      <c r="AC1611" s="362"/>
      <c r="AD1611" s="362"/>
      <c r="AE1611" s="362"/>
      <c r="AF1611" s="362"/>
      <c r="AG1611" s="362"/>
      <c r="AH1611" s="362"/>
      <c r="AI1611" s="360"/>
      <c r="AJ1611" s="360"/>
      <c r="AK1611" s="362"/>
      <c r="AL1611" s="362"/>
      <c r="AM1611" s="362"/>
      <c r="AN1611" s="362"/>
      <c r="AO1611" s="362"/>
      <c r="AP1611" s="362"/>
      <c r="AQ1611" s="362"/>
      <c r="AR1611" s="362"/>
    </row>
    <row r="1612" spans="1:44" ht="12" customHeight="1" x14ac:dyDescent="0.15">
      <c r="A1612" s="447"/>
      <c r="B1612" s="393"/>
      <c r="C1612" s="428"/>
      <c r="D1612" s="428"/>
      <c r="E1612" s="224"/>
      <c r="F1612" s="224"/>
      <c r="G1612" s="224"/>
      <c r="H1612" s="224"/>
      <c r="I1612" s="224"/>
      <c r="J1612" s="224"/>
      <c r="Z1612" s="362"/>
      <c r="AA1612" s="362"/>
      <c r="AB1612" s="362"/>
      <c r="AC1612" s="362"/>
      <c r="AD1612" s="362"/>
      <c r="AE1612" s="362"/>
      <c r="AF1612" s="362"/>
      <c r="AG1612" s="362"/>
      <c r="AH1612" s="362"/>
      <c r="AI1612" s="360"/>
      <c r="AJ1612" s="360"/>
      <c r="AK1612" s="362"/>
      <c r="AL1612" s="362"/>
      <c r="AM1612" s="362"/>
      <c r="AN1612" s="362"/>
      <c r="AO1612" s="362"/>
      <c r="AP1612" s="362"/>
      <c r="AQ1612" s="362"/>
      <c r="AR1612" s="362"/>
    </row>
    <row r="1613" spans="1:44" ht="12" customHeight="1" x14ac:dyDescent="0.15">
      <c r="A1613" s="447"/>
      <c r="B1613" s="393"/>
      <c r="C1613" s="428"/>
      <c r="D1613" s="428"/>
      <c r="E1613" s="224"/>
      <c r="F1613" s="224"/>
      <c r="G1613" s="224"/>
      <c r="H1613" s="224"/>
      <c r="I1613" s="224"/>
      <c r="J1613" s="224"/>
      <c r="Z1613" s="362"/>
      <c r="AA1613" s="362"/>
      <c r="AB1613" s="362"/>
      <c r="AC1613" s="362"/>
      <c r="AD1613" s="362"/>
      <c r="AE1613" s="362"/>
      <c r="AF1613" s="362"/>
      <c r="AG1613" s="362"/>
      <c r="AH1613" s="362"/>
      <c r="AI1613" s="360"/>
      <c r="AJ1613" s="360"/>
      <c r="AK1613" s="362"/>
      <c r="AL1613" s="362"/>
      <c r="AM1613" s="362"/>
      <c r="AN1613" s="362"/>
      <c r="AO1613" s="362"/>
      <c r="AP1613" s="362"/>
      <c r="AQ1613" s="362"/>
      <c r="AR1613" s="362"/>
    </row>
    <row r="1614" spans="1:44" ht="12" customHeight="1" x14ac:dyDescent="0.15">
      <c r="A1614" s="447"/>
      <c r="B1614" s="393"/>
      <c r="C1614" s="428"/>
      <c r="D1614" s="428"/>
      <c r="E1614" s="224"/>
      <c r="F1614" s="224"/>
      <c r="G1614" s="224"/>
      <c r="H1614" s="224"/>
      <c r="I1614" s="224"/>
      <c r="J1614" s="224"/>
      <c r="Z1614" s="362"/>
      <c r="AA1614" s="362"/>
      <c r="AB1614" s="362"/>
      <c r="AC1614" s="362"/>
      <c r="AD1614" s="362"/>
      <c r="AE1614" s="362"/>
      <c r="AF1614" s="362"/>
      <c r="AG1614" s="362"/>
      <c r="AH1614" s="362"/>
      <c r="AI1614" s="360"/>
      <c r="AJ1614" s="360"/>
      <c r="AK1614" s="362"/>
      <c r="AL1614" s="362"/>
      <c r="AM1614" s="362"/>
      <c r="AN1614" s="362"/>
      <c r="AO1614" s="362"/>
      <c r="AP1614" s="362"/>
      <c r="AQ1614" s="362"/>
      <c r="AR1614" s="362"/>
    </row>
    <row r="1615" spans="1:44" ht="12" customHeight="1" x14ac:dyDescent="0.15">
      <c r="A1615" s="447"/>
      <c r="B1615" s="393"/>
      <c r="C1615" s="428"/>
      <c r="D1615" s="428"/>
      <c r="E1615" s="224"/>
      <c r="F1615" s="224"/>
      <c r="G1615" s="224"/>
      <c r="H1615" s="224"/>
      <c r="I1615" s="224"/>
      <c r="J1615" s="224"/>
      <c r="Z1615" s="362"/>
      <c r="AA1615" s="362"/>
      <c r="AB1615" s="362"/>
      <c r="AC1615" s="362"/>
      <c r="AD1615" s="362"/>
      <c r="AE1615" s="362"/>
      <c r="AF1615" s="362"/>
      <c r="AG1615" s="362"/>
      <c r="AH1615" s="362"/>
      <c r="AI1615" s="360"/>
      <c r="AJ1615" s="360"/>
      <c r="AK1615" s="362"/>
      <c r="AL1615" s="362"/>
      <c r="AM1615" s="362"/>
      <c r="AN1615" s="362"/>
      <c r="AO1615" s="362"/>
      <c r="AP1615" s="362"/>
      <c r="AQ1615" s="362"/>
      <c r="AR1615" s="362"/>
    </row>
    <row r="1616" spans="1:44" ht="12" customHeight="1" x14ac:dyDescent="0.15">
      <c r="A1616" s="447"/>
      <c r="B1616" s="393"/>
      <c r="C1616" s="428"/>
      <c r="D1616" s="428"/>
      <c r="E1616" s="224"/>
      <c r="F1616" s="224"/>
      <c r="G1616" s="224"/>
      <c r="H1616" s="224"/>
      <c r="I1616" s="224"/>
      <c r="J1616" s="224"/>
      <c r="Z1616" s="362"/>
      <c r="AA1616" s="362"/>
      <c r="AB1616" s="362"/>
      <c r="AC1616" s="362"/>
      <c r="AD1616" s="362"/>
      <c r="AE1616" s="362"/>
      <c r="AF1616" s="362"/>
      <c r="AG1616" s="362"/>
      <c r="AH1616" s="362"/>
      <c r="AI1616" s="360"/>
      <c r="AJ1616" s="360"/>
      <c r="AK1616" s="362"/>
      <c r="AL1616" s="362"/>
      <c r="AM1616" s="362"/>
      <c r="AN1616" s="362"/>
      <c r="AO1616" s="362"/>
      <c r="AP1616" s="362"/>
      <c r="AQ1616" s="362"/>
      <c r="AR1616" s="362"/>
    </row>
    <row r="1617" spans="1:44" ht="12" customHeight="1" x14ac:dyDescent="0.15">
      <c r="A1617" s="447"/>
      <c r="B1617" s="393"/>
      <c r="C1617" s="428"/>
      <c r="D1617" s="428"/>
      <c r="E1617" s="224"/>
      <c r="F1617" s="224"/>
      <c r="G1617" s="224"/>
      <c r="H1617" s="224"/>
      <c r="I1617" s="224"/>
      <c r="J1617" s="224"/>
      <c r="Z1617" s="362"/>
      <c r="AA1617" s="362"/>
      <c r="AB1617" s="362"/>
      <c r="AC1617" s="362"/>
      <c r="AD1617" s="362"/>
      <c r="AE1617" s="362"/>
      <c r="AF1617" s="362"/>
      <c r="AG1617" s="362"/>
      <c r="AH1617" s="362"/>
      <c r="AI1617" s="360"/>
      <c r="AJ1617" s="360"/>
      <c r="AK1617" s="362"/>
      <c r="AL1617" s="362"/>
      <c r="AM1617" s="362"/>
      <c r="AN1617" s="362"/>
      <c r="AO1617" s="362"/>
      <c r="AP1617" s="362"/>
      <c r="AQ1617" s="362"/>
      <c r="AR1617" s="362"/>
    </row>
    <row r="1618" spans="1:44" ht="12" customHeight="1" x14ac:dyDescent="0.15">
      <c r="A1618" s="447"/>
      <c r="B1618" s="393"/>
      <c r="C1618" s="428"/>
      <c r="D1618" s="428"/>
      <c r="E1618" s="224"/>
      <c r="F1618" s="224"/>
      <c r="G1618" s="224"/>
      <c r="H1618" s="224"/>
      <c r="I1618" s="224"/>
      <c r="J1618" s="224"/>
      <c r="Z1618" s="362"/>
      <c r="AA1618" s="362"/>
      <c r="AB1618" s="362"/>
      <c r="AC1618" s="362"/>
      <c r="AD1618" s="362"/>
      <c r="AE1618" s="362"/>
      <c r="AF1618" s="362"/>
      <c r="AG1618" s="362"/>
      <c r="AH1618" s="362"/>
      <c r="AI1618" s="360"/>
      <c r="AJ1618" s="360"/>
      <c r="AK1618" s="362"/>
      <c r="AL1618" s="362"/>
      <c r="AM1618" s="362"/>
      <c r="AN1618" s="362"/>
      <c r="AO1618" s="362"/>
      <c r="AP1618" s="362"/>
      <c r="AQ1618" s="362"/>
      <c r="AR1618" s="362"/>
    </row>
    <row r="1619" spans="1:44" ht="12" customHeight="1" x14ac:dyDescent="0.15">
      <c r="A1619" s="447"/>
      <c r="B1619" s="393"/>
      <c r="C1619" s="428"/>
      <c r="D1619" s="428"/>
      <c r="E1619" s="224"/>
      <c r="F1619" s="224"/>
      <c r="G1619" s="224"/>
      <c r="H1619" s="224"/>
      <c r="I1619" s="224"/>
      <c r="J1619" s="224"/>
      <c r="Z1619" s="362"/>
      <c r="AA1619" s="362"/>
      <c r="AB1619" s="362"/>
      <c r="AC1619" s="362"/>
      <c r="AD1619" s="362"/>
      <c r="AE1619" s="362"/>
      <c r="AF1619" s="362"/>
      <c r="AG1619" s="362"/>
      <c r="AH1619" s="362"/>
      <c r="AI1619" s="360"/>
      <c r="AJ1619" s="360"/>
      <c r="AK1619" s="362"/>
      <c r="AL1619" s="362"/>
      <c r="AM1619" s="362"/>
      <c r="AN1619" s="362"/>
      <c r="AO1619" s="362"/>
      <c r="AP1619" s="362"/>
      <c r="AQ1619" s="362"/>
      <c r="AR1619" s="362"/>
    </row>
    <row r="1620" spans="1:44" ht="12" customHeight="1" x14ac:dyDescent="0.15">
      <c r="A1620" s="447"/>
      <c r="B1620" s="393"/>
      <c r="C1620" s="428"/>
      <c r="D1620" s="428"/>
      <c r="E1620" s="224"/>
      <c r="F1620" s="224"/>
      <c r="G1620" s="224"/>
      <c r="H1620" s="224"/>
      <c r="I1620" s="224"/>
      <c r="J1620" s="224"/>
      <c r="Z1620" s="362"/>
      <c r="AA1620" s="362"/>
      <c r="AB1620" s="362"/>
      <c r="AC1620" s="362"/>
      <c r="AD1620" s="362"/>
      <c r="AE1620" s="362"/>
      <c r="AF1620" s="362"/>
      <c r="AG1620" s="362"/>
      <c r="AH1620" s="362"/>
      <c r="AI1620" s="360"/>
      <c r="AJ1620" s="360"/>
      <c r="AK1620" s="362"/>
      <c r="AL1620" s="362"/>
      <c r="AM1620" s="362"/>
      <c r="AN1620" s="362"/>
      <c r="AO1620" s="362"/>
      <c r="AP1620" s="362"/>
      <c r="AQ1620" s="362"/>
      <c r="AR1620" s="362"/>
    </row>
    <row r="1621" spans="1:44" ht="12" customHeight="1" x14ac:dyDescent="0.15">
      <c r="A1621" s="447"/>
      <c r="B1621" s="393"/>
      <c r="C1621" s="428"/>
      <c r="D1621" s="428"/>
      <c r="E1621" s="224"/>
      <c r="F1621" s="224"/>
      <c r="G1621" s="224"/>
      <c r="H1621" s="224"/>
      <c r="I1621" s="224"/>
      <c r="J1621" s="224"/>
      <c r="Z1621" s="362"/>
      <c r="AA1621" s="362"/>
      <c r="AB1621" s="362"/>
      <c r="AC1621" s="362"/>
      <c r="AD1621" s="362"/>
      <c r="AE1621" s="362"/>
      <c r="AF1621" s="362"/>
      <c r="AG1621" s="362"/>
      <c r="AH1621" s="362"/>
      <c r="AI1621" s="360"/>
      <c r="AJ1621" s="360"/>
      <c r="AK1621" s="362"/>
      <c r="AL1621" s="362"/>
      <c r="AM1621" s="362"/>
      <c r="AN1621" s="362"/>
      <c r="AO1621" s="362"/>
      <c r="AP1621" s="362"/>
      <c r="AQ1621" s="362"/>
      <c r="AR1621" s="362"/>
    </row>
    <row r="1622" spans="1:44" ht="12" customHeight="1" x14ac:dyDescent="0.15">
      <c r="A1622" s="447"/>
      <c r="B1622" s="393"/>
      <c r="C1622" s="428"/>
      <c r="D1622" s="428"/>
      <c r="E1622" s="224"/>
      <c r="F1622" s="224"/>
      <c r="G1622" s="224"/>
      <c r="H1622" s="224"/>
      <c r="I1622" s="224"/>
      <c r="J1622" s="224"/>
      <c r="Z1622" s="362"/>
      <c r="AA1622" s="362"/>
      <c r="AB1622" s="362"/>
      <c r="AC1622" s="362"/>
      <c r="AD1622" s="362"/>
      <c r="AE1622" s="362"/>
      <c r="AF1622" s="362"/>
      <c r="AG1622" s="362"/>
      <c r="AH1622" s="362"/>
      <c r="AI1622" s="360"/>
      <c r="AJ1622" s="360"/>
      <c r="AK1622" s="362"/>
      <c r="AL1622" s="362"/>
      <c r="AM1622" s="362"/>
      <c r="AN1622" s="362"/>
      <c r="AO1622" s="362"/>
      <c r="AP1622" s="362"/>
      <c r="AQ1622" s="362"/>
      <c r="AR1622" s="362"/>
    </row>
    <row r="1623" spans="1:44" ht="12" customHeight="1" x14ac:dyDescent="0.15">
      <c r="A1623" s="447"/>
      <c r="B1623" s="393"/>
      <c r="C1623" s="428"/>
      <c r="D1623" s="428"/>
      <c r="E1623" s="224"/>
      <c r="F1623" s="224"/>
      <c r="G1623" s="224"/>
      <c r="H1623" s="224"/>
      <c r="I1623" s="224"/>
      <c r="J1623" s="224"/>
      <c r="Z1623" s="362"/>
      <c r="AA1623" s="362"/>
      <c r="AB1623" s="362"/>
      <c r="AC1623" s="362"/>
      <c r="AD1623" s="362"/>
      <c r="AE1623" s="362"/>
      <c r="AF1623" s="362"/>
      <c r="AG1623" s="362"/>
      <c r="AH1623" s="362"/>
      <c r="AI1623" s="360"/>
      <c r="AJ1623" s="360"/>
      <c r="AK1623" s="362"/>
      <c r="AL1623" s="362"/>
      <c r="AM1623" s="362"/>
      <c r="AN1623" s="362"/>
      <c r="AO1623" s="362"/>
      <c r="AP1623" s="362"/>
      <c r="AQ1623" s="362"/>
      <c r="AR1623" s="362"/>
    </row>
    <row r="1624" spans="1:44" ht="12" customHeight="1" x14ac:dyDescent="0.15">
      <c r="A1624" s="447"/>
      <c r="B1624" s="393"/>
      <c r="C1624" s="428"/>
      <c r="D1624" s="428"/>
      <c r="E1624" s="224"/>
      <c r="F1624" s="224"/>
      <c r="G1624" s="224"/>
      <c r="H1624" s="224"/>
      <c r="I1624" s="224"/>
      <c r="J1624" s="224"/>
      <c r="Z1624" s="362"/>
      <c r="AA1624" s="362"/>
      <c r="AB1624" s="362"/>
      <c r="AC1624" s="362"/>
      <c r="AD1624" s="362"/>
      <c r="AE1624" s="362"/>
      <c r="AF1624" s="362"/>
      <c r="AG1624" s="362"/>
      <c r="AH1624" s="362"/>
      <c r="AI1624" s="360"/>
      <c r="AJ1624" s="360"/>
      <c r="AK1624" s="362"/>
      <c r="AL1624" s="362"/>
      <c r="AM1624" s="362"/>
      <c r="AN1624" s="362"/>
      <c r="AO1624" s="362"/>
      <c r="AP1624" s="362"/>
      <c r="AQ1624" s="362"/>
      <c r="AR1624" s="362"/>
    </row>
    <row r="1625" spans="1:44" ht="12" customHeight="1" x14ac:dyDescent="0.15">
      <c r="A1625" s="447"/>
      <c r="B1625" s="393"/>
      <c r="C1625" s="428"/>
      <c r="D1625" s="428"/>
      <c r="E1625" s="224"/>
      <c r="F1625" s="224"/>
      <c r="G1625" s="224"/>
      <c r="H1625" s="224"/>
      <c r="I1625" s="224"/>
      <c r="J1625" s="224"/>
      <c r="Z1625" s="362"/>
      <c r="AA1625" s="362"/>
      <c r="AB1625" s="362"/>
      <c r="AC1625" s="362"/>
      <c r="AD1625" s="362"/>
      <c r="AE1625" s="362"/>
      <c r="AF1625" s="362"/>
      <c r="AG1625" s="362"/>
      <c r="AH1625" s="362"/>
      <c r="AI1625" s="360"/>
      <c r="AJ1625" s="360"/>
      <c r="AK1625" s="362"/>
      <c r="AL1625" s="362"/>
      <c r="AM1625" s="362"/>
      <c r="AN1625" s="362"/>
      <c r="AO1625" s="362"/>
      <c r="AP1625" s="362"/>
      <c r="AQ1625" s="362"/>
      <c r="AR1625" s="362"/>
    </row>
    <row r="1626" spans="1:44" ht="12" customHeight="1" x14ac:dyDescent="0.15">
      <c r="A1626" s="447"/>
      <c r="B1626" s="393"/>
      <c r="C1626" s="428"/>
      <c r="D1626" s="428"/>
      <c r="E1626" s="224"/>
      <c r="F1626" s="224"/>
      <c r="G1626" s="224"/>
      <c r="H1626" s="224"/>
      <c r="I1626" s="224"/>
      <c r="J1626" s="224"/>
      <c r="Z1626" s="362"/>
      <c r="AA1626" s="362"/>
      <c r="AB1626" s="362"/>
      <c r="AC1626" s="362"/>
      <c r="AD1626" s="362"/>
      <c r="AE1626" s="362"/>
      <c r="AF1626" s="362"/>
      <c r="AG1626" s="362"/>
      <c r="AH1626" s="362"/>
      <c r="AI1626" s="360"/>
      <c r="AJ1626" s="360"/>
      <c r="AK1626" s="362"/>
      <c r="AL1626" s="362"/>
      <c r="AM1626" s="362"/>
      <c r="AN1626" s="362"/>
      <c r="AO1626" s="362"/>
      <c r="AP1626" s="362"/>
      <c r="AQ1626" s="362"/>
      <c r="AR1626" s="362"/>
    </row>
    <row r="1627" spans="1:44" ht="12" customHeight="1" x14ac:dyDescent="0.15">
      <c r="A1627" s="447"/>
      <c r="B1627" s="393"/>
      <c r="C1627" s="428"/>
      <c r="D1627" s="428"/>
      <c r="E1627" s="224"/>
      <c r="F1627" s="224"/>
      <c r="G1627" s="224"/>
      <c r="H1627" s="224"/>
      <c r="I1627" s="224"/>
      <c r="J1627" s="224"/>
      <c r="Z1627" s="362"/>
      <c r="AA1627" s="362"/>
      <c r="AB1627" s="362"/>
      <c r="AC1627" s="362"/>
      <c r="AD1627" s="362"/>
      <c r="AE1627" s="362"/>
      <c r="AF1627" s="362"/>
      <c r="AG1627" s="362"/>
      <c r="AH1627" s="362"/>
      <c r="AI1627" s="360"/>
      <c r="AJ1627" s="360"/>
      <c r="AK1627" s="362"/>
      <c r="AL1627" s="362"/>
      <c r="AM1627" s="362"/>
      <c r="AN1627" s="362"/>
      <c r="AO1627" s="362"/>
      <c r="AP1627" s="362"/>
      <c r="AQ1627" s="362"/>
      <c r="AR1627" s="362"/>
    </row>
    <row r="1628" spans="1:44" ht="12" customHeight="1" x14ac:dyDescent="0.15">
      <c r="A1628" s="447"/>
      <c r="B1628" s="393"/>
      <c r="C1628" s="428"/>
      <c r="D1628" s="428"/>
      <c r="E1628" s="224"/>
      <c r="F1628" s="224"/>
      <c r="G1628" s="224"/>
      <c r="H1628" s="224"/>
      <c r="I1628" s="224"/>
      <c r="J1628" s="224"/>
      <c r="Z1628" s="362"/>
      <c r="AA1628" s="362"/>
      <c r="AB1628" s="362"/>
      <c r="AC1628" s="362"/>
      <c r="AD1628" s="362"/>
      <c r="AE1628" s="362"/>
      <c r="AF1628" s="362"/>
      <c r="AG1628" s="362"/>
      <c r="AH1628" s="362"/>
      <c r="AI1628" s="360"/>
      <c r="AJ1628" s="360"/>
      <c r="AK1628" s="362"/>
      <c r="AL1628" s="362"/>
      <c r="AM1628" s="362"/>
      <c r="AN1628" s="362"/>
      <c r="AO1628" s="362"/>
      <c r="AP1628" s="362"/>
      <c r="AQ1628" s="362"/>
      <c r="AR1628" s="362"/>
    </row>
    <row r="1629" spans="1:44" ht="12" customHeight="1" x14ac:dyDescent="0.15">
      <c r="A1629" s="447"/>
      <c r="B1629" s="393"/>
      <c r="C1629" s="428"/>
      <c r="D1629" s="428"/>
      <c r="E1629" s="224"/>
      <c r="F1629" s="224"/>
      <c r="G1629" s="224"/>
      <c r="H1629" s="224"/>
      <c r="I1629" s="224"/>
      <c r="J1629" s="224"/>
      <c r="Z1629" s="362"/>
      <c r="AA1629" s="362"/>
      <c r="AB1629" s="362"/>
      <c r="AC1629" s="362"/>
      <c r="AD1629" s="362"/>
      <c r="AE1629" s="362"/>
      <c r="AF1629" s="362"/>
      <c r="AG1629" s="362"/>
      <c r="AH1629" s="362"/>
      <c r="AI1629" s="360"/>
      <c r="AJ1629" s="360"/>
      <c r="AK1629" s="362"/>
      <c r="AL1629" s="362"/>
      <c r="AM1629" s="362"/>
      <c r="AN1629" s="362"/>
      <c r="AO1629" s="362"/>
      <c r="AP1629" s="362"/>
      <c r="AQ1629" s="362"/>
      <c r="AR1629" s="362"/>
    </row>
    <row r="1630" spans="1:44" ht="12" customHeight="1" x14ac:dyDescent="0.15">
      <c r="A1630" s="447"/>
      <c r="B1630" s="393"/>
      <c r="C1630" s="428"/>
      <c r="D1630" s="428"/>
      <c r="E1630" s="224"/>
      <c r="F1630" s="224"/>
      <c r="G1630" s="224"/>
      <c r="H1630" s="224"/>
      <c r="I1630" s="224"/>
      <c r="J1630" s="224"/>
      <c r="Z1630" s="362"/>
      <c r="AA1630" s="362"/>
      <c r="AB1630" s="362"/>
      <c r="AC1630" s="362"/>
      <c r="AD1630" s="362"/>
      <c r="AE1630" s="362"/>
      <c r="AF1630" s="362"/>
      <c r="AG1630" s="362"/>
      <c r="AH1630" s="362"/>
      <c r="AI1630" s="360"/>
      <c r="AJ1630" s="360"/>
      <c r="AK1630" s="362"/>
      <c r="AL1630" s="362"/>
      <c r="AM1630" s="362"/>
      <c r="AN1630" s="362"/>
      <c r="AO1630" s="362"/>
      <c r="AP1630" s="362"/>
      <c r="AQ1630" s="362"/>
      <c r="AR1630" s="362"/>
    </row>
    <row r="1631" spans="1:44" ht="12" customHeight="1" x14ac:dyDescent="0.15">
      <c r="A1631" s="447"/>
      <c r="B1631" s="393"/>
      <c r="C1631" s="428"/>
      <c r="D1631" s="428"/>
      <c r="E1631" s="224"/>
      <c r="F1631" s="224"/>
      <c r="G1631" s="224"/>
      <c r="H1631" s="224"/>
      <c r="I1631" s="224"/>
      <c r="J1631" s="224"/>
      <c r="Z1631" s="362"/>
      <c r="AA1631" s="362"/>
      <c r="AB1631" s="362"/>
      <c r="AC1631" s="362"/>
      <c r="AD1631" s="362"/>
      <c r="AE1631" s="362"/>
      <c r="AF1631" s="362"/>
      <c r="AG1631" s="362"/>
      <c r="AH1631" s="362"/>
      <c r="AI1631" s="360"/>
      <c r="AJ1631" s="360"/>
      <c r="AK1631" s="362"/>
      <c r="AL1631" s="362"/>
      <c r="AM1631" s="362"/>
      <c r="AN1631" s="362"/>
      <c r="AO1631" s="362"/>
      <c r="AP1631" s="362"/>
      <c r="AQ1631" s="362"/>
      <c r="AR1631" s="362"/>
    </row>
    <row r="1632" spans="1:44" ht="12" customHeight="1" x14ac:dyDescent="0.15">
      <c r="A1632" s="447"/>
      <c r="B1632" s="393"/>
      <c r="C1632" s="428"/>
      <c r="D1632" s="428"/>
      <c r="E1632" s="224"/>
      <c r="F1632" s="224"/>
      <c r="G1632" s="224"/>
      <c r="H1632" s="224"/>
      <c r="I1632" s="224"/>
      <c r="J1632" s="224"/>
      <c r="Z1632" s="362"/>
      <c r="AA1632" s="362"/>
      <c r="AB1632" s="362"/>
      <c r="AC1632" s="362"/>
      <c r="AD1632" s="362"/>
      <c r="AE1632" s="362"/>
      <c r="AF1632" s="362"/>
      <c r="AG1632" s="362"/>
      <c r="AH1632" s="362"/>
      <c r="AI1632" s="360"/>
      <c r="AJ1632" s="360"/>
      <c r="AK1632" s="362"/>
      <c r="AL1632" s="362"/>
      <c r="AM1632" s="362"/>
      <c r="AN1632" s="362"/>
      <c r="AO1632" s="362"/>
      <c r="AP1632" s="362"/>
      <c r="AQ1632" s="362"/>
      <c r="AR1632" s="362"/>
    </row>
    <row r="1633" spans="1:44" ht="12" customHeight="1" x14ac:dyDescent="0.15">
      <c r="A1633" s="447"/>
      <c r="B1633" s="393"/>
      <c r="C1633" s="428"/>
      <c r="D1633" s="428"/>
      <c r="E1633" s="224"/>
      <c r="F1633" s="224"/>
      <c r="G1633" s="224"/>
      <c r="H1633" s="224"/>
      <c r="I1633" s="224"/>
      <c r="J1633" s="224"/>
      <c r="Z1633" s="362"/>
      <c r="AA1633" s="362"/>
      <c r="AB1633" s="362"/>
      <c r="AC1633" s="362"/>
      <c r="AD1633" s="362"/>
      <c r="AE1633" s="362"/>
      <c r="AF1633" s="362"/>
      <c r="AG1633" s="362"/>
      <c r="AH1633" s="362"/>
      <c r="AI1633" s="360"/>
      <c r="AJ1633" s="360"/>
      <c r="AK1633" s="362"/>
      <c r="AL1633" s="362"/>
      <c r="AM1633" s="362"/>
      <c r="AN1633" s="362"/>
      <c r="AO1633" s="362"/>
      <c r="AP1633" s="362"/>
      <c r="AQ1633" s="362"/>
      <c r="AR1633" s="362"/>
    </row>
    <row r="1634" spans="1:44" ht="12" customHeight="1" x14ac:dyDescent="0.15">
      <c r="A1634" s="447"/>
      <c r="B1634" s="393"/>
      <c r="C1634" s="428"/>
      <c r="D1634" s="428"/>
      <c r="E1634" s="224"/>
      <c r="F1634" s="224"/>
      <c r="G1634" s="224"/>
      <c r="H1634" s="224"/>
      <c r="I1634" s="224"/>
      <c r="J1634" s="224"/>
      <c r="Z1634" s="362"/>
      <c r="AA1634" s="362"/>
      <c r="AB1634" s="362"/>
      <c r="AC1634" s="362"/>
      <c r="AD1634" s="362"/>
      <c r="AE1634" s="362"/>
      <c r="AF1634" s="362"/>
      <c r="AG1634" s="362"/>
      <c r="AH1634" s="362"/>
      <c r="AI1634" s="360"/>
      <c r="AJ1634" s="360"/>
      <c r="AK1634" s="362"/>
      <c r="AL1634" s="362"/>
      <c r="AM1634" s="362"/>
      <c r="AN1634" s="362"/>
      <c r="AO1634" s="362"/>
      <c r="AP1634" s="362"/>
      <c r="AQ1634" s="362"/>
      <c r="AR1634" s="362"/>
    </row>
    <row r="1635" spans="1:44" ht="12" customHeight="1" x14ac:dyDescent="0.15">
      <c r="A1635" s="447"/>
      <c r="B1635" s="393"/>
      <c r="C1635" s="428"/>
      <c r="D1635" s="428"/>
      <c r="E1635" s="224"/>
      <c r="F1635" s="224"/>
      <c r="G1635" s="224"/>
      <c r="H1635" s="224"/>
      <c r="I1635" s="224"/>
      <c r="J1635" s="224"/>
      <c r="Z1635" s="362"/>
      <c r="AA1635" s="362"/>
      <c r="AB1635" s="362"/>
      <c r="AC1635" s="362"/>
      <c r="AD1635" s="362"/>
      <c r="AE1635" s="362"/>
      <c r="AF1635" s="362"/>
      <c r="AG1635" s="362"/>
      <c r="AH1635" s="362"/>
      <c r="AI1635" s="360"/>
      <c r="AJ1635" s="360"/>
      <c r="AK1635" s="362"/>
      <c r="AL1635" s="362"/>
      <c r="AM1635" s="362"/>
      <c r="AN1635" s="362"/>
      <c r="AO1635" s="362"/>
      <c r="AP1635" s="362"/>
      <c r="AQ1635" s="362"/>
      <c r="AR1635" s="362"/>
    </row>
    <row r="1636" spans="1:44" ht="12" customHeight="1" x14ac:dyDescent="0.15">
      <c r="A1636" s="447"/>
      <c r="B1636" s="393"/>
      <c r="C1636" s="428"/>
      <c r="D1636" s="428"/>
      <c r="E1636" s="224"/>
      <c r="F1636" s="224"/>
      <c r="G1636" s="224"/>
      <c r="H1636" s="224"/>
      <c r="I1636" s="224"/>
      <c r="J1636" s="224"/>
      <c r="Z1636" s="362"/>
      <c r="AA1636" s="362"/>
      <c r="AB1636" s="362"/>
      <c r="AC1636" s="362"/>
      <c r="AD1636" s="362"/>
      <c r="AE1636" s="362"/>
      <c r="AF1636" s="362"/>
      <c r="AG1636" s="362"/>
      <c r="AH1636" s="362"/>
      <c r="AI1636" s="360"/>
      <c r="AJ1636" s="360"/>
      <c r="AK1636" s="362"/>
      <c r="AL1636" s="362"/>
      <c r="AM1636" s="362"/>
      <c r="AN1636" s="362"/>
      <c r="AO1636" s="362"/>
      <c r="AP1636" s="362"/>
      <c r="AQ1636" s="362"/>
      <c r="AR1636" s="362"/>
    </row>
    <row r="1637" spans="1:44" ht="12" customHeight="1" x14ac:dyDescent="0.15">
      <c r="A1637" s="447"/>
      <c r="B1637" s="393"/>
      <c r="C1637" s="428"/>
      <c r="D1637" s="428"/>
      <c r="E1637" s="224"/>
      <c r="F1637" s="224"/>
      <c r="G1637" s="224"/>
      <c r="H1637" s="224"/>
      <c r="I1637" s="224"/>
      <c r="J1637" s="224"/>
      <c r="Z1637" s="362"/>
      <c r="AA1637" s="362"/>
      <c r="AB1637" s="362"/>
      <c r="AC1637" s="362"/>
      <c r="AD1637" s="362"/>
      <c r="AE1637" s="362"/>
      <c r="AF1637" s="362"/>
      <c r="AG1637" s="362"/>
      <c r="AH1637" s="362"/>
      <c r="AI1637" s="360"/>
      <c r="AJ1637" s="360"/>
      <c r="AK1637" s="362"/>
      <c r="AL1637" s="362"/>
      <c r="AM1637" s="362"/>
      <c r="AN1637" s="362"/>
      <c r="AO1637" s="362"/>
      <c r="AP1637" s="362"/>
      <c r="AQ1637" s="362"/>
      <c r="AR1637" s="362"/>
    </row>
    <row r="1638" spans="1:44" ht="12" customHeight="1" x14ac:dyDescent="0.15">
      <c r="A1638" s="447"/>
      <c r="B1638" s="393"/>
      <c r="C1638" s="428"/>
      <c r="D1638" s="428"/>
      <c r="E1638" s="224"/>
      <c r="F1638" s="224"/>
      <c r="G1638" s="224"/>
      <c r="H1638" s="224"/>
      <c r="I1638" s="224"/>
      <c r="J1638" s="224"/>
      <c r="Z1638" s="362"/>
      <c r="AA1638" s="362"/>
      <c r="AB1638" s="362"/>
      <c r="AC1638" s="362"/>
      <c r="AD1638" s="362"/>
      <c r="AE1638" s="362"/>
      <c r="AF1638" s="362"/>
      <c r="AG1638" s="362"/>
      <c r="AH1638" s="362"/>
      <c r="AI1638" s="360"/>
      <c r="AJ1638" s="360"/>
      <c r="AK1638" s="362"/>
      <c r="AL1638" s="362"/>
      <c r="AM1638" s="362"/>
      <c r="AN1638" s="362"/>
      <c r="AO1638" s="362"/>
      <c r="AP1638" s="362"/>
      <c r="AQ1638" s="362"/>
      <c r="AR1638" s="362"/>
    </row>
    <row r="1639" spans="1:44" ht="12" customHeight="1" x14ac:dyDescent="0.15">
      <c r="A1639" s="447"/>
      <c r="B1639" s="393"/>
      <c r="C1639" s="428"/>
      <c r="D1639" s="428"/>
      <c r="E1639" s="224"/>
      <c r="F1639" s="224"/>
      <c r="G1639" s="224"/>
      <c r="H1639" s="224"/>
      <c r="I1639" s="224"/>
      <c r="J1639" s="224"/>
      <c r="Z1639" s="362"/>
      <c r="AA1639" s="362"/>
      <c r="AB1639" s="362"/>
      <c r="AC1639" s="362"/>
      <c r="AD1639" s="362"/>
      <c r="AE1639" s="362"/>
      <c r="AF1639" s="362"/>
      <c r="AG1639" s="362"/>
      <c r="AH1639" s="362"/>
      <c r="AI1639" s="360"/>
      <c r="AJ1639" s="360"/>
      <c r="AK1639" s="362"/>
      <c r="AL1639" s="362"/>
      <c r="AM1639" s="362"/>
      <c r="AN1639" s="362"/>
      <c r="AO1639" s="362"/>
      <c r="AP1639" s="362"/>
      <c r="AQ1639" s="362"/>
      <c r="AR1639" s="362"/>
    </row>
    <row r="1640" spans="1:44" ht="12" customHeight="1" x14ac:dyDescent="0.15">
      <c r="A1640" s="447"/>
      <c r="B1640" s="393"/>
      <c r="C1640" s="428"/>
      <c r="D1640" s="428"/>
      <c r="E1640" s="224"/>
      <c r="F1640" s="224"/>
      <c r="G1640" s="224"/>
      <c r="H1640" s="224"/>
      <c r="I1640" s="224"/>
      <c r="J1640" s="224"/>
      <c r="Z1640" s="362"/>
      <c r="AA1640" s="362"/>
      <c r="AB1640" s="362"/>
      <c r="AC1640" s="362"/>
      <c r="AD1640" s="362"/>
      <c r="AE1640" s="362"/>
      <c r="AF1640" s="362"/>
      <c r="AG1640" s="362"/>
      <c r="AH1640" s="362"/>
      <c r="AI1640" s="360"/>
      <c r="AJ1640" s="360"/>
      <c r="AK1640" s="362"/>
      <c r="AL1640" s="362"/>
      <c r="AM1640" s="362"/>
      <c r="AN1640" s="362"/>
      <c r="AO1640" s="362"/>
      <c r="AP1640" s="362"/>
      <c r="AQ1640" s="362"/>
      <c r="AR1640" s="362"/>
    </row>
    <row r="1641" spans="1:44" ht="12" customHeight="1" x14ac:dyDescent="0.15">
      <c r="A1641" s="447"/>
      <c r="B1641" s="393"/>
      <c r="C1641" s="428"/>
      <c r="D1641" s="428"/>
      <c r="E1641" s="224"/>
      <c r="F1641" s="224"/>
      <c r="G1641" s="224"/>
      <c r="H1641" s="224"/>
      <c r="I1641" s="224"/>
      <c r="J1641" s="224"/>
      <c r="Z1641" s="362"/>
      <c r="AA1641" s="362"/>
      <c r="AB1641" s="362"/>
      <c r="AC1641" s="362"/>
      <c r="AD1641" s="362"/>
      <c r="AE1641" s="362"/>
      <c r="AF1641" s="362"/>
      <c r="AG1641" s="362"/>
      <c r="AH1641" s="362"/>
      <c r="AI1641" s="360"/>
      <c r="AJ1641" s="360"/>
      <c r="AK1641" s="362"/>
      <c r="AL1641" s="362"/>
      <c r="AM1641" s="362"/>
      <c r="AN1641" s="362"/>
      <c r="AO1641" s="362"/>
      <c r="AP1641" s="362"/>
      <c r="AQ1641" s="362"/>
      <c r="AR1641" s="362"/>
    </row>
    <row r="1642" spans="1:44" ht="12" customHeight="1" x14ac:dyDescent="0.15">
      <c r="A1642" s="447"/>
      <c r="B1642" s="393"/>
      <c r="C1642" s="428"/>
      <c r="D1642" s="428"/>
      <c r="E1642" s="224"/>
      <c r="F1642" s="224"/>
      <c r="G1642" s="224"/>
      <c r="H1642" s="224"/>
      <c r="I1642" s="224"/>
      <c r="J1642" s="224"/>
      <c r="Z1642" s="362"/>
      <c r="AA1642" s="362"/>
      <c r="AB1642" s="362"/>
      <c r="AC1642" s="362"/>
      <c r="AD1642" s="362"/>
      <c r="AE1642" s="362"/>
      <c r="AF1642" s="362"/>
      <c r="AG1642" s="362"/>
      <c r="AH1642" s="362"/>
      <c r="AI1642" s="360"/>
      <c r="AJ1642" s="360"/>
      <c r="AK1642" s="362"/>
      <c r="AL1642" s="362"/>
      <c r="AM1642" s="362"/>
      <c r="AN1642" s="362"/>
      <c r="AO1642" s="362"/>
      <c r="AP1642" s="362"/>
      <c r="AQ1642" s="362"/>
      <c r="AR1642" s="362"/>
    </row>
    <row r="1643" spans="1:44" ht="12" customHeight="1" x14ac:dyDescent="0.15">
      <c r="A1643" s="447"/>
      <c r="B1643" s="393"/>
      <c r="C1643" s="428"/>
      <c r="D1643" s="428"/>
      <c r="E1643" s="224"/>
      <c r="F1643" s="224"/>
      <c r="G1643" s="224"/>
      <c r="H1643" s="224"/>
      <c r="I1643" s="224"/>
      <c r="J1643" s="224"/>
      <c r="Z1643" s="362"/>
      <c r="AA1643" s="362"/>
      <c r="AB1643" s="362"/>
      <c r="AC1643" s="362"/>
      <c r="AD1643" s="362"/>
      <c r="AE1643" s="362"/>
      <c r="AF1643" s="362"/>
      <c r="AG1643" s="362"/>
      <c r="AH1643" s="362"/>
      <c r="AI1643" s="360"/>
      <c r="AJ1643" s="360"/>
      <c r="AK1643" s="362"/>
      <c r="AL1643" s="362"/>
      <c r="AM1643" s="362"/>
      <c r="AN1643" s="362"/>
      <c r="AO1643" s="362"/>
      <c r="AP1643" s="362"/>
      <c r="AQ1643" s="362"/>
      <c r="AR1643" s="362"/>
    </row>
    <row r="1644" spans="1:44" ht="12" customHeight="1" x14ac:dyDescent="0.15">
      <c r="A1644" s="447"/>
      <c r="B1644" s="393"/>
      <c r="C1644" s="428"/>
      <c r="D1644" s="428"/>
      <c r="E1644" s="224"/>
      <c r="F1644" s="224"/>
      <c r="G1644" s="224"/>
      <c r="H1644" s="224"/>
      <c r="I1644" s="224"/>
      <c r="J1644" s="224"/>
      <c r="Z1644" s="362"/>
      <c r="AA1644" s="362"/>
      <c r="AB1644" s="362"/>
      <c r="AC1644" s="362"/>
      <c r="AD1644" s="362"/>
      <c r="AE1644" s="362"/>
      <c r="AF1644" s="362"/>
      <c r="AG1644" s="362"/>
      <c r="AH1644" s="362"/>
      <c r="AI1644" s="360"/>
      <c r="AJ1644" s="360"/>
      <c r="AK1644" s="362"/>
      <c r="AL1644" s="362"/>
      <c r="AM1644" s="362"/>
      <c r="AN1644" s="362"/>
      <c r="AO1644" s="362"/>
      <c r="AP1644" s="362"/>
      <c r="AQ1644" s="362"/>
      <c r="AR1644" s="362"/>
    </row>
    <row r="1645" spans="1:44" ht="12" customHeight="1" x14ac:dyDescent="0.15">
      <c r="A1645" s="447"/>
      <c r="B1645" s="393"/>
      <c r="C1645" s="428"/>
      <c r="D1645" s="428"/>
      <c r="E1645" s="224"/>
      <c r="F1645" s="224"/>
      <c r="G1645" s="224"/>
      <c r="H1645" s="224"/>
      <c r="I1645" s="224"/>
      <c r="J1645" s="224"/>
      <c r="Z1645" s="362"/>
      <c r="AA1645" s="362"/>
      <c r="AB1645" s="362"/>
      <c r="AC1645" s="362"/>
      <c r="AD1645" s="362"/>
      <c r="AE1645" s="362"/>
      <c r="AF1645" s="362"/>
      <c r="AG1645" s="362"/>
      <c r="AH1645" s="362"/>
      <c r="AI1645" s="360"/>
      <c r="AJ1645" s="360"/>
      <c r="AK1645" s="362"/>
      <c r="AL1645" s="362"/>
      <c r="AM1645" s="362"/>
      <c r="AN1645" s="362"/>
      <c r="AO1645" s="362"/>
      <c r="AP1645" s="362"/>
      <c r="AQ1645" s="362"/>
      <c r="AR1645" s="362"/>
    </row>
    <row r="1646" spans="1:44" ht="12" customHeight="1" x14ac:dyDescent="0.15">
      <c r="A1646" s="447"/>
      <c r="B1646" s="393"/>
      <c r="C1646" s="428"/>
      <c r="D1646" s="428"/>
      <c r="E1646" s="224"/>
      <c r="F1646" s="224"/>
      <c r="G1646" s="224"/>
      <c r="H1646" s="224"/>
      <c r="I1646" s="224"/>
      <c r="J1646" s="224"/>
      <c r="Z1646" s="362"/>
      <c r="AA1646" s="362"/>
      <c r="AB1646" s="362"/>
      <c r="AC1646" s="362"/>
      <c r="AD1646" s="362"/>
      <c r="AE1646" s="362"/>
      <c r="AF1646" s="362"/>
      <c r="AG1646" s="362"/>
      <c r="AH1646" s="362"/>
      <c r="AI1646" s="360"/>
      <c r="AJ1646" s="360"/>
      <c r="AK1646" s="362"/>
      <c r="AL1646" s="362"/>
      <c r="AM1646" s="362"/>
      <c r="AN1646" s="362"/>
      <c r="AO1646" s="362"/>
      <c r="AP1646" s="362"/>
      <c r="AQ1646" s="362"/>
      <c r="AR1646" s="362"/>
    </row>
    <row r="1647" spans="1:44" ht="12" customHeight="1" x14ac:dyDescent="0.15">
      <c r="A1647" s="447"/>
      <c r="B1647" s="393"/>
      <c r="C1647" s="428"/>
      <c r="D1647" s="428"/>
      <c r="E1647" s="224"/>
      <c r="F1647" s="224"/>
      <c r="G1647" s="224"/>
      <c r="H1647" s="224"/>
      <c r="I1647" s="224"/>
      <c r="J1647" s="224"/>
      <c r="Z1647" s="362"/>
      <c r="AA1647" s="362"/>
      <c r="AB1647" s="362"/>
      <c r="AC1647" s="362"/>
      <c r="AD1647" s="362"/>
      <c r="AE1647" s="362"/>
      <c r="AF1647" s="362"/>
      <c r="AG1647" s="362"/>
      <c r="AH1647" s="362"/>
      <c r="AI1647" s="360"/>
      <c r="AJ1647" s="360"/>
      <c r="AK1647" s="362"/>
      <c r="AL1647" s="362"/>
      <c r="AM1647" s="362"/>
      <c r="AN1647" s="362"/>
      <c r="AO1647" s="362"/>
      <c r="AP1647" s="362"/>
      <c r="AQ1647" s="362"/>
      <c r="AR1647" s="362"/>
    </row>
    <row r="1648" spans="1:44" ht="12" customHeight="1" x14ac:dyDescent="0.15">
      <c r="A1648" s="447"/>
      <c r="B1648" s="393"/>
      <c r="C1648" s="428"/>
      <c r="D1648" s="428"/>
      <c r="E1648" s="224"/>
      <c r="F1648" s="224"/>
      <c r="G1648" s="224"/>
      <c r="H1648" s="224"/>
      <c r="I1648" s="224"/>
      <c r="J1648" s="224"/>
      <c r="Z1648" s="362"/>
      <c r="AA1648" s="362"/>
      <c r="AB1648" s="362"/>
      <c r="AC1648" s="362"/>
      <c r="AD1648" s="362"/>
      <c r="AE1648" s="362"/>
      <c r="AF1648" s="362"/>
      <c r="AG1648" s="362"/>
      <c r="AH1648" s="362"/>
      <c r="AI1648" s="360"/>
      <c r="AJ1648" s="360"/>
      <c r="AK1648" s="362"/>
      <c r="AL1648" s="362"/>
      <c r="AM1648" s="362"/>
      <c r="AN1648" s="362"/>
      <c r="AO1648" s="362"/>
      <c r="AP1648" s="362"/>
      <c r="AQ1648" s="362"/>
      <c r="AR1648" s="362"/>
    </row>
    <row r="1649" spans="1:44" ht="12" customHeight="1" x14ac:dyDescent="0.15">
      <c r="A1649" s="447"/>
      <c r="B1649" s="393"/>
      <c r="C1649" s="428"/>
      <c r="D1649" s="428"/>
      <c r="E1649" s="224"/>
      <c r="F1649" s="224"/>
      <c r="G1649" s="224"/>
      <c r="H1649" s="224"/>
      <c r="I1649" s="224"/>
      <c r="J1649" s="224"/>
      <c r="Z1649" s="362"/>
      <c r="AA1649" s="362"/>
      <c r="AB1649" s="362"/>
      <c r="AC1649" s="362"/>
      <c r="AD1649" s="362"/>
      <c r="AE1649" s="362"/>
      <c r="AF1649" s="362"/>
      <c r="AG1649" s="362"/>
      <c r="AH1649" s="362"/>
      <c r="AI1649" s="360"/>
      <c r="AJ1649" s="360"/>
      <c r="AK1649" s="362"/>
      <c r="AL1649" s="362"/>
      <c r="AM1649" s="362"/>
      <c r="AN1649" s="362"/>
      <c r="AO1649" s="362"/>
      <c r="AP1649" s="362"/>
      <c r="AQ1649" s="362"/>
      <c r="AR1649" s="362"/>
    </row>
    <row r="1650" spans="1:44" ht="12" customHeight="1" x14ac:dyDescent="0.15">
      <c r="A1650" s="447"/>
      <c r="B1650" s="393"/>
      <c r="C1650" s="428"/>
      <c r="D1650" s="428"/>
      <c r="E1650" s="224"/>
      <c r="F1650" s="224"/>
      <c r="G1650" s="224"/>
      <c r="H1650" s="224"/>
      <c r="I1650" s="224"/>
      <c r="J1650" s="224"/>
      <c r="Z1650" s="362"/>
      <c r="AA1650" s="362"/>
      <c r="AB1650" s="362"/>
      <c r="AC1650" s="362"/>
      <c r="AD1650" s="362"/>
      <c r="AE1650" s="362"/>
      <c r="AF1650" s="362"/>
      <c r="AG1650" s="362"/>
      <c r="AH1650" s="362"/>
      <c r="AI1650" s="360"/>
      <c r="AJ1650" s="360"/>
      <c r="AK1650" s="362"/>
      <c r="AL1650" s="362"/>
      <c r="AM1650" s="362"/>
      <c r="AN1650" s="362"/>
      <c r="AO1650" s="362"/>
      <c r="AP1650" s="362"/>
      <c r="AQ1650" s="362"/>
      <c r="AR1650" s="362"/>
    </row>
    <row r="1651" spans="1:44" ht="12" customHeight="1" x14ac:dyDescent="0.15">
      <c r="A1651" s="447"/>
      <c r="B1651" s="393"/>
      <c r="C1651" s="428"/>
      <c r="D1651" s="428"/>
      <c r="E1651" s="224"/>
      <c r="F1651" s="224"/>
      <c r="G1651" s="224"/>
      <c r="H1651" s="224"/>
      <c r="I1651" s="224"/>
      <c r="J1651" s="224"/>
      <c r="Z1651" s="362"/>
      <c r="AA1651" s="362"/>
      <c r="AB1651" s="362"/>
      <c r="AC1651" s="362"/>
      <c r="AD1651" s="362"/>
      <c r="AE1651" s="362"/>
      <c r="AF1651" s="362"/>
      <c r="AG1651" s="362"/>
      <c r="AH1651" s="362"/>
      <c r="AI1651" s="360"/>
      <c r="AJ1651" s="360"/>
      <c r="AK1651" s="362"/>
      <c r="AL1651" s="362"/>
      <c r="AM1651" s="362"/>
      <c r="AN1651" s="362"/>
      <c r="AO1651" s="362"/>
      <c r="AP1651" s="362"/>
      <c r="AQ1651" s="362"/>
      <c r="AR1651" s="362"/>
    </row>
    <row r="1652" spans="1:44" ht="12" customHeight="1" x14ac:dyDescent="0.15">
      <c r="A1652" s="447"/>
      <c r="B1652" s="393"/>
      <c r="C1652" s="428"/>
      <c r="D1652" s="428"/>
      <c r="E1652" s="224"/>
      <c r="F1652" s="224"/>
      <c r="G1652" s="224"/>
      <c r="H1652" s="224"/>
      <c r="I1652" s="224"/>
      <c r="J1652" s="224"/>
      <c r="Z1652" s="362"/>
      <c r="AA1652" s="362"/>
      <c r="AB1652" s="362"/>
      <c r="AC1652" s="362"/>
      <c r="AD1652" s="362"/>
      <c r="AE1652" s="362"/>
      <c r="AF1652" s="362"/>
      <c r="AG1652" s="362"/>
      <c r="AH1652" s="362"/>
      <c r="AI1652" s="360"/>
      <c r="AJ1652" s="360"/>
      <c r="AK1652" s="362"/>
      <c r="AL1652" s="362"/>
      <c r="AM1652" s="362"/>
      <c r="AN1652" s="362"/>
      <c r="AO1652" s="362"/>
      <c r="AP1652" s="362"/>
      <c r="AQ1652" s="362"/>
      <c r="AR1652" s="362"/>
    </row>
    <row r="1653" spans="1:44" ht="12" customHeight="1" x14ac:dyDescent="0.15">
      <c r="A1653" s="447"/>
      <c r="B1653" s="393"/>
      <c r="C1653" s="428"/>
      <c r="D1653" s="428"/>
      <c r="E1653" s="224"/>
      <c r="F1653" s="224"/>
      <c r="G1653" s="224"/>
      <c r="H1653" s="224"/>
      <c r="I1653" s="224"/>
      <c r="J1653" s="224"/>
      <c r="Z1653" s="362"/>
      <c r="AA1653" s="362"/>
      <c r="AB1653" s="362"/>
      <c r="AC1653" s="362"/>
      <c r="AD1653" s="362"/>
      <c r="AE1653" s="362"/>
      <c r="AF1653" s="362"/>
      <c r="AG1653" s="362"/>
      <c r="AH1653" s="362"/>
      <c r="AI1653" s="360"/>
      <c r="AJ1653" s="360"/>
      <c r="AK1653" s="362"/>
      <c r="AL1653" s="362"/>
      <c r="AM1653" s="362"/>
      <c r="AN1653" s="362"/>
      <c r="AO1653" s="362"/>
      <c r="AP1653" s="362"/>
      <c r="AQ1653" s="362"/>
      <c r="AR1653" s="362"/>
    </row>
    <row r="1654" spans="1:44" ht="12" customHeight="1" x14ac:dyDescent="0.15">
      <c r="A1654" s="447"/>
      <c r="B1654" s="393"/>
      <c r="C1654" s="428"/>
      <c r="D1654" s="428"/>
      <c r="E1654" s="224"/>
      <c r="F1654" s="224"/>
      <c r="G1654" s="224"/>
      <c r="H1654" s="224"/>
      <c r="I1654" s="224"/>
      <c r="J1654" s="224"/>
      <c r="Z1654" s="362"/>
      <c r="AA1654" s="362"/>
      <c r="AB1654" s="362"/>
      <c r="AC1654" s="362"/>
      <c r="AD1654" s="362"/>
      <c r="AE1654" s="362"/>
      <c r="AF1654" s="362"/>
      <c r="AG1654" s="362"/>
      <c r="AH1654" s="362"/>
      <c r="AI1654" s="360"/>
      <c r="AJ1654" s="360"/>
      <c r="AK1654" s="362"/>
      <c r="AL1654" s="362"/>
      <c r="AM1654" s="362"/>
      <c r="AN1654" s="362"/>
      <c r="AO1654" s="362"/>
      <c r="AP1654" s="362"/>
      <c r="AQ1654" s="362"/>
      <c r="AR1654" s="362"/>
    </row>
    <row r="1655" spans="1:44" ht="12" customHeight="1" x14ac:dyDescent="0.15">
      <c r="A1655" s="447"/>
      <c r="B1655" s="393"/>
      <c r="C1655" s="428"/>
      <c r="D1655" s="428"/>
      <c r="E1655" s="224"/>
      <c r="F1655" s="224"/>
      <c r="G1655" s="224"/>
      <c r="H1655" s="224"/>
      <c r="I1655" s="224"/>
      <c r="J1655" s="224"/>
      <c r="Z1655" s="362"/>
      <c r="AA1655" s="362"/>
      <c r="AB1655" s="362"/>
      <c r="AC1655" s="362"/>
      <c r="AD1655" s="362"/>
      <c r="AE1655" s="362"/>
      <c r="AF1655" s="362"/>
      <c r="AG1655" s="362"/>
      <c r="AH1655" s="362"/>
      <c r="AI1655" s="360"/>
      <c r="AJ1655" s="360"/>
      <c r="AK1655" s="362"/>
      <c r="AL1655" s="362"/>
      <c r="AM1655" s="362"/>
      <c r="AN1655" s="362"/>
      <c r="AO1655" s="362"/>
      <c r="AP1655" s="362"/>
      <c r="AQ1655" s="362"/>
      <c r="AR1655" s="362"/>
    </row>
    <row r="1656" spans="1:44" ht="12" customHeight="1" x14ac:dyDescent="0.15">
      <c r="A1656" s="447"/>
      <c r="B1656" s="393"/>
      <c r="C1656" s="428"/>
      <c r="D1656" s="428"/>
      <c r="E1656" s="224"/>
      <c r="F1656" s="224"/>
      <c r="G1656" s="224"/>
      <c r="H1656" s="224"/>
      <c r="I1656" s="224"/>
      <c r="J1656" s="224"/>
      <c r="Z1656" s="362"/>
      <c r="AA1656" s="362"/>
      <c r="AB1656" s="362"/>
      <c r="AC1656" s="362"/>
      <c r="AD1656" s="362"/>
      <c r="AE1656" s="362"/>
      <c r="AF1656" s="362"/>
      <c r="AG1656" s="362"/>
      <c r="AH1656" s="362"/>
      <c r="AI1656" s="360"/>
      <c r="AJ1656" s="360"/>
      <c r="AK1656" s="362"/>
      <c r="AL1656" s="362"/>
      <c r="AM1656" s="362"/>
      <c r="AN1656" s="362"/>
      <c r="AO1656" s="362"/>
      <c r="AP1656" s="362"/>
      <c r="AQ1656" s="362"/>
      <c r="AR1656" s="362"/>
    </row>
    <row r="1657" spans="1:44" ht="12" customHeight="1" x14ac:dyDescent="0.15">
      <c r="A1657" s="447"/>
      <c r="B1657" s="393"/>
      <c r="C1657" s="428"/>
      <c r="D1657" s="428"/>
      <c r="E1657" s="224"/>
      <c r="F1657" s="224"/>
      <c r="G1657" s="224"/>
      <c r="H1657" s="224"/>
      <c r="I1657" s="224"/>
      <c r="J1657" s="224"/>
      <c r="Z1657" s="362"/>
      <c r="AA1657" s="362"/>
      <c r="AB1657" s="362"/>
      <c r="AC1657" s="362"/>
      <c r="AD1657" s="362"/>
      <c r="AE1657" s="362"/>
      <c r="AF1657" s="362"/>
      <c r="AG1657" s="362"/>
      <c r="AH1657" s="362"/>
      <c r="AI1657" s="360"/>
      <c r="AJ1657" s="360"/>
      <c r="AK1657" s="362"/>
      <c r="AL1657" s="362"/>
      <c r="AM1657" s="362"/>
      <c r="AN1657" s="362"/>
      <c r="AO1657" s="362"/>
      <c r="AP1657" s="362"/>
      <c r="AQ1657" s="362"/>
      <c r="AR1657" s="362"/>
    </row>
    <row r="1658" spans="1:44" ht="12" customHeight="1" x14ac:dyDescent="0.15">
      <c r="A1658" s="447"/>
      <c r="B1658" s="393"/>
      <c r="C1658" s="428"/>
      <c r="D1658" s="428"/>
      <c r="E1658" s="224"/>
      <c r="F1658" s="224"/>
      <c r="G1658" s="224"/>
      <c r="H1658" s="224"/>
      <c r="I1658" s="224"/>
      <c r="J1658" s="224"/>
      <c r="Z1658" s="362"/>
      <c r="AA1658" s="362"/>
      <c r="AB1658" s="362"/>
      <c r="AC1658" s="362"/>
      <c r="AD1658" s="362"/>
      <c r="AE1658" s="362"/>
      <c r="AF1658" s="362"/>
      <c r="AG1658" s="362"/>
      <c r="AH1658" s="362"/>
      <c r="AI1658" s="360"/>
      <c r="AJ1658" s="360"/>
      <c r="AK1658" s="362"/>
      <c r="AL1658" s="362"/>
      <c r="AM1658" s="362"/>
      <c r="AN1658" s="362"/>
      <c r="AO1658" s="362"/>
      <c r="AP1658" s="362"/>
      <c r="AQ1658" s="362"/>
      <c r="AR1658" s="362"/>
    </row>
    <row r="1659" spans="1:44" ht="12" customHeight="1" x14ac:dyDescent="0.15">
      <c r="A1659" s="447"/>
      <c r="B1659" s="393"/>
      <c r="C1659" s="428"/>
      <c r="D1659" s="428"/>
      <c r="E1659" s="224"/>
      <c r="F1659" s="224"/>
      <c r="G1659" s="224"/>
      <c r="H1659" s="224"/>
      <c r="I1659" s="224"/>
      <c r="J1659" s="224"/>
      <c r="Z1659" s="362"/>
      <c r="AA1659" s="362"/>
      <c r="AB1659" s="362"/>
      <c r="AC1659" s="362"/>
      <c r="AD1659" s="362"/>
      <c r="AE1659" s="362"/>
      <c r="AF1659" s="362"/>
      <c r="AG1659" s="362"/>
      <c r="AH1659" s="362"/>
      <c r="AI1659" s="360"/>
      <c r="AJ1659" s="360"/>
      <c r="AK1659" s="362"/>
      <c r="AL1659" s="362"/>
      <c r="AM1659" s="362"/>
      <c r="AN1659" s="362"/>
      <c r="AO1659" s="362"/>
      <c r="AP1659" s="362"/>
      <c r="AQ1659" s="362"/>
      <c r="AR1659" s="362"/>
    </row>
    <row r="1660" spans="1:44" ht="12" customHeight="1" x14ac:dyDescent="0.15">
      <c r="A1660" s="447"/>
      <c r="B1660" s="393"/>
      <c r="C1660" s="428"/>
      <c r="D1660" s="428"/>
      <c r="E1660" s="224"/>
      <c r="F1660" s="224"/>
      <c r="G1660" s="224"/>
      <c r="H1660" s="224"/>
      <c r="I1660" s="224"/>
      <c r="J1660" s="224"/>
      <c r="Z1660" s="362"/>
      <c r="AA1660" s="362"/>
      <c r="AB1660" s="362"/>
      <c r="AC1660" s="362"/>
      <c r="AD1660" s="362"/>
      <c r="AE1660" s="362"/>
      <c r="AF1660" s="362"/>
      <c r="AG1660" s="362"/>
      <c r="AH1660" s="362"/>
      <c r="AI1660" s="360"/>
      <c r="AJ1660" s="360"/>
      <c r="AK1660" s="362"/>
      <c r="AL1660" s="362"/>
      <c r="AM1660" s="362"/>
      <c r="AN1660" s="362"/>
      <c r="AO1660" s="362"/>
      <c r="AP1660" s="362"/>
      <c r="AQ1660" s="362"/>
      <c r="AR1660" s="362"/>
    </row>
    <row r="1661" spans="1:44" ht="12" customHeight="1" x14ac:dyDescent="0.15">
      <c r="A1661" s="447"/>
      <c r="B1661" s="393"/>
      <c r="C1661" s="428"/>
      <c r="D1661" s="428"/>
      <c r="E1661" s="224"/>
      <c r="F1661" s="224"/>
      <c r="G1661" s="224"/>
      <c r="H1661" s="224"/>
      <c r="I1661" s="224"/>
      <c r="J1661" s="224"/>
      <c r="Z1661" s="362"/>
      <c r="AA1661" s="362"/>
      <c r="AB1661" s="362"/>
      <c r="AC1661" s="362"/>
      <c r="AD1661" s="362"/>
      <c r="AE1661" s="362"/>
      <c r="AF1661" s="362"/>
      <c r="AG1661" s="362"/>
      <c r="AH1661" s="362"/>
      <c r="AI1661" s="360"/>
      <c r="AJ1661" s="360"/>
      <c r="AK1661" s="362"/>
      <c r="AL1661" s="362"/>
      <c r="AM1661" s="362"/>
      <c r="AN1661" s="362"/>
      <c r="AO1661" s="362"/>
      <c r="AP1661" s="362"/>
      <c r="AQ1661" s="362"/>
      <c r="AR1661" s="362"/>
    </row>
    <row r="1662" spans="1:44" ht="12" customHeight="1" x14ac:dyDescent="0.15">
      <c r="A1662" s="447"/>
      <c r="B1662" s="393"/>
      <c r="C1662" s="428"/>
      <c r="D1662" s="428"/>
      <c r="E1662" s="224"/>
      <c r="F1662" s="224"/>
      <c r="G1662" s="224"/>
      <c r="H1662" s="224"/>
      <c r="I1662" s="224"/>
      <c r="J1662" s="224"/>
      <c r="Z1662" s="362"/>
      <c r="AA1662" s="362"/>
      <c r="AB1662" s="362"/>
      <c r="AC1662" s="362"/>
      <c r="AD1662" s="362"/>
      <c r="AE1662" s="362"/>
      <c r="AF1662" s="362"/>
      <c r="AG1662" s="362"/>
      <c r="AH1662" s="362"/>
      <c r="AI1662" s="360"/>
      <c r="AJ1662" s="360"/>
      <c r="AK1662" s="362"/>
      <c r="AL1662" s="362"/>
      <c r="AM1662" s="362"/>
      <c r="AN1662" s="362"/>
      <c r="AO1662" s="362"/>
      <c r="AP1662" s="362"/>
      <c r="AQ1662" s="362"/>
      <c r="AR1662" s="362"/>
    </row>
    <row r="1663" spans="1:44" ht="12" customHeight="1" x14ac:dyDescent="0.15">
      <c r="A1663" s="447"/>
      <c r="B1663" s="393"/>
      <c r="C1663" s="428"/>
      <c r="D1663" s="428"/>
      <c r="E1663" s="224"/>
      <c r="F1663" s="224"/>
      <c r="G1663" s="224"/>
      <c r="H1663" s="224"/>
      <c r="I1663" s="224"/>
      <c r="J1663" s="224"/>
      <c r="Z1663" s="362"/>
      <c r="AA1663" s="362"/>
      <c r="AB1663" s="362"/>
      <c r="AC1663" s="362"/>
      <c r="AD1663" s="362"/>
      <c r="AE1663" s="362"/>
      <c r="AF1663" s="362"/>
      <c r="AG1663" s="362"/>
      <c r="AH1663" s="362"/>
      <c r="AI1663" s="360"/>
      <c r="AJ1663" s="360"/>
      <c r="AK1663" s="362"/>
      <c r="AL1663" s="362"/>
      <c r="AM1663" s="362"/>
      <c r="AN1663" s="362"/>
      <c r="AO1663" s="362"/>
      <c r="AP1663" s="362"/>
      <c r="AQ1663" s="362"/>
      <c r="AR1663" s="362"/>
    </row>
    <row r="1664" spans="1:44" ht="12" customHeight="1" x14ac:dyDescent="0.15">
      <c r="A1664" s="447"/>
      <c r="B1664" s="393"/>
      <c r="C1664" s="428"/>
      <c r="D1664" s="428"/>
      <c r="E1664" s="224"/>
      <c r="F1664" s="224"/>
      <c r="G1664" s="224"/>
      <c r="H1664" s="224"/>
      <c r="I1664" s="224"/>
      <c r="J1664" s="224"/>
      <c r="Z1664" s="362"/>
      <c r="AA1664" s="362"/>
      <c r="AB1664" s="362"/>
      <c r="AC1664" s="362"/>
      <c r="AD1664" s="362"/>
      <c r="AE1664" s="362"/>
      <c r="AF1664" s="362"/>
      <c r="AG1664" s="362"/>
      <c r="AH1664" s="362"/>
      <c r="AI1664" s="360"/>
      <c r="AJ1664" s="360"/>
      <c r="AK1664" s="362"/>
      <c r="AL1664" s="362"/>
      <c r="AM1664" s="362"/>
      <c r="AN1664" s="362"/>
      <c r="AO1664" s="362"/>
      <c r="AP1664" s="362"/>
      <c r="AQ1664" s="362"/>
      <c r="AR1664" s="362"/>
    </row>
    <row r="1665" spans="1:44" ht="12" customHeight="1" x14ac:dyDescent="0.15">
      <c r="A1665" s="447"/>
      <c r="B1665" s="393"/>
      <c r="C1665" s="428"/>
      <c r="D1665" s="428"/>
      <c r="E1665" s="224"/>
      <c r="F1665" s="224"/>
      <c r="G1665" s="224"/>
      <c r="H1665" s="224"/>
      <c r="I1665" s="224"/>
      <c r="J1665" s="224"/>
      <c r="Z1665" s="362"/>
      <c r="AA1665" s="362"/>
      <c r="AB1665" s="362"/>
      <c r="AC1665" s="362"/>
      <c r="AD1665" s="362"/>
      <c r="AE1665" s="362"/>
      <c r="AF1665" s="362"/>
      <c r="AG1665" s="362"/>
      <c r="AH1665" s="362"/>
      <c r="AI1665" s="360"/>
      <c r="AJ1665" s="360"/>
      <c r="AK1665" s="362"/>
      <c r="AL1665" s="362"/>
      <c r="AM1665" s="362"/>
      <c r="AN1665" s="362"/>
      <c r="AO1665" s="362"/>
      <c r="AP1665" s="362"/>
      <c r="AQ1665" s="362"/>
      <c r="AR1665" s="362"/>
    </row>
    <row r="1666" spans="1:44" ht="12" customHeight="1" x14ac:dyDescent="0.15">
      <c r="A1666" s="447"/>
      <c r="B1666" s="393"/>
      <c r="C1666" s="428"/>
      <c r="D1666" s="428"/>
      <c r="E1666" s="224"/>
      <c r="F1666" s="224"/>
      <c r="G1666" s="224"/>
      <c r="H1666" s="224"/>
      <c r="I1666" s="224"/>
      <c r="J1666" s="224"/>
      <c r="Z1666" s="362"/>
      <c r="AA1666" s="362"/>
      <c r="AB1666" s="362"/>
      <c r="AC1666" s="362"/>
      <c r="AD1666" s="362"/>
      <c r="AE1666" s="362"/>
      <c r="AF1666" s="362"/>
      <c r="AG1666" s="362"/>
      <c r="AH1666" s="362"/>
      <c r="AI1666" s="360"/>
      <c r="AJ1666" s="360"/>
      <c r="AK1666" s="362"/>
      <c r="AL1666" s="362"/>
      <c r="AM1666" s="362"/>
      <c r="AN1666" s="362"/>
      <c r="AO1666" s="362"/>
      <c r="AP1666" s="362"/>
      <c r="AQ1666" s="362"/>
      <c r="AR1666" s="362"/>
    </row>
    <row r="1667" spans="1:44" ht="12" customHeight="1" x14ac:dyDescent="0.15">
      <c r="A1667" s="447"/>
      <c r="B1667" s="393"/>
      <c r="C1667" s="428"/>
      <c r="D1667" s="428"/>
      <c r="E1667" s="224"/>
      <c r="F1667" s="224"/>
      <c r="G1667" s="224"/>
      <c r="H1667" s="224"/>
      <c r="I1667" s="224"/>
      <c r="J1667" s="224"/>
      <c r="Z1667" s="362"/>
      <c r="AA1667" s="362"/>
      <c r="AB1667" s="362"/>
      <c r="AC1667" s="362"/>
      <c r="AD1667" s="362"/>
      <c r="AE1667" s="362"/>
      <c r="AF1667" s="362"/>
      <c r="AG1667" s="362"/>
      <c r="AH1667" s="362"/>
      <c r="AI1667" s="360"/>
      <c r="AJ1667" s="360"/>
      <c r="AK1667" s="362"/>
      <c r="AL1667" s="362"/>
      <c r="AM1667" s="362"/>
      <c r="AN1667" s="362"/>
      <c r="AO1667" s="362"/>
      <c r="AP1667" s="362"/>
      <c r="AQ1667" s="362"/>
      <c r="AR1667" s="362"/>
    </row>
    <row r="1668" spans="1:44" ht="12" customHeight="1" x14ac:dyDescent="0.15">
      <c r="A1668" s="447"/>
      <c r="B1668" s="393"/>
      <c r="C1668" s="428"/>
      <c r="D1668" s="428"/>
      <c r="E1668" s="224"/>
      <c r="F1668" s="224"/>
      <c r="G1668" s="224"/>
      <c r="H1668" s="224"/>
      <c r="I1668" s="224"/>
      <c r="J1668" s="224"/>
      <c r="Z1668" s="362"/>
      <c r="AA1668" s="362"/>
      <c r="AB1668" s="362"/>
      <c r="AC1668" s="362"/>
      <c r="AD1668" s="362"/>
      <c r="AE1668" s="362"/>
      <c r="AF1668" s="362"/>
      <c r="AG1668" s="362"/>
      <c r="AH1668" s="362"/>
      <c r="AI1668" s="360"/>
      <c r="AJ1668" s="360"/>
      <c r="AK1668" s="362"/>
      <c r="AL1668" s="362"/>
      <c r="AM1668" s="362"/>
      <c r="AN1668" s="362"/>
      <c r="AO1668" s="362"/>
      <c r="AP1668" s="362"/>
      <c r="AQ1668" s="362"/>
      <c r="AR1668" s="362"/>
    </row>
    <row r="1669" spans="1:44" ht="12" customHeight="1" x14ac:dyDescent="0.15">
      <c r="A1669" s="447"/>
      <c r="B1669" s="393"/>
      <c r="C1669" s="428"/>
      <c r="D1669" s="428"/>
      <c r="E1669" s="224"/>
      <c r="F1669" s="224"/>
      <c r="G1669" s="224"/>
      <c r="H1669" s="224"/>
      <c r="I1669" s="224"/>
      <c r="J1669" s="224"/>
      <c r="Z1669" s="362"/>
      <c r="AA1669" s="362"/>
      <c r="AB1669" s="362"/>
      <c r="AC1669" s="362"/>
      <c r="AD1669" s="362"/>
      <c r="AE1669" s="362"/>
      <c r="AF1669" s="362"/>
      <c r="AG1669" s="362"/>
      <c r="AH1669" s="362"/>
      <c r="AI1669" s="360"/>
      <c r="AJ1669" s="360"/>
      <c r="AK1669" s="362"/>
      <c r="AL1669" s="362"/>
      <c r="AM1669" s="362"/>
      <c r="AN1669" s="362"/>
      <c r="AO1669" s="362"/>
      <c r="AP1669" s="362"/>
      <c r="AQ1669" s="362"/>
      <c r="AR1669" s="362"/>
    </row>
    <row r="1670" spans="1:44" ht="12" customHeight="1" x14ac:dyDescent="0.15">
      <c r="A1670" s="447"/>
      <c r="B1670" s="393"/>
      <c r="C1670" s="428"/>
      <c r="D1670" s="428"/>
      <c r="E1670" s="224"/>
      <c r="F1670" s="224"/>
      <c r="G1670" s="224"/>
      <c r="H1670" s="224"/>
      <c r="I1670" s="224"/>
      <c r="J1670" s="224"/>
      <c r="Z1670" s="362"/>
      <c r="AA1670" s="362"/>
      <c r="AB1670" s="362"/>
      <c r="AC1670" s="362"/>
      <c r="AD1670" s="362"/>
      <c r="AE1670" s="362"/>
      <c r="AF1670" s="362"/>
      <c r="AG1670" s="362"/>
      <c r="AH1670" s="362"/>
      <c r="AI1670" s="360"/>
      <c r="AJ1670" s="360"/>
      <c r="AK1670" s="362"/>
      <c r="AL1670" s="362"/>
      <c r="AM1670" s="362"/>
      <c r="AN1670" s="362"/>
      <c r="AO1670" s="362"/>
      <c r="AP1670" s="362"/>
      <c r="AQ1670" s="362"/>
      <c r="AR1670" s="362"/>
    </row>
    <row r="1671" spans="1:44" ht="12" customHeight="1" x14ac:dyDescent="0.15">
      <c r="A1671" s="447"/>
      <c r="B1671" s="393"/>
      <c r="C1671" s="428"/>
      <c r="D1671" s="428"/>
      <c r="E1671" s="224"/>
      <c r="F1671" s="224"/>
      <c r="G1671" s="224"/>
      <c r="H1671" s="224"/>
      <c r="I1671" s="224"/>
      <c r="J1671" s="224"/>
      <c r="Z1671" s="362"/>
      <c r="AA1671" s="362"/>
      <c r="AB1671" s="362"/>
      <c r="AC1671" s="362"/>
      <c r="AD1671" s="362"/>
      <c r="AE1671" s="362"/>
      <c r="AF1671" s="362"/>
      <c r="AG1671" s="362"/>
      <c r="AH1671" s="362"/>
      <c r="AI1671" s="360"/>
      <c r="AJ1671" s="360"/>
      <c r="AK1671" s="362"/>
      <c r="AL1671" s="362"/>
      <c r="AM1671" s="362"/>
      <c r="AN1671" s="362"/>
      <c r="AO1671" s="362"/>
      <c r="AP1671" s="362"/>
      <c r="AQ1671" s="362"/>
      <c r="AR1671" s="362"/>
    </row>
    <row r="1672" spans="1:44" ht="12" customHeight="1" x14ac:dyDescent="0.15">
      <c r="A1672" s="447"/>
      <c r="B1672" s="393"/>
      <c r="C1672" s="428"/>
      <c r="D1672" s="428"/>
      <c r="E1672" s="224"/>
      <c r="F1672" s="224"/>
      <c r="G1672" s="224"/>
      <c r="H1672" s="224"/>
      <c r="I1672" s="224"/>
      <c r="J1672" s="224"/>
      <c r="Z1672" s="362"/>
      <c r="AA1672" s="362"/>
      <c r="AB1672" s="362"/>
      <c r="AC1672" s="362"/>
      <c r="AD1672" s="362"/>
      <c r="AE1672" s="362"/>
      <c r="AF1672" s="362"/>
      <c r="AG1672" s="362"/>
      <c r="AH1672" s="362"/>
      <c r="AI1672" s="360"/>
      <c r="AJ1672" s="360"/>
      <c r="AK1672" s="362"/>
      <c r="AL1672" s="362"/>
      <c r="AM1672" s="362"/>
      <c r="AN1672" s="362"/>
      <c r="AO1672" s="362"/>
      <c r="AP1672" s="362"/>
      <c r="AQ1672" s="362"/>
      <c r="AR1672" s="362"/>
    </row>
    <row r="1673" spans="1:44" ht="12" customHeight="1" x14ac:dyDescent="0.15">
      <c r="A1673" s="447"/>
      <c r="B1673" s="393"/>
      <c r="C1673" s="428"/>
      <c r="D1673" s="428"/>
      <c r="E1673" s="224"/>
      <c r="F1673" s="224"/>
      <c r="G1673" s="224"/>
      <c r="H1673" s="224"/>
      <c r="I1673" s="224"/>
      <c r="J1673" s="224"/>
      <c r="Z1673" s="362"/>
      <c r="AA1673" s="362"/>
      <c r="AB1673" s="362"/>
      <c r="AC1673" s="362"/>
      <c r="AD1673" s="362"/>
      <c r="AE1673" s="362"/>
      <c r="AF1673" s="362"/>
      <c r="AG1673" s="362"/>
      <c r="AH1673" s="362"/>
      <c r="AI1673" s="360"/>
      <c r="AJ1673" s="360"/>
      <c r="AK1673" s="362"/>
      <c r="AL1673" s="362"/>
      <c r="AM1673" s="362"/>
      <c r="AN1673" s="362"/>
      <c r="AO1673" s="362"/>
      <c r="AP1673" s="362"/>
      <c r="AQ1673" s="362"/>
      <c r="AR1673" s="362"/>
    </row>
    <row r="1674" spans="1:44" ht="12" customHeight="1" x14ac:dyDescent="0.15">
      <c r="A1674" s="447"/>
      <c r="B1674" s="393"/>
      <c r="C1674" s="428"/>
      <c r="D1674" s="428"/>
      <c r="E1674" s="224"/>
      <c r="F1674" s="224"/>
      <c r="G1674" s="224"/>
      <c r="H1674" s="224"/>
      <c r="I1674" s="224"/>
      <c r="J1674" s="224"/>
      <c r="Z1674" s="362"/>
      <c r="AA1674" s="362"/>
      <c r="AB1674" s="362"/>
      <c r="AC1674" s="362"/>
      <c r="AD1674" s="362"/>
      <c r="AE1674" s="362"/>
      <c r="AF1674" s="362"/>
      <c r="AG1674" s="362"/>
      <c r="AH1674" s="362"/>
      <c r="AI1674" s="360"/>
      <c r="AJ1674" s="360"/>
      <c r="AK1674" s="362"/>
      <c r="AL1674" s="362"/>
      <c r="AM1674" s="362"/>
      <c r="AN1674" s="362"/>
      <c r="AO1674" s="362"/>
      <c r="AP1674" s="362"/>
      <c r="AQ1674" s="362"/>
      <c r="AR1674" s="362"/>
    </row>
    <row r="1675" spans="1:44" ht="12" customHeight="1" x14ac:dyDescent="0.15">
      <c r="A1675" s="447"/>
      <c r="B1675" s="393"/>
      <c r="C1675" s="428"/>
      <c r="D1675" s="428"/>
      <c r="E1675" s="224"/>
      <c r="F1675" s="224"/>
      <c r="G1675" s="224"/>
      <c r="H1675" s="224"/>
      <c r="I1675" s="224"/>
      <c r="J1675" s="224"/>
      <c r="Z1675" s="362"/>
      <c r="AA1675" s="362"/>
      <c r="AB1675" s="362"/>
      <c r="AC1675" s="362"/>
      <c r="AD1675" s="362"/>
      <c r="AE1675" s="362"/>
      <c r="AF1675" s="362"/>
      <c r="AG1675" s="362"/>
      <c r="AH1675" s="362"/>
      <c r="AI1675" s="360"/>
      <c r="AJ1675" s="360"/>
      <c r="AK1675" s="362"/>
      <c r="AL1675" s="362"/>
      <c r="AM1675" s="362"/>
      <c r="AN1675" s="362"/>
      <c r="AO1675" s="362"/>
      <c r="AP1675" s="362"/>
      <c r="AQ1675" s="362"/>
      <c r="AR1675" s="362"/>
    </row>
    <row r="1676" spans="1:44" ht="12" customHeight="1" x14ac:dyDescent="0.15">
      <c r="A1676" s="447"/>
      <c r="B1676" s="393"/>
      <c r="C1676" s="428"/>
      <c r="D1676" s="428"/>
      <c r="E1676" s="224"/>
      <c r="F1676" s="224"/>
      <c r="G1676" s="224"/>
      <c r="H1676" s="224"/>
      <c r="I1676" s="224"/>
      <c r="J1676" s="224"/>
      <c r="Z1676" s="362"/>
      <c r="AA1676" s="362"/>
      <c r="AB1676" s="362"/>
      <c r="AC1676" s="362"/>
      <c r="AD1676" s="362"/>
      <c r="AE1676" s="362"/>
      <c r="AF1676" s="362"/>
      <c r="AG1676" s="362"/>
      <c r="AH1676" s="362"/>
      <c r="AI1676" s="360"/>
      <c r="AJ1676" s="360"/>
      <c r="AK1676" s="362"/>
      <c r="AL1676" s="362"/>
      <c r="AM1676" s="362"/>
      <c r="AN1676" s="362"/>
      <c r="AO1676" s="362"/>
      <c r="AP1676" s="362"/>
      <c r="AQ1676" s="362"/>
      <c r="AR1676" s="362"/>
    </row>
    <row r="1677" spans="1:44" ht="12" customHeight="1" x14ac:dyDescent="0.15">
      <c r="A1677" s="447"/>
      <c r="B1677" s="393"/>
      <c r="C1677" s="428"/>
      <c r="D1677" s="428"/>
      <c r="E1677" s="224"/>
      <c r="F1677" s="224"/>
      <c r="G1677" s="224"/>
      <c r="H1677" s="224"/>
      <c r="I1677" s="224"/>
      <c r="J1677" s="224"/>
      <c r="Z1677" s="362"/>
      <c r="AA1677" s="362"/>
      <c r="AB1677" s="362"/>
      <c r="AC1677" s="362"/>
      <c r="AD1677" s="362"/>
      <c r="AE1677" s="362"/>
      <c r="AF1677" s="362"/>
      <c r="AG1677" s="362"/>
      <c r="AH1677" s="362"/>
      <c r="AI1677" s="360"/>
      <c r="AJ1677" s="360"/>
      <c r="AK1677" s="362"/>
      <c r="AL1677" s="362"/>
      <c r="AM1677" s="362"/>
      <c r="AN1677" s="362"/>
      <c r="AO1677" s="362"/>
      <c r="AP1677" s="362"/>
      <c r="AQ1677" s="362"/>
      <c r="AR1677" s="362"/>
    </row>
    <row r="1678" spans="1:44" ht="12" customHeight="1" x14ac:dyDescent="0.15">
      <c r="A1678" s="447"/>
      <c r="B1678" s="393"/>
      <c r="C1678" s="428"/>
      <c r="D1678" s="428"/>
      <c r="E1678" s="224"/>
      <c r="F1678" s="224"/>
      <c r="G1678" s="224"/>
      <c r="H1678" s="224"/>
      <c r="I1678" s="224"/>
      <c r="J1678" s="224"/>
      <c r="Z1678" s="362"/>
      <c r="AA1678" s="362"/>
      <c r="AB1678" s="362"/>
      <c r="AC1678" s="362"/>
      <c r="AD1678" s="362"/>
      <c r="AE1678" s="362"/>
      <c r="AF1678" s="362"/>
      <c r="AG1678" s="362"/>
      <c r="AH1678" s="362"/>
      <c r="AI1678" s="360"/>
      <c r="AJ1678" s="360"/>
      <c r="AK1678" s="362"/>
      <c r="AL1678" s="362"/>
      <c r="AM1678" s="362"/>
      <c r="AN1678" s="362"/>
      <c r="AO1678" s="362"/>
      <c r="AP1678" s="362"/>
      <c r="AQ1678" s="362"/>
      <c r="AR1678" s="362"/>
    </row>
    <row r="1679" spans="1:44" ht="12" customHeight="1" x14ac:dyDescent="0.15">
      <c r="A1679" s="447"/>
      <c r="B1679" s="393"/>
      <c r="C1679" s="428"/>
      <c r="D1679" s="428"/>
      <c r="E1679" s="224"/>
      <c r="F1679" s="224"/>
      <c r="G1679" s="224"/>
      <c r="H1679" s="224"/>
      <c r="I1679" s="224"/>
      <c r="J1679" s="224"/>
      <c r="Z1679" s="362"/>
      <c r="AA1679" s="362"/>
      <c r="AB1679" s="362"/>
      <c r="AC1679" s="362"/>
      <c r="AD1679" s="362"/>
      <c r="AE1679" s="362"/>
      <c r="AF1679" s="362"/>
      <c r="AG1679" s="362"/>
      <c r="AH1679" s="362"/>
      <c r="AI1679" s="360"/>
      <c r="AJ1679" s="360"/>
      <c r="AK1679" s="362"/>
      <c r="AL1679" s="362"/>
      <c r="AM1679" s="362"/>
      <c r="AN1679" s="362"/>
      <c r="AO1679" s="362"/>
      <c r="AP1679" s="362"/>
      <c r="AQ1679" s="362"/>
      <c r="AR1679" s="362"/>
    </row>
    <row r="1680" spans="1:44" ht="12" customHeight="1" x14ac:dyDescent="0.15">
      <c r="A1680" s="447"/>
      <c r="B1680" s="393"/>
      <c r="C1680" s="428"/>
      <c r="D1680" s="428"/>
      <c r="E1680" s="224"/>
      <c r="F1680" s="224"/>
      <c r="G1680" s="224"/>
      <c r="H1680" s="224"/>
      <c r="I1680" s="224"/>
      <c r="J1680" s="224"/>
      <c r="Z1680" s="362"/>
      <c r="AA1680" s="362"/>
      <c r="AB1680" s="362"/>
      <c r="AC1680" s="362"/>
      <c r="AD1680" s="362"/>
      <c r="AE1680" s="362"/>
      <c r="AF1680" s="362"/>
      <c r="AG1680" s="362"/>
      <c r="AH1680" s="362"/>
      <c r="AI1680" s="360"/>
      <c r="AJ1680" s="360"/>
      <c r="AK1680" s="362"/>
      <c r="AL1680" s="362"/>
      <c r="AM1680" s="362"/>
      <c r="AN1680" s="362"/>
      <c r="AO1680" s="362"/>
      <c r="AP1680" s="362"/>
      <c r="AQ1680" s="362"/>
      <c r="AR1680" s="362"/>
    </row>
    <row r="1681" spans="1:44" ht="12" customHeight="1" x14ac:dyDescent="0.15">
      <c r="A1681" s="447"/>
      <c r="B1681" s="393"/>
      <c r="C1681" s="428"/>
      <c r="D1681" s="428"/>
      <c r="E1681" s="224"/>
      <c r="F1681" s="224"/>
      <c r="G1681" s="224"/>
      <c r="H1681" s="224"/>
      <c r="I1681" s="224"/>
      <c r="J1681" s="224"/>
      <c r="Z1681" s="362"/>
      <c r="AA1681" s="362"/>
      <c r="AB1681" s="362"/>
      <c r="AC1681" s="362"/>
      <c r="AD1681" s="362"/>
      <c r="AE1681" s="362"/>
      <c r="AF1681" s="362"/>
      <c r="AG1681" s="362"/>
      <c r="AH1681" s="362"/>
      <c r="AI1681" s="360"/>
      <c r="AJ1681" s="360"/>
      <c r="AK1681" s="362"/>
      <c r="AL1681" s="362"/>
      <c r="AM1681" s="362"/>
      <c r="AN1681" s="362"/>
      <c r="AO1681" s="362"/>
      <c r="AP1681" s="362"/>
      <c r="AQ1681" s="362"/>
      <c r="AR1681" s="362"/>
    </row>
    <row r="1682" spans="1:44" ht="12" customHeight="1" x14ac:dyDescent="0.15">
      <c r="A1682" s="447"/>
      <c r="B1682" s="393"/>
      <c r="C1682" s="428"/>
      <c r="D1682" s="428"/>
      <c r="E1682" s="224"/>
      <c r="F1682" s="224"/>
      <c r="G1682" s="224"/>
      <c r="H1682" s="224"/>
      <c r="I1682" s="224"/>
      <c r="J1682" s="224"/>
      <c r="Z1682" s="362"/>
      <c r="AA1682" s="362"/>
      <c r="AB1682" s="362"/>
      <c r="AC1682" s="362"/>
      <c r="AD1682" s="362"/>
      <c r="AE1682" s="362"/>
      <c r="AF1682" s="362"/>
      <c r="AG1682" s="362"/>
      <c r="AH1682" s="362"/>
      <c r="AI1682" s="360"/>
      <c r="AJ1682" s="360"/>
      <c r="AK1682" s="362"/>
      <c r="AL1682" s="362"/>
      <c r="AM1682" s="362"/>
      <c r="AN1682" s="362"/>
      <c r="AO1682" s="362"/>
      <c r="AP1682" s="362"/>
      <c r="AQ1682" s="362"/>
      <c r="AR1682" s="362"/>
    </row>
    <row r="1683" spans="1:44" ht="12" customHeight="1" x14ac:dyDescent="0.15">
      <c r="A1683" s="447"/>
      <c r="B1683" s="393"/>
      <c r="C1683" s="428"/>
      <c r="D1683" s="428"/>
      <c r="E1683" s="224"/>
      <c r="F1683" s="224"/>
      <c r="G1683" s="224"/>
      <c r="H1683" s="224"/>
      <c r="I1683" s="224"/>
      <c r="J1683" s="224"/>
      <c r="Z1683" s="362"/>
      <c r="AA1683" s="362"/>
      <c r="AB1683" s="362"/>
      <c r="AC1683" s="362"/>
      <c r="AD1683" s="362"/>
      <c r="AE1683" s="362"/>
      <c r="AF1683" s="362"/>
      <c r="AG1683" s="362"/>
      <c r="AH1683" s="362"/>
      <c r="AI1683" s="360"/>
      <c r="AJ1683" s="360"/>
      <c r="AK1683" s="362"/>
      <c r="AL1683" s="362"/>
      <c r="AM1683" s="362"/>
      <c r="AN1683" s="362"/>
      <c r="AO1683" s="362"/>
      <c r="AP1683" s="362"/>
      <c r="AQ1683" s="362"/>
      <c r="AR1683" s="362"/>
    </row>
    <row r="1684" spans="1:44" ht="12" customHeight="1" x14ac:dyDescent="0.15">
      <c r="A1684" s="447"/>
      <c r="B1684" s="393"/>
      <c r="C1684" s="428"/>
      <c r="D1684" s="428"/>
      <c r="E1684" s="224"/>
      <c r="F1684" s="224"/>
      <c r="G1684" s="224"/>
      <c r="H1684" s="224"/>
      <c r="I1684" s="224"/>
      <c r="J1684" s="224"/>
      <c r="Z1684" s="362"/>
      <c r="AA1684" s="362"/>
      <c r="AB1684" s="362"/>
      <c r="AC1684" s="362"/>
      <c r="AD1684" s="362"/>
      <c r="AE1684" s="362"/>
      <c r="AF1684" s="362"/>
      <c r="AG1684" s="362"/>
      <c r="AH1684" s="362"/>
      <c r="AI1684" s="360"/>
      <c r="AJ1684" s="360"/>
      <c r="AK1684" s="362"/>
      <c r="AL1684" s="362"/>
      <c r="AM1684" s="362"/>
      <c r="AN1684" s="362"/>
      <c r="AO1684" s="362"/>
      <c r="AP1684" s="362"/>
      <c r="AQ1684" s="362"/>
      <c r="AR1684" s="362"/>
    </row>
    <row r="1685" spans="1:44" ht="12" customHeight="1" x14ac:dyDescent="0.15">
      <c r="A1685" s="447"/>
      <c r="B1685" s="393"/>
      <c r="C1685" s="428"/>
      <c r="D1685" s="428"/>
      <c r="E1685" s="224"/>
      <c r="F1685" s="224"/>
      <c r="G1685" s="224"/>
      <c r="H1685" s="224"/>
      <c r="I1685" s="224"/>
      <c r="J1685" s="224"/>
      <c r="Z1685" s="362"/>
      <c r="AA1685" s="362"/>
      <c r="AB1685" s="362"/>
      <c r="AC1685" s="362"/>
      <c r="AD1685" s="362"/>
      <c r="AE1685" s="362"/>
      <c r="AF1685" s="362"/>
      <c r="AG1685" s="362"/>
      <c r="AH1685" s="362"/>
      <c r="AI1685" s="360"/>
      <c r="AJ1685" s="360"/>
      <c r="AK1685" s="362"/>
      <c r="AL1685" s="362"/>
      <c r="AM1685" s="362"/>
      <c r="AN1685" s="362"/>
      <c r="AO1685" s="362"/>
      <c r="AP1685" s="362"/>
      <c r="AQ1685" s="362"/>
      <c r="AR1685" s="362"/>
    </row>
    <row r="1686" spans="1:44" ht="12" customHeight="1" x14ac:dyDescent="0.15">
      <c r="A1686" s="447"/>
      <c r="B1686" s="393"/>
      <c r="C1686" s="428"/>
      <c r="D1686" s="428"/>
      <c r="E1686" s="224"/>
      <c r="F1686" s="224"/>
      <c r="G1686" s="224"/>
      <c r="H1686" s="224"/>
      <c r="I1686" s="224"/>
      <c r="J1686" s="224"/>
      <c r="Z1686" s="362"/>
      <c r="AA1686" s="362"/>
      <c r="AB1686" s="362"/>
      <c r="AC1686" s="362"/>
      <c r="AD1686" s="362"/>
      <c r="AE1686" s="362"/>
      <c r="AF1686" s="362"/>
      <c r="AG1686" s="362"/>
      <c r="AH1686" s="362"/>
      <c r="AI1686" s="360"/>
      <c r="AJ1686" s="360"/>
      <c r="AK1686" s="362"/>
      <c r="AL1686" s="362"/>
      <c r="AM1686" s="362"/>
      <c r="AN1686" s="362"/>
      <c r="AO1686" s="362"/>
      <c r="AP1686" s="362"/>
      <c r="AQ1686" s="362"/>
      <c r="AR1686" s="362"/>
    </row>
    <row r="1687" spans="1:44" ht="12" customHeight="1" x14ac:dyDescent="0.15">
      <c r="A1687" s="447"/>
      <c r="B1687" s="393"/>
      <c r="C1687" s="428"/>
      <c r="D1687" s="428"/>
      <c r="E1687" s="224"/>
      <c r="F1687" s="224"/>
      <c r="G1687" s="224"/>
      <c r="H1687" s="224"/>
      <c r="I1687" s="224"/>
      <c r="J1687" s="224"/>
      <c r="Z1687" s="362"/>
      <c r="AA1687" s="362"/>
      <c r="AB1687" s="362"/>
      <c r="AC1687" s="362"/>
      <c r="AD1687" s="362"/>
      <c r="AE1687" s="362"/>
      <c r="AF1687" s="362"/>
      <c r="AG1687" s="362"/>
      <c r="AH1687" s="362"/>
      <c r="AI1687" s="360"/>
      <c r="AJ1687" s="360"/>
      <c r="AK1687" s="362"/>
      <c r="AL1687" s="362"/>
      <c r="AM1687" s="362"/>
      <c r="AN1687" s="362"/>
      <c r="AO1687" s="362"/>
      <c r="AP1687" s="362"/>
      <c r="AQ1687" s="362"/>
      <c r="AR1687" s="362"/>
    </row>
    <row r="1688" spans="1:44" ht="12" customHeight="1" x14ac:dyDescent="0.15">
      <c r="A1688" s="447"/>
      <c r="B1688" s="393"/>
      <c r="C1688" s="428"/>
      <c r="D1688" s="428"/>
      <c r="E1688" s="224"/>
      <c r="F1688" s="224"/>
      <c r="G1688" s="224"/>
      <c r="H1688" s="224"/>
      <c r="I1688" s="224"/>
      <c r="J1688" s="224"/>
      <c r="Z1688" s="362"/>
      <c r="AA1688" s="362"/>
      <c r="AB1688" s="362"/>
      <c r="AC1688" s="362"/>
      <c r="AD1688" s="362"/>
      <c r="AE1688" s="362"/>
      <c r="AF1688" s="362"/>
      <c r="AG1688" s="362"/>
      <c r="AH1688" s="362"/>
      <c r="AI1688" s="360"/>
      <c r="AJ1688" s="360"/>
      <c r="AK1688" s="362"/>
      <c r="AL1688" s="362"/>
      <c r="AM1688" s="362"/>
      <c r="AN1688" s="362"/>
      <c r="AO1688" s="362"/>
      <c r="AP1688" s="362"/>
      <c r="AQ1688" s="362"/>
      <c r="AR1688" s="362"/>
    </row>
    <row r="1689" spans="1:44" ht="12" customHeight="1" x14ac:dyDescent="0.15">
      <c r="A1689" s="447"/>
      <c r="B1689" s="393"/>
      <c r="C1689" s="428"/>
      <c r="D1689" s="428"/>
      <c r="E1689" s="224"/>
      <c r="F1689" s="224"/>
      <c r="G1689" s="224"/>
      <c r="H1689" s="224"/>
      <c r="I1689" s="224"/>
      <c r="J1689" s="224"/>
      <c r="Z1689" s="362"/>
      <c r="AA1689" s="362"/>
      <c r="AB1689" s="362"/>
      <c r="AC1689" s="362"/>
      <c r="AD1689" s="362"/>
      <c r="AE1689" s="362"/>
      <c r="AF1689" s="362"/>
      <c r="AG1689" s="362"/>
      <c r="AH1689" s="362"/>
      <c r="AI1689" s="360"/>
      <c r="AJ1689" s="360"/>
      <c r="AK1689" s="362"/>
      <c r="AL1689" s="362"/>
      <c r="AM1689" s="362"/>
      <c r="AN1689" s="362"/>
      <c r="AO1689" s="362"/>
      <c r="AP1689" s="362"/>
      <c r="AQ1689" s="362"/>
      <c r="AR1689" s="362"/>
    </row>
    <row r="1690" spans="1:44" ht="12" customHeight="1" x14ac:dyDescent="0.15">
      <c r="A1690" s="447"/>
      <c r="B1690" s="393"/>
      <c r="C1690" s="428"/>
      <c r="D1690" s="428"/>
      <c r="E1690" s="224"/>
      <c r="F1690" s="224"/>
      <c r="G1690" s="224"/>
      <c r="H1690" s="224"/>
      <c r="I1690" s="224"/>
      <c r="J1690" s="224"/>
      <c r="Z1690" s="362"/>
      <c r="AA1690" s="362"/>
      <c r="AB1690" s="362"/>
      <c r="AC1690" s="362"/>
      <c r="AD1690" s="362"/>
      <c r="AE1690" s="362"/>
      <c r="AF1690" s="362"/>
      <c r="AG1690" s="362"/>
      <c r="AH1690" s="362"/>
      <c r="AI1690" s="360"/>
      <c r="AJ1690" s="360"/>
      <c r="AK1690" s="362"/>
      <c r="AL1690" s="362"/>
      <c r="AM1690" s="362"/>
      <c r="AN1690" s="362"/>
      <c r="AO1690" s="362"/>
      <c r="AP1690" s="362"/>
      <c r="AQ1690" s="362"/>
      <c r="AR1690" s="362"/>
    </row>
    <row r="1691" spans="1:44" ht="12" customHeight="1" x14ac:dyDescent="0.15">
      <c r="A1691" s="447"/>
      <c r="B1691" s="393"/>
      <c r="C1691" s="428"/>
      <c r="D1691" s="428"/>
      <c r="E1691" s="224"/>
      <c r="F1691" s="224"/>
      <c r="G1691" s="224"/>
      <c r="H1691" s="224"/>
      <c r="I1691" s="224"/>
      <c r="J1691" s="224"/>
      <c r="Z1691" s="362"/>
      <c r="AA1691" s="362"/>
      <c r="AB1691" s="362"/>
      <c r="AC1691" s="362"/>
      <c r="AD1691" s="362"/>
      <c r="AE1691" s="362"/>
      <c r="AF1691" s="362"/>
      <c r="AG1691" s="362"/>
      <c r="AH1691" s="362"/>
      <c r="AI1691" s="360"/>
      <c r="AJ1691" s="360"/>
      <c r="AK1691" s="362"/>
      <c r="AL1691" s="362"/>
      <c r="AM1691" s="362"/>
      <c r="AN1691" s="362"/>
      <c r="AO1691" s="362"/>
      <c r="AP1691" s="362"/>
      <c r="AQ1691" s="362"/>
      <c r="AR1691" s="362"/>
    </row>
    <row r="1692" spans="1:44" ht="12" customHeight="1" x14ac:dyDescent="0.15">
      <c r="A1692" s="447"/>
      <c r="B1692" s="393"/>
      <c r="C1692" s="428"/>
      <c r="D1692" s="428"/>
      <c r="E1692" s="224"/>
      <c r="F1692" s="224"/>
      <c r="G1692" s="224"/>
      <c r="H1692" s="224"/>
      <c r="I1692" s="224"/>
      <c r="J1692" s="224"/>
      <c r="Z1692" s="362"/>
      <c r="AA1692" s="362"/>
      <c r="AB1692" s="362"/>
      <c r="AC1692" s="362"/>
      <c r="AD1692" s="362"/>
      <c r="AE1692" s="362"/>
      <c r="AF1692" s="362"/>
      <c r="AG1692" s="362"/>
      <c r="AH1692" s="362"/>
      <c r="AI1692" s="360"/>
      <c r="AJ1692" s="360"/>
      <c r="AK1692" s="362"/>
      <c r="AL1692" s="362"/>
      <c r="AM1692" s="362"/>
      <c r="AN1692" s="362"/>
      <c r="AO1692" s="362"/>
      <c r="AP1692" s="362"/>
      <c r="AQ1692" s="362"/>
      <c r="AR1692" s="362"/>
    </row>
    <row r="1693" spans="1:44" ht="12" customHeight="1" x14ac:dyDescent="0.15">
      <c r="A1693" s="447"/>
      <c r="B1693" s="393"/>
      <c r="C1693" s="428"/>
      <c r="D1693" s="428"/>
      <c r="E1693" s="224"/>
      <c r="F1693" s="224"/>
      <c r="G1693" s="224"/>
      <c r="H1693" s="224"/>
      <c r="I1693" s="224"/>
      <c r="J1693" s="224"/>
      <c r="Z1693" s="362"/>
      <c r="AA1693" s="362"/>
      <c r="AB1693" s="362"/>
      <c r="AC1693" s="362"/>
      <c r="AD1693" s="362"/>
      <c r="AE1693" s="362"/>
      <c r="AF1693" s="362"/>
      <c r="AG1693" s="362"/>
      <c r="AH1693" s="362"/>
      <c r="AI1693" s="360"/>
      <c r="AJ1693" s="360"/>
      <c r="AK1693" s="362"/>
      <c r="AL1693" s="362"/>
      <c r="AM1693" s="362"/>
      <c r="AN1693" s="362"/>
      <c r="AO1693" s="362"/>
      <c r="AP1693" s="362"/>
      <c r="AQ1693" s="362"/>
      <c r="AR1693" s="362"/>
    </row>
    <row r="1694" spans="1:44" ht="12" customHeight="1" x14ac:dyDescent="0.15">
      <c r="A1694" s="447"/>
      <c r="B1694" s="393"/>
      <c r="C1694" s="428"/>
      <c r="D1694" s="428"/>
      <c r="E1694" s="224"/>
      <c r="F1694" s="224"/>
      <c r="G1694" s="224"/>
      <c r="H1694" s="224"/>
      <c r="I1694" s="224"/>
      <c r="J1694" s="224"/>
      <c r="Z1694" s="362"/>
      <c r="AA1694" s="362"/>
      <c r="AB1694" s="362"/>
      <c r="AC1694" s="362"/>
      <c r="AD1694" s="362"/>
      <c r="AE1694" s="362"/>
      <c r="AF1694" s="362"/>
      <c r="AG1694" s="362"/>
      <c r="AH1694" s="362"/>
      <c r="AI1694" s="360"/>
      <c r="AJ1694" s="360"/>
      <c r="AK1694" s="362"/>
      <c r="AL1694" s="362"/>
      <c r="AM1694" s="362"/>
      <c r="AN1694" s="362"/>
      <c r="AO1694" s="362"/>
      <c r="AP1694" s="362"/>
      <c r="AQ1694" s="362"/>
      <c r="AR1694" s="362"/>
    </row>
    <row r="1695" spans="1:44" ht="12" customHeight="1" x14ac:dyDescent="0.15">
      <c r="A1695" s="447"/>
      <c r="B1695" s="393"/>
      <c r="C1695" s="428"/>
      <c r="D1695" s="428"/>
      <c r="E1695" s="224"/>
      <c r="F1695" s="224"/>
      <c r="G1695" s="224"/>
      <c r="H1695" s="224"/>
      <c r="I1695" s="224"/>
      <c r="J1695" s="224"/>
      <c r="Z1695" s="362"/>
      <c r="AA1695" s="362"/>
      <c r="AB1695" s="362"/>
      <c r="AC1695" s="362"/>
      <c r="AD1695" s="362"/>
      <c r="AE1695" s="362"/>
      <c r="AF1695" s="362"/>
      <c r="AG1695" s="362"/>
      <c r="AH1695" s="362"/>
      <c r="AI1695" s="360"/>
      <c r="AJ1695" s="360"/>
      <c r="AK1695" s="362"/>
      <c r="AL1695" s="362"/>
      <c r="AM1695" s="362"/>
      <c r="AN1695" s="362"/>
      <c r="AO1695" s="362"/>
      <c r="AP1695" s="362"/>
      <c r="AQ1695" s="362"/>
      <c r="AR1695" s="362"/>
    </row>
    <row r="1696" spans="1:44" ht="12" customHeight="1" x14ac:dyDescent="0.15">
      <c r="A1696" s="447"/>
      <c r="B1696" s="393"/>
      <c r="C1696" s="428"/>
      <c r="D1696" s="428"/>
      <c r="E1696" s="224"/>
      <c r="F1696" s="224"/>
      <c r="G1696" s="224"/>
      <c r="H1696" s="224"/>
      <c r="I1696" s="224"/>
      <c r="J1696" s="224"/>
      <c r="Z1696" s="362"/>
      <c r="AA1696" s="362"/>
      <c r="AB1696" s="362"/>
      <c r="AC1696" s="362"/>
      <c r="AD1696" s="362"/>
      <c r="AE1696" s="362"/>
      <c r="AF1696" s="362"/>
      <c r="AG1696" s="362"/>
      <c r="AH1696" s="362"/>
      <c r="AI1696" s="360"/>
      <c r="AJ1696" s="360"/>
      <c r="AK1696" s="362"/>
      <c r="AL1696" s="362"/>
      <c r="AM1696" s="362"/>
      <c r="AN1696" s="362"/>
      <c r="AO1696" s="362"/>
      <c r="AP1696" s="362"/>
      <c r="AQ1696" s="362"/>
      <c r="AR1696" s="362"/>
    </row>
    <row r="1697" spans="1:44" ht="12" customHeight="1" x14ac:dyDescent="0.15">
      <c r="A1697" s="447"/>
      <c r="B1697" s="393"/>
      <c r="C1697" s="428"/>
      <c r="D1697" s="428"/>
      <c r="E1697" s="224"/>
      <c r="F1697" s="224"/>
      <c r="G1697" s="224"/>
      <c r="H1697" s="224"/>
      <c r="I1697" s="224"/>
      <c r="J1697" s="224"/>
      <c r="Z1697" s="362"/>
      <c r="AA1697" s="362"/>
      <c r="AB1697" s="362"/>
      <c r="AC1697" s="362"/>
      <c r="AD1697" s="362"/>
      <c r="AE1697" s="362"/>
      <c r="AF1697" s="362"/>
      <c r="AG1697" s="362"/>
      <c r="AH1697" s="362"/>
      <c r="AI1697" s="360"/>
      <c r="AJ1697" s="360"/>
      <c r="AK1697" s="362"/>
      <c r="AL1697" s="362"/>
      <c r="AM1697" s="362"/>
      <c r="AN1697" s="362"/>
      <c r="AO1697" s="362"/>
      <c r="AP1697" s="362"/>
      <c r="AQ1697" s="362"/>
      <c r="AR1697" s="362"/>
    </row>
    <row r="1698" spans="1:44" ht="12" customHeight="1" x14ac:dyDescent="0.15">
      <c r="A1698" s="447"/>
      <c r="B1698" s="393"/>
      <c r="C1698" s="428"/>
      <c r="D1698" s="428"/>
      <c r="E1698" s="224"/>
      <c r="F1698" s="224"/>
      <c r="G1698" s="224"/>
      <c r="H1698" s="224"/>
      <c r="I1698" s="224"/>
      <c r="J1698" s="224"/>
      <c r="Z1698" s="362"/>
      <c r="AA1698" s="362"/>
      <c r="AB1698" s="362"/>
      <c r="AC1698" s="362"/>
      <c r="AD1698" s="362"/>
      <c r="AE1698" s="362"/>
      <c r="AF1698" s="362"/>
      <c r="AG1698" s="362"/>
      <c r="AH1698" s="362"/>
      <c r="AI1698" s="360"/>
      <c r="AJ1698" s="360"/>
      <c r="AK1698" s="362"/>
      <c r="AL1698" s="362"/>
      <c r="AM1698" s="362"/>
      <c r="AN1698" s="362"/>
      <c r="AO1698" s="362"/>
      <c r="AP1698" s="362"/>
      <c r="AQ1698" s="362"/>
      <c r="AR1698" s="362"/>
    </row>
    <row r="1699" spans="1:44" ht="12" customHeight="1" x14ac:dyDescent="0.15">
      <c r="A1699" s="447"/>
      <c r="B1699" s="393"/>
      <c r="C1699" s="428"/>
      <c r="D1699" s="428"/>
      <c r="E1699" s="224"/>
      <c r="F1699" s="224"/>
      <c r="G1699" s="224"/>
      <c r="H1699" s="224"/>
      <c r="I1699" s="224"/>
      <c r="J1699" s="224"/>
      <c r="Z1699" s="362"/>
      <c r="AA1699" s="362"/>
      <c r="AB1699" s="362"/>
      <c r="AC1699" s="362"/>
      <c r="AD1699" s="362"/>
      <c r="AE1699" s="362"/>
      <c r="AF1699" s="362"/>
      <c r="AG1699" s="362"/>
      <c r="AH1699" s="362"/>
      <c r="AI1699" s="360"/>
      <c r="AJ1699" s="360"/>
      <c r="AK1699" s="362"/>
      <c r="AL1699" s="362"/>
      <c r="AM1699" s="362"/>
      <c r="AN1699" s="362"/>
      <c r="AO1699" s="362"/>
      <c r="AP1699" s="362"/>
      <c r="AQ1699" s="362"/>
      <c r="AR1699" s="362"/>
    </row>
    <row r="1700" spans="1:44" ht="12" customHeight="1" x14ac:dyDescent="0.15">
      <c r="A1700" s="447"/>
      <c r="B1700" s="393"/>
      <c r="C1700" s="428"/>
      <c r="D1700" s="428"/>
      <c r="E1700" s="224"/>
      <c r="F1700" s="224"/>
      <c r="G1700" s="224"/>
      <c r="H1700" s="224"/>
      <c r="I1700" s="224"/>
      <c r="J1700" s="224"/>
      <c r="Z1700" s="362"/>
      <c r="AA1700" s="362"/>
      <c r="AB1700" s="362"/>
      <c r="AC1700" s="362"/>
      <c r="AD1700" s="362"/>
      <c r="AE1700" s="362"/>
      <c r="AF1700" s="362"/>
      <c r="AG1700" s="362"/>
      <c r="AH1700" s="362"/>
      <c r="AI1700" s="360"/>
      <c r="AJ1700" s="360"/>
      <c r="AK1700" s="362"/>
      <c r="AL1700" s="362"/>
      <c r="AM1700" s="362"/>
      <c r="AN1700" s="362"/>
      <c r="AO1700" s="362"/>
      <c r="AP1700" s="362"/>
      <c r="AQ1700" s="362"/>
      <c r="AR1700" s="362"/>
    </row>
    <row r="1701" spans="1:44" ht="12" customHeight="1" x14ac:dyDescent="0.15">
      <c r="A1701" s="447"/>
      <c r="B1701" s="393"/>
      <c r="C1701" s="428"/>
      <c r="D1701" s="428"/>
      <c r="E1701" s="224"/>
      <c r="F1701" s="224"/>
      <c r="G1701" s="224"/>
      <c r="H1701" s="224"/>
      <c r="I1701" s="224"/>
      <c r="J1701" s="224"/>
      <c r="Z1701" s="362"/>
      <c r="AA1701" s="362"/>
      <c r="AB1701" s="362"/>
      <c r="AC1701" s="362"/>
      <c r="AD1701" s="362"/>
      <c r="AE1701" s="362"/>
      <c r="AF1701" s="362"/>
      <c r="AG1701" s="362"/>
      <c r="AH1701" s="362"/>
      <c r="AI1701" s="360"/>
      <c r="AJ1701" s="360"/>
      <c r="AK1701" s="362"/>
      <c r="AL1701" s="362"/>
      <c r="AM1701" s="362"/>
      <c r="AN1701" s="362"/>
      <c r="AO1701" s="362"/>
      <c r="AP1701" s="362"/>
      <c r="AQ1701" s="362"/>
      <c r="AR1701" s="362"/>
    </row>
    <row r="1702" spans="1:44" ht="12" customHeight="1" x14ac:dyDescent="0.15">
      <c r="A1702" s="447"/>
      <c r="B1702" s="393"/>
      <c r="C1702" s="428"/>
      <c r="D1702" s="428"/>
      <c r="E1702" s="224"/>
      <c r="F1702" s="224"/>
      <c r="G1702" s="224"/>
      <c r="H1702" s="224"/>
      <c r="I1702" s="224"/>
      <c r="J1702" s="224"/>
      <c r="Z1702" s="362"/>
      <c r="AA1702" s="362"/>
      <c r="AB1702" s="362"/>
      <c r="AC1702" s="362"/>
      <c r="AD1702" s="362"/>
      <c r="AE1702" s="362"/>
      <c r="AF1702" s="362"/>
      <c r="AG1702" s="362"/>
      <c r="AH1702" s="362"/>
      <c r="AI1702" s="360"/>
      <c r="AJ1702" s="360"/>
      <c r="AK1702" s="362"/>
      <c r="AL1702" s="362"/>
      <c r="AM1702" s="362"/>
      <c r="AN1702" s="362"/>
      <c r="AO1702" s="362"/>
      <c r="AP1702" s="362"/>
      <c r="AQ1702" s="362"/>
      <c r="AR1702" s="362"/>
    </row>
    <row r="1703" spans="1:44" ht="12" customHeight="1" x14ac:dyDescent="0.15">
      <c r="A1703" s="447"/>
      <c r="B1703" s="393"/>
      <c r="C1703" s="428"/>
      <c r="D1703" s="428"/>
      <c r="E1703" s="224"/>
      <c r="F1703" s="224"/>
      <c r="G1703" s="224"/>
      <c r="H1703" s="224"/>
      <c r="I1703" s="224"/>
      <c r="J1703" s="224"/>
      <c r="Z1703" s="362"/>
      <c r="AA1703" s="362"/>
      <c r="AB1703" s="362"/>
      <c r="AC1703" s="362"/>
      <c r="AD1703" s="362"/>
      <c r="AE1703" s="362"/>
      <c r="AF1703" s="362"/>
      <c r="AG1703" s="362"/>
      <c r="AH1703" s="362"/>
      <c r="AI1703" s="360"/>
      <c r="AJ1703" s="360"/>
      <c r="AK1703" s="362"/>
      <c r="AL1703" s="362"/>
      <c r="AM1703" s="362"/>
      <c r="AN1703" s="362"/>
      <c r="AO1703" s="362"/>
      <c r="AP1703" s="362"/>
      <c r="AQ1703" s="362"/>
      <c r="AR1703" s="362"/>
    </row>
    <row r="1704" spans="1:44" ht="12" customHeight="1" x14ac:dyDescent="0.15">
      <c r="A1704" s="447"/>
      <c r="B1704" s="393"/>
      <c r="C1704" s="428"/>
      <c r="D1704" s="428"/>
      <c r="E1704" s="224"/>
      <c r="F1704" s="224"/>
      <c r="G1704" s="224"/>
      <c r="H1704" s="224"/>
      <c r="I1704" s="224"/>
      <c r="J1704" s="224"/>
      <c r="Z1704" s="362"/>
      <c r="AA1704" s="362"/>
      <c r="AB1704" s="362"/>
      <c r="AC1704" s="362"/>
      <c r="AD1704" s="362"/>
      <c r="AE1704" s="362"/>
      <c r="AF1704" s="362"/>
      <c r="AG1704" s="362"/>
      <c r="AH1704" s="362"/>
      <c r="AI1704" s="360"/>
      <c r="AJ1704" s="360"/>
      <c r="AK1704" s="362"/>
      <c r="AL1704" s="362"/>
      <c r="AM1704" s="362"/>
      <c r="AN1704" s="362"/>
      <c r="AO1704" s="362"/>
      <c r="AP1704" s="362"/>
      <c r="AQ1704" s="362"/>
      <c r="AR1704" s="362"/>
    </row>
    <row r="1705" spans="1:44" ht="12" customHeight="1" x14ac:dyDescent="0.15">
      <c r="A1705" s="447"/>
      <c r="B1705" s="393"/>
      <c r="C1705" s="428"/>
      <c r="D1705" s="428"/>
      <c r="E1705" s="224"/>
      <c r="F1705" s="224"/>
      <c r="G1705" s="224"/>
      <c r="H1705" s="224"/>
      <c r="I1705" s="224"/>
      <c r="J1705" s="224"/>
      <c r="Z1705" s="362"/>
      <c r="AA1705" s="362"/>
      <c r="AB1705" s="362"/>
      <c r="AC1705" s="362"/>
      <c r="AD1705" s="362"/>
      <c r="AE1705" s="362"/>
      <c r="AF1705" s="362"/>
      <c r="AG1705" s="362"/>
      <c r="AH1705" s="362"/>
      <c r="AI1705" s="360"/>
      <c r="AJ1705" s="360"/>
      <c r="AK1705" s="362"/>
      <c r="AL1705" s="362"/>
      <c r="AM1705" s="362"/>
      <c r="AN1705" s="362"/>
      <c r="AO1705" s="362"/>
      <c r="AP1705" s="362"/>
      <c r="AQ1705" s="362"/>
      <c r="AR1705" s="362"/>
    </row>
    <row r="1706" spans="1:44" ht="12" customHeight="1" x14ac:dyDescent="0.15">
      <c r="A1706" s="447"/>
      <c r="B1706" s="393"/>
      <c r="C1706" s="428"/>
      <c r="D1706" s="428"/>
      <c r="E1706" s="224"/>
      <c r="F1706" s="224"/>
      <c r="G1706" s="224"/>
      <c r="H1706" s="224"/>
      <c r="I1706" s="224"/>
      <c r="J1706" s="224"/>
      <c r="Z1706" s="362"/>
      <c r="AA1706" s="362"/>
      <c r="AB1706" s="362"/>
      <c r="AC1706" s="362"/>
      <c r="AD1706" s="362"/>
      <c r="AE1706" s="362"/>
      <c r="AF1706" s="362"/>
      <c r="AG1706" s="362"/>
      <c r="AH1706" s="362"/>
      <c r="AI1706" s="360"/>
      <c r="AJ1706" s="360"/>
      <c r="AK1706" s="362"/>
      <c r="AL1706" s="362"/>
      <c r="AM1706" s="362"/>
      <c r="AN1706" s="362"/>
      <c r="AO1706" s="362"/>
      <c r="AP1706" s="362"/>
      <c r="AQ1706" s="362"/>
      <c r="AR1706" s="362"/>
    </row>
    <row r="1707" spans="1:44" ht="12" customHeight="1" x14ac:dyDescent="0.15">
      <c r="A1707" s="447"/>
      <c r="B1707" s="393"/>
      <c r="C1707" s="428"/>
      <c r="D1707" s="428"/>
      <c r="E1707" s="224"/>
      <c r="F1707" s="224"/>
      <c r="G1707" s="224"/>
      <c r="H1707" s="224"/>
      <c r="I1707" s="224"/>
      <c r="J1707" s="224"/>
      <c r="Z1707" s="362"/>
      <c r="AA1707" s="362"/>
      <c r="AB1707" s="362"/>
      <c r="AC1707" s="362"/>
      <c r="AD1707" s="362"/>
      <c r="AE1707" s="362"/>
      <c r="AF1707" s="362"/>
      <c r="AG1707" s="362"/>
      <c r="AH1707" s="362"/>
      <c r="AI1707" s="360"/>
      <c r="AJ1707" s="360"/>
      <c r="AK1707" s="362"/>
      <c r="AL1707" s="362"/>
      <c r="AM1707" s="362"/>
      <c r="AN1707" s="362"/>
      <c r="AO1707" s="362"/>
      <c r="AP1707" s="362"/>
      <c r="AQ1707" s="362"/>
      <c r="AR1707" s="362"/>
    </row>
    <row r="1708" spans="1:44" ht="12" customHeight="1" x14ac:dyDescent="0.15">
      <c r="A1708" s="447"/>
      <c r="B1708" s="393"/>
      <c r="C1708" s="428"/>
      <c r="D1708" s="428"/>
      <c r="E1708" s="224"/>
      <c r="F1708" s="224"/>
      <c r="G1708" s="224"/>
      <c r="H1708" s="224"/>
      <c r="I1708" s="224"/>
      <c r="J1708" s="224"/>
      <c r="Z1708" s="362"/>
      <c r="AA1708" s="362"/>
      <c r="AB1708" s="362"/>
      <c r="AC1708" s="362"/>
      <c r="AD1708" s="362"/>
      <c r="AE1708" s="362"/>
      <c r="AF1708" s="362"/>
      <c r="AG1708" s="362"/>
      <c r="AH1708" s="362"/>
      <c r="AI1708" s="360"/>
      <c r="AJ1708" s="360"/>
      <c r="AK1708" s="362"/>
      <c r="AL1708" s="362"/>
      <c r="AM1708" s="362"/>
      <c r="AN1708" s="362"/>
      <c r="AO1708" s="362"/>
      <c r="AP1708" s="362"/>
      <c r="AQ1708" s="362"/>
      <c r="AR1708" s="362"/>
    </row>
    <row r="1709" spans="1:44" ht="12" customHeight="1" x14ac:dyDescent="0.15">
      <c r="A1709" s="447"/>
      <c r="B1709" s="393"/>
      <c r="C1709" s="428"/>
      <c r="D1709" s="428"/>
      <c r="E1709" s="224"/>
      <c r="F1709" s="224"/>
      <c r="G1709" s="224"/>
      <c r="H1709" s="224"/>
      <c r="I1709" s="224"/>
      <c r="J1709" s="224"/>
      <c r="Z1709" s="362"/>
      <c r="AA1709" s="362"/>
      <c r="AB1709" s="362"/>
      <c r="AC1709" s="362"/>
      <c r="AD1709" s="362"/>
      <c r="AE1709" s="362"/>
      <c r="AF1709" s="362"/>
      <c r="AG1709" s="362"/>
      <c r="AH1709" s="362"/>
      <c r="AI1709" s="360"/>
      <c r="AJ1709" s="360"/>
      <c r="AK1709" s="362"/>
      <c r="AL1709" s="362"/>
      <c r="AM1709" s="362"/>
      <c r="AN1709" s="362"/>
      <c r="AO1709" s="362"/>
      <c r="AP1709" s="362"/>
      <c r="AQ1709" s="362"/>
      <c r="AR1709" s="362"/>
    </row>
    <row r="1710" spans="1:44" ht="12" customHeight="1" x14ac:dyDescent="0.15">
      <c r="A1710" s="447"/>
      <c r="B1710" s="393"/>
      <c r="C1710" s="428"/>
      <c r="D1710" s="428"/>
      <c r="E1710" s="224"/>
      <c r="F1710" s="224"/>
      <c r="G1710" s="224"/>
      <c r="H1710" s="224"/>
      <c r="I1710" s="224"/>
      <c r="J1710" s="224"/>
      <c r="Z1710" s="362"/>
      <c r="AA1710" s="362"/>
      <c r="AB1710" s="362"/>
      <c r="AC1710" s="362"/>
      <c r="AD1710" s="362"/>
      <c r="AE1710" s="362"/>
      <c r="AF1710" s="362"/>
      <c r="AG1710" s="362"/>
      <c r="AH1710" s="362"/>
      <c r="AI1710" s="360"/>
      <c r="AJ1710" s="360"/>
      <c r="AK1710" s="362"/>
      <c r="AL1710" s="362"/>
      <c r="AM1710" s="362"/>
      <c r="AN1710" s="362"/>
      <c r="AO1710" s="362"/>
      <c r="AP1710" s="362"/>
      <c r="AQ1710" s="362"/>
      <c r="AR1710" s="362"/>
    </row>
    <row r="1711" spans="1:44" ht="12" customHeight="1" x14ac:dyDescent="0.15">
      <c r="A1711" s="447"/>
      <c r="B1711" s="393"/>
      <c r="C1711" s="428"/>
      <c r="D1711" s="428"/>
      <c r="E1711" s="224"/>
      <c r="F1711" s="224"/>
      <c r="G1711" s="224"/>
      <c r="H1711" s="224"/>
      <c r="I1711" s="224"/>
      <c r="J1711" s="224"/>
      <c r="Z1711" s="362"/>
      <c r="AA1711" s="362"/>
      <c r="AB1711" s="362"/>
      <c r="AC1711" s="362"/>
      <c r="AD1711" s="362"/>
      <c r="AE1711" s="362"/>
      <c r="AF1711" s="362"/>
      <c r="AG1711" s="362"/>
      <c r="AH1711" s="362"/>
      <c r="AI1711" s="360"/>
      <c r="AJ1711" s="360"/>
      <c r="AK1711" s="362"/>
      <c r="AL1711" s="362"/>
      <c r="AM1711" s="362"/>
      <c r="AN1711" s="362"/>
      <c r="AO1711" s="362"/>
      <c r="AP1711" s="362"/>
      <c r="AQ1711" s="362"/>
      <c r="AR1711" s="362"/>
    </row>
    <row r="1712" spans="1:44" ht="12" customHeight="1" x14ac:dyDescent="0.15">
      <c r="A1712" s="447"/>
      <c r="B1712" s="393"/>
      <c r="C1712" s="428"/>
      <c r="D1712" s="428"/>
      <c r="E1712" s="224"/>
      <c r="F1712" s="224"/>
      <c r="G1712" s="224"/>
      <c r="H1712" s="224"/>
      <c r="I1712" s="224"/>
      <c r="J1712" s="224"/>
      <c r="Z1712" s="362"/>
      <c r="AA1712" s="362"/>
      <c r="AB1712" s="362"/>
      <c r="AC1712" s="362"/>
      <c r="AD1712" s="362"/>
      <c r="AE1712" s="362"/>
      <c r="AF1712" s="362"/>
      <c r="AG1712" s="362"/>
      <c r="AH1712" s="362"/>
      <c r="AI1712" s="360"/>
      <c r="AJ1712" s="360"/>
      <c r="AK1712" s="362"/>
      <c r="AL1712" s="362"/>
      <c r="AM1712" s="362"/>
      <c r="AN1712" s="362"/>
      <c r="AO1712" s="362"/>
      <c r="AP1712" s="362"/>
      <c r="AQ1712" s="362"/>
      <c r="AR1712" s="362"/>
    </row>
    <row r="1713" spans="1:44" ht="12" customHeight="1" x14ac:dyDescent="0.15">
      <c r="A1713" s="447"/>
      <c r="B1713" s="393"/>
      <c r="C1713" s="428"/>
      <c r="D1713" s="428"/>
      <c r="E1713" s="224"/>
      <c r="F1713" s="224"/>
      <c r="G1713" s="224"/>
      <c r="H1713" s="224"/>
      <c r="I1713" s="224"/>
      <c r="J1713" s="224"/>
      <c r="Z1713" s="362"/>
      <c r="AA1713" s="362"/>
      <c r="AB1713" s="362"/>
      <c r="AC1713" s="362"/>
      <c r="AD1713" s="362"/>
      <c r="AE1713" s="362"/>
      <c r="AF1713" s="362"/>
      <c r="AG1713" s="362"/>
      <c r="AH1713" s="362"/>
      <c r="AI1713" s="360"/>
      <c r="AJ1713" s="360"/>
      <c r="AK1713" s="362"/>
      <c r="AL1713" s="362"/>
      <c r="AM1713" s="362"/>
      <c r="AN1713" s="362"/>
      <c r="AO1713" s="362"/>
      <c r="AP1713" s="362"/>
      <c r="AQ1713" s="362"/>
      <c r="AR1713" s="362"/>
    </row>
    <row r="1714" spans="1:44" ht="12" customHeight="1" x14ac:dyDescent="0.15">
      <c r="A1714" s="447"/>
      <c r="B1714" s="393"/>
      <c r="C1714" s="428"/>
      <c r="D1714" s="428"/>
      <c r="E1714" s="224"/>
      <c r="F1714" s="224"/>
      <c r="G1714" s="224"/>
      <c r="H1714" s="224"/>
      <c r="I1714" s="224"/>
      <c r="J1714" s="224"/>
      <c r="Z1714" s="362"/>
      <c r="AA1714" s="362"/>
      <c r="AB1714" s="362"/>
      <c r="AC1714" s="362"/>
      <c r="AD1714" s="362"/>
      <c r="AE1714" s="362"/>
      <c r="AF1714" s="362"/>
      <c r="AG1714" s="362"/>
      <c r="AH1714" s="362"/>
      <c r="AI1714" s="360"/>
      <c r="AJ1714" s="360"/>
      <c r="AK1714" s="362"/>
      <c r="AL1714" s="362"/>
      <c r="AM1714" s="362"/>
      <c r="AN1714" s="362"/>
      <c r="AO1714" s="362"/>
      <c r="AP1714" s="362"/>
      <c r="AQ1714" s="362"/>
      <c r="AR1714" s="362"/>
    </row>
    <row r="1715" spans="1:44" ht="12" customHeight="1" x14ac:dyDescent="0.15">
      <c r="A1715" s="447"/>
      <c r="B1715" s="393"/>
      <c r="C1715" s="428"/>
      <c r="D1715" s="428"/>
      <c r="E1715" s="224"/>
      <c r="F1715" s="224"/>
      <c r="G1715" s="224"/>
      <c r="H1715" s="224"/>
      <c r="I1715" s="224"/>
      <c r="J1715" s="224"/>
      <c r="Z1715" s="362"/>
      <c r="AA1715" s="362"/>
      <c r="AB1715" s="362"/>
      <c r="AC1715" s="362"/>
      <c r="AD1715" s="362"/>
      <c r="AE1715" s="362"/>
      <c r="AF1715" s="362"/>
      <c r="AG1715" s="362"/>
      <c r="AH1715" s="362"/>
      <c r="AI1715" s="360"/>
      <c r="AJ1715" s="360"/>
      <c r="AK1715" s="362"/>
      <c r="AL1715" s="362"/>
      <c r="AM1715" s="362"/>
      <c r="AN1715" s="362"/>
      <c r="AO1715" s="362"/>
      <c r="AP1715" s="362"/>
      <c r="AQ1715" s="362"/>
      <c r="AR1715" s="362"/>
    </row>
    <row r="1716" spans="1:44" ht="12" customHeight="1" x14ac:dyDescent="0.15">
      <c r="A1716" s="447"/>
      <c r="B1716" s="393"/>
      <c r="C1716" s="428"/>
      <c r="D1716" s="428"/>
      <c r="E1716" s="224"/>
      <c r="F1716" s="224"/>
      <c r="G1716" s="224"/>
      <c r="H1716" s="224"/>
      <c r="I1716" s="224"/>
      <c r="J1716" s="224"/>
      <c r="Z1716" s="362"/>
      <c r="AA1716" s="362"/>
      <c r="AB1716" s="362"/>
      <c r="AC1716" s="362"/>
      <c r="AD1716" s="362"/>
      <c r="AE1716" s="362"/>
      <c r="AF1716" s="362"/>
      <c r="AG1716" s="362"/>
      <c r="AH1716" s="362"/>
      <c r="AI1716" s="360"/>
      <c r="AJ1716" s="360"/>
      <c r="AK1716" s="362"/>
      <c r="AL1716" s="362"/>
      <c r="AM1716" s="362"/>
      <c r="AN1716" s="362"/>
      <c r="AO1716" s="362"/>
      <c r="AP1716" s="362"/>
      <c r="AQ1716" s="362"/>
      <c r="AR1716" s="362"/>
    </row>
    <row r="1717" spans="1:44" ht="12" customHeight="1" x14ac:dyDescent="0.15">
      <c r="A1717" s="447"/>
      <c r="B1717" s="393"/>
      <c r="C1717" s="428"/>
      <c r="D1717" s="428"/>
      <c r="E1717" s="224"/>
      <c r="F1717" s="224"/>
      <c r="G1717" s="224"/>
      <c r="H1717" s="224"/>
      <c r="I1717" s="224"/>
      <c r="J1717" s="224"/>
      <c r="Z1717" s="362"/>
      <c r="AA1717" s="362"/>
      <c r="AB1717" s="362"/>
      <c r="AC1717" s="362"/>
      <c r="AD1717" s="362"/>
      <c r="AE1717" s="362"/>
      <c r="AF1717" s="362"/>
      <c r="AG1717" s="362"/>
      <c r="AH1717" s="362"/>
      <c r="AI1717" s="360"/>
      <c r="AJ1717" s="360"/>
      <c r="AK1717" s="362"/>
      <c r="AL1717" s="362"/>
      <c r="AM1717" s="362"/>
      <c r="AN1717" s="362"/>
      <c r="AO1717" s="362"/>
      <c r="AP1717" s="362"/>
      <c r="AQ1717" s="362"/>
      <c r="AR1717" s="362"/>
    </row>
    <row r="1718" spans="1:44" ht="12" customHeight="1" x14ac:dyDescent="0.15">
      <c r="A1718" s="447"/>
      <c r="B1718" s="393"/>
      <c r="C1718" s="428"/>
      <c r="D1718" s="428"/>
      <c r="E1718" s="224"/>
      <c r="F1718" s="224"/>
      <c r="G1718" s="224"/>
      <c r="H1718" s="224"/>
      <c r="I1718" s="224"/>
      <c r="J1718" s="224"/>
      <c r="Z1718" s="362"/>
      <c r="AA1718" s="362"/>
      <c r="AB1718" s="362"/>
      <c r="AC1718" s="362"/>
      <c r="AD1718" s="362"/>
      <c r="AE1718" s="362"/>
      <c r="AF1718" s="362"/>
      <c r="AG1718" s="362"/>
      <c r="AH1718" s="362"/>
      <c r="AI1718" s="360"/>
      <c r="AJ1718" s="360"/>
      <c r="AK1718" s="362"/>
      <c r="AL1718" s="362"/>
      <c r="AM1718" s="362"/>
      <c r="AN1718" s="362"/>
      <c r="AO1718" s="362"/>
      <c r="AP1718" s="362"/>
      <c r="AQ1718" s="362"/>
      <c r="AR1718" s="362"/>
    </row>
    <row r="1719" spans="1:44" ht="12" customHeight="1" x14ac:dyDescent="0.15">
      <c r="A1719" s="447"/>
      <c r="B1719" s="393"/>
      <c r="C1719" s="428"/>
      <c r="D1719" s="428"/>
      <c r="E1719" s="224"/>
      <c r="F1719" s="224"/>
      <c r="G1719" s="224"/>
      <c r="H1719" s="224"/>
      <c r="I1719" s="224"/>
      <c r="J1719" s="224"/>
      <c r="Z1719" s="362"/>
      <c r="AA1719" s="362"/>
      <c r="AB1719" s="362"/>
      <c r="AC1719" s="362"/>
      <c r="AD1719" s="362"/>
      <c r="AE1719" s="362"/>
      <c r="AF1719" s="362"/>
      <c r="AG1719" s="362"/>
      <c r="AH1719" s="362"/>
      <c r="AI1719" s="360"/>
      <c r="AJ1719" s="360"/>
      <c r="AK1719" s="362"/>
      <c r="AL1719" s="362"/>
      <c r="AM1719" s="362"/>
      <c r="AN1719" s="362"/>
      <c r="AO1719" s="362"/>
      <c r="AP1719" s="362"/>
      <c r="AQ1719" s="362"/>
      <c r="AR1719" s="362"/>
    </row>
    <row r="1720" spans="1:44" ht="12" customHeight="1" x14ac:dyDescent="0.15">
      <c r="A1720" s="447"/>
      <c r="B1720" s="393"/>
      <c r="C1720" s="428"/>
      <c r="D1720" s="428"/>
      <c r="E1720" s="224"/>
      <c r="F1720" s="224"/>
      <c r="G1720" s="224"/>
      <c r="H1720" s="224"/>
      <c r="I1720" s="224"/>
      <c r="J1720" s="224"/>
      <c r="Z1720" s="362"/>
      <c r="AA1720" s="362"/>
      <c r="AB1720" s="362"/>
      <c r="AC1720" s="362"/>
      <c r="AD1720" s="362"/>
      <c r="AE1720" s="362"/>
      <c r="AF1720" s="362"/>
      <c r="AG1720" s="362"/>
      <c r="AH1720" s="362"/>
      <c r="AI1720" s="360"/>
      <c r="AJ1720" s="360"/>
      <c r="AK1720" s="362"/>
      <c r="AL1720" s="362"/>
      <c r="AM1720" s="362"/>
      <c r="AN1720" s="362"/>
      <c r="AO1720" s="362"/>
      <c r="AP1720" s="362"/>
      <c r="AQ1720" s="362"/>
      <c r="AR1720" s="362"/>
    </row>
    <row r="1721" spans="1:44" ht="12" customHeight="1" x14ac:dyDescent="0.15">
      <c r="A1721" s="447"/>
      <c r="B1721" s="393"/>
      <c r="C1721" s="428"/>
      <c r="D1721" s="428"/>
      <c r="E1721" s="224"/>
      <c r="F1721" s="224"/>
      <c r="G1721" s="224"/>
      <c r="H1721" s="224"/>
      <c r="I1721" s="224"/>
      <c r="J1721" s="224"/>
      <c r="Z1721" s="362"/>
      <c r="AA1721" s="362"/>
      <c r="AB1721" s="362"/>
      <c r="AC1721" s="362"/>
      <c r="AD1721" s="362"/>
      <c r="AE1721" s="362"/>
      <c r="AF1721" s="362"/>
      <c r="AG1721" s="362"/>
      <c r="AH1721" s="362"/>
      <c r="AI1721" s="360"/>
      <c r="AJ1721" s="360"/>
      <c r="AK1721" s="362"/>
      <c r="AL1721" s="362"/>
      <c r="AM1721" s="362"/>
      <c r="AN1721" s="362"/>
      <c r="AO1721" s="362"/>
      <c r="AP1721" s="362"/>
      <c r="AQ1721" s="362"/>
      <c r="AR1721" s="362"/>
    </row>
    <row r="1722" spans="1:44" ht="12" customHeight="1" x14ac:dyDescent="0.15">
      <c r="A1722" s="447"/>
      <c r="B1722" s="393"/>
      <c r="C1722" s="428"/>
      <c r="D1722" s="428"/>
      <c r="E1722" s="224"/>
      <c r="F1722" s="224"/>
      <c r="G1722" s="224"/>
      <c r="H1722" s="224"/>
      <c r="I1722" s="224"/>
      <c r="J1722" s="224"/>
      <c r="Z1722" s="362"/>
      <c r="AA1722" s="362"/>
      <c r="AB1722" s="362"/>
      <c r="AC1722" s="362"/>
      <c r="AD1722" s="362"/>
      <c r="AE1722" s="362"/>
      <c r="AF1722" s="362"/>
      <c r="AG1722" s="362"/>
      <c r="AH1722" s="362"/>
      <c r="AI1722" s="360"/>
      <c r="AJ1722" s="360"/>
      <c r="AK1722" s="362"/>
      <c r="AL1722" s="362"/>
      <c r="AM1722" s="362"/>
      <c r="AN1722" s="362"/>
      <c r="AO1722" s="362"/>
      <c r="AP1722" s="362"/>
      <c r="AQ1722" s="362"/>
      <c r="AR1722" s="362"/>
    </row>
    <row r="1723" spans="1:44" ht="12" customHeight="1" x14ac:dyDescent="0.15">
      <c r="A1723" s="447"/>
      <c r="B1723" s="393"/>
      <c r="C1723" s="428"/>
      <c r="D1723" s="428"/>
      <c r="E1723" s="224"/>
      <c r="F1723" s="224"/>
      <c r="G1723" s="224"/>
      <c r="H1723" s="224"/>
      <c r="I1723" s="224"/>
      <c r="J1723" s="224"/>
      <c r="Z1723" s="362"/>
      <c r="AA1723" s="362"/>
      <c r="AB1723" s="362"/>
      <c r="AC1723" s="362"/>
      <c r="AD1723" s="362"/>
      <c r="AE1723" s="362"/>
      <c r="AF1723" s="362"/>
      <c r="AG1723" s="362"/>
      <c r="AH1723" s="362"/>
      <c r="AI1723" s="360"/>
      <c r="AJ1723" s="360"/>
      <c r="AK1723" s="362"/>
      <c r="AL1723" s="362"/>
      <c r="AM1723" s="362"/>
      <c r="AN1723" s="362"/>
      <c r="AO1723" s="362"/>
      <c r="AP1723" s="362"/>
      <c r="AQ1723" s="362"/>
      <c r="AR1723" s="362"/>
    </row>
    <row r="1724" spans="1:44" ht="12" customHeight="1" x14ac:dyDescent="0.15">
      <c r="A1724" s="447"/>
      <c r="B1724" s="393"/>
      <c r="C1724" s="428"/>
      <c r="D1724" s="428"/>
      <c r="E1724" s="224"/>
      <c r="F1724" s="224"/>
      <c r="G1724" s="224"/>
      <c r="H1724" s="224"/>
      <c r="I1724" s="224"/>
      <c r="J1724" s="224"/>
      <c r="Z1724" s="362"/>
      <c r="AA1724" s="362"/>
      <c r="AB1724" s="362"/>
      <c r="AC1724" s="362"/>
      <c r="AD1724" s="362"/>
      <c r="AE1724" s="362"/>
      <c r="AF1724" s="362"/>
      <c r="AG1724" s="362"/>
      <c r="AH1724" s="362"/>
      <c r="AI1724" s="360"/>
      <c r="AJ1724" s="360"/>
      <c r="AK1724" s="362"/>
      <c r="AL1724" s="362"/>
      <c r="AM1724" s="362"/>
      <c r="AN1724" s="362"/>
      <c r="AO1724" s="362"/>
      <c r="AP1724" s="362"/>
      <c r="AQ1724" s="362"/>
      <c r="AR1724" s="362"/>
    </row>
    <row r="1725" spans="1:44" ht="12" customHeight="1" x14ac:dyDescent="0.15">
      <c r="A1725" s="447"/>
      <c r="B1725" s="393"/>
      <c r="C1725" s="428"/>
      <c r="D1725" s="428"/>
      <c r="E1725" s="224"/>
      <c r="F1725" s="224"/>
      <c r="G1725" s="224"/>
      <c r="H1725" s="224"/>
      <c r="I1725" s="224"/>
      <c r="J1725" s="224"/>
      <c r="Z1725" s="362"/>
      <c r="AA1725" s="362"/>
      <c r="AB1725" s="362"/>
      <c r="AC1725" s="362"/>
      <c r="AD1725" s="362"/>
      <c r="AE1725" s="362"/>
      <c r="AF1725" s="362"/>
      <c r="AG1725" s="362"/>
      <c r="AH1725" s="362"/>
      <c r="AI1725" s="360"/>
      <c r="AJ1725" s="360"/>
      <c r="AK1725" s="362"/>
      <c r="AL1725" s="362"/>
      <c r="AM1725" s="362"/>
      <c r="AN1725" s="362"/>
      <c r="AO1725" s="362"/>
      <c r="AP1725" s="362"/>
      <c r="AQ1725" s="362"/>
      <c r="AR1725" s="362"/>
    </row>
    <row r="1726" spans="1:44" ht="12" customHeight="1" x14ac:dyDescent="0.15">
      <c r="A1726" s="447"/>
      <c r="B1726" s="393"/>
      <c r="C1726" s="428"/>
      <c r="D1726" s="428"/>
      <c r="E1726" s="224"/>
      <c r="F1726" s="224"/>
      <c r="G1726" s="224"/>
      <c r="H1726" s="224"/>
      <c r="I1726" s="224"/>
      <c r="J1726" s="224"/>
      <c r="Z1726" s="362"/>
      <c r="AA1726" s="362"/>
      <c r="AB1726" s="362"/>
      <c r="AC1726" s="362"/>
      <c r="AD1726" s="362"/>
      <c r="AE1726" s="362"/>
      <c r="AF1726" s="362"/>
      <c r="AG1726" s="362"/>
      <c r="AH1726" s="362"/>
      <c r="AI1726" s="360"/>
      <c r="AJ1726" s="360"/>
      <c r="AK1726" s="362"/>
      <c r="AL1726" s="362"/>
      <c r="AM1726" s="362"/>
      <c r="AN1726" s="362"/>
      <c r="AO1726" s="362"/>
      <c r="AP1726" s="362"/>
      <c r="AQ1726" s="362"/>
      <c r="AR1726" s="362"/>
    </row>
    <row r="1727" spans="1:44" ht="12" customHeight="1" x14ac:dyDescent="0.15">
      <c r="A1727" s="447"/>
      <c r="B1727" s="393"/>
      <c r="C1727" s="428"/>
      <c r="D1727" s="428"/>
      <c r="E1727" s="224"/>
      <c r="F1727" s="224"/>
      <c r="G1727" s="224"/>
      <c r="H1727" s="224"/>
      <c r="I1727" s="224"/>
      <c r="J1727" s="224"/>
      <c r="Z1727" s="362"/>
      <c r="AA1727" s="362"/>
      <c r="AB1727" s="362"/>
      <c r="AC1727" s="362"/>
      <c r="AD1727" s="362"/>
      <c r="AE1727" s="362"/>
      <c r="AF1727" s="362"/>
      <c r="AG1727" s="362"/>
      <c r="AH1727" s="362"/>
      <c r="AI1727" s="360"/>
      <c r="AJ1727" s="360"/>
      <c r="AK1727" s="362"/>
      <c r="AL1727" s="362"/>
      <c r="AM1727" s="362"/>
      <c r="AN1727" s="362"/>
      <c r="AO1727" s="362"/>
      <c r="AP1727" s="362"/>
      <c r="AQ1727" s="362"/>
      <c r="AR1727" s="362"/>
    </row>
    <row r="1728" spans="1:44" ht="12" customHeight="1" x14ac:dyDescent="0.15">
      <c r="A1728" s="447"/>
      <c r="B1728" s="393"/>
      <c r="C1728" s="428"/>
      <c r="D1728" s="428"/>
      <c r="E1728" s="224"/>
      <c r="F1728" s="224"/>
      <c r="G1728" s="224"/>
      <c r="H1728" s="224"/>
      <c r="I1728" s="224"/>
      <c r="J1728" s="224"/>
      <c r="Z1728" s="362"/>
      <c r="AA1728" s="362"/>
      <c r="AB1728" s="362"/>
      <c r="AC1728" s="362"/>
      <c r="AD1728" s="362"/>
      <c r="AE1728" s="362"/>
      <c r="AF1728" s="362"/>
      <c r="AG1728" s="362"/>
      <c r="AH1728" s="362"/>
      <c r="AI1728" s="360"/>
      <c r="AJ1728" s="360"/>
      <c r="AK1728" s="362"/>
      <c r="AL1728" s="362"/>
      <c r="AM1728" s="362"/>
      <c r="AN1728" s="362"/>
      <c r="AO1728" s="362"/>
      <c r="AP1728" s="362"/>
      <c r="AQ1728" s="362"/>
      <c r="AR1728" s="362"/>
    </row>
    <row r="1729" spans="1:44" ht="12" customHeight="1" x14ac:dyDescent="0.15">
      <c r="A1729" s="447"/>
      <c r="B1729" s="393"/>
      <c r="C1729" s="428"/>
      <c r="D1729" s="428"/>
      <c r="E1729" s="224"/>
      <c r="F1729" s="224"/>
      <c r="G1729" s="224"/>
      <c r="H1729" s="224"/>
      <c r="I1729" s="224"/>
      <c r="J1729" s="224"/>
      <c r="Z1729" s="362"/>
      <c r="AA1729" s="362"/>
      <c r="AB1729" s="362"/>
      <c r="AC1729" s="362"/>
      <c r="AD1729" s="362"/>
      <c r="AE1729" s="362"/>
      <c r="AF1729" s="362"/>
      <c r="AG1729" s="362"/>
      <c r="AH1729" s="362"/>
      <c r="AI1729" s="360"/>
      <c r="AJ1729" s="360"/>
      <c r="AK1729" s="362"/>
      <c r="AL1729" s="362"/>
      <c r="AM1729" s="362"/>
      <c r="AN1729" s="362"/>
      <c r="AO1729" s="362"/>
      <c r="AP1729" s="362"/>
      <c r="AQ1729" s="362"/>
      <c r="AR1729" s="362"/>
    </row>
    <row r="1730" spans="1:44" ht="12" customHeight="1" x14ac:dyDescent="0.15">
      <c r="A1730" s="447"/>
      <c r="B1730" s="393"/>
      <c r="C1730" s="428"/>
      <c r="D1730" s="428"/>
      <c r="E1730" s="224"/>
      <c r="F1730" s="224"/>
      <c r="G1730" s="224"/>
      <c r="H1730" s="224"/>
      <c r="I1730" s="224"/>
      <c r="J1730" s="224"/>
      <c r="Z1730" s="362"/>
      <c r="AA1730" s="362"/>
      <c r="AB1730" s="362"/>
      <c r="AC1730" s="362"/>
      <c r="AD1730" s="362"/>
      <c r="AE1730" s="362"/>
      <c r="AF1730" s="362"/>
      <c r="AG1730" s="362"/>
      <c r="AH1730" s="362"/>
      <c r="AI1730" s="360"/>
      <c r="AJ1730" s="360"/>
      <c r="AK1730" s="362"/>
      <c r="AL1730" s="362"/>
      <c r="AM1730" s="362"/>
      <c r="AN1730" s="362"/>
      <c r="AO1730" s="362"/>
      <c r="AP1730" s="362"/>
      <c r="AQ1730" s="362"/>
      <c r="AR1730" s="362"/>
    </row>
    <row r="1731" spans="1:44" ht="12" customHeight="1" x14ac:dyDescent="0.15">
      <c r="A1731" s="447"/>
      <c r="B1731" s="393"/>
      <c r="C1731" s="428"/>
      <c r="D1731" s="428"/>
      <c r="E1731" s="224"/>
      <c r="F1731" s="224"/>
      <c r="G1731" s="224"/>
      <c r="H1731" s="224"/>
      <c r="I1731" s="224"/>
      <c r="J1731" s="224"/>
      <c r="Z1731" s="362"/>
      <c r="AA1731" s="362"/>
      <c r="AB1731" s="362"/>
      <c r="AC1731" s="362"/>
      <c r="AD1731" s="362"/>
      <c r="AE1731" s="362"/>
      <c r="AF1731" s="362"/>
      <c r="AG1731" s="362"/>
      <c r="AH1731" s="362"/>
      <c r="AI1731" s="360"/>
      <c r="AJ1731" s="360"/>
      <c r="AK1731" s="362"/>
      <c r="AL1731" s="362"/>
      <c r="AM1731" s="362"/>
      <c r="AN1731" s="362"/>
      <c r="AO1731" s="362"/>
      <c r="AP1731" s="362"/>
      <c r="AQ1731" s="362"/>
      <c r="AR1731" s="362"/>
    </row>
    <row r="1732" spans="1:44" ht="12" customHeight="1" x14ac:dyDescent="0.15">
      <c r="A1732" s="447"/>
      <c r="B1732" s="393"/>
      <c r="C1732" s="428"/>
      <c r="D1732" s="428"/>
      <c r="E1732" s="224"/>
      <c r="F1732" s="224"/>
      <c r="G1732" s="224"/>
      <c r="H1732" s="224"/>
      <c r="I1732" s="224"/>
      <c r="J1732" s="224"/>
      <c r="Z1732" s="362"/>
      <c r="AA1732" s="362"/>
      <c r="AB1732" s="362"/>
      <c r="AC1732" s="362"/>
      <c r="AD1732" s="362"/>
      <c r="AE1732" s="362"/>
      <c r="AF1732" s="362"/>
      <c r="AG1732" s="362"/>
      <c r="AH1732" s="362"/>
      <c r="AI1732" s="360"/>
      <c r="AJ1732" s="360"/>
      <c r="AK1732" s="362"/>
      <c r="AL1732" s="362"/>
      <c r="AM1732" s="362"/>
      <c r="AN1732" s="362"/>
      <c r="AO1732" s="362"/>
      <c r="AP1732" s="362"/>
      <c r="AQ1732" s="362"/>
      <c r="AR1732" s="362"/>
    </row>
    <row r="1733" spans="1:44" ht="12" customHeight="1" x14ac:dyDescent="0.15">
      <c r="A1733" s="447"/>
      <c r="B1733" s="393"/>
      <c r="C1733" s="428"/>
      <c r="D1733" s="428"/>
      <c r="E1733" s="224"/>
      <c r="F1733" s="224"/>
      <c r="G1733" s="224"/>
      <c r="H1733" s="224"/>
      <c r="I1733" s="224"/>
      <c r="J1733" s="224"/>
      <c r="Z1733" s="362"/>
      <c r="AA1733" s="362"/>
      <c r="AB1733" s="362"/>
      <c r="AC1733" s="362"/>
      <c r="AD1733" s="362"/>
      <c r="AE1733" s="362"/>
      <c r="AF1733" s="362"/>
      <c r="AG1733" s="362"/>
      <c r="AH1733" s="362"/>
      <c r="AI1733" s="360"/>
      <c r="AJ1733" s="360"/>
      <c r="AK1733" s="362"/>
      <c r="AL1733" s="362"/>
      <c r="AM1733" s="362"/>
      <c r="AN1733" s="362"/>
      <c r="AO1733" s="362"/>
      <c r="AP1733" s="362"/>
      <c r="AQ1733" s="362"/>
      <c r="AR1733" s="362"/>
    </row>
    <row r="1734" spans="1:44" ht="12" customHeight="1" x14ac:dyDescent="0.15">
      <c r="A1734" s="447"/>
      <c r="B1734" s="393"/>
      <c r="C1734" s="428"/>
      <c r="D1734" s="428"/>
      <c r="E1734" s="224"/>
      <c r="F1734" s="224"/>
      <c r="G1734" s="224"/>
      <c r="H1734" s="224"/>
      <c r="I1734" s="224"/>
      <c r="J1734" s="224"/>
      <c r="Z1734" s="362"/>
      <c r="AA1734" s="362"/>
      <c r="AB1734" s="362"/>
      <c r="AC1734" s="362"/>
      <c r="AD1734" s="362"/>
      <c r="AE1734" s="362"/>
      <c r="AF1734" s="362"/>
      <c r="AG1734" s="362"/>
      <c r="AH1734" s="362"/>
      <c r="AI1734" s="360"/>
      <c r="AJ1734" s="360"/>
      <c r="AK1734" s="362"/>
      <c r="AL1734" s="362"/>
      <c r="AM1734" s="362"/>
      <c r="AN1734" s="362"/>
      <c r="AO1734" s="362"/>
      <c r="AP1734" s="362"/>
      <c r="AQ1734" s="362"/>
      <c r="AR1734" s="362"/>
    </row>
    <row r="1735" spans="1:44" ht="12" customHeight="1" x14ac:dyDescent="0.15">
      <c r="A1735" s="447"/>
      <c r="B1735" s="393"/>
      <c r="C1735" s="428"/>
      <c r="D1735" s="428"/>
      <c r="E1735" s="224"/>
      <c r="F1735" s="224"/>
      <c r="G1735" s="224"/>
      <c r="H1735" s="224"/>
      <c r="I1735" s="224"/>
      <c r="J1735" s="224"/>
      <c r="Z1735" s="362"/>
      <c r="AA1735" s="362"/>
      <c r="AB1735" s="362"/>
      <c r="AC1735" s="362"/>
      <c r="AD1735" s="362"/>
      <c r="AE1735" s="362"/>
      <c r="AF1735" s="362"/>
      <c r="AG1735" s="362"/>
      <c r="AH1735" s="362"/>
      <c r="AI1735" s="360"/>
      <c r="AJ1735" s="360"/>
      <c r="AK1735" s="362"/>
      <c r="AL1735" s="362"/>
      <c r="AM1735" s="362"/>
      <c r="AN1735" s="362"/>
      <c r="AO1735" s="362"/>
      <c r="AP1735" s="362"/>
      <c r="AQ1735" s="362"/>
      <c r="AR1735" s="362"/>
    </row>
    <row r="1736" spans="1:44" ht="12" customHeight="1" x14ac:dyDescent="0.15">
      <c r="A1736" s="447"/>
      <c r="B1736" s="393"/>
      <c r="C1736" s="428"/>
      <c r="D1736" s="428"/>
      <c r="E1736" s="224"/>
      <c r="F1736" s="224"/>
      <c r="G1736" s="224"/>
      <c r="H1736" s="224"/>
      <c r="I1736" s="224"/>
      <c r="J1736" s="224"/>
      <c r="Z1736" s="362"/>
      <c r="AA1736" s="362"/>
      <c r="AB1736" s="362"/>
      <c r="AC1736" s="362"/>
      <c r="AD1736" s="362"/>
      <c r="AE1736" s="362"/>
      <c r="AF1736" s="362"/>
      <c r="AG1736" s="362"/>
      <c r="AH1736" s="362"/>
      <c r="AI1736" s="360"/>
      <c r="AJ1736" s="360"/>
      <c r="AK1736" s="362"/>
      <c r="AL1736" s="362"/>
      <c r="AM1736" s="362"/>
      <c r="AN1736" s="362"/>
      <c r="AO1736" s="362"/>
      <c r="AP1736" s="362"/>
      <c r="AQ1736" s="362"/>
      <c r="AR1736" s="362"/>
    </row>
    <row r="1737" spans="1:44" ht="12" customHeight="1" x14ac:dyDescent="0.15">
      <c r="A1737" s="447"/>
      <c r="B1737" s="393"/>
      <c r="C1737" s="428"/>
      <c r="D1737" s="428"/>
      <c r="E1737" s="224"/>
      <c r="F1737" s="224"/>
      <c r="G1737" s="224"/>
      <c r="H1737" s="224"/>
      <c r="I1737" s="224"/>
      <c r="J1737" s="224"/>
      <c r="Z1737" s="362"/>
      <c r="AA1737" s="362"/>
      <c r="AB1737" s="362"/>
      <c r="AC1737" s="362"/>
      <c r="AD1737" s="362"/>
      <c r="AE1737" s="362"/>
      <c r="AF1737" s="362"/>
      <c r="AG1737" s="362"/>
      <c r="AH1737" s="362"/>
      <c r="AI1737" s="360"/>
      <c r="AJ1737" s="360"/>
      <c r="AK1737" s="362"/>
      <c r="AL1737" s="362"/>
      <c r="AM1737" s="362"/>
      <c r="AN1737" s="362"/>
      <c r="AO1737" s="362"/>
      <c r="AP1737" s="362"/>
      <c r="AQ1737" s="362"/>
      <c r="AR1737" s="362"/>
    </row>
    <row r="1738" spans="1:44" ht="12" customHeight="1" x14ac:dyDescent="0.15">
      <c r="A1738" s="447"/>
      <c r="B1738" s="393"/>
      <c r="C1738" s="428"/>
      <c r="D1738" s="428"/>
      <c r="E1738" s="224"/>
      <c r="F1738" s="224"/>
      <c r="G1738" s="224"/>
      <c r="H1738" s="224"/>
      <c r="I1738" s="224"/>
      <c r="J1738" s="224"/>
      <c r="Z1738" s="362"/>
      <c r="AA1738" s="362"/>
      <c r="AB1738" s="362"/>
      <c r="AC1738" s="362"/>
      <c r="AD1738" s="362"/>
      <c r="AE1738" s="362"/>
      <c r="AF1738" s="362"/>
      <c r="AG1738" s="362"/>
      <c r="AH1738" s="362"/>
      <c r="AI1738" s="360"/>
      <c r="AJ1738" s="360"/>
      <c r="AK1738" s="362"/>
      <c r="AL1738" s="362"/>
      <c r="AM1738" s="362"/>
      <c r="AN1738" s="362"/>
      <c r="AO1738" s="362"/>
      <c r="AP1738" s="362"/>
      <c r="AQ1738" s="362"/>
      <c r="AR1738" s="362"/>
    </row>
    <row r="1739" spans="1:44" ht="12" customHeight="1" x14ac:dyDescent="0.15">
      <c r="A1739" s="447"/>
      <c r="B1739" s="393"/>
      <c r="C1739" s="428"/>
      <c r="D1739" s="428"/>
      <c r="E1739" s="224"/>
      <c r="F1739" s="224"/>
      <c r="G1739" s="224"/>
      <c r="H1739" s="224"/>
      <c r="I1739" s="224"/>
      <c r="J1739" s="224"/>
      <c r="Z1739" s="362"/>
      <c r="AA1739" s="362"/>
      <c r="AB1739" s="362"/>
      <c r="AC1739" s="362"/>
      <c r="AD1739" s="362"/>
      <c r="AE1739" s="362"/>
      <c r="AF1739" s="362"/>
      <c r="AG1739" s="362"/>
      <c r="AH1739" s="362"/>
      <c r="AI1739" s="360"/>
      <c r="AJ1739" s="360"/>
      <c r="AK1739" s="362"/>
      <c r="AL1739" s="362"/>
      <c r="AM1739" s="362"/>
      <c r="AN1739" s="362"/>
      <c r="AO1739" s="362"/>
      <c r="AP1739" s="362"/>
      <c r="AQ1739" s="362"/>
      <c r="AR1739" s="362"/>
    </row>
    <row r="1740" spans="1:44" ht="12" customHeight="1" x14ac:dyDescent="0.15">
      <c r="A1740" s="447"/>
      <c r="B1740" s="393"/>
      <c r="C1740" s="428"/>
      <c r="D1740" s="428"/>
      <c r="E1740" s="224"/>
      <c r="F1740" s="224"/>
      <c r="G1740" s="224"/>
      <c r="H1740" s="224"/>
      <c r="I1740" s="224"/>
      <c r="J1740" s="224"/>
      <c r="Z1740" s="362"/>
      <c r="AA1740" s="362"/>
      <c r="AB1740" s="362"/>
      <c r="AC1740" s="362"/>
      <c r="AD1740" s="362"/>
      <c r="AE1740" s="362"/>
      <c r="AF1740" s="362"/>
      <c r="AG1740" s="362"/>
      <c r="AH1740" s="362"/>
      <c r="AI1740" s="360"/>
      <c r="AJ1740" s="360"/>
      <c r="AK1740" s="362"/>
      <c r="AL1740" s="362"/>
      <c r="AM1740" s="362"/>
      <c r="AN1740" s="362"/>
      <c r="AO1740" s="362"/>
      <c r="AP1740" s="362"/>
      <c r="AQ1740" s="362"/>
      <c r="AR1740" s="362"/>
    </row>
    <row r="1741" spans="1:44" ht="12" customHeight="1" x14ac:dyDescent="0.15">
      <c r="A1741" s="447"/>
      <c r="B1741" s="393"/>
      <c r="C1741" s="428"/>
      <c r="D1741" s="428"/>
      <c r="E1741" s="224"/>
      <c r="F1741" s="224"/>
      <c r="G1741" s="224"/>
      <c r="H1741" s="224"/>
      <c r="I1741" s="224"/>
      <c r="J1741" s="224"/>
      <c r="Z1741" s="362"/>
      <c r="AA1741" s="362"/>
      <c r="AB1741" s="362"/>
      <c r="AC1741" s="362"/>
      <c r="AD1741" s="362"/>
      <c r="AE1741" s="362"/>
      <c r="AF1741" s="362"/>
      <c r="AG1741" s="362"/>
      <c r="AH1741" s="362"/>
      <c r="AI1741" s="360"/>
      <c r="AJ1741" s="360"/>
      <c r="AK1741" s="362"/>
      <c r="AL1741" s="362"/>
      <c r="AM1741" s="362"/>
      <c r="AN1741" s="362"/>
      <c r="AO1741" s="362"/>
      <c r="AP1741" s="362"/>
      <c r="AQ1741" s="362"/>
      <c r="AR1741" s="362"/>
    </row>
    <row r="1742" spans="1:44" ht="12" customHeight="1" x14ac:dyDescent="0.15">
      <c r="A1742" s="447"/>
      <c r="B1742" s="393"/>
      <c r="C1742" s="428"/>
      <c r="D1742" s="428"/>
      <c r="E1742" s="224"/>
      <c r="F1742" s="224"/>
      <c r="G1742" s="224"/>
      <c r="H1742" s="224"/>
      <c r="I1742" s="224"/>
      <c r="J1742" s="224"/>
      <c r="Z1742" s="362"/>
      <c r="AA1742" s="362"/>
      <c r="AB1742" s="362"/>
      <c r="AC1742" s="362"/>
      <c r="AD1742" s="362"/>
      <c r="AE1742" s="362"/>
      <c r="AF1742" s="362"/>
      <c r="AG1742" s="362"/>
      <c r="AH1742" s="362"/>
      <c r="AI1742" s="360"/>
      <c r="AJ1742" s="360"/>
      <c r="AK1742" s="362"/>
      <c r="AL1742" s="362"/>
      <c r="AM1742" s="362"/>
      <c r="AN1742" s="362"/>
      <c r="AO1742" s="362"/>
      <c r="AP1742" s="362"/>
      <c r="AQ1742" s="362"/>
      <c r="AR1742" s="362"/>
    </row>
    <row r="1743" spans="1:44" ht="12" customHeight="1" x14ac:dyDescent="0.15">
      <c r="A1743" s="447"/>
      <c r="B1743" s="393"/>
      <c r="C1743" s="428"/>
      <c r="D1743" s="428"/>
      <c r="E1743" s="224"/>
      <c r="F1743" s="224"/>
      <c r="G1743" s="224"/>
      <c r="H1743" s="224"/>
      <c r="I1743" s="224"/>
      <c r="J1743" s="224"/>
      <c r="Z1743" s="362"/>
      <c r="AA1743" s="362"/>
      <c r="AB1743" s="362"/>
      <c r="AC1743" s="362"/>
      <c r="AD1743" s="362"/>
      <c r="AE1743" s="362"/>
      <c r="AF1743" s="362"/>
      <c r="AG1743" s="362"/>
      <c r="AH1743" s="362"/>
      <c r="AI1743" s="360"/>
      <c r="AJ1743" s="360"/>
      <c r="AK1743" s="362"/>
      <c r="AL1743" s="362"/>
      <c r="AM1743" s="362"/>
      <c r="AN1743" s="362"/>
      <c r="AO1743" s="362"/>
      <c r="AP1743" s="362"/>
      <c r="AQ1743" s="362"/>
      <c r="AR1743" s="362"/>
    </row>
    <row r="1744" spans="1:44" ht="12" customHeight="1" x14ac:dyDescent="0.15">
      <c r="A1744" s="447"/>
      <c r="B1744" s="393"/>
      <c r="C1744" s="428"/>
      <c r="D1744" s="428"/>
      <c r="E1744" s="224"/>
      <c r="F1744" s="224"/>
      <c r="G1744" s="224"/>
      <c r="H1744" s="224"/>
      <c r="I1744" s="224"/>
      <c r="J1744" s="224"/>
      <c r="Z1744" s="362"/>
      <c r="AA1744" s="362"/>
      <c r="AB1744" s="362"/>
      <c r="AC1744" s="362"/>
      <c r="AD1744" s="362"/>
      <c r="AE1744" s="362"/>
      <c r="AF1744" s="362"/>
      <c r="AG1744" s="362"/>
      <c r="AH1744" s="362"/>
      <c r="AI1744" s="360"/>
      <c r="AJ1744" s="360"/>
      <c r="AK1744" s="362"/>
      <c r="AL1744" s="362"/>
      <c r="AM1744" s="362"/>
      <c r="AN1744" s="362"/>
      <c r="AO1744" s="362"/>
      <c r="AP1744" s="362"/>
      <c r="AQ1744" s="362"/>
      <c r="AR1744" s="362"/>
    </row>
    <row r="1745" spans="1:44" ht="12" customHeight="1" x14ac:dyDescent="0.15">
      <c r="A1745" s="447"/>
      <c r="B1745" s="393"/>
      <c r="C1745" s="428"/>
      <c r="D1745" s="428"/>
      <c r="E1745" s="224"/>
      <c r="F1745" s="224"/>
      <c r="G1745" s="224"/>
      <c r="H1745" s="224"/>
      <c r="I1745" s="224"/>
      <c r="J1745" s="224"/>
      <c r="Z1745" s="362"/>
      <c r="AA1745" s="362"/>
      <c r="AB1745" s="362"/>
      <c r="AC1745" s="362"/>
      <c r="AD1745" s="362"/>
      <c r="AE1745" s="362"/>
      <c r="AF1745" s="362"/>
      <c r="AG1745" s="362"/>
      <c r="AH1745" s="362"/>
      <c r="AI1745" s="360"/>
      <c r="AJ1745" s="360"/>
      <c r="AK1745" s="362"/>
      <c r="AL1745" s="362"/>
      <c r="AM1745" s="362"/>
      <c r="AN1745" s="362"/>
      <c r="AO1745" s="362"/>
      <c r="AP1745" s="362"/>
      <c r="AQ1745" s="362"/>
      <c r="AR1745" s="362"/>
    </row>
    <row r="1746" spans="1:44" ht="12" customHeight="1" x14ac:dyDescent="0.15">
      <c r="A1746" s="447"/>
      <c r="B1746" s="393"/>
      <c r="C1746" s="428"/>
      <c r="D1746" s="428"/>
      <c r="E1746" s="224"/>
      <c r="F1746" s="224"/>
      <c r="G1746" s="224"/>
      <c r="H1746" s="224"/>
      <c r="I1746" s="224"/>
      <c r="J1746" s="224"/>
      <c r="Z1746" s="362"/>
      <c r="AA1746" s="362"/>
      <c r="AB1746" s="362"/>
      <c r="AC1746" s="362"/>
      <c r="AD1746" s="362"/>
      <c r="AE1746" s="362"/>
      <c r="AF1746" s="362"/>
      <c r="AG1746" s="362"/>
      <c r="AH1746" s="362"/>
      <c r="AI1746" s="360"/>
      <c r="AJ1746" s="360"/>
      <c r="AK1746" s="362"/>
      <c r="AL1746" s="362"/>
      <c r="AM1746" s="362"/>
      <c r="AN1746" s="362"/>
      <c r="AO1746" s="362"/>
      <c r="AP1746" s="362"/>
      <c r="AQ1746" s="362"/>
      <c r="AR1746" s="362"/>
    </row>
    <row r="1747" spans="1:44" ht="12" customHeight="1" x14ac:dyDescent="0.15">
      <c r="A1747" s="447"/>
      <c r="B1747" s="393"/>
      <c r="C1747" s="428"/>
      <c r="D1747" s="428"/>
      <c r="E1747" s="224"/>
      <c r="F1747" s="224"/>
      <c r="G1747" s="224"/>
      <c r="H1747" s="224"/>
      <c r="I1747" s="224"/>
      <c r="J1747" s="224"/>
      <c r="Z1747" s="362"/>
      <c r="AA1747" s="362"/>
      <c r="AB1747" s="362"/>
      <c r="AC1747" s="362"/>
      <c r="AD1747" s="362"/>
      <c r="AE1747" s="362"/>
      <c r="AF1747" s="362"/>
      <c r="AG1747" s="362"/>
      <c r="AH1747" s="362"/>
      <c r="AI1747" s="360"/>
      <c r="AJ1747" s="360"/>
      <c r="AK1747" s="362"/>
      <c r="AL1747" s="362"/>
      <c r="AM1747" s="362"/>
      <c r="AN1747" s="362"/>
      <c r="AO1747" s="362"/>
      <c r="AP1747" s="362"/>
      <c r="AQ1747" s="362"/>
      <c r="AR1747" s="362"/>
    </row>
    <row r="1748" spans="1:44" ht="12" customHeight="1" x14ac:dyDescent="0.15">
      <c r="A1748" s="447"/>
      <c r="B1748" s="393"/>
      <c r="C1748" s="428"/>
      <c r="D1748" s="428"/>
      <c r="E1748" s="224"/>
      <c r="F1748" s="224"/>
      <c r="G1748" s="224"/>
      <c r="H1748" s="224"/>
      <c r="I1748" s="224"/>
      <c r="J1748" s="224"/>
      <c r="Z1748" s="362"/>
      <c r="AA1748" s="362"/>
      <c r="AB1748" s="362"/>
      <c r="AC1748" s="362"/>
      <c r="AD1748" s="362"/>
      <c r="AE1748" s="362"/>
      <c r="AF1748" s="362"/>
      <c r="AG1748" s="362"/>
      <c r="AH1748" s="362"/>
      <c r="AI1748" s="360"/>
      <c r="AJ1748" s="360"/>
      <c r="AK1748" s="362"/>
      <c r="AL1748" s="362"/>
      <c r="AM1748" s="362"/>
      <c r="AN1748" s="362"/>
      <c r="AO1748" s="362"/>
      <c r="AP1748" s="362"/>
      <c r="AQ1748" s="362"/>
      <c r="AR1748" s="362"/>
    </row>
    <row r="1749" spans="1:44" ht="12" customHeight="1" x14ac:dyDescent="0.15">
      <c r="A1749" s="447"/>
      <c r="B1749" s="393"/>
      <c r="C1749" s="428"/>
      <c r="D1749" s="428"/>
      <c r="E1749" s="224"/>
      <c r="F1749" s="224"/>
      <c r="G1749" s="224"/>
      <c r="H1749" s="224"/>
      <c r="I1749" s="224"/>
      <c r="J1749" s="224"/>
      <c r="Z1749" s="362"/>
      <c r="AA1749" s="362"/>
      <c r="AB1749" s="362"/>
      <c r="AC1749" s="362"/>
      <c r="AD1749" s="362"/>
      <c r="AE1749" s="362"/>
      <c r="AF1749" s="362"/>
      <c r="AG1749" s="362"/>
      <c r="AH1749" s="362"/>
      <c r="AI1749" s="360"/>
      <c r="AJ1749" s="360"/>
      <c r="AK1749" s="362"/>
      <c r="AL1749" s="362"/>
      <c r="AM1749" s="362"/>
      <c r="AN1749" s="362"/>
      <c r="AO1749" s="362"/>
      <c r="AP1749" s="362"/>
      <c r="AQ1749" s="362"/>
      <c r="AR1749" s="362"/>
    </row>
    <row r="1750" spans="1:44" ht="12" customHeight="1" x14ac:dyDescent="0.15">
      <c r="A1750" s="447"/>
      <c r="B1750" s="393"/>
      <c r="C1750" s="428"/>
      <c r="D1750" s="428"/>
      <c r="E1750" s="224"/>
      <c r="F1750" s="224"/>
      <c r="G1750" s="224"/>
      <c r="H1750" s="224"/>
      <c r="I1750" s="224"/>
      <c r="J1750" s="224"/>
      <c r="Z1750" s="362"/>
      <c r="AA1750" s="362"/>
      <c r="AB1750" s="362"/>
      <c r="AC1750" s="362"/>
      <c r="AD1750" s="362"/>
      <c r="AE1750" s="362"/>
      <c r="AF1750" s="362"/>
      <c r="AG1750" s="362"/>
      <c r="AH1750" s="362"/>
      <c r="AI1750" s="360"/>
      <c r="AJ1750" s="360"/>
      <c r="AK1750" s="362"/>
      <c r="AL1750" s="362"/>
      <c r="AM1750" s="362"/>
      <c r="AN1750" s="362"/>
      <c r="AO1750" s="362"/>
      <c r="AP1750" s="362"/>
      <c r="AQ1750" s="362"/>
      <c r="AR1750" s="362"/>
    </row>
    <row r="1751" spans="1:44" ht="12" customHeight="1" x14ac:dyDescent="0.15">
      <c r="A1751" s="447"/>
      <c r="B1751" s="393"/>
      <c r="C1751" s="428"/>
      <c r="D1751" s="428"/>
      <c r="E1751" s="224"/>
      <c r="F1751" s="224"/>
      <c r="G1751" s="224"/>
      <c r="H1751" s="224"/>
      <c r="I1751" s="224"/>
      <c r="J1751" s="224"/>
      <c r="Z1751" s="362"/>
      <c r="AA1751" s="362"/>
      <c r="AB1751" s="362"/>
      <c r="AC1751" s="362"/>
      <c r="AD1751" s="362"/>
      <c r="AE1751" s="362"/>
      <c r="AF1751" s="362"/>
      <c r="AG1751" s="362"/>
      <c r="AH1751" s="362"/>
      <c r="AI1751" s="360"/>
      <c r="AJ1751" s="360"/>
      <c r="AK1751" s="362"/>
      <c r="AL1751" s="362"/>
      <c r="AM1751" s="362"/>
      <c r="AN1751" s="362"/>
      <c r="AO1751" s="362"/>
      <c r="AP1751" s="362"/>
      <c r="AQ1751" s="362"/>
      <c r="AR1751" s="362"/>
    </row>
    <row r="1752" spans="1:44" ht="12" customHeight="1" x14ac:dyDescent="0.15">
      <c r="A1752" s="447"/>
      <c r="B1752" s="393"/>
      <c r="C1752" s="428"/>
      <c r="D1752" s="428"/>
      <c r="E1752" s="224"/>
      <c r="F1752" s="224"/>
      <c r="G1752" s="224"/>
      <c r="H1752" s="224"/>
      <c r="I1752" s="224"/>
      <c r="J1752" s="224"/>
      <c r="Z1752" s="362"/>
      <c r="AA1752" s="362"/>
      <c r="AB1752" s="362"/>
      <c r="AC1752" s="362"/>
      <c r="AD1752" s="362"/>
      <c r="AE1752" s="362"/>
      <c r="AF1752" s="362"/>
      <c r="AG1752" s="362"/>
      <c r="AH1752" s="362"/>
      <c r="AI1752" s="360"/>
      <c r="AJ1752" s="360"/>
      <c r="AK1752" s="362"/>
      <c r="AL1752" s="362"/>
      <c r="AM1752" s="362"/>
      <c r="AN1752" s="362"/>
      <c r="AO1752" s="362"/>
      <c r="AP1752" s="362"/>
      <c r="AQ1752" s="362"/>
      <c r="AR1752" s="362"/>
    </row>
    <row r="1753" spans="1:44" ht="12" customHeight="1" x14ac:dyDescent="0.15">
      <c r="A1753" s="447"/>
      <c r="B1753" s="393"/>
      <c r="C1753" s="428"/>
      <c r="D1753" s="428"/>
      <c r="E1753" s="224"/>
      <c r="F1753" s="224"/>
      <c r="G1753" s="224"/>
      <c r="H1753" s="224"/>
      <c r="I1753" s="224"/>
      <c r="J1753" s="224"/>
      <c r="Z1753" s="362"/>
      <c r="AA1753" s="362"/>
      <c r="AB1753" s="362"/>
      <c r="AC1753" s="362"/>
      <c r="AD1753" s="362"/>
      <c r="AE1753" s="362"/>
      <c r="AF1753" s="362"/>
      <c r="AG1753" s="362"/>
      <c r="AH1753" s="362"/>
      <c r="AI1753" s="360"/>
      <c r="AJ1753" s="360"/>
      <c r="AK1753" s="362"/>
      <c r="AL1753" s="362"/>
      <c r="AM1753" s="362"/>
      <c r="AN1753" s="362"/>
      <c r="AO1753" s="362"/>
      <c r="AP1753" s="362"/>
      <c r="AQ1753" s="362"/>
      <c r="AR1753" s="362"/>
    </row>
    <row r="1754" spans="1:44" ht="12" customHeight="1" x14ac:dyDescent="0.15">
      <c r="A1754" s="447"/>
      <c r="B1754" s="393"/>
      <c r="C1754" s="428"/>
      <c r="D1754" s="428"/>
      <c r="E1754" s="224"/>
      <c r="F1754" s="224"/>
      <c r="G1754" s="224"/>
      <c r="H1754" s="224"/>
      <c r="I1754" s="224"/>
      <c r="J1754" s="224"/>
      <c r="Z1754" s="362"/>
      <c r="AA1754" s="362"/>
      <c r="AB1754" s="362"/>
      <c r="AC1754" s="362"/>
      <c r="AD1754" s="362"/>
      <c r="AE1754" s="362"/>
      <c r="AF1754" s="362"/>
      <c r="AG1754" s="362"/>
      <c r="AH1754" s="362"/>
      <c r="AI1754" s="360"/>
      <c r="AJ1754" s="360"/>
      <c r="AK1754" s="362"/>
      <c r="AL1754" s="362"/>
      <c r="AM1754" s="362"/>
      <c r="AN1754" s="362"/>
      <c r="AO1754" s="362"/>
      <c r="AP1754" s="362"/>
      <c r="AQ1754" s="362"/>
      <c r="AR1754" s="362"/>
    </row>
    <row r="1755" spans="1:44" ht="12" customHeight="1" x14ac:dyDescent="0.15">
      <c r="A1755" s="447"/>
      <c r="B1755" s="393"/>
      <c r="C1755" s="428"/>
      <c r="D1755" s="428"/>
      <c r="E1755" s="224"/>
      <c r="F1755" s="224"/>
      <c r="G1755" s="224"/>
      <c r="H1755" s="224"/>
      <c r="I1755" s="224"/>
      <c r="J1755" s="224"/>
      <c r="Z1755" s="362"/>
      <c r="AA1755" s="362"/>
      <c r="AB1755" s="362"/>
      <c r="AC1755" s="362"/>
      <c r="AD1755" s="362"/>
      <c r="AE1755" s="362"/>
      <c r="AF1755" s="362"/>
      <c r="AG1755" s="362"/>
      <c r="AH1755" s="362"/>
      <c r="AI1755" s="360"/>
      <c r="AJ1755" s="360"/>
      <c r="AK1755" s="362"/>
      <c r="AL1755" s="362"/>
      <c r="AM1755" s="362"/>
      <c r="AN1755" s="362"/>
      <c r="AO1755" s="362"/>
      <c r="AP1755" s="362"/>
      <c r="AQ1755" s="362"/>
      <c r="AR1755" s="362"/>
    </row>
    <row r="1756" spans="1:44" ht="12" customHeight="1" x14ac:dyDescent="0.15">
      <c r="A1756" s="447"/>
      <c r="B1756" s="393"/>
      <c r="C1756" s="428"/>
      <c r="D1756" s="428"/>
      <c r="E1756" s="224"/>
      <c r="F1756" s="224"/>
      <c r="G1756" s="224"/>
      <c r="H1756" s="224"/>
      <c r="I1756" s="224"/>
      <c r="J1756" s="224"/>
      <c r="Z1756" s="362"/>
      <c r="AA1756" s="362"/>
      <c r="AB1756" s="362"/>
      <c r="AC1756" s="362"/>
      <c r="AD1756" s="362"/>
      <c r="AE1756" s="362"/>
      <c r="AF1756" s="362"/>
      <c r="AG1756" s="362"/>
      <c r="AH1756" s="362"/>
      <c r="AI1756" s="360"/>
      <c r="AJ1756" s="360"/>
      <c r="AK1756" s="362"/>
      <c r="AL1756" s="362"/>
      <c r="AM1756" s="362"/>
      <c r="AN1756" s="362"/>
      <c r="AO1756" s="362"/>
      <c r="AP1756" s="362"/>
      <c r="AQ1756" s="362"/>
      <c r="AR1756" s="362"/>
    </row>
    <row r="1757" spans="1:44" ht="12" customHeight="1" x14ac:dyDescent="0.15">
      <c r="A1757" s="447"/>
      <c r="B1757" s="393"/>
      <c r="C1757" s="428"/>
      <c r="D1757" s="428"/>
      <c r="E1757" s="224"/>
      <c r="F1757" s="224"/>
      <c r="G1757" s="224"/>
      <c r="H1757" s="224"/>
      <c r="I1757" s="224"/>
      <c r="J1757" s="224"/>
      <c r="Z1757" s="362"/>
      <c r="AA1757" s="362"/>
      <c r="AB1757" s="362"/>
      <c r="AC1757" s="362"/>
      <c r="AD1757" s="362"/>
      <c r="AE1757" s="362"/>
      <c r="AF1757" s="362"/>
      <c r="AG1757" s="362"/>
      <c r="AH1757" s="362"/>
      <c r="AI1757" s="360"/>
      <c r="AJ1757" s="360"/>
      <c r="AK1757" s="362"/>
      <c r="AL1757" s="362"/>
      <c r="AM1757" s="362"/>
      <c r="AN1757" s="362"/>
      <c r="AO1757" s="362"/>
      <c r="AP1757" s="362"/>
      <c r="AQ1757" s="362"/>
      <c r="AR1757" s="362"/>
    </row>
    <row r="1758" spans="1:44" ht="12" customHeight="1" x14ac:dyDescent="0.15">
      <c r="A1758" s="447"/>
      <c r="B1758" s="393"/>
      <c r="C1758" s="428"/>
      <c r="D1758" s="428"/>
      <c r="E1758" s="224"/>
      <c r="F1758" s="224"/>
      <c r="G1758" s="224"/>
      <c r="H1758" s="224"/>
      <c r="I1758" s="224"/>
      <c r="J1758" s="224"/>
      <c r="Z1758" s="362"/>
      <c r="AA1758" s="362"/>
      <c r="AB1758" s="362"/>
      <c r="AC1758" s="362"/>
      <c r="AD1758" s="362"/>
      <c r="AE1758" s="362"/>
      <c r="AF1758" s="362"/>
      <c r="AG1758" s="362"/>
      <c r="AH1758" s="362"/>
      <c r="AI1758" s="360"/>
      <c r="AJ1758" s="360"/>
      <c r="AK1758" s="362"/>
      <c r="AL1758" s="362"/>
      <c r="AM1758" s="362"/>
      <c r="AN1758" s="362"/>
      <c r="AO1758" s="362"/>
      <c r="AP1758" s="362"/>
      <c r="AQ1758" s="362"/>
      <c r="AR1758" s="362"/>
    </row>
    <row r="1759" spans="1:44" ht="12" customHeight="1" x14ac:dyDescent="0.15">
      <c r="A1759" s="447"/>
      <c r="B1759" s="393"/>
      <c r="C1759" s="428"/>
      <c r="D1759" s="428"/>
      <c r="E1759" s="224"/>
      <c r="F1759" s="224"/>
      <c r="G1759" s="224"/>
      <c r="H1759" s="224"/>
      <c r="I1759" s="224"/>
      <c r="J1759" s="224"/>
      <c r="Z1759" s="362"/>
      <c r="AA1759" s="362"/>
      <c r="AB1759" s="362"/>
      <c r="AC1759" s="362"/>
      <c r="AD1759" s="362"/>
      <c r="AE1759" s="362"/>
      <c r="AF1759" s="362"/>
      <c r="AG1759" s="362"/>
      <c r="AH1759" s="362"/>
      <c r="AI1759" s="360"/>
      <c r="AJ1759" s="360"/>
      <c r="AK1759" s="362"/>
      <c r="AL1759" s="362"/>
      <c r="AM1759" s="362"/>
      <c r="AN1759" s="362"/>
      <c r="AO1759" s="362"/>
      <c r="AP1759" s="362"/>
      <c r="AQ1759" s="362"/>
      <c r="AR1759" s="362"/>
    </row>
    <row r="1760" spans="1:44" ht="12" customHeight="1" x14ac:dyDescent="0.15">
      <c r="A1760" s="447"/>
      <c r="B1760" s="393"/>
      <c r="C1760" s="428"/>
      <c r="D1760" s="428"/>
      <c r="E1760" s="224"/>
      <c r="F1760" s="224"/>
      <c r="G1760" s="224"/>
      <c r="H1760" s="224"/>
      <c r="I1760" s="224"/>
      <c r="J1760" s="224"/>
      <c r="Z1760" s="362"/>
      <c r="AA1760" s="362"/>
      <c r="AB1760" s="362"/>
      <c r="AC1760" s="362"/>
      <c r="AD1760" s="362"/>
      <c r="AE1760" s="362"/>
      <c r="AF1760" s="362"/>
      <c r="AG1760" s="362"/>
      <c r="AH1760" s="362"/>
      <c r="AI1760" s="360"/>
      <c r="AJ1760" s="360"/>
      <c r="AK1760" s="362"/>
      <c r="AL1760" s="362"/>
      <c r="AM1760" s="362"/>
      <c r="AN1760" s="362"/>
      <c r="AO1760" s="362"/>
      <c r="AP1760" s="362"/>
      <c r="AQ1760" s="362"/>
      <c r="AR1760" s="362"/>
    </row>
    <row r="1761" spans="1:44" ht="12" customHeight="1" x14ac:dyDescent="0.15">
      <c r="A1761" s="447"/>
      <c r="B1761" s="393"/>
      <c r="C1761" s="428"/>
      <c r="D1761" s="428"/>
      <c r="E1761" s="224"/>
      <c r="F1761" s="224"/>
      <c r="G1761" s="224"/>
      <c r="H1761" s="224"/>
      <c r="I1761" s="224"/>
      <c r="J1761" s="224"/>
      <c r="Z1761" s="362"/>
      <c r="AA1761" s="362"/>
      <c r="AB1761" s="362"/>
      <c r="AC1761" s="362"/>
      <c r="AD1761" s="362"/>
      <c r="AE1761" s="362"/>
      <c r="AF1761" s="362"/>
      <c r="AG1761" s="362"/>
      <c r="AH1761" s="362"/>
      <c r="AI1761" s="360"/>
      <c r="AJ1761" s="360"/>
      <c r="AK1761" s="362"/>
      <c r="AL1761" s="362"/>
      <c r="AM1761" s="362"/>
      <c r="AN1761" s="362"/>
      <c r="AO1761" s="362"/>
      <c r="AP1761" s="362"/>
      <c r="AQ1761" s="362"/>
      <c r="AR1761" s="362"/>
    </row>
    <row r="1762" spans="1:44" ht="12" customHeight="1" x14ac:dyDescent="0.15">
      <c r="A1762" s="447"/>
      <c r="B1762" s="393"/>
      <c r="C1762" s="428"/>
      <c r="D1762" s="428"/>
      <c r="E1762" s="224"/>
      <c r="F1762" s="224"/>
      <c r="G1762" s="224"/>
      <c r="H1762" s="224"/>
      <c r="I1762" s="224"/>
      <c r="J1762" s="224"/>
      <c r="Z1762" s="362"/>
      <c r="AA1762" s="362"/>
      <c r="AB1762" s="362"/>
      <c r="AC1762" s="362"/>
      <c r="AD1762" s="362"/>
      <c r="AE1762" s="362"/>
      <c r="AF1762" s="362"/>
      <c r="AG1762" s="362"/>
      <c r="AH1762" s="362"/>
      <c r="AI1762" s="360"/>
      <c r="AJ1762" s="360"/>
      <c r="AK1762" s="362"/>
      <c r="AL1762" s="362"/>
      <c r="AM1762" s="362"/>
      <c r="AN1762" s="362"/>
      <c r="AO1762" s="362"/>
      <c r="AP1762" s="362"/>
      <c r="AQ1762" s="362"/>
      <c r="AR1762" s="362"/>
    </row>
    <row r="1763" spans="1:44" ht="12" customHeight="1" x14ac:dyDescent="0.15">
      <c r="A1763" s="447"/>
      <c r="B1763" s="393"/>
      <c r="C1763" s="428"/>
      <c r="D1763" s="428"/>
      <c r="E1763" s="224"/>
      <c r="F1763" s="224"/>
      <c r="G1763" s="224"/>
      <c r="H1763" s="224"/>
      <c r="I1763" s="224"/>
      <c r="J1763" s="224"/>
      <c r="Z1763" s="362"/>
      <c r="AA1763" s="362"/>
      <c r="AB1763" s="362"/>
      <c r="AC1763" s="362"/>
      <c r="AD1763" s="362"/>
      <c r="AE1763" s="362"/>
      <c r="AF1763" s="362"/>
      <c r="AG1763" s="362"/>
      <c r="AH1763" s="362"/>
      <c r="AI1763" s="360"/>
      <c r="AJ1763" s="360"/>
      <c r="AK1763" s="362"/>
      <c r="AL1763" s="362"/>
      <c r="AM1763" s="362"/>
      <c r="AN1763" s="362"/>
      <c r="AO1763" s="362"/>
      <c r="AP1763" s="362"/>
      <c r="AQ1763" s="362"/>
      <c r="AR1763" s="362"/>
    </row>
    <row r="1764" spans="1:44" ht="12" customHeight="1" x14ac:dyDescent="0.15">
      <c r="A1764" s="447"/>
      <c r="B1764" s="393"/>
      <c r="C1764" s="428"/>
      <c r="D1764" s="428"/>
      <c r="E1764" s="224"/>
      <c r="F1764" s="224"/>
      <c r="G1764" s="224"/>
      <c r="H1764" s="224"/>
      <c r="I1764" s="224"/>
      <c r="J1764" s="224"/>
      <c r="Z1764" s="362"/>
      <c r="AA1764" s="362"/>
      <c r="AB1764" s="362"/>
      <c r="AC1764" s="362"/>
      <c r="AD1764" s="362"/>
      <c r="AE1764" s="362"/>
      <c r="AF1764" s="362"/>
      <c r="AG1764" s="362"/>
      <c r="AH1764" s="362"/>
      <c r="AI1764" s="360"/>
      <c r="AJ1764" s="360"/>
      <c r="AK1764" s="362"/>
      <c r="AL1764" s="362"/>
      <c r="AM1764" s="362"/>
      <c r="AN1764" s="362"/>
      <c r="AO1764" s="362"/>
      <c r="AP1764" s="362"/>
      <c r="AQ1764" s="362"/>
      <c r="AR1764" s="362"/>
    </row>
    <row r="1765" spans="1:44" ht="12" customHeight="1" x14ac:dyDescent="0.15">
      <c r="A1765" s="447"/>
      <c r="B1765" s="393"/>
      <c r="C1765" s="428"/>
      <c r="D1765" s="428"/>
      <c r="E1765" s="224"/>
      <c r="F1765" s="224"/>
      <c r="G1765" s="224"/>
      <c r="H1765" s="224"/>
      <c r="I1765" s="224"/>
      <c r="J1765" s="224"/>
      <c r="Z1765" s="362"/>
      <c r="AA1765" s="362"/>
      <c r="AB1765" s="362"/>
      <c r="AC1765" s="362"/>
      <c r="AD1765" s="362"/>
      <c r="AE1765" s="362"/>
      <c r="AF1765" s="362"/>
      <c r="AG1765" s="362"/>
      <c r="AH1765" s="362"/>
      <c r="AI1765" s="360"/>
      <c r="AJ1765" s="360"/>
      <c r="AK1765" s="362"/>
      <c r="AL1765" s="362"/>
      <c r="AM1765" s="362"/>
      <c r="AN1765" s="362"/>
      <c r="AO1765" s="362"/>
      <c r="AP1765" s="362"/>
      <c r="AQ1765" s="362"/>
      <c r="AR1765" s="362"/>
    </row>
    <row r="1766" spans="1:44" ht="12" customHeight="1" x14ac:dyDescent="0.15">
      <c r="A1766" s="447"/>
      <c r="B1766" s="393"/>
      <c r="C1766" s="428"/>
      <c r="D1766" s="428"/>
      <c r="E1766" s="224"/>
      <c r="F1766" s="224"/>
      <c r="G1766" s="224"/>
      <c r="H1766" s="224"/>
      <c r="I1766" s="224"/>
      <c r="J1766" s="224"/>
      <c r="Z1766" s="362"/>
      <c r="AA1766" s="362"/>
      <c r="AB1766" s="362"/>
      <c r="AC1766" s="362"/>
      <c r="AD1766" s="362"/>
      <c r="AE1766" s="362"/>
      <c r="AF1766" s="362"/>
      <c r="AG1766" s="362"/>
      <c r="AH1766" s="362"/>
      <c r="AI1766" s="360"/>
      <c r="AJ1766" s="360"/>
      <c r="AK1766" s="362"/>
      <c r="AL1766" s="362"/>
      <c r="AM1766" s="362"/>
      <c r="AN1766" s="362"/>
      <c r="AO1766" s="362"/>
      <c r="AP1766" s="362"/>
      <c r="AQ1766" s="362"/>
      <c r="AR1766" s="362"/>
    </row>
    <row r="1767" spans="1:44" ht="12" customHeight="1" x14ac:dyDescent="0.15">
      <c r="A1767" s="447"/>
      <c r="B1767" s="393"/>
      <c r="C1767" s="428"/>
      <c r="D1767" s="428"/>
      <c r="E1767" s="224"/>
      <c r="F1767" s="224"/>
      <c r="G1767" s="224"/>
      <c r="H1767" s="224"/>
      <c r="I1767" s="224"/>
      <c r="J1767" s="224"/>
      <c r="Z1767" s="362"/>
      <c r="AA1767" s="362"/>
      <c r="AB1767" s="362"/>
      <c r="AC1767" s="362"/>
      <c r="AD1767" s="362"/>
      <c r="AE1767" s="362"/>
      <c r="AF1767" s="362"/>
      <c r="AG1767" s="362"/>
      <c r="AH1767" s="362"/>
      <c r="AI1767" s="360"/>
      <c r="AJ1767" s="360"/>
      <c r="AK1767" s="362"/>
      <c r="AL1767" s="362"/>
      <c r="AM1767" s="362"/>
      <c r="AN1767" s="362"/>
      <c r="AO1767" s="362"/>
      <c r="AP1767" s="362"/>
      <c r="AQ1767" s="362"/>
      <c r="AR1767" s="362"/>
    </row>
    <row r="1768" spans="1:44" ht="12" customHeight="1" x14ac:dyDescent="0.15">
      <c r="A1768" s="447"/>
      <c r="B1768" s="393"/>
      <c r="C1768" s="428"/>
      <c r="D1768" s="428"/>
      <c r="E1768" s="224"/>
      <c r="F1768" s="224"/>
      <c r="G1768" s="224"/>
      <c r="H1768" s="224"/>
      <c r="I1768" s="224"/>
      <c r="J1768" s="224"/>
      <c r="Z1768" s="362"/>
      <c r="AA1768" s="362"/>
      <c r="AB1768" s="362"/>
      <c r="AC1768" s="362"/>
      <c r="AD1768" s="362"/>
      <c r="AE1768" s="362"/>
      <c r="AF1768" s="362"/>
      <c r="AG1768" s="362"/>
      <c r="AH1768" s="362"/>
      <c r="AI1768" s="360"/>
      <c r="AJ1768" s="360"/>
      <c r="AK1768" s="362"/>
      <c r="AL1768" s="362"/>
      <c r="AM1768" s="362"/>
      <c r="AN1768" s="362"/>
      <c r="AO1768" s="362"/>
      <c r="AP1768" s="362"/>
      <c r="AQ1768" s="362"/>
      <c r="AR1768" s="362"/>
    </row>
    <row r="1769" spans="1:44" ht="12" customHeight="1" x14ac:dyDescent="0.15">
      <c r="A1769" s="447"/>
      <c r="B1769" s="393"/>
      <c r="C1769" s="428"/>
      <c r="D1769" s="428"/>
      <c r="E1769" s="224"/>
      <c r="F1769" s="224"/>
      <c r="G1769" s="224"/>
      <c r="H1769" s="224"/>
      <c r="I1769" s="224"/>
      <c r="J1769" s="224"/>
      <c r="Z1769" s="362"/>
      <c r="AA1769" s="362"/>
      <c r="AB1769" s="362"/>
      <c r="AC1769" s="362"/>
      <c r="AD1769" s="362"/>
      <c r="AE1769" s="362"/>
      <c r="AF1769" s="362"/>
      <c r="AG1769" s="362"/>
      <c r="AH1769" s="362"/>
      <c r="AI1769" s="360"/>
      <c r="AJ1769" s="360"/>
      <c r="AK1769" s="362"/>
      <c r="AL1769" s="362"/>
      <c r="AM1769" s="362"/>
      <c r="AN1769" s="362"/>
      <c r="AO1769" s="362"/>
      <c r="AP1769" s="362"/>
      <c r="AQ1769" s="362"/>
      <c r="AR1769" s="362"/>
    </row>
    <row r="1770" spans="1:44" ht="12" customHeight="1" x14ac:dyDescent="0.15">
      <c r="A1770" s="447"/>
      <c r="B1770" s="393"/>
      <c r="C1770" s="428"/>
      <c r="D1770" s="428"/>
      <c r="E1770" s="224"/>
      <c r="F1770" s="224"/>
      <c r="G1770" s="224"/>
      <c r="H1770" s="224"/>
      <c r="I1770" s="224"/>
      <c r="J1770" s="224"/>
      <c r="Z1770" s="362"/>
      <c r="AA1770" s="362"/>
      <c r="AB1770" s="362"/>
      <c r="AC1770" s="362"/>
      <c r="AD1770" s="362"/>
      <c r="AE1770" s="362"/>
      <c r="AF1770" s="362"/>
      <c r="AG1770" s="362"/>
      <c r="AH1770" s="362"/>
      <c r="AI1770" s="360"/>
      <c r="AJ1770" s="360"/>
      <c r="AK1770" s="362"/>
      <c r="AL1770" s="362"/>
      <c r="AM1770" s="362"/>
      <c r="AN1770" s="362"/>
      <c r="AO1770" s="362"/>
      <c r="AP1770" s="362"/>
      <c r="AQ1770" s="362"/>
      <c r="AR1770" s="362"/>
    </row>
    <row r="1771" spans="1:44" ht="12" customHeight="1" x14ac:dyDescent="0.15">
      <c r="A1771" s="447"/>
      <c r="B1771" s="393"/>
      <c r="C1771" s="428"/>
      <c r="D1771" s="428"/>
      <c r="E1771" s="224"/>
      <c r="F1771" s="224"/>
      <c r="G1771" s="224"/>
      <c r="H1771" s="224"/>
      <c r="I1771" s="224"/>
      <c r="J1771" s="224"/>
      <c r="Z1771" s="362"/>
      <c r="AA1771" s="362"/>
      <c r="AB1771" s="362"/>
      <c r="AC1771" s="362"/>
      <c r="AD1771" s="362"/>
      <c r="AE1771" s="362"/>
      <c r="AF1771" s="362"/>
      <c r="AG1771" s="362"/>
      <c r="AH1771" s="362"/>
      <c r="AI1771" s="360"/>
      <c r="AJ1771" s="360"/>
      <c r="AK1771" s="362"/>
      <c r="AL1771" s="362"/>
      <c r="AM1771" s="362"/>
      <c r="AN1771" s="362"/>
      <c r="AO1771" s="362"/>
      <c r="AP1771" s="362"/>
      <c r="AQ1771" s="362"/>
      <c r="AR1771" s="362"/>
    </row>
    <row r="1772" spans="1:44" ht="12" customHeight="1" x14ac:dyDescent="0.15">
      <c r="A1772" s="447"/>
      <c r="B1772" s="393"/>
      <c r="C1772" s="428"/>
      <c r="D1772" s="428"/>
      <c r="E1772" s="224"/>
      <c r="F1772" s="224"/>
      <c r="G1772" s="224"/>
      <c r="H1772" s="224"/>
      <c r="I1772" s="224"/>
      <c r="J1772" s="224"/>
      <c r="Z1772" s="362"/>
      <c r="AA1772" s="362"/>
      <c r="AB1772" s="362"/>
      <c r="AC1772" s="362"/>
      <c r="AD1772" s="362"/>
      <c r="AE1772" s="362"/>
      <c r="AF1772" s="362"/>
      <c r="AG1772" s="362"/>
      <c r="AH1772" s="362"/>
      <c r="AI1772" s="360"/>
      <c r="AJ1772" s="360"/>
      <c r="AK1772" s="362"/>
      <c r="AL1772" s="362"/>
      <c r="AM1772" s="362"/>
      <c r="AN1772" s="362"/>
      <c r="AO1772" s="362"/>
      <c r="AP1772" s="362"/>
      <c r="AQ1772" s="362"/>
      <c r="AR1772" s="362"/>
    </row>
    <row r="1773" spans="1:44" ht="12" customHeight="1" x14ac:dyDescent="0.15">
      <c r="A1773" s="447"/>
      <c r="B1773" s="393"/>
      <c r="C1773" s="428"/>
      <c r="D1773" s="428"/>
      <c r="E1773" s="224"/>
      <c r="F1773" s="224"/>
      <c r="G1773" s="224"/>
      <c r="H1773" s="224"/>
      <c r="I1773" s="224"/>
      <c r="J1773" s="224"/>
      <c r="Z1773" s="362"/>
      <c r="AA1773" s="362"/>
      <c r="AB1773" s="362"/>
      <c r="AC1773" s="362"/>
      <c r="AD1773" s="362"/>
      <c r="AE1773" s="362"/>
      <c r="AF1773" s="362"/>
      <c r="AG1773" s="362"/>
      <c r="AH1773" s="362"/>
      <c r="AI1773" s="360"/>
      <c r="AJ1773" s="360"/>
      <c r="AK1773" s="362"/>
      <c r="AL1773" s="362"/>
      <c r="AM1773" s="362"/>
      <c r="AN1773" s="362"/>
      <c r="AO1773" s="362"/>
      <c r="AP1773" s="362"/>
      <c r="AQ1773" s="362"/>
      <c r="AR1773" s="362"/>
    </row>
    <row r="1774" spans="1:44" ht="12" customHeight="1" x14ac:dyDescent="0.15">
      <c r="A1774" s="447"/>
      <c r="B1774" s="393"/>
      <c r="C1774" s="428"/>
      <c r="D1774" s="428"/>
      <c r="E1774" s="224"/>
      <c r="F1774" s="224"/>
      <c r="G1774" s="224"/>
      <c r="H1774" s="224"/>
      <c r="I1774" s="224"/>
      <c r="J1774" s="224"/>
      <c r="Z1774" s="362"/>
      <c r="AA1774" s="362"/>
      <c r="AB1774" s="362"/>
      <c r="AC1774" s="362"/>
      <c r="AD1774" s="362"/>
      <c r="AE1774" s="362"/>
      <c r="AF1774" s="362"/>
      <c r="AG1774" s="362"/>
      <c r="AH1774" s="362"/>
      <c r="AI1774" s="360"/>
      <c r="AJ1774" s="360"/>
      <c r="AK1774" s="362"/>
      <c r="AL1774" s="362"/>
      <c r="AM1774" s="362"/>
      <c r="AN1774" s="362"/>
      <c r="AO1774" s="362"/>
      <c r="AP1774" s="362"/>
      <c r="AQ1774" s="362"/>
      <c r="AR1774" s="362"/>
    </row>
    <row r="1775" spans="1:44" ht="12" customHeight="1" x14ac:dyDescent="0.15">
      <c r="A1775" s="447"/>
      <c r="B1775" s="393"/>
      <c r="C1775" s="428"/>
      <c r="D1775" s="428"/>
      <c r="E1775" s="224"/>
      <c r="F1775" s="224"/>
      <c r="G1775" s="224"/>
      <c r="H1775" s="224"/>
      <c r="I1775" s="224"/>
      <c r="J1775" s="224"/>
      <c r="Z1775" s="362"/>
      <c r="AA1775" s="362"/>
      <c r="AB1775" s="362"/>
      <c r="AC1775" s="362"/>
      <c r="AD1775" s="362"/>
      <c r="AE1775" s="362"/>
      <c r="AF1775" s="362"/>
      <c r="AG1775" s="362"/>
      <c r="AH1775" s="362"/>
      <c r="AI1775" s="360"/>
      <c r="AJ1775" s="360"/>
      <c r="AK1775" s="362"/>
      <c r="AL1775" s="362"/>
      <c r="AM1775" s="362"/>
      <c r="AN1775" s="362"/>
      <c r="AO1775" s="362"/>
      <c r="AP1775" s="362"/>
      <c r="AQ1775" s="362"/>
      <c r="AR1775" s="362"/>
    </row>
    <row r="1776" spans="1:44" ht="12" customHeight="1" x14ac:dyDescent="0.15">
      <c r="A1776" s="447"/>
      <c r="B1776" s="393"/>
      <c r="C1776" s="428"/>
      <c r="D1776" s="428"/>
      <c r="E1776" s="224"/>
      <c r="F1776" s="224"/>
      <c r="G1776" s="224"/>
      <c r="H1776" s="224"/>
      <c r="I1776" s="224"/>
      <c r="J1776" s="224"/>
      <c r="Z1776" s="362"/>
      <c r="AA1776" s="362"/>
      <c r="AB1776" s="362"/>
      <c r="AC1776" s="362"/>
      <c r="AD1776" s="362"/>
      <c r="AE1776" s="362"/>
      <c r="AF1776" s="362"/>
      <c r="AG1776" s="362"/>
      <c r="AH1776" s="362"/>
      <c r="AI1776" s="360"/>
      <c r="AJ1776" s="360"/>
      <c r="AK1776" s="362"/>
      <c r="AL1776" s="362"/>
      <c r="AM1776" s="362"/>
      <c r="AN1776" s="362"/>
      <c r="AO1776" s="362"/>
      <c r="AP1776" s="362"/>
      <c r="AQ1776" s="362"/>
      <c r="AR1776" s="362"/>
    </row>
    <row r="1777" spans="1:44" ht="12" customHeight="1" x14ac:dyDescent="0.15">
      <c r="A1777" s="447"/>
      <c r="B1777" s="393"/>
      <c r="C1777" s="428"/>
      <c r="D1777" s="428"/>
      <c r="E1777" s="224"/>
      <c r="F1777" s="224"/>
      <c r="G1777" s="224"/>
      <c r="H1777" s="224"/>
      <c r="I1777" s="224"/>
      <c r="J1777" s="224"/>
      <c r="Z1777" s="362"/>
      <c r="AA1777" s="362"/>
      <c r="AB1777" s="362"/>
      <c r="AC1777" s="362"/>
      <c r="AD1777" s="362"/>
      <c r="AE1777" s="362"/>
      <c r="AF1777" s="362"/>
      <c r="AG1777" s="362"/>
      <c r="AH1777" s="362"/>
      <c r="AI1777" s="360"/>
      <c r="AJ1777" s="360"/>
      <c r="AK1777" s="362"/>
      <c r="AL1777" s="362"/>
      <c r="AM1777" s="362"/>
      <c r="AN1777" s="362"/>
      <c r="AO1777" s="362"/>
      <c r="AP1777" s="362"/>
      <c r="AQ1777" s="362"/>
      <c r="AR1777" s="362"/>
    </row>
    <row r="1778" spans="1:44" ht="12" customHeight="1" x14ac:dyDescent="0.15">
      <c r="A1778" s="447"/>
      <c r="B1778" s="393"/>
      <c r="C1778" s="428"/>
      <c r="D1778" s="428"/>
      <c r="E1778" s="224"/>
      <c r="F1778" s="224"/>
      <c r="G1778" s="224"/>
      <c r="H1778" s="224"/>
      <c r="I1778" s="224"/>
      <c r="J1778" s="224"/>
      <c r="Z1778" s="362"/>
      <c r="AA1778" s="362"/>
      <c r="AB1778" s="362"/>
      <c r="AC1778" s="362"/>
      <c r="AD1778" s="362"/>
      <c r="AE1778" s="362"/>
      <c r="AF1778" s="362"/>
      <c r="AG1778" s="362"/>
      <c r="AH1778" s="362"/>
      <c r="AI1778" s="360"/>
      <c r="AJ1778" s="360"/>
      <c r="AK1778" s="362"/>
      <c r="AL1778" s="362"/>
      <c r="AM1778" s="362"/>
      <c r="AN1778" s="362"/>
      <c r="AO1778" s="362"/>
      <c r="AP1778" s="362"/>
      <c r="AQ1778" s="362"/>
      <c r="AR1778" s="362"/>
    </row>
    <row r="1779" spans="1:44" ht="12" customHeight="1" x14ac:dyDescent="0.15">
      <c r="A1779" s="447"/>
      <c r="B1779" s="393"/>
      <c r="C1779" s="428"/>
      <c r="D1779" s="428"/>
      <c r="E1779" s="224"/>
      <c r="F1779" s="224"/>
      <c r="G1779" s="224"/>
      <c r="H1779" s="224"/>
      <c r="I1779" s="224"/>
      <c r="J1779" s="224"/>
      <c r="Z1779" s="362"/>
      <c r="AA1779" s="362"/>
      <c r="AB1779" s="362"/>
      <c r="AC1779" s="362"/>
      <c r="AD1779" s="362"/>
      <c r="AE1779" s="362"/>
      <c r="AF1779" s="362"/>
      <c r="AG1779" s="362"/>
      <c r="AH1779" s="362"/>
      <c r="AI1779" s="360"/>
      <c r="AJ1779" s="360"/>
      <c r="AK1779" s="362"/>
      <c r="AL1779" s="362"/>
      <c r="AM1779" s="362"/>
      <c r="AN1779" s="362"/>
      <c r="AO1779" s="362"/>
      <c r="AP1779" s="362"/>
      <c r="AQ1779" s="362"/>
      <c r="AR1779" s="362"/>
    </row>
    <row r="1780" spans="1:44" ht="12" customHeight="1" x14ac:dyDescent="0.15">
      <c r="A1780" s="447"/>
      <c r="B1780" s="393"/>
      <c r="C1780" s="428"/>
      <c r="D1780" s="428"/>
      <c r="E1780" s="224"/>
      <c r="F1780" s="224"/>
      <c r="G1780" s="224"/>
      <c r="H1780" s="224"/>
      <c r="I1780" s="224"/>
      <c r="J1780" s="224"/>
      <c r="Z1780" s="362"/>
      <c r="AA1780" s="362"/>
      <c r="AB1780" s="362"/>
      <c r="AC1780" s="362"/>
      <c r="AD1780" s="362"/>
      <c r="AE1780" s="362"/>
      <c r="AF1780" s="362"/>
      <c r="AG1780" s="362"/>
      <c r="AH1780" s="362"/>
      <c r="AI1780" s="360"/>
      <c r="AJ1780" s="360"/>
      <c r="AK1780" s="362"/>
      <c r="AL1780" s="362"/>
      <c r="AM1780" s="362"/>
      <c r="AN1780" s="362"/>
      <c r="AO1780" s="362"/>
      <c r="AP1780" s="362"/>
      <c r="AQ1780" s="362"/>
      <c r="AR1780" s="362"/>
    </row>
    <row r="1781" spans="1:44" ht="12" customHeight="1" x14ac:dyDescent="0.15">
      <c r="A1781" s="447"/>
      <c r="B1781" s="393"/>
      <c r="C1781" s="428"/>
      <c r="D1781" s="428"/>
      <c r="E1781" s="224"/>
      <c r="F1781" s="224"/>
      <c r="G1781" s="224"/>
      <c r="H1781" s="224"/>
      <c r="I1781" s="224"/>
      <c r="J1781" s="224"/>
      <c r="Z1781" s="362"/>
      <c r="AA1781" s="362"/>
      <c r="AB1781" s="362"/>
      <c r="AC1781" s="362"/>
      <c r="AD1781" s="362"/>
      <c r="AE1781" s="362"/>
      <c r="AF1781" s="362"/>
      <c r="AG1781" s="362"/>
      <c r="AH1781" s="362"/>
      <c r="AI1781" s="360"/>
      <c r="AJ1781" s="360"/>
      <c r="AK1781" s="362"/>
      <c r="AL1781" s="362"/>
      <c r="AM1781" s="362"/>
      <c r="AN1781" s="362"/>
      <c r="AO1781" s="362"/>
      <c r="AP1781" s="362"/>
      <c r="AQ1781" s="362"/>
      <c r="AR1781" s="362"/>
    </row>
    <row r="1782" spans="1:44" ht="12" customHeight="1" x14ac:dyDescent="0.15">
      <c r="A1782" s="447"/>
      <c r="B1782" s="393"/>
      <c r="C1782" s="428"/>
      <c r="D1782" s="428"/>
      <c r="E1782" s="224"/>
      <c r="F1782" s="224"/>
      <c r="G1782" s="224"/>
      <c r="H1782" s="224"/>
      <c r="I1782" s="224"/>
      <c r="J1782" s="224"/>
      <c r="Z1782" s="362"/>
      <c r="AA1782" s="362"/>
      <c r="AB1782" s="362"/>
      <c r="AC1782" s="362"/>
      <c r="AD1782" s="362"/>
      <c r="AE1782" s="362"/>
      <c r="AF1782" s="362"/>
      <c r="AG1782" s="362"/>
      <c r="AH1782" s="362"/>
      <c r="AI1782" s="360"/>
      <c r="AJ1782" s="360"/>
      <c r="AK1782" s="362"/>
      <c r="AL1782" s="362"/>
      <c r="AM1782" s="362"/>
      <c r="AN1782" s="362"/>
      <c r="AO1782" s="362"/>
      <c r="AP1782" s="362"/>
      <c r="AQ1782" s="362"/>
      <c r="AR1782" s="362"/>
    </row>
    <row r="1783" spans="1:44" ht="12" customHeight="1" x14ac:dyDescent="0.15">
      <c r="A1783" s="447"/>
      <c r="B1783" s="393"/>
      <c r="C1783" s="428"/>
      <c r="D1783" s="428"/>
      <c r="E1783" s="224"/>
      <c r="F1783" s="224"/>
      <c r="G1783" s="224"/>
      <c r="H1783" s="224"/>
      <c r="I1783" s="224"/>
      <c r="J1783" s="224"/>
      <c r="Z1783" s="362"/>
      <c r="AA1783" s="362"/>
      <c r="AB1783" s="362"/>
      <c r="AC1783" s="362"/>
      <c r="AD1783" s="362"/>
      <c r="AE1783" s="362"/>
      <c r="AF1783" s="362"/>
      <c r="AG1783" s="362"/>
      <c r="AH1783" s="362"/>
      <c r="AI1783" s="360"/>
      <c r="AJ1783" s="360"/>
      <c r="AK1783" s="362"/>
      <c r="AL1783" s="362"/>
      <c r="AM1783" s="362"/>
      <c r="AN1783" s="362"/>
      <c r="AO1783" s="362"/>
      <c r="AP1783" s="362"/>
      <c r="AQ1783" s="362"/>
      <c r="AR1783" s="362"/>
    </row>
    <row r="1784" spans="1:44" ht="12" customHeight="1" x14ac:dyDescent="0.15">
      <c r="A1784" s="447"/>
      <c r="B1784" s="393"/>
      <c r="C1784" s="428"/>
      <c r="D1784" s="428"/>
      <c r="E1784" s="224"/>
      <c r="F1784" s="224"/>
      <c r="G1784" s="224"/>
      <c r="H1784" s="224"/>
      <c r="I1784" s="224"/>
      <c r="J1784" s="224"/>
      <c r="Z1784" s="362"/>
      <c r="AA1784" s="362"/>
      <c r="AB1784" s="362"/>
      <c r="AC1784" s="362"/>
      <c r="AD1784" s="362"/>
      <c r="AE1784" s="362"/>
      <c r="AF1784" s="362"/>
      <c r="AG1784" s="362"/>
      <c r="AH1784" s="362"/>
      <c r="AI1784" s="360"/>
      <c r="AJ1784" s="360"/>
      <c r="AK1784" s="362"/>
      <c r="AL1784" s="362"/>
      <c r="AM1784" s="362"/>
      <c r="AN1784" s="362"/>
      <c r="AO1784" s="362"/>
      <c r="AP1784" s="362"/>
      <c r="AQ1784" s="362"/>
      <c r="AR1784" s="362"/>
    </row>
    <row r="1785" spans="1:44" ht="12" customHeight="1" x14ac:dyDescent="0.15">
      <c r="A1785" s="447"/>
      <c r="B1785" s="393"/>
      <c r="C1785" s="428"/>
      <c r="D1785" s="428"/>
      <c r="E1785" s="224"/>
      <c r="F1785" s="224"/>
      <c r="G1785" s="224"/>
      <c r="H1785" s="224"/>
      <c r="I1785" s="224"/>
      <c r="J1785" s="224"/>
      <c r="Z1785" s="362"/>
      <c r="AA1785" s="362"/>
      <c r="AB1785" s="362"/>
      <c r="AC1785" s="362"/>
      <c r="AD1785" s="362"/>
      <c r="AE1785" s="362"/>
      <c r="AF1785" s="362"/>
      <c r="AG1785" s="362"/>
      <c r="AH1785" s="362"/>
      <c r="AI1785" s="360"/>
      <c r="AJ1785" s="360"/>
      <c r="AK1785" s="362"/>
      <c r="AL1785" s="362"/>
      <c r="AM1785" s="362"/>
      <c r="AN1785" s="362"/>
      <c r="AO1785" s="362"/>
      <c r="AP1785" s="362"/>
      <c r="AQ1785" s="362"/>
      <c r="AR1785" s="362"/>
    </row>
    <row r="1786" spans="1:44" ht="12" customHeight="1" x14ac:dyDescent="0.15">
      <c r="A1786" s="447"/>
      <c r="B1786" s="393"/>
      <c r="C1786" s="428"/>
      <c r="D1786" s="428"/>
      <c r="E1786" s="224"/>
      <c r="F1786" s="224"/>
      <c r="G1786" s="224"/>
      <c r="H1786" s="224"/>
      <c r="I1786" s="224"/>
      <c r="J1786" s="224"/>
      <c r="Z1786" s="362"/>
      <c r="AA1786" s="362"/>
      <c r="AB1786" s="362"/>
      <c r="AC1786" s="362"/>
      <c r="AD1786" s="362"/>
      <c r="AE1786" s="362"/>
      <c r="AF1786" s="362"/>
      <c r="AG1786" s="362"/>
      <c r="AH1786" s="362"/>
      <c r="AI1786" s="360"/>
      <c r="AJ1786" s="360"/>
      <c r="AK1786" s="362"/>
      <c r="AL1786" s="362"/>
      <c r="AM1786" s="362"/>
      <c r="AN1786" s="362"/>
      <c r="AO1786" s="362"/>
      <c r="AP1786" s="362"/>
      <c r="AQ1786" s="362"/>
      <c r="AR1786" s="362"/>
    </row>
    <row r="1787" spans="1:44" ht="12" customHeight="1" x14ac:dyDescent="0.15">
      <c r="A1787" s="447"/>
      <c r="B1787" s="393"/>
      <c r="C1787" s="428"/>
      <c r="D1787" s="428"/>
      <c r="E1787" s="224"/>
      <c r="F1787" s="224"/>
      <c r="G1787" s="224"/>
      <c r="H1787" s="224"/>
      <c r="I1787" s="224"/>
      <c r="J1787" s="224"/>
      <c r="Z1787" s="362"/>
      <c r="AA1787" s="362"/>
      <c r="AB1787" s="362"/>
      <c r="AC1787" s="362"/>
      <c r="AD1787" s="362"/>
      <c r="AE1787" s="362"/>
      <c r="AF1787" s="362"/>
      <c r="AG1787" s="362"/>
      <c r="AH1787" s="362"/>
      <c r="AI1787" s="360"/>
      <c r="AJ1787" s="360"/>
      <c r="AK1787" s="362"/>
      <c r="AL1787" s="362"/>
      <c r="AM1787" s="362"/>
      <c r="AN1787" s="362"/>
      <c r="AO1787" s="362"/>
      <c r="AP1787" s="362"/>
      <c r="AQ1787" s="362"/>
      <c r="AR1787" s="362"/>
    </row>
    <row r="1788" spans="1:44" ht="12" customHeight="1" x14ac:dyDescent="0.15">
      <c r="A1788" s="447"/>
      <c r="B1788" s="393"/>
      <c r="C1788" s="428"/>
      <c r="D1788" s="428"/>
      <c r="E1788" s="224"/>
      <c r="F1788" s="224"/>
      <c r="G1788" s="224"/>
      <c r="H1788" s="224"/>
      <c r="I1788" s="224"/>
      <c r="J1788" s="224"/>
      <c r="Z1788" s="362"/>
      <c r="AA1788" s="362"/>
      <c r="AB1788" s="362"/>
      <c r="AC1788" s="362"/>
      <c r="AD1788" s="362"/>
      <c r="AE1788" s="362"/>
      <c r="AF1788" s="362"/>
      <c r="AG1788" s="362"/>
      <c r="AH1788" s="362"/>
      <c r="AI1788" s="360"/>
      <c r="AJ1788" s="360"/>
      <c r="AK1788" s="362"/>
      <c r="AL1788" s="362"/>
      <c r="AM1788" s="362"/>
      <c r="AN1788" s="362"/>
      <c r="AO1788" s="362"/>
      <c r="AP1788" s="362"/>
      <c r="AQ1788" s="362"/>
      <c r="AR1788" s="362"/>
    </row>
    <row r="1789" spans="1:44" ht="12" customHeight="1" x14ac:dyDescent="0.15">
      <c r="A1789" s="447"/>
      <c r="B1789" s="393"/>
      <c r="C1789" s="428"/>
      <c r="D1789" s="428"/>
      <c r="E1789" s="224"/>
      <c r="F1789" s="224"/>
      <c r="G1789" s="224"/>
      <c r="H1789" s="224"/>
      <c r="I1789" s="224"/>
      <c r="J1789" s="224"/>
      <c r="Z1789" s="362"/>
      <c r="AA1789" s="362"/>
      <c r="AB1789" s="362"/>
      <c r="AC1789" s="362"/>
      <c r="AD1789" s="362"/>
      <c r="AE1789" s="362"/>
      <c r="AF1789" s="362"/>
      <c r="AG1789" s="362"/>
      <c r="AH1789" s="362"/>
      <c r="AI1789" s="360"/>
      <c r="AJ1789" s="360"/>
      <c r="AK1789" s="362"/>
      <c r="AL1789" s="362"/>
      <c r="AM1789" s="362"/>
      <c r="AN1789" s="362"/>
      <c r="AO1789" s="362"/>
      <c r="AP1789" s="362"/>
      <c r="AQ1789" s="362"/>
      <c r="AR1789" s="362"/>
    </row>
    <row r="1790" spans="1:44" ht="12" customHeight="1" x14ac:dyDescent="0.15">
      <c r="A1790" s="447"/>
      <c r="B1790" s="393"/>
      <c r="C1790" s="428"/>
      <c r="D1790" s="428"/>
      <c r="E1790" s="224"/>
      <c r="F1790" s="224"/>
      <c r="G1790" s="224"/>
      <c r="H1790" s="224"/>
      <c r="I1790" s="224"/>
      <c r="J1790" s="224"/>
      <c r="Z1790" s="362"/>
      <c r="AA1790" s="362"/>
      <c r="AB1790" s="362"/>
      <c r="AC1790" s="362"/>
      <c r="AD1790" s="362"/>
      <c r="AE1790" s="362"/>
      <c r="AF1790" s="362"/>
      <c r="AG1790" s="362"/>
      <c r="AH1790" s="362"/>
      <c r="AI1790" s="360"/>
      <c r="AJ1790" s="360"/>
      <c r="AK1790" s="362"/>
      <c r="AL1790" s="362"/>
      <c r="AM1790" s="362"/>
      <c r="AN1790" s="362"/>
      <c r="AO1790" s="362"/>
      <c r="AP1790" s="362"/>
      <c r="AQ1790" s="362"/>
      <c r="AR1790" s="362"/>
    </row>
    <row r="1791" spans="1:44" ht="12" customHeight="1" x14ac:dyDescent="0.15">
      <c r="A1791" s="447"/>
      <c r="B1791" s="393"/>
      <c r="C1791" s="428"/>
      <c r="D1791" s="428"/>
      <c r="E1791" s="224"/>
      <c r="F1791" s="224"/>
      <c r="G1791" s="224"/>
      <c r="H1791" s="224"/>
      <c r="I1791" s="224"/>
      <c r="J1791" s="224"/>
      <c r="Z1791" s="362"/>
      <c r="AA1791" s="362"/>
      <c r="AB1791" s="362"/>
      <c r="AC1791" s="362"/>
      <c r="AD1791" s="362"/>
      <c r="AE1791" s="362"/>
      <c r="AF1791" s="362"/>
      <c r="AG1791" s="362"/>
      <c r="AH1791" s="362"/>
      <c r="AI1791" s="360"/>
      <c r="AJ1791" s="360"/>
      <c r="AK1791" s="362"/>
      <c r="AL1791" s="362"/>
      <c r="AM1791" s="362"/>
      <c r="AN1791" s="362"/>
      <c r="AO1791" s="362"/>
      <c r="AP1791" s="362"/>
      <c r="AQ1791" s="362"/>
      <c r="AR1791" s="362"/>
    </row>
    <row r="1792" spans="1:44" ht="12" customHeight="1" x14ac:dyDescent="0.15">
      <c r="A1792" s="447"/>
      <c r="B1792" s="393"/>
      <c r="C1792" s="428"/>
      <c r="D1792" s="428"/>
      <c r="E1792" s="224"/>
      <c r="F1792" s="224"/>
      <c r="G1792" s="224"/>
      <c r="H1792" s="224"/>
      <c r="I1792" s="224"/>
      <c r="J1792" s="224"/>
      <c r="Z1792" s="362"/>
      <c r="AA1792" s="362"/>
      <c r="AB1792" s="362"/>
      <c r="AC1792" s="362"/>
      <c r="AD1792" s="362"/>
      <c r="AE1792" s="362"/>
      <c r="AF1792" s="362"/>
      <c r="AG1792" s="362"/>
      <c r="AH1792" s="362"/>
      <c r="AI1792" s="360"/>
      <c r="AJ1792" s="360"/>
      <c r="AK1792" s="362"/>
      <c r="AL1792" s="362"/>
      <c r="AM1792" s="362"/>
      <c r="AN1792" s="362"/>
      <c r="AO1792" s="362"/>
      <c r="AP1792" s="362"/>
      <c r="AQ1792" s="362"/>
      <c r="AR1792" s="362"/>
    </row>
    <row r="1793" spans="1:44" ht="12" customHeight="1" x14ac:dyDescent="0.15">
      <c r="A1793" s="447"/>
      <c r="B1793" s="393"/>
      <c r="C1793" s="428"/>
      <c r="D1793" s="428"/>
      <c r="E1793" s="224"/>
      <c r="F1793" s="224"/>
      <c r="G1793" s="224"/>
      <c r="H1793" s="224"/>
      <c r="I1793" s="224"/>
      <c r="J1793" s="224"/>
      <c r="Z1793" s="362"/>
      <c r="AA1793" s="362"/>
      <c r="AB1793" s="362"/>
      <c r="AC1793" s="362"/>
      <c r="AD1793" s="362"/>
      <c r="AE1793" s="362"/>
      <c r="AF1793" s="362"/>
      <c r="AG1793" s="362"/>
      <c r="AH1793" s="362"/>
      <c r="AI1793" s="360"/>
      <c r="AJ1793" s="360"/>
      <c r="AK1793" s="362"/>
      <c r="AL1793" s="362"/>
      <c r="AM1793" s="362"/>
      <c r="AN1793" s="362"/>
      <c r="AO1793" s="362"/>
      <c r="AP1793" s="362"/>
      <c r="AQ1793" s="362"/>
      <c r="AR1793" s="362"/>
    </row>
    <row r="1794" spans="1:44" ht="12" customHeight="1" x14ac:dyDescent="0.15">
      <c r="A1794" s="447"/>
      <c r="B1794" s="393"/>
      <c r="C1794" s="428"/>
      <c r="D1794" s="428"/>
      <c r="E1794" s="224"/>
      <c r="F1794" s="224"/>
      <c r="G1794" s="224"/>
      <c r="H1794" s="224"/>
      <c r="I1794" s="224"/>
      <c r="J1794" s="224"/>
      <c r="Z1794" s="362"/>
      <c r="AA1794" s="362"/>
      <c r="AB1794" s="362"/>
      <c r="AC1794" s="362"/>
      <c r="AD1794" s="362"/>
      <c r="AE1794" s="362"/>
      <c r="AF1794" s="362"/>
      <c r="AG1794" s="362"/>
      <c r="AH1794" s="362"/>
      <c r="AI1794" s="360"/>
      <c r="AJ1794" s="360"/>
      <c r="AK1794" s="362"/>
      <c r="AL1794" s="362"/>
      <c r="AM1794" s="362"/>
      <c r="AN1794" s="362"/>
      <c r="AO1794" s="362"/>
      <c r="AP1794" s="362"/>
      <c r="AQ1794" s="362"/>
      <c r="AR1794" s="362"/>
    </row>
    <row r="1795" spans="1:44" ht="12" customHeight="1" x14ac:dyDescent="0.15">
      <c r="A1795" s="447"/>
      <c r="B1795" s="393"/>
      <c r="C1795" s="428"/>
      <c r="D1795" s="428"/>
      <c r="E1795" s="224"/>
      <c r="F1795" s="224"/>
      <c r="G1795" s="224"/>
      <c r="H1795" s="224"/>
      <c r="I1795" s="224"/>
      <c r="J1795" s="224"/>
      <c r="Z1795" s="362"/>
      <c r="AA1795" s="362"/>
      <c r="AB1795" s="362"/>
      <c r="AC1795" s="362"/>
      <c r="AD1795" s="362"/>
      <c r="AE1795" s="362"/>
      <c r="AF1795" s="362"/>
      <c r="AG1795" s="362"/>
      <c r="AH1795" s="362"/>
      <c r="AI1795" s="360"/>
      <c r="AJ1795" s="360"/>
      <c r="AK1795" s="362"/>
      <c r="AL1795" s="362"/>
      <c r="AM1795" s="362"/>
      <c r="AN1795" s="362"/>
      <c r="AO1795" s="362"/>
      <c r="AP1795" s="362"/>
      <c r="AQ1795" s="362"/>
      <c r="AR1795" s="362"/>
    </row>
    <row r="1796" spans="1:44" ht="12" customHeight="1" x14ac:dyDescent="0.15">
      <c r="A1796" s="447"/>
      <c r="B1796" s="393"/>
      <c r="C1796" s="428"/>
      <c r="D1796" s="428"/>
      <c r="E1796" s="224"/>
      <c r="F1796" s="224"/>
      <c r="G1796" s="224"/>
      <c r="H1796" s="224"/>
      <c r="I1796" s="224"/>
      <c r="J1796" s="224"/>
      <c r="Z1796" s="362"/>
      <c r="AA1796" s="362"/>
      <c r="AB1796" s="362"/>
      <c r="AC1796" s="362"/>
      <c r="AD1796" s="362"/>
      <c r="AE1796" s="362"/>
      <c r="AF1796" s="362"/>
      <c r="AG1796" s="362"/>
      <c r="AH1796" s="362"/>
      <c r="AI1796" s="360"/>
      <c r="AJ1796" s="360"/>
      <c r="AK1796" s="362"/>
      <c r="AL1796" s="362"/>
      <c r="AM1796" s="362"/>
      <c r="AN1796" s="362"/>
      <c r="AO1796" s="362"/>
      <c r="AP1796" s="362"/>
      <c r="AQ1796" s="362"/>
      <c r="AR1796" s="362"/>
    </row>
    <row r="1797" spans="1:44" ht="12" customHeight="1" x14ac:dyDescent="0.15">
      <c r="A1797" s="447"/>
      <c r="B1797" s="393"/>
      <c r="C1797" s="428"/>
      <c r="D1797" s="428"/>
      <c r="E1797" s="224"/>
      <c r="F1797" s="224"/>
      <c r="G1797" s="224"/>
      <c r="H1797" s="224"/>
      <c r="I1797" s="224"/>
      <c r="J1797" s="224"/>
      <c r="Z1797" s="362"/>
      <c r="AA1797" s="362"/>
      <c r="AB1797" s="362"/>
      <c r="AC1797" s="362"/>
      <c r="AD1797" s="362"/>
      <c r="AE1797" s="362"/>
      <c r="AF1797" s="362"/>
      <c r="AG1797" s="362"/>
      <c r="AH1797" s="362"/>
      <c r="AI1797" s="360"/>
      <c r="AJ1797" s="360"/>
      <c r="AK1797" s="362"/>
      <c r="AL1797" s="362"/>
      <c r="AM1797" s="362"/>
      <c r="AN1797" s="362"/>
      <c r="AO1797" s="362"/>
      <c r="AP1797" s="362"/>
      <c r="AQ1797" s="362"/>
      <c r="AR1797" s="362"/>
    </row>
    <row r="1798" spans="1:44" ht="12" customHeight="1" x14ac:dyDescent="0.15">
      <c r="A1798" s="447"/>
      <c r="B1798" s="393"/>
      <c r="C1798" s="428"/>
      <c r="D1798" s="428"/>
      <c r="E1798" s="224"/>
      <c r="F1798" s="224"/>
      <c r="G1798" s="224"/>
      <c r="H1798" s="224"/>
      <c r="I1798" s="224"/>
      <c r="J1798" s="224"/>
      <c r="Z1798" s="362"/>
      <c r="AA1798" s="362"/>
      <c r="AB1798" s="362"/>
      <c r="AC1798" s="362"/>
      <c r="AD1798" s="362"/>
      <c r="AE1798" s="362"/>
      <c r="AF1798" s="362"/>
      <c r="AG1798" s="362"/>
      <c r="AH1798" s="362"/>
      <c r="AI1798" s="360"/>
      <c r="AJ1798" s="360"/>
      <c r="AK1798" s="362"/>
      <c r="AL1798" s="362"/>
      <c r="AM1798" s="362"/>
      <c r="AN1798" s="362"/>
      <c r="AO1798" s="362"/>
      <c r="AP1798" s="362"/>
      <c r="AQ1798" s="362"/>
      <c r="AR1798" s="362"/>
    </row>
    <row r="1799" spans="1:44" ht="12" customHeight="1" x14ac:dyDescent="0.15">
      <c r="A1799" s="447"/>
      <c r="B1799" s="393"/>
      <c r="C1799" s="428"/>
      <c r="D1799" s="428"/>
      <c r="E1799" s="224"/>
      <c r="F1799" s="224"/>
      <c r="G1799" s="224"/>
      <c r="H1799" s="224"/>
      <c r="I1799" s="224"/>
      <c r="J1799" s="224"/>
      <c r="Z1799" s="362"/>
      <c r="AA1799" s="362"/>
      <c r="AB1799" s="362"/>
      <c r="AC1799" s="362"/>
      <c r="AD1799" s="362"/>
      <c r="AE1799" s="362"/>
      <c r="AF1799" s="362"/>
      <c r="AG1799" s="362"/>
      <c r="AH1799" s="362"/>
      <c r="AI1799" s="360"/>
      <c r="AJ1799" s="360"/>
      <c r="AK1799" s="362"/>
      <c r="AL1799" s="362"/>
      <c r="AM1799" s="362"/>
      <c r="AN1799" s="362"/>
      <c r="AO1799" s="362"/>
      <c r="AP1799" s="362"/>
      <c r="AQ1799" s="362"/>
      <c r="AR1799" s="362"/>
    </row>
    <row r="1800" spans="1:44" ht="12" customHeight="1" x14ac:dyDescent="0.15">
      <c r="A1800" s="447"/>
      <c r="B1800" s="393"/>
      <c r="C1800" s="428"/>
      <c r="D1800" s="428"/>
      <c r="E1800" s="224"/>
      <c r="F1800" s="224"/>
      <c r="G1800" s="224"/>
      <c r="H1800" s="224"/>
      <c r="I1800" s="224"/>
      <c r="J1800" s="224"/>
      <c r="Z1800" s="362"/>
      <c r="AA1800" s="362"/>
      <c r="AB1800" s="362"/>
      <c r="AC1800" s="362"/>
      <c r="AD1800" s="362"/>
      <c r="AE1800" s="362"/>
      <c r="AF1800" s="362"/>
      <c r="AG1800" s="362"/>
      <c r="AH1800" s="362"/>
      <c r="AI1800" s="360"/>
      <c r="AJ1800" s="360"/>
      <c r="AK1800" s="362"/>
      <c r="AL1800" s="362"/>
      <c r="AM1800" s="362"/>
      <c r="AN1800" s="362"/>
      <c r="AO1800" s="362"/>
      <c r="AP1800" s="362"/>
      <c r="AQ1800" s="362"/>
      <c r="AR1800" s="362"/>
    </row>
    <row r="1801" spans="1:44" ht="12" customHeight="1" x14ac:dyDescent="0.15">
      <c r="A1801" s="447"/>
      <c r="B1801" s="393"/>
      <c r="C1801" s="428"/>
      <c r="D1801" s="428"/>
      <c r="E1801" s="224"/>
      <c r="F1801" s="224"/>
      <c r="G1801" s="224"/>
      <c r="H1801" s="224"/>
      <c r="I1801" s="224"/>
      <c r="J1801" s="224"/>
      <c r="Z1801" s="362"/>
      <c r="AA1801" s="362"/>
      <c r="AB1801" s="362"/>
      <c r="AC1801" s="362"/>
      <c r="AD1801" s="362"/>
      <c r="AE1801" s="362"/>
      <c r="AF1801" s="362"/>
      <c r="AG1801" s="362"/>
      <c r="AH1801" s="362"/>
      <c r="AI1801" s="360"/>
      <c r="AJ1801" s="360"/>
      <c r="AK1801" s="362"/>
      <c r="AL1801" s="362"/>
      <c r="AM1801" s="362"/>
      <c r="AN1801" s="362"/>
      <c r="AO1801" s="362"/>
      <c r="AP1801" s="362"/>
      <c r="AQ1801" s="362"/>
      <c r="AR1801" s="362"/>
    </row>
    <row r="1802" spans="1:44" ht="12" customHeight="1" x14ac:dyDescent="0.15">
      <c r="A1802" s="447"/>
      <c r="B1802" s="393"/>
      <c r="C1802" s="428"/>
      <c r="D1802" s="428"/>
      <c r="E1802" s="224"/>
      <c r="F1802" s="224"/>
      <c r="G1802" s="224"/>
      <c r="H1802" s="224"/>
      <c r="I1802" s="224"/>
      <c r="J1802" s="224"/>
      <c r="Z1802" s="362"/>
      <c r="AA1802" s="362"/>
      <c r="AB1802" s="362"/>
      <c r="AC1802" s="362"/>
      <c r="AD1802" s="362"/>
      <c r="AE1802" s="362"/>
      <c r="AF1802" s="362"/>
      <c r="AG1802" s="362"/>
      <c r="AH1802" s="362"/>
      <c r="AI1802" s="360"/>
      <c r="AJ1802" s="360"/>
      <c r="AK1802" s="362"/>
      <c r="AL1802" s="362"/>
      <c r="AM1802" s="362"/>
      <c r="AN1802" s="362"/>
      <c r="AO1802" s="362"/>
      <c r="AP1802" s="362"/>
      <c r="AQ1802" s="362"/>
      <c r="AR1802" s="362"/>
    </row>
    <row r="1803" spans="1:44" ht="12" customHeight="1" x14ac:dyDescent="0.15">
      <c r="A1803" s="447"/>
      <c r="B1803" s="393"/>
      <c r="C1803" s="428"/>
      <c r="D1803" s="428"/>
      <c r="E1803" s="224"/>
      <c r="F1803" s="224"/>
      <c r="G1803" s="224"/>
      <c r="H1803" s="224"/>
      <c r="I1803" s="224"/>
      <c r="J1803" s="224"/>
      <c r="Z1803" s="362"/>
      <c r="AA1803" s="362"/>
      <c r="AB1803" s="362"/>
      <c r="AC1803" s="362"/>
      <c r="AD1803" s="362"/>
      <c r="AE1803" s="362"/>
      <c r="AF1803" s="362"/>
      <c r="AG1803" s="362"/>
      <c r="AH1803" s="362"/>
      <c r="AI1803" s="360"/>
      <c r="AJ1803" s="360"/>
      <c r="AK1803" s="362"/>
      <c r="AL1803" s="362"/>
      <c r="AM1803" s="362"/>
      <c r="AN1803" s="362"/>
      <c r="AO1803" s="362"/>
      <c r="AP1803" s="362"/>
      <c r="AQ1803" s="362"/>
      <c r="AR1803" s="362"/>
    </row>
    <row r="1804" spans="1:44" ht="12" customHeight="1" x14ac:dyDescent="0.15">
      <c r="A1804" s="447"/>
      <c r="B1804" s="393"/>
      <c r="C1804" s="428"/>
      <c r="D1804" s="428"/>
      <c r="E1804" s="224"/>
      <c r="F1804" s="224"/>
      <c r="G1804" s="224"/>
      <c r="H1804" s="224"/>
      <c r="I1804" s="224"/>
      <c r="J1804" s="224"/>
      <c r="Z1804" s="362"/>
      <c r="AA1804" s="362"/>
      <c r="AB1804" s="362"/>
      <c r="AC1804" s="362"/>
      <c r="AD1804" s="362"/>
      <c r="AE1804" s="362"/>
      <c r="AF1804" s="362"/>
      <c r="AG1804" s="362"/>
      <c r="AH1804" s="362"/>
      <c r="AI1804" s="360"/>
      <c r="AJ1804" s="360"/>
      <c r="AK1804" s="362"/>
      <c r="AL1804" s="362"/>
      <c r="AM1804" s="362"/>
      <c r="AN1804" s="362"/>
      <c r="AO1804" s="362"/>
      <c r="AP1804" s="362"/>
      <c r="AQ1804" s="362"/>
      <c r="AR1804" s="362"/>
    </row>
    <row r="1805" spans="1:44" ht="12" customHeight="1" x14ac:dyDescent="0.15">
      <c r="A1805" s="447"/>
      <c r="B1805" s="393"/>
      <c r="C1805" s="428"/>
      <c r="D1805" s="428"/>
      <c r="E1805" s="224"/>
      <c r="F1805" s="224"/>
      <c r="G1805" s="224"/>
      <c r="H1805" s="224"/>
      <c r="I1805" s="224"/>
      <c r="J1805" s="224"/>
      <c r="Z1805" s="362"/>
      <c r="AA1805" s="362"/>
      <c r="AB1805" s="362"/>
      <c r="AC1805" s="362"/>
      <c r="AD1805" s="362"/>
      <c r="AE1805" s="362"/>
      <c r="AF1805" s="362"/>
      <c r="AG1805" s="362"/>
      <c r="AH1805" s="362"/>
      <c r="AI1805" s="360"/>
      <c r="AJ1805" s="360"/>
      <c r="AK1805" s="362"/>
      <c r="AL1805" s="362"/>
      <c r="AM1805" s="362"/>
      <c r="AN1805" s="362"/>
      <c r="AO1805" s="362"/>
      <c r="AP1805" s="362"/>
      <c r="AQ1805" s="362"/>
      <c r="AR1805" s="362"/>
    </row>
    <row r="1806" spans="1:44" ht="12" customHeight="1" x14ac:dyDescent="0.15">
      <c r="A1806" s="447"/>
      <c r="B1806" s="393"/>
      <c r="C1806" s="428"/>
      <c r="D1806" s="428"/>
      <c r="E1806" s="224"/>
      <c r="F1806" s="224"/>
      <c r="G1806" s="224"/>
      <c r="H1806" s="224"/>
      <c r="I1806" s="224"/>
      <c r="J1806" s="224"/>
      <c r="Z1806" s="362"/>
      <c r="AA1806" s="362"/>
      <c r="AB1806" s="362"/>
      <c r="AC1806" s="362"/>
      <c r="AD1806" s="362"/>
      <c r="AE1806" s="362"/>
      <c r="AF1806" s="362"/>
      <c r="AG1806" s="362"/>
      <c r="AH1806" s="362"/>
      <c r="AI1806" s="360"/>
      <c r="AJ1806" s="360"/>
      <c r="AK1806" s="362"/>
      <c r="AL1806" s="362"/>
      <c r="AM1806" s="362"/>
      <c r="AN1806" s="362"/>
      <c r="AO1806" s="362"/>
      <c r="AP1806" s="362"/>
      <c r="AQ1806" s="362"/>
      <c r="AR1806" s="362"/>
    </row>
    <row r="1807" spans="1:44" ht="12" customHeight="1" x14ac:dyDescent="0.15">
      <c r="A1807" s="447"/>
      <c r="B1807" s="393"/>
      <c r="C1807" s="428"/>
      <c r="D1807" s="428"/>
      <c r="E1807" s="224"/>
      <c r="F1807" s="224"/>
      <c r="G1807" s="224"/>
      <c r="H1807" s="224"/>
      <c r="I1807" s="224"/>
      <c r="J1807" s="224"/>
      <c r="Z1807" s="362"/>
      <c r="AA1807" s="362"/>
      <c r="AB1807" s="362"/>
      <c r="AC1807" s="362"/>
      <c r="AD1807" s="362"/>
      <c r="AE1807" s="362"/>
      <c r="AF1807" s="362"/>
      <c r="AG1807" s="362"/>
      <c r="AH1807" s="362"/>
      <c r="AI1807" s="360"/>
      <c r="AJ1807" s="360"/>
      <c r="AK1807" s="362"/>
      <c r="AL1807" s="362"/>
      <c r="AM1807" s="362"/>
      <c r="AN1807" s="362"/>
      <c r="AO1807" s="362"/>
      <c r="AP1807" s="362"/>
      <c r="AQ1807" s="362"/>
      <c r="AR1807" s="362"/>
    </row>
    <row r="1808" spans="1:44" ht="12" customHeight="1" x14ac:dyDescent="0.15">
      <c r="A1808" s="447"/>
      <c r="B1808" s="393"/>
      <c r="C1808" s="428"/>
      <c r="D1808" s="428"/>
      <c r="E1808" s="224"/>
      <c r="F1808" s="224"/>
      <c r="G1808" s="224"/>
      <c r="H1808" s="224"/>
      <c r="I1808" s="224"/>
      <c r="J1808" s="224"/>
      <c r="Z1808" s="362"/>
      <c r="AA1808" s="362"/>
      <c r="AB1808" s="362"/>
      <c r="AC1808" s="362"/>
      <c r="AD1808" s="362"/>
      <c r="AE1808" s="362"/>
      <c r="AF1808" s="362"/>
      <c r="AG1808" s="362"/>
      <c r="AH1808" s="362"/>
      <c r="AI1808" s="360"/>
      <c r="AJ1808" s="360"/>
      <c r="AK1808" s="362"/>
      <c r="AL1808" s="362"/>
      <c r="AM1808" s="362"/>
      <c r="AN1808" s="362"/>
      <c r="AO1808" s="362"/>
      <c r="AP1808" s="362"/>
      <c r="AQ1808" s="362"/>
      <c r="AR1808" s="362"/>
    </row>
    <row r="1809" spans="1:44" ht="12" customHeight="1" x14ac:dyDescent="0.15">
      <c r="A1809" s="447"/>
      <c r="B1809" s="393"/>
      <c r="C1809" s="428"/>
      <c r="D1809" s="428"/>
      <c r="E1809" s="224"/>
      <c r="F1809" s="224"/>
      <c r="G1809" s="224"/>
      <c r="H1809" s="224"/>
      <c r="I1809" s="224"/>
      <c r="J1809" s="224"/>
      <c r="Z1809" s="362"/>
      <c r="AA1809" s="362"/>
      <c r="AB1809" s="362"/>
      <c r="AC1809" s="362"/>
      <c r="AD1809" s="362"/>
      <c r="AE1809" s="362"/>
      <c r="AF1809" s="362"/>
      <c r="AG1809" s="362"/>
      <c r="AH1809" s="362"/>
      <c r="AI1809" s="360"/>
      <c r="AJ1809" s="360"/>
      <c r="AK1809" s="362"/>
      <c r="AL1809" s="362"/>
      <c r="AM1809" s="362"/>
      <c r="AN1809" s="362"/>
      <c r="AO1809" s="362"/>
      <c r="AP1809" s="362"/>
      <c r="AQ1809" s="362"/>
      <c r="AR1809" s="362"/>
    </row>
    <row r="1810" spans="1:44" ht="12" customHeight="1" x14ac:dyDescent="0.15">
      <c r="A1810" s="447"/>
      <c r="B1810" s="393"/>
      <c r="C1810" s="428"/>
      <c r="D1810" s="428"/>
      <c r="E1810" s="224"/>
      <c r="F1810" s="224"/>
      <c r="G1810" s="224"/>
      <c r="H1810" s="224"/>
      <c r="I1810" s="224"/>
      <c r="J1810" s="224"/>
      <c r="Z1810" s="362"/>
      <c r="AA1810" s="362"/>
      <c r="AB1810" s="362"/>
      <c r="AC1810" s="362"/>
      <c r="AD1810" s="362"/>
      <c r="AE1810" s="362"/>
      <c r="AF1810" s="362"/>
      <c r="AG1810" s="362"/>
      <c r="AH1810" s="362"/>
      <c r="AI1810" s="360"/>
      <c r="AJ1810" s="360"/>
      <c r="AK1810" s="362"/>
      <c r="AL1810" s="362"/>
      <c r="AM1810" s="362"/>
      <c r="AN1810" s="362"/>
      <c r="AO1810" s="362"/>
      <c r="AP1810" s="362"/>
      <c r="AQ1810" s="362"/>
      <c r="AR1810" s="362"/>
    </row>
    <row r="1811" spans="1:44" ht="12" customHeight="1" x14ac:dyDescent="0.15">
      <c r="A1811" s="447"/>
      <c r="B1811" s="393"/>
      <c r="C1811" s="428"/>
      <c r="D1811" s="428"/>
      <c r="E1811" s="224"/>
      <c r="F1811" s="224"/>
      <c r="G1811" s="224"/>
      <c r="H1811" s="224"/>
      <c r="I1811" s="224"/>
      <c r="J1811" s="224"/>
      <c r="Z1811" s="362"/>
      <c r="AA1811" s="362"/>
      <c r="AB1811" s="362"/>
      <c r="AC1811" s="362"/>
      <c r="AD1811" s="362"/>
      <c r="AE1811" s="362"/>
      <c r="AF1811" s="362"/>
      <c r="AG1811" s="362"/>
      <c r="AH1811" s="362"/>
      <c r="AI1811" s="360"/>
      <c r="AJ1811" s="360"/>
      <c r="AK1811" s="362"/>
      <c r="AL1811" s="362"/>
      <c r="AM1811" s="362"/>
      <c r="AN1811" s="362"/>
      <c r="AO1811" s="362"/>
      <c r="AP1811" s="362"/>
      <c r="AQ1811" s="362"/>
      <c r="AR1811" s="362"/>
    </row>
    <row r="1812" spans="1:44" ht="12" customHeight="1" x14ac:dyDescent="0.15">
      <c r="A1812" s="447"/>
      <c r="B1812" s="393"/>
      <c r="C1812" s="428"/>
      <c r="D1812" s="428"/>
      <c r="E1812" s="224"/>
      <c r="F1812" s="224"/>
      <c r="G1812" s="224"/>
      <c r="H1812" s="224"/>
      <c r="I1812" s="224"/>
      <c r="J1812" s="224"/>
      <c r="Z1812" s="362"/>
      <c r="AA1812" s="362"/>
      <c r="AB1812" s="362"/>
      <c r="AC1812" s="362"/>
      <c r="AD1812" s="362"/>
      <c r="AE1812" s="362"/>
      <c r="AF1812" s="362"/>
      <c r="AG1812" s="362"/>
      <c r="AH1812" s="362"/>
      <c r="AI1812" s="360"/>
      <c r="AJ1812" s="360"/>
      <c r="AK1812" s="362"/>
      <c r="AL1812" s="362"/>
      <c r="AM1812" s="362"/>
      <c r="AN1812" s="362"/>
      <c r="AO1812" s="362"/>
      <c r="AP1812" s="362"/>
      <c r="AQ1812" s="362"/>
      <c r="AR1812" s="362"/>
    </row>
    <row r="1813" spans="1:44" ht="12" customHeight="1" x14ac:dyDescent="0.15">
      <c r="A1813" s="447"/>
      <c r="B1813" s="393"/>
      <c r="C1813" s="428"/>
      <c r="D1813" s="428"/>
      <c r="E1813" s="224"/>
      <c r="F1813" s="224"/>
      <c r="G1813" s="224"/>
      <c r="H1813" s="224"/>
      <c r="I1813" s="224"/>
      <c r="J1813" s="224"/>
      <c r="Z1813" s="362"/>
      <c r="AA1813" s="362"/>
      <c r="AB1813" s="362"/>
      <c r="AC1813" s="362"/>
      <c r="AD1813" s="362"/>
      <c r="AE1813" s="362"/>
      <c r="AF1813" s="362"/>
      <c r="AG1813" s="362"/>
      <c r="AH1813" s="362"/>
      <c r="AI1813" s="360"/>
      <c r="AJ1813" s="360"/>
      <c r="AK1813" s="362"/>
      <c r="AL1813" s="362"/>
      <c r="AM1813" s="362"/>
      <c r="AN1813" s="362"/>
      <c r="AO1813" s="362"/>
      <c r="AP1813" s="362"/>
      <c r="AQ1813" s="362"/>
      <c r="AR1813" s="362"/>
    </row>
    <row r="1814" spans="1:44" ht="12" customHeight="1" x14ac:dyDescent="0.15">
      <c r="A1814" s="447"/>
      <c r="B1814" s="393"/>
      <c r="C1814" s="428"/>
      <c r="D1814" s="428"/>
      <c r="E1814" s="224"/>
      <c r="F1814" s="224"/>
      <c r="G1814" s="224"/>
      <c r="H1814" s="224"/>
      <c r="I1814" s="224"/>
      <c r="J1814" s="224"/>
      <c r="Z1814" s="362"/>
      <c r="AA1814" s="362"/>
      <c r="AB1814" s="362"/>
      <c r="AC1814" s="362"/>
      <c r="AD1814" s="362"/>
      <c r="AE1814" s="362"/>
      <c r="AF1814" s="362"/>
      <c r="AG1814" s="362"/>
      <c r="AH1814" s="362"/>
      <c r="AI1814" s="360"/>
      <c r="AJ1814" s="360"/>
      <c r="AK1814" s="362"/>
      <c r="AL1814" s="362"/>
      <c r="AM1814" s="362"/>
      <c r="AN1814" s="362"/>
      <c r="AO1814" s="362"/>
      <c r="AP1814" s="362"/>
      <c r="AQ1814" s="362"/>
      <c r="AR1814" s="362"/>
    </row>
    <row r="1815" spans="1:44" ht="12" customHeight="1" x14ac:dyDescent="0.15">
      <c r="A1815" s="447"/>
      <c r="B1815" s="393"/>
      <c r="C1815" s="428"/>
      <c r="D1815" s="428"/>
      <c r="E1815" s="224"/>
      <c r="F1815" s="224"/>
      <c r="G1815" s="224"/>
      <c r="H1815" s="224"/>
      <c r="I1815" s="224"/>
      <c r="J1815" s="224"/>
      <c r="Z1815" s="362"/>
      <c r="AA1815" s="362"/>
      <c r="AB1815" s="362"/>
      <c r="AC1815" s="362"/>
      <c r="AD1815" s="362"/>
      <c r="AE1815" s="362"/>
      <c r="AF1815" s="362"/>
      <c r="AG1815" s="362"/>
      <c r="AH1815" s="362"/>
      <c r="AI1815" s="360"/>
      <c r="AJ1815" s="360"/>
      <c r="AK1815" s="362"/>
      <c r="AL1815" s="362"/>
      <c r="AM1815" s="362"/>
      <c r="AN1815" s="362"/>
      <c r="AO1815" s="362"/>
      <c r="AP1815" s="362"/>
      <c r="AQ1815" s="362"/>
      <c r="AR1815" s="362"/>
    </row>
    <row r="1816" spans="1:44" ht="12" customHeight="1" x14ac:dyDescent="0.15">
      <c r="A1816" s="447"/>
      <c r="B1816" s="393"/>
      <c r="C1816" s="428"/>
      <c r="D1816" s="428"/>
      <c r="E1816" s="224"/>
      <c r="F1816" s="224"/>
      <c r="G1816" s="224"/>
      <c r="H1816" s="224"/>
      <c r="I1816" s="224"/>
      <c r="J1816" s="224"/>
      <c r="Z1816" s="362"/>
      <c r="AA1816" s="362"/>
      <c r="AB1816" s="362"/>
      <c r="AC1816" s="362"/>
      <c r="AD1816" s="362"/>
      <c r="AE1816" s="362"/>
      <c r="AF1816" s="362"/>
      <c r="AG1816" s="362"/>
      <c r="AH1816" s="362"/>
      <c r="AI1816" s="360"/>
      <c r="AJ1816" s="360"/>
      <c r="AK1816" s="362"/>
      <c r="AL1816" s="362"/>
      <c r="AM1816" s="362"/>
      <c r="AN1816" s="362"/>
      <c r="AO1816" s="362"/>
      <c r="AP1816" s="362"/>
      <c r="AQ1816" s="362"/>
      <c r="AR1816" s="362"/>
    </row>
    <row r="1817" spans="1:44" ht="12" customHeight="1" x14ac:dyDescent="0.15">
      <c r="A1817" s="447"/>
      <c r="B1817" s="393"/>
      <c r="C1817" s="428"/>
      <c r="D1817" s="428"/>
      <c r="E1817" s="224"/>
      <c r="F1817" s="224"/>
      <c r="G1817" s="224"/>
      <c r="H1817" s="224"/>
      <c r="I1817" s="224"/>
      <c r="J1817" s="224"/>
      <c r="Z1817" s="362"/>
      <c r="AA1817" s="362"/>
      <c r="AB1817" s="362"/>
      <c r="AC1817" s="362"/>
      <c r="AD1817" s="362"/>
      <c r="AE1817" s="362"/>
      <c r="AF1817" s="362"/>
      <c r="AG1817" s="362"/>
      <c r="AH1817" s="362"/>
      <c r="AI1817" s="360"/>
      <c r="AJ1817" s="360"/>
      <c r="AK1817" s="362"/>
      <c r="AL1817" s="362"/>
      <c r="AM1817" s="362"/>
      <c r="AN1817" s="362"/>
      <c r="AO1817" s="362"/>
      <c r="AP1817" s="362"/>
      <c r="AQ1817" s="362"/>
      <c r="AR1817" s="362"/>
    </row>
    <row r="1818" spans="1:44" ht="12" customHeight="1" x14ac:dyDescent="0.15">
      <c r="A1818" s="447"/>
      <c r="B1818" s="393"/>
      <c r="C1818" s="428"/>
      <c r="D1818" s="428"/>
      <c r="E1818" s="224"/>
      <c r="F1818" s="224"/>
      <c r="G1818" s="224"/>
      <c r="H1818" s="224"/>
      <c r="I1818" s="224"/>
      <c r="J1818" s="224"/>
      <c r="Z1818" s="362"/>
      <c r="AA1818" s="362"/>
      <c r="AB1818" s="362"/>
      <c r="AC1818" s="362"/>
      <c r="AD1818" s="362"/>
      <c r="AE1818" s="362"/>
      <c r="AF1818" s="362"/>
      <c r="AG1818" s="362"/>
      <c r="AH1818" s="362"/>
      <c r="AI1818" s="360"/>
      <c r="AJ1818" s="360"/>
      <c r="AK1818" s="362"/>
      <c r="AL1818" s="362"/>
      <c r="AM1818" s="362"/>
      <c r="AN1818" s="362"/>
      <c r="AO1818" s="362"/>
      <c r="AP1818" s="362"/>
      <c r="AQ1818" s="362"/>
      <c r="AR1818" s="362"/>
    </row>
    <row r="1819" spans="1:44" ht="12" customHeight="1" x14ac:dyDescent="0.15">
      <c r="A1819" s="447"/>
      <c r="B1819" s="393"/>
      <c r="C1819" s="428"/>
      <c r="D1819" s="428"/>
      <c r="E1819" s="224"/>
      <c r="F1819" s="224"/>
      <c r="G1819" s="224"/>
      <c r="H1819" s="224"/>
      <c r="I1819" s="224"/>
      <c r="J1819" s="224"/>
      <c r="Z1819" s="362"/>
      <c r="AA1819" s="362"/>
      <c r="AB1819" s="362"/>
      <c r="AC1819" s="362"/>
      <c r="AD1819" s="362"/>
      <c r="AE1819" s="362"/>
      <c r="AF1819" s="362"/>
      <c r="AG1819" s="362"/>
      <c r="AH1819" s="362"/>
      <c r="AI1819" s="360"/>
      <c r="AJ1819" s="360"/>
      <c r="AK1819" s="362"/>
      <c r="AL1819" s="362"/>
      <c r="AM1819" s="362"/>
      <c r="AN1819" s="362"/>
      <c r="AO1819" s="362"/>
      <c r="AP1819" s="362"/>
      <c r="AQ1819" s="362"/>
      <c r="AR1819" s="362"/>
    </row>
    <row r="1820" spans="1:44" ht="12" customHeight="1" x14ac:dyDescent="0.15">
      <c r="A1820" s="447"/>
      <c r="B1820" s="393"/>
      <c r="C1820" s="428"/>
      <c r="D1820" s="428"/>
      <c r="E1820" s="224"/>
      <c r="F1820" s="224"/>
      <c r="G1820" s="224"/>
      <c r="H1820" s="224"/>
      <c r="I1820" s="224"/>
      <c r="J1820" s="224"/>
      <c r="Z1820" s="362"/>
      <c r="AA1820" s="362"/>
      <c r="AB1820" s="362"/>
      <c r="AC1820" s="362"/>
      <c r="AD1820" s="362"/>
      <c r="AE1820" s="362"/>
      <c r="AF1820" s="362"/>
      <c r="AG1820" s="362"/>
      <c r="AH1820" s="362"/>
      <c r="AI1820" s="360"/>
      <c r="AJ1820" s="360"/>
      <c r="AK1820" s="362"/>
      <c r="AL1820" s="362"/>
      <c r="AM1820" s="362"/>
      <c r="AN1820" s="362"/>
      <c r="AO1820" s="362"/>
      <c r="AP1820" s="362"/>
      <c r="AQ1820" s="362"/>
      <c r="AR1820" s="362"/>
    </row>
    <row r="1821" spans="1:44" ht="12" customHeight="1" x14ac:dyDescent="0.15">
      <c r="A1821" s="447"/>
      <c r="B1821" s="393"/>
      <c r="C1821" s="428"/>
      <c r="D1821" s="428"/>
      <c r="E1821" s="224"/>
      <c r="F1821" s="224"/>
      <c r="G1821" s="224"/>
      <c r="H1821" s="224"/>
      <c r="I1821" s="224"/>
      <c r="J1821" s="224"/>
      <c r="Z1821" s="362"/>
      <c r="AA1821" s="362"/>
      <c r="AB1821" s="362"/>
      <c r="AC1821" s="362"/>
      <c r="AD1821" s="362"/>
      <c r="AE1821" s="362"/>
      <c r="AF1821" s="362"/>
      <c r="AG1821" s="362"/>
      <c r="AH1821" s="362"/>
      <c r="AI1821" s="360"/>
      <c r="AJ1821" s="360"/>
      <c r="AK1821" s="362"/>
      <c r="AL1821" s="362"/>
      <c r="AM1821" s="362"/>
      <c r="AN1821" s="362"/>
      <c r="AO1821" s="362"/>
      <c r="AP1821" s="362"/>
      <c r="AQ1821" s="362"/>
      <c r="AR1821" s="362"/>
    </row>
    <row r="1822" spans="1:44" ht="12" customHeight="1" x14ac:dyDescent="0.15">
      <c r="A1822" s="447"/>
      <c r="B1822" s="393"/>
      <c r="C1822" s="428"/>
      <c r="D1822" s="428"/>
      <c r="E1822" s="224"/>
      <c r="F1822" s="224"/>
      <c r="G1822" s="224"/>
      <c r="H1822" s="224"/>
      <c r="I1822" s="224"/>
      <c r="J1822" s="224"/>
      <c r="Z1822" s="362"/>
      <c r="AA1822" s="362"/>
      <c r="AB1822" s="362"/>
      <c r="AC1822" s="362"/>
      <c r="AD1822" s="362"/>
      <c r="AE1822" s="362"/>
      <c r="AF1822" s="362"/>
      <c r="AG1822" s="362"/>
      <c r="AH1822" s="362"/>
      <c r="AI1822" s="360"/>
      <c r="AJ1822" s="360"/>
      <c r="AK1822" s="362"/>
      <c r="AL1822" s="362"/>
      <c r="AM1822" s="362"/>
      <c r="AN1822" s="362"/>
      <c r="AO1822" s="362"/>
      <c r="AP1822" s="362"/>
      <c r="AQ1822" s="362"/>
      <c r="AR1822" s="362"/>
    </row>
    <row r="1823" spans="1:44" ht="12" customHeight="1" x14ac:dyDescent="0.15">
      <c r="A1823" s="447"/>
      <c r="B1823" s="393"/>
      <c r="C1823" s="428"/>
      <c r="D1823" s="428"/>
      <c r="E1823" s="224"/>
      <c r="F1823" s="224"/>
      <c r="G1823" s="224"/>
      <c r="H1823" s="224"/>
      <c r="I1823" s="224"/>
      <c r="J1823" s="224"/>
      <c r="Z1823" s="362"/>
      <c r="AA1823" s="362"/>
      <c r="AB1823" s="362"/>
      <c r="AC1823" s="362"/>
      <c r="AD1823" s="362"/>
      <c r="AE1823" s="362"/>
      <c r="AF1823" s="362"/>
      <c r="AG1823" s="362"/>
      <c r="AH1823" s="362"/>
      <c r="AI1823" s="360"/>
      <c r="AJ1823" s="360"/>
      <c r="AK1823" s="362"/>
      <c r="AL1823" s="362"/>
      <c r="AM1823" s="362"/>
      <c r="AN1823" s="362"/>
      <c r="AO1823" s="362"/>
      <c r="AP1823" s="362"/>
      <c r="AQ1823" s="362"/>
      <c r="AR1823" s="362"/>
    </row>
    <row r="1824" spans="1:44" ht="12" customHeight="1" x14ac:dyDescent="0.15">
      <c r="A1824" s="447"/>
      <c r="B1824" s="393"/>
      <c r="C1824" s="428"/>
      <c r="D1824" s="428"/>
      <c r="E1824" s="224"/>
      <c r="F1824" s="224"/>
      <c r="G1824" s="224"/>
      <c r="H1824" s="224"/>
      <c r="I1824" s="224"/>
      <c r="J1824" s="224"/>
      <c r="Z1824" s="362"/>
      <c r="AA1824" s="362"/>
      <c r="AB1824" s="362"/>
      <c r="AC1824" s="362"/>
      <c r="AD1824" s="362"/>
      <c r="AE1824" s="362"/>
      <c r="AF1824" s="362"/>
      <c r="AG1824" s="362"/>
      <c r="AH1824" s="362"/>
      <c r="AI1824" s="360"/>
      <c r="AJ1824" s="360"/>
      <c r="AK1824" s="362"/>
      <c r="AL1824" s="362"/>
      <c r="AM1824" s="362"/>
      <c r="AN1824" s="362"/>
      <c r="AO1824" s="362"/>
      <c r="AP1824" s="362"/>
      <c r="AQ1824" s="362"/>
      <c r="AR1824" s="362"/>
    </row>
    <row r="1825" spans="1:44" ht="12" customHeight="1" x14ac:dyDescent="0.15">
      <c r="A1825" s="447"/>
      <c r="B1825" s="393"/>
      <c r="C1825" s="428"/>
      <c r="D1825" s="428"/>
      <c r="E1825" s="224"/>
      <c r="F1825" s="224"/>
      <c r="G1825" s="224"/>
      <c r="H1825" s="224"/>
      <c r="I1825" s="224"/>
      <c r="J1825" s="224"/>
      <c r="Z1825" s="362"/>
      <c r="AA1825" s="362"/>
      <c r="AB1825" s="362"/>
      <c r="AC1825" s="362"/>
      <c r="AD1825" s="362"/>
      <c r="AE1825" s="362"/>
      <c r="AF1825" s="362"/>
      <c r="AG1825" s="362"/>
      <c r="AH1825" s="362"/>
      <c r="AI1825" s="360"/>
      <c r="AJ1825" s="360"/>
      <c r="AK1825" s="362"/>
      <c r="AL1825" s="362"/>
      <c r="AM1825" s="362"/>
      <c r="AN1825" s="362"/>
      <c r="AO1825" s="362"/>
      <c r="AP1825" s="362"/>
      <c r="AQ1825" s="362"/>
      <c r="AR1825" s="362"/>
    </row>
    <row r="1826" spans="1:44" ht="12" customHeight="1" x14ac:dyDescent="0.15">
      <c r="A1826" s="447"/>
      <c r="B1826" s="393"/>
      <c r="C1826" s="428"/>
      <c r="D1826" s="428"/>
      <c r="E1826" s="224"/>
      <c r="F1826" s="224"/>
      <c r="G1826" s="224"/>
      <c r="H1826" s="224"/>
      <c r="I1826" s="224"/>
      <c r="J1826" s="224"/>
      <c r="Z1826" s="362"/>
      <c r="AA1826" s="362"/>
      <c r="AB1826" s="362"/>
      <c r="AC1826" s="362"/>
      <c r="AD1826" s="362"/>
      <c r="AE1826" s="362"/>
      <c r="AF1826" s="362"/>
      <c r="AG1826" s="362"/>
      <c r="AH1826" s="362"/>
      <c r="AI1826" s="360"/>
      <c r="AJ1826" s="360"/>
      <c r="AK1826" s="362"/>
      <c r="AL1826" s="362"/>
      <c r="AM1826" s="362"/>
      <c r="AN1826" s="362"/>
      <c r="AO1826" s="362"/>
      <c r="AP1826" s="362"/>
      <c r="AQ1826" s="362"/>
      <c r="AR1826" s="362"/>
    </row>
    <row r="1827" spans="1:44" ht="12" customHeight="1" x14ac:dyDescent="0.15">
      <c r="A1827" s="447"/>
      <c r="B1827" s="393"/>
      <c r="C1827" s="428"/>
      <c r="D1827" s="428"/>
      <c r="E1827" s="224"/>
      <c r="F1827" s="224"/>
      <c r="G1827" s="224"/>
      <c r="H1827" s="224"/>
      <c r="I1827" s="224"/>
      <c r="J1827" s="224"/>
      <c r="Z1827" s="362"/>
      <c r="AA1827" s="362"/>
      <c r="AB1827" s="362"/>
      <c r="AC1827" s="362"/>
      <c r="AD1827" s="362"/>
      <c r="AE1827" s="362"/>
      <c r="AF1827" s="362"/>
      <c r="AG1827" s="362"/>
      <c r="AH1827" s="362"/>
      <c r="AI1827" s="360"/>
      <c r="AJ1827" s="360"/>
      <c r="AK1827" s="362"/>
      <c r="AL1827" s="362"/>
      <c r="AM1827" s="362"/>
      <c r="AN1827" s="362"/>
      <c r="AO1827" s="362"/>
      <c r="AP1827" s="362"/>
      <c r="AQ1827" s="362"/>
      <c r="AR1827" s="362"/>
    </row>
    <row r="1828" spans="1:44" ht="12" customHeight="1" x14ac:dyDescent="0.15">
      <c r="A1828" s="447"/>
      <c r="B1828" s="393"/>
      <c r="C1828" s="428"/>
      <c r="D1828" s="428"/>
      <c r="E1828" s="224"/>
      <c r="F1828" s="224"/>
      <c r="G1828" s="224"/>
      <c r="H1828" s="224"/>
      <c r="I1828" s="224"/>
      <c r="J1828" s="224"/>
      <c r="Z1828" s="362"/>
      <c r="AA1828" s="362"/>
      <c r="AB1828" s="362"/>
      <c r="AC1828" s="362"/>
      <c r="AD1828" s="362"/>
      <c r="AE1828" s="362"/>
      <c r="AF1828" s="362"/>
      <c r="AG1828" s="362"/>
      <c r="AH1828" s="362"/>
      <c r="AI1828" s="360"/>
      <c r="AJ1828" s="360"/>
      <c r="AK1828" s="362"/>
      <c r="AL1828" s="362"/>
      <c r="AM1828" s="362"/>
      <c r="AN1828" s="362"/>
      <c r="AO1828" s="362"/>
      <c r="AP1828" s="362"/>
      <c r="AQ1828" s="362"/>
      <c r="AR1828" s="362"/>
    </row>
    <row r="1829" spans="1:44" ht="12" customHeight="1" x14ac:dyDescent="0.15">
      <c r="A1829" s="447"/>
      <c r="B1829" s="393"/>
      <c r="C1829" s="428"/>
      <c r="D1829" s="428"/>
      <c r="E1829" s="224"/>
      <c r="F1829" s="224"/>
      <c r="G1829" s="224"/>
      <c r="H1829" s="224"/>
      <c r="I1829" s="224"/>
      <c r="J1829" s="224"/>
      <c r="Z1829" s="362"/>
      <c r="AA1829" s="362"/>
      <c r="AB1829" s="362"/>
      <c r="AC1829" s="362"/>
      <c r="AD1829" s="362"/>
      <c r="AE1829" s="362"/>
      <c r="AF1829" s="362"/>
      <c r="AG1829" s="362"/>
      <c r="AH1829" s="362"/>
      <c r="AI1829" s="360"/>
      <c r="AJ1829" s="360"/>
      <c r="AK1829" s="362"/>
      <c r="AL1829" s="362"/>
      <c r="AM1829" s="362"/>
      <c r="AN1829" s="362"/>
      <c r="AO1829" s="362"/>
      <c r="AP1829" s="362"/>
      <c r="AQ1829" s="362"/>
      <c r="AR1829" s="362"/>
    </row>
    <row r="1830" spans="1:44" ht="12" customHeight="1" x14ac:dyDescent="0.15">
      <c r="A1830" s="447"/>
      <c r="B1830" s="393"/>
      <c r="C1830" s="428"/>
      <c r="D1830" s="428"/>
      <c r="E1830" s="224"/>
      <c r="F1830" s="224"/>
      <c r="G1830" s="224"/>
      <c r="H1830" s="224"/>
      <c r="I1830" s="224"/>
      <c r="J1830" s="224"/>
      <c r="Z1830" s="362"/>
      <c r="AA1830" s="362"/>
      <c r="AB1830" s="362"/>
      <c r="AC1830" s="362"/>
      <c r="AD1830" s="362"/>
      <c r="AE1830" s="362"/>
      <c r="AF1830" s="362"/>
      <c r="AG1830" s="362"/>
      <c r="AH1830" s="362"/>
      <c r="AI1830" s="360"/>
      <c r="AJ1830" s="360"/>
      <c r="AK1830" s="362"/>
      <c r="AL1830" s="362"/>
      <c r="AM1830" s="362"/>
      <c r="AN1830" s="362"/>
      <c r="AO1830" s="362"/>
      <c r="AP1830" s="362"/>
      <c r="AQ1830" s="362"/>
      <c r="AR1830" s="362"/>
    </row>
    <row r="1831" spans="1:44" ht="12" customHeight="1" x14ac:dyDescent="0.15">
      <c r="A1831" s="447"/>
      <c r="B1831" s="393"/>
      <c r="C1831" s="428"/>
      <c r="D1831" s="428"/>
      <c r="E1831" s="224"/>
      <c r="F1831" s="224"/>
      <c r="G1831" s="224"/>
      <c r="H1831" s="224"/>
      <c r="I1831" s="224"/>
      <c r="J1831" s="224"/>
      <c r="Z1831" s="362"/>
      <c r="AA1831" s="362"/>
      <c r="AB1831" s="362"/>
      <c r="AC1831" s="362"/>
      <c r="AD1831" s="362"/>
      <c r="AE1831" s="362"/>
      <c r="AF1831" s="362"/>
      <c r="AG1831" s="362"/>
      <c r="AH1831" s="362"/>
      <c r="AI1831" s="360"/>
      <c r="AJ1831" s="360"/>
      <c r="AK1831" s="362"/>
      <c r="AL1831" s="362"/>
      <c r="AM1831" s="362"/>
      <c r="AN1831" s="362"/>
      <c r="AO1831" s="362"/>
      <c r="AP1831" s="362"/>
      <c r="AQ1831" s="362"/>
      <c r="AR1831" s="362"/>
    </row>
    <row r="1832" spans="1:44" ht="12" customHeight="1" x14ac:dyDescent="0.15">
      <c r="A1832" s="447"/>
      <c r="B1832" s="393"/>
      <c r="C1832" s="428"/>
      <c r="D1832" s="428"/>
      <c r="E1832" s="224"/>
      <c r="F1832" s="224"/>
      <c r="G1832" s="224"/>
      <c r="H1832" s="224"/>
      <c r="I1832" s="224"/>
      <c r="J1832" s="224"/>
      <c r="Z1832" s="362"/>
      <c r="AA1832" s="362"/>
      <c r="AB1832" s="362"/>
      <c r="AC1832" s="362"/>
      <c r="AD1832" s="362"/>
      <c r="AE1832" s="362"/>
      <c r="AF1832" s="362"/>
      <c r="AG1832" s="362"/>
      <c r="AH1832" s="362"/>
      <c r="AI1832" s="360"/>
      <c r="AJ1832" s="360"/>
      <c r="AK1832" s="362"/>
      <c r="AL1832" s="362"/>
      <c r="AM1832" s="362"/>
      <c r="AN1832" s="362"/>
      <c r="AO1832" s="362"/>
      <c r="AP1832" s="362"/>
      <c r="AQ1832" s="362"/>
      <c r="AR1832" s="362"/>
    </row>
    <row r="1833" spans="1:44" ht="12" customHeight="1" x14ac:dyDescent="0.15">
      <c r="A1833" s="447"/>
      <c r="B1833" s="393"/>
      <c r="C1833" s="428"/>
      <c r="D1833" s="428"/>
      <c r="E1833" s="224"/>
      <c r="F1833" s="224"/>
      <c r="G1833" s="224"/>
      <c r="H1833" s="224"/>
      <c r="I1833" s="224"/>
      <c r="J1833" s="224"/>
      <c r="Z1833" s="362"/>
      <c r="AA1833" s="362"/>
      <c r="AB1833" s="362"/>
      <c r="AC1833" s="362"/>
      <c r="AD1833" s="362"/>
      <c r="AE1833" s="362"/>
      <c r="AF1833" s="362"/>
      <c r="AG1833" s="362"/>
      <c r="AH1833" s="362"/>
      <c r="AI1833" s="360"/>
      <c r="AJ1833" s="360"/>
      <c r="AK1833" s="362"/>
      <c r="AL1833" s="362"/>
      <c r="AM1833" s="362"/>
      <c r="AN1833" s="362"/>
      <c r="AO1833" s="362"/>
      <c r="AP1833" s="362"/>
      <c r="AQ1833" s="362"/>
      <c r="AR1833" s="362"/>
    </row>
    <row r="1834" spans="1:44" ht="12" customHeight="1" x14ac:dyDescent="0.15">
      <c r="A1834" s="447"/>
      <c r="B1834" s="393"/>
      <c r="C1834" s="428"/>
      <c r="D1834" s="428"/>
      <c r="E1834" s="224"/>
      <c r="F1834" s="224"/>
      <c r="G1834" s="224"/>
      <c r="H1834" s="224"/>
      <c r="I1834" s="224"/>
      <c r="J1834" s="224"/>
      <c r="Z1834" s="362"/>
      <c r="AA1834" s="362"/>
      <c r="AB1834" s="362"/>
      <c r="AC1834" s="362"/>
      <c r="AD1834" s="362"/>
      <c r="AE1834" s="362"/>
      <c r="AF1834" s="362"/>
      <c r="AG1834" s="362"/>
      <c r="AH1834" s="362"/>
      <c r="AI1834" s="360"/>
      <c r="AJ1834" s="360"/>
      <c r="AK1834" s="362"/>
      <c r="AL1834" s="362"/>
      <c r="AM1834" s="362"/>
      <c r="AN1834" s="362"/>
      <c r="AO1834" s="362"/>
      <c r="AP1834" s="362"/>
      <c r="AQ1834" s="362"/>
      <c r="AR1834" s="362"/>
    </row>
    <row r="1835" spans="1:44" ht="12" customHeight="1" x14ac:dyDescent="0.15">
      <c r="A1835" s="447"/>
      <c r="B1835" s="393"/>
      <c r="C1835" s="428"/>
      <c r="D1835" s="428"/>
      <c r="E1835" s="224"/>
      <c r="F1835" s="224"/>
      <c r="G1835" s="224"/>
      <c r="H1835" s="224"/>
      <c r="I1835" s="224"/>
      <c r="J1835" s="224"/>
      <c r="Z1835" s="362"/>
      <c r="AA1835" s="362"/>
      <c r="AB1835" s="362"/>
      <c r="AC1835" s="362"/>
      <c r="AD1835" s="362"/>
      <c r="AE1835" s="362"/>
      <c r="AF1835" s="362"/>
      <c r="AG1835" s="362"/>
      <c r="AH1835" s="362"/>
      <c r="AI1835" s="360"/>
      <c r="AJ1835" s="360"/>
      <c r="AK1835" s="362"/>
      <c r="AL1835" s="362"/>
      <c r="AM1835" s="362"/>
      <c r="AN1835" s="362"/>
      <c r="AO1835" s="362"/>
      <c r="AP1835" s="362"/>
      <c r="AQ1835" s="362"/>
      <c r="AR1835" s="362"/>
    </row>
    <row r="1836" spans="1:44" ht="12" customHeight="1" x14ac:dyDescent="0.15">
      <c r="A1836" s="447"/>
      <c r="B1836" s="393"/>
      <c r="C1836" s="428"/>
      <c r="D1836" s="428"/>
      <c r="E1836" s="224"/>
      <c r="F1836" s="224"/>
      <c r="G1836" s="224"/>
      <c r="H1836" s="224"/>
      <c r="I1836" s="224"/>
      <c r="J1836" s="224"/>
      <c r="Z1836" s="362"/>
      <c r="AA1836" s="362"/>
      <c r="AB1836" s="362"/>
      <c r="AC1836" s="362"/>
      <c r="AD1836" s="362"/>
      <c r="AE1836" s="362"/>
      <c r="AF1836" s="362"/>
      <c r="AG1836" s="362"/>
      <c r="AH1836" s="362"/>
      <c r="AI1836" s="360"/>
      <c r="AJ1836" s="360"/>
      <c r="AK1836" s="362"/>
      <c r="AL1836" s="362"/>
      <c r="AM1836" s="362"/>
      <c r="AN1836" s="362"/>
      <c r="AO1836" s="362"/>
      <c r="AP1836" s="362"/>
      <c r="AQ1836" s="362"/>
      <c r="AR1836" s="362"/>
    </row>
    <row r="1837" spans="1:44" ht="12" customHeight="1" x14ac:dyDescent="0.15">
      <c r="A1837" s="447"/>
      <c r="B1837" s="393"/>
      <c r="C1837" s="428"/>
      <c r="D1837" s="428"/>
      <c r="E1837" s="224"/>
      <c r="F1837" s="224"/>
      <c r="G1837" s="224"/>
      <c r="H1837" s="224"/>
      <c r="I1837" s="224"/>
      <c r="J1837" s="224"/>
      <c r="Z1837" s="362"/>
      <c r="AA1837" s="362"/>
      <c r="AB1837" s="362"/>
      <c r="AC1837" s="362"/>
      <c r="AD1837" s="362"/>
      <c r="AE1837" s="362"/>
      <c r="AF1837" s="362"/>
      <c r="AG1837" s="362"/>
      <c r="AH1837" s="362"/>
      <c r="AI1837" s="360"/>
      <c r="AJ1837" s="360"/>
      <c r="AK1837" s="362"/>
      <c r="AL1837" s="362"/>
      <c r="AM1837" s="362"/>
      <c r="AN1837" s="362"/>
      <c r="AO1837" s="362"/>
      <c r="AP1837" s="362"/>
      <c r="AQ1837" s="362"/>
      <c r="AR1837" s="362"/>
    </row>
    <row r="1838" spans="1:44" ht="12" customHeight="1" x14ac:dyDescent="0.15">
      <c r="A1838" s="447"/>
      <c r="B1838" s="393"/>
      <c r="C1838" s="428"/>
      <c r="D1838" s="428"/>
      <c r="E1838" s="224"/>
      <c r="F1838" s="224"/>
      <c r="G1838" s="224"/>
      <c r="H1838" s="224"/>
      <c r="I1838" s="224"/>
      <c r="J1838" s="224"/>
      <c r="Z1838" s="362"/>
      <c r="AA1838" s="362"/>
      <c r="AB1838" s="362"/>
      <c r="AC1838" s="362"/>
      <c r="AD1838" s="362"/>
      <c r="AE1838" s="362"/>
      <c r="AF1838" s="362"/>
      <c r="AG1838" s="362"/>
      <c r="AH1838" s="362"/>
      <c r="AI1838" s="360"/>
      <c r="AJ1838" s="360"/>
      <c r="AK1838" s="362"/>
      <c r="AL1838" s="362"/>
      <c r="AM1838" s="362"/>
      <c r="AN1838" s="362"/>
      <c r="AO1838" s="362"/>
      <c r="AP1838" s="362"/>
      <c r="AQ1838" s="362"/>
      <c r="AR1838" s="362"/>
    </row>
    <row r="1839" spans="1:44" ht="12" customHeight="1" x14ac:dyDescent="0.15">
      <c r="A1839" s="447"/>
      <c r="B1839" s="393"/>
      <c r="C1839" s="428"/>
      <c r="D1839" s="428"/>
      <c r="E1839" s="224"/>
      <c r="F1839" s="224"/>
      <c r="G1839" s="224"/>
      <c r="H1839" s="224"/>
      <c r="I1839" s="224"/>
      <c r="J1839" s="224"/>
      <c r="Z1839" s="362"/>
      <c r="AA1839" s="362"/>
      <c r="AB1839" s="362"/>
      <c r="AC1839" s="362"/>
      <c r="AD1839" s="362"/>
      <c r="AE1839" s="362"/>
      <c r="AF1839" s="362"/>
      <c r="AG1839" s="362"/>
      <c r="AH1839" s="362"/>
      <c r="AI1839" s="360"/>
      <c r="AJ1839" s="360"/>
      <c r="AK1839" s="362"/>
      <c r="AL1839" s="362"/>
      <c r="AM1839" s="362"/>
      <c r="AN1839" s="362"/>
      <c r="AO1839" s="362"/>
      <c r="AP1839" s="362"/>
      <c r="AQ1839" s="362"/>
      <c r="AR1839" s="362"/>
    </row>
    <row r="1840" spans="1:44" ht="12" customHeight="1" x14ac:dyDescent="0.15">
      <c r="A1840" s="447"/>
      <c r="B1840" s="393"/>
      <c r="C1840" s="428"/>
      <c r="D1840" s="428"/>
      <c r="E1840" s="224"/>
      <c r="F1840" s="224"/>
      <c r="G1840" s="224"/>
      <c r="H1840" s="224"/>
      <c r="I1840" s="224"/>
      <c r="J1840" s="224"/>
      <c r="Z1840" s="362"/>
      <c r="AA1840" s="362"/>
      <c r="AB1840" s="362"/>
      <c r="AC1840" s="362"/>
      <c r="AD1840" s="362"/>
      <c r="AE1840" s="362"/>
      <c r="AF1840" s="362"/>
      <c r="AG1840" s="362"/>
      <c r="AH1840" s="362"/>
      <c r="AI1840" s="360"/>
      <c r="AJ1840" s="360"/>
      <c r="AK1840" s="362"/>
      <c r="AL1840" s="362"/>
      <c r="AM1840" s="362"/>
      <c r="AN1840" s="362"/>
      <c r="AO1840" s="362"/>
      <c r="AP1840" s="362"/>
      <c r="AQ1840" s="362"/>
      <c r="AR1840" s="362"/>
    </row>
    <row r="1841" spans="1:44" ht="12" customHeight="1" x14ac:dyDescent="0.15">
      <c r="A1841" s="447"/>
      <c r="B1841" s="393"/>
      <c r="C1841" s="428"/>
      <c r="D1841" s="428"/>
      <c r="E1841" s="224"/>
      <c r="F1841" s="224"/>
      <c r="G1841" s="224"/>
      <c r="H1841" s="224"/>
      <c r="I1841" s="224"/>
      <c r="J1841" s="224"/>
      <c r="Z1841" s="362"/>
      <c r="AA1841" s="362"/>
      <c r="AB1841" s="362"/>
      <c r="AC1841" s="362"/>
      <c r="AD1841" s="362"/>
      <c r="AE1841" s="362"/>
      <c r="AF1841" s="362"/>
      <c r="AG1841" s="362"/>
      <c r="AH1841" s="362"/>
      <c r="AI1841" s="360"/>
      <c r="AJ1841" s="360"/>
      <c r="AK1841" s="362"/>
      <c r="AL1841" s="362"/>
      <c r="AM1841" s="362"/>
      <c r="AN1841" s="362"/>
      <c r="AO1841" s="362"/>
      <c r="AP1841" s="362"/>
      <c r="AQ1841" s="362"/>
      <c r="AR1841" s="362"/>
    </row>
    <row r="1842" spans="1:44" ht="12" customHeight="1" x14ac:dyDescent="0.15">
      <c r="A1842" s="447"/>
      <c r="B1842" s="393"/>
      <c r="C1842" s="428"/>
      <c r="D1842" s="428"/>
      <c r="E1842" s="224"/>
      <c r="F1842" s="224"/>
      <c r="G1842" s="224"/>
      <c r="H1842" s="224"/>
      <c r="I1842" s="224"/>
      <c r="J1842" s="224"/>
      <c r="Z1842" s="362"/>
      <c r="AA1842" s="362"/>
      <c r="AB1842" s="362"/>
      <c r="AC1842" s="362"/>
      <c r="AD1842" s="362"/>
      <c r="AE1842" s="362"/>
      <c r="AF1842" s="362"/>
      <c r="AG1842" s="362"/>
      <c r="AH1842" s="362"/>
      <c r="AI1842" s="360"/>
      <c r="AJ1842" s="360"/>
      <c r="AK1842" s="362"/>
      <c r="AL1842" s="362"/>
      <c r="AM1842" s="362"/>
      <c r="AN1842" s="362"/>
      <c r="AO1842" s="362"/>
      <c r="AP1842" s="362"/>
      <c r="AQ1842" s="362"/>
      <c r="AR1842" s="362"/>
    </row>
    <row r="1843" spans="1:44" ht="12" customHeight="1" x14ac:dyDescent="0.15">
      <c r="A1843" s="447"/>
      <c r="B1843" s="393"/>
      <c r="C1843" s="428"/>
      <c r="D1843" s="428"/>
      <c r="E1843" s="224"/>
      <c r="F1843" s="224"/>
      <c r="G1843" s="224"/>
      <c r="H1843" s="224"/>
      <c r="I1843" s="224"/>
      <c r="J1843" s="224"/>
      <c r="Z1843" s="362"/>
      <c r="AA1843" s="362"/>
      <c r="AB1843" s="362"/>
      <c r="AC1843" s="362"/>
      <c r="AD1843" s="362"/>
      <c r="AE1843" s="362"/>
      <c r="AF1843" s="362"/>
      <c r="AG1843" s="362"/>
      <c r="AH1843" s="362"/>
      <c r="AI1843" s="360"/>
      <c r="AJ1843" s="360"/>
      <c r="AK1843" s="362"/>
      <c r="AL1843" s="362"/>
      <c r="AM1843" s="362"/>
      <c r="AN1843" s="362"/>
      <c r="AO1843" s="362"/>
      <c r="AP1843" s="362"/>
      <c r="AQ1843" s="362"/>
      <c r="AR1843" s="362"/>
    </row>
    <row r="1844" spans="1:44" ht="12" customHeight="1" x14ac:dyDescent="0.15">
      <c r="A1844" s="447"/>
      <c r="B1844" s="393"/>
      <c r="C1844" s="428"/>
      <c r="D1844" s="428"/>
      <c r="E1844" s="224"/>
      <c r="F1844" s="224"/>
      <c r="G1844" s="224"/>
      <c r="H1844" s="224"/>
      <c r="I1844" s="224"/>
      <c r="J1844" s="224"/>
      <c r="Z1844" s="362"/>
      <c r="AA1844" s="362"/>
      <c r="AB1844" s="362"/>
      <c r="AC1844" s="362"/>
      <c r="AD1844" s="362"/>
      <c r="AE1844" s="362"/>
      <c r="AF1844" s="362"/>
      <c r="AG1844" s="362"/>
      <c r="AH1844" s="362"/>
      <c r="AI1844" s="360"/>
      <c r="AJ1844" s="360"/>
      <c r="AK1844" s="362"/>
      <c r="AL1844" s="362"/>
      <c r="AM1844" s="362"/>
      <c r="AN1844" s="362"/>
      <c r="AO1844" s="362"/>
      <c r="AP1844" s="362"/>
      <c r="AQ1844" s="362"/>
      <c r="AR1844" s="362"/>
    </row>
    <row r="1845" spans="1:44" ht="12" customHeight="1" x14ac:dyDescent="0.15">
      <c r="A1845" s="447"/>
      <c r="B1845" s="393"/>
      <c r="C1845" s="428"/>
      <c r="D1845" s="428"/>
      <c r="E1845" s="224"/>
      <c r="F1845" s="224"/>
      <c r="G1845" s="224"/>
      <c r="H1845" s="224"/>
      <c r="I1845" s="224"/>
      <c r="J1845" s="224"/>
      <c r="Z1845" s="362"/>
      <c r="AA1845" s="362"/>
      <c r="AB1845" s="362"/>
      <c r="AC1845" s="362"/>
      <c r="AD1845" s="362"/>
      <c r="AE1845" s="362"/>
      <c r="AF1845" s="362"/>
      <c r="AG1845" s="362"/>
      <c r="AH1845" s="362"/>
      <c r="AI1845" s="360"/>
      <c r="AJ1845" s="360"/>
      <c r="AK1845" s="362"/>
      <c r="AL1845" s="362"/>
      <c r="AM1845" s="362"/>
      <c r="AN1845" s="362"/>
      <c r="AO1845" s="362"/>
      <c r="AP1845" s="362"/>
      <c r="AQ1845" s="362"/>
      <c r="AR1845" s="362"/>
    </row>
    <row r="1846" spans="1:44" ht="12" customHeight="1" x14ac:dyDescent="0.15">
      <c r="A1846" s="447"/>
      <c r="B1846" s="393"/>
      <c r="C1846" s="428"/>
      <c r="D1846" s="428"/>
      <c r="E1846" s="224"/>
      <c r="F1846" s="224"/>
      <c r="G1846" s="224"/>
      <c r="H1846" s="224"/>
      <c r="I1846" s="224"/>
      <c r="J1846" s="224"/>
      <c r="Z1846" s="362"/>
      <c r="AA1846" s="362"/>
      <c r="AB1846" s="362"/>
      <c r="AC1846" s="362"/>
      <c r="AD1846" s="362"/>
      <c r="AE1846" s="362"/>
      <c r="AF1846" s="362"/>
      <c r="AG1846" s="362"/>
      <c r="AH1846" s="362"/>
      <c r="AI1846" s="360"/>
      <c r="AJ1846" s="360"/>
      <c r="AK1846" s="362"/>
      <c r="AL1846" s="362"/>
      <c r="AM1846" s="362"/>
      <c r="AN1846" s="362"/>
      <c r="AO1846" s="362"/>
      <c r="AP1846" s="362"/>
      <c r="AQ1846" s="362"/>
      <c r="AR1846" s="362"/>
    </row>
    <row r="1847" spans="1:44" ht="12" customHeight="1" x14ac:dyDescent="0.15">
      <c r="A1847" s="447"/>
      <c r="B1847" s="393"/>
      <c r="C1847" s="428"/>
      <c r="D1847" s="428"/>
      <c r="E1847" s="224"/>
      <c r="F1847" s="224"/>
      <c r="G1847" s="224"/>
      <c r="H1847" s="224"/>
      <c r="I1847" s="224"/>
      <c r="J1847" s="224"/>
      <c r="Z1847" s="362"/>
      <c r="AA1847" s="362"/>
      <c r="AB1847" s="362"/>
      <c r="AC1847" s="362"/>
      <c r="AD1847" s="362"/>
      <c r="AE1847" s="362"/>
      <c r="AF1847" s="362"/>
      <c r="AG1847" s="362"/>
      <c r="AH1847" s="362"/>
      <c r="AI1847" s="360"/>
      <c r="AJ1847" s="360"/>
      <c r="AK1847" s="362"/>
      <c r="AL1847" s="362"/>
      <c r="AM1847" s="362"/>
      <c r="AN1847" s="362"/>
      <c r="AO1847" s="362"/>
      <c r="AP1847" s="362"/>
      <c r="AQ1847" s="362"/>
      <c r="AR1847" s="362"/>
    </row>
    <row r="1848" spans="1:44" ht="12" customHeight="1" x14ac:dyDescent="0.15">
      <c r="A1848" s="447"/>
      <c r="B1848" s="393"/>
      <c r="C1848" s="428"/>
      <c r="D1848" s="428"/>
      <c r="E1848" s="224"/>
      <c r="F1848" s="224"/>
      <c r="G1848" s="224"/>
      <c r="H1848" s="224"/>
      <c r="I1848" s="224"/>
      <c r="J1848" s="224"/>
      <c r="Z1848" s="362"/>
      <c r="AA1848" s="362"/>
      <c r="AB1848" s="362"/>
      <c r="AC1848" s="362"/>
      <c r="AD1848" s="362"/>
      <c r="AE1848" s="362"/>
      <c r="AF1848" s="362"/>
      <c r="AG1848" s="362"/>
      <c r="AH1848" s="362"/>
      <c r="AI1848" s="360"/>
      <c r="AJ1848" s="360"/>
      <c r="AK1848" s="362"/>
      <c r="AL1848" s="362"/>
      <c r="AM1848" s="362"/>
      <c r="AN1848" s="362"/>
      <c r="AO1848" s="362"/>
      <c r="AP1848" s="362"/>
      <c r="AQ1848" s="362"/>
      <c r="AR1848" s="362"/>
    </row>
    <row r="1849" spans="1:44" ht="12" customHeight="1" x14ac:dyDescent="0.15">
      <c r="A1849" s="447"/>
      <c r="B1849" s="393"/>
      <c r="C1849" s="428"/>
      <c r="D1849" s="428"/>
      <c r="E1849" s="224"/>
      <c r="F1849" s="224"/>
      <c r="G1849" s="224"/>
      <c r="H1849" s="224"/>
      <c r="I1849" s="224"/>
      <c r="J1849" s="224"/>
      <c r="Z1849" s="362"/>
      <c r="AA1849" s="362"/>
      <c r="AB1849" s="362"/>
      <c r="AC1849" s="362"/>
      <c r="AD1849" s="362"/>
      <c r="AE1849" s="362"/>
      <c r="AF1849" s="362"/>
      <c r="AG1849" s="362"/>
      <c r="AH1849" s="362"/>
      <c r="AI1849" s="360"/>
      <c r="AJ1849" s="360"/>
      <c r="AK1849" s="362"/>
      <c r="AL1849" s="362"/>
      <c r="AM1849" s="362"/>
      <c r="AN1849" s="362"/>
      <c r="AO1849" s="362"/>
      <c r="AP1849" s="362"/>
      <c r="AQ1849" s="362"/>
      <c r="AR1849" s="362"/>
    </row>
    <row r="1850" spans="1:44" ht="12" customHeight="1" x14ac:dyDescent="0.15">
      <c r="A1850" s="447"/>
      <c r="B1850" s="393"/>
      <c r="C1850" s="428"/>
      <c r="D1850" s="428"/>
      <c r="E1850" s="224"/>
      <c r="F1850" s="224"/>
      <c r="G1850" s="224"/>
      <c r="H1850" s="224"/>
      <c r="I1850" s="224"/>
      <c r="J1850" s="224"/>
      <c r="Z1850" s="362"/>
      <c r="AA1850" s="362"/>
      <c r="AB1850" s="362"/>
      <c r="AC1850" s="362"/>
      <c r="AD1850" s="362"/>
      <c r="AE1850" s="362"/>
      <c r="AF1850" s="362"/>
      <c r="AG1850" s="362"/>
      <c r="AH1850" s="362"/>
      <c r="AI1850" s="360"/>
      <c r="AJ1850" s="360"/>
      <c r="AK1850" s="362"/>
      <c r="AL1850" s="362"/>
      <c r="AM1850" s="362"/>
      <c r="AN1850" s="362"/>
      <c r="AO1850" s="362"/>
      <c r="AP1850" s="362"/>
      <c r="AQ1850" s="362"/>
      <c r="AR1850" s="362"/>
    </row>
    <row r="1851" spans="1:44" ht="12" customHeight="1" x14ac:dyDescent="0.15">
      <c r="A1851" s="447"/>
      <c r="B1851" s="393"/>
      <c r="C1851" s="428"/>
      <c r="D1851" s="428"/>
      <c r="E1851" s="224"/>
      <c r="F1851" s="224"/>
      <c r="G1851" s="224"/>
      <c r="H1851" s="224"/>
      <c r="I1851" s="224"/>
      <c r="J1851" s="224"/>
      <c r="Z1851" s="362"/>
      <c r="AA1851" s="362"/>
      <c r="AB1851" s="362"/>
      <c r="AC1851" s="362"/>
      <c r="AD1851" s="362"/>
      <c r="AE1851" s="362"/>
      <c r="AF1851" s="362"/>
      <c r="AG1851" s="362"/>
      <c r="AH1851" s="362"/>
      <c r="AI1851" s="360"/>
      <c r="AJ1851" s="360"/>
      <c r="AK1851" s="362"/>
      <c r="AL1851" s="362"/>
      <c r="AM1851" s="362"/>
      <c r="AN1851" s="362"/>
      <c r="AO1851" s="362"/>
      <c r="AP1851" s="362"/>
      <c r="AQ1851" s="362"/>
      <c r="AR1851" s="362"/>
    </row>
    <row r="1852" spans="1:44" ht="12" customHeight="1" x14ac:dyDescent="0.15">
      <c r="A1852" s="447"/>
      <c r="B1852" s="393"/>
      <c r="C1852" s="428"/>
      <c r="D1852" s="428"/>
      <c r="E1852" s="224"/>
      <c r="F1852" s="224"/>
      <c r="G1852" s="224"/>
      <c r="H1852" s="224"/>
      <c r="I1852" s="224"/>
      <c r="J1852" s="224"/>
      <c r="Z1852" s="362"/>
      <c r="AA1852" s="362"/>
      <c r="AB1852" s="362"/>
      <c r="AC1852" s="362"/>
      <c r="AD1852" s="362"/>
      <c r="AE1852" s="362"/>
      <c r="AF1852" s="362"/>
      <c r="AG1852" s="362"/>
      <c r="AH1852" s="362"/>
      <c r="AI1852" s="360"/>
      <c r="AJ1852" s="360"/>
      <c r="AK1852" s="362"/>
      <c r="AL1852" s="362"/>
      <c r="AM1852" s="362"/>
      <c r="AN1852" s="362"/>
      <c r="AO1852" s="362"/>
      <c r="AP1852" s="362"/>
      <c r="AQ1852" s="362"/>
      <c r="AR1852" s="362"/>
    </row>
    <row r="1853" spans="1:44" ht="12" customHeight="1" x14ac:dyDescent="0.15">
      <c r="A1853" s="447"/>
      <c r="B1853" s="393"/>
      <c r="C1853" s="428"/>
      <c r="D1853" s="428"/>
      <c r="E1853" s="224"/>
      <c r="F1853" s="224"/>
      <c r="G1853" s="224"/>
      <c r="H1853" s="224"/>
      <c r="I1853" s="224"/>
      <c r="J1853" s="224"/>
      <c r="Z1853" s="362"/>
      <c r="AA1853" s="362"/>
      <c r="AB1853" s="362"/>
      <c r="AC1853" s="362"/>
      <c r="AD1853" s="362"/>
      <c r="AE1853" s="362"/>
      <c r="AF1853" s="362"/>
      <c r="AG1853" s="362"/>
      <c r="AH1853" s="362"/>
      <c r="AI1853" s="360"/>
      <c r="AJ1853" s="360"/>
      <c r="AK1853" s="362"/>
      <c r="AL1853" s="362"/>
      <c r="AM1853" s="362"/>
      <c r="AN1853" s="362"/>
      <c r="AO1853" s="362"/>
      <c r="AP1853" s="362"/>
      <c r="AQ1853" s="362"/>
      <c r="AR1853" s="362"/>
    </row>
    <row r="1854" spans="1:44" ht="12" customHeight="1" x14ac:dyDescent="0.15">
      <c r="A1854" s="447"/>
      <c r="B1854" s="393"/>
      <c r="C1854" s="428"/>
      <c r="D1854" s="428"/>
      <c r="E1854" s="224"/>
      <c r="F1854" s="224"/>
      <c r="G1854" s="224"/>
      <c r="H1854" s="224"/>
      <c r="I1854" s="224"/>
      <c r="J1854" s="224"/>
      <c r="Z1854" s="362"/>
      <c r="AA1854" s="362"/>
      <c r="AB1854" s="362"/>
      <c r="AC1854" s="362"/>
      <c r="AD1854" s="362"/>
      <c r="AE1854" s="362"/>
      <c r="AF1854" s="362"/>
      <c r="AG1854" s="362"/>
      <c r="AH1854" s="362"/>
      <c r="AI1854" s="360"/>
      <c r="AJ1854" s="360"/>
      <c r="AK1854" s="362"/>
      <c r="AL1854" s="362"/>
      <c r="AM1854" s="362"/>
      <c r="AN1854" s="362"/>
      <c r="AO1854" s="362"/>
      <c r="AP1854" s="362"/>
      <c r="AQ1854" s="362"/>
      <c r="AR1854" s="362"/>
    </row>
    <row r="1855" spans="1:44" ht="12" customHeight="1" x14ac:dyDescent="0.15">
      <c r="A1855" s="447"/>
      <c r="B1855" s="393"/>
      <c r="C1855" s="428"/>
      <c r="D1855" s="428"/>
      <c r="E1855" s="224"/>
      <c r="F1855" s="224"/>
      <c r="G1855" s="224"/>
      <c r="H1855" s="224"/>
      <c r="I1855" s="224"/>
      <c r="J1855" s="224"/>
      <c r="Z1855" s="362"/>
      <c r="AA1855" s="362"/>
      <c r="AB1855" s="362"/>
      <c r="AC1855" s="362"/>
      <c r="AD1855" s="362"/>
      <c r="AE1855" s="362"/>
      <c r="AF1855" s="362"/>
      <c r="AG1855" s="362"/>
      <c r="AH1855" s="362"/>
      <c r="AI1855" s="360"/>
      <c r="AJ1855" s="360"/>
      <c r="AK1855" s="362"/>
      <c r="AL1855" s="362"/>
      <c r="AM1855" s="362"/>
      <c r="AN1855" s="362"/>
      <c r="AO1855" s="362"/>
      <c r="AP1855" s="362"/>
      <c r="AQ1855" s="362"/>
      <c r="AR1855" s="362"/>
    </row>
    <row r="1856" spans="1:44" ht="12" customHeight="1" x14ac:dyDescent="0.15">
      <c r="A1856" s="447"/>
      <c r="B1856" s="393"/>
      <c r="C1856" s="428"/>
      <c r="D1856" s="428"/>
      <c r="E1856" s="224"/>
      <c r="F1856" s="224"/>
      <c r="G1856" s="224"/>
      <c r="H1856" s="224"/>
      <c r="I1856" s="224"/>
      <c r="J1856" s="224"/>
      <c r="Z1856" s="362"/>
      <c r="AA1856" s="362"/>
      <c r="AB1856" s="362"/>
      <c r="AC1856" s="362"/>
      <c r="AD1856" s="362"/>
      <c r="AE1856" s="362"/>
      <c r="AF1856" s="362"/>
      <c r="AG1856" s="362"/>
      <c r="AH1856" s="362"/>
      <c r="AI1856" s="360"/>
      <c r="AJ1856" s="360"/>
      <c r="AK1856" s="362"/>
      <c r="AL1856" s="362"/>
      <c r="AM1856" s="362"/>
      <c r="AN1856" s="362"/>
      <c r="AO1856" s="362"/>
      <c r="AP1856" s="362"/>
      <c r="AQ1856" s="362"/>
      <c r="AR1856" s="362"/>
    </row>
    <row r="1857" spans="1:44" ht="12" customHeight="1" x14ac:dyDescent="0.15">
      <c r="A1857" s="447"/>
      <c r="B1857" s="393"/>
      <c r="C1857" s="428"/>
      <c r="D1857" s="428"/>
      <c r="E1857" s="224"/>
      <c r="F1857" s="224"/>
      <c r="G1857" s="224"/>
      <c r="H1857" s="224"/>
      <c r="I1857" s="224"/>
      <c r="J1857" s="224"/>
      <c r="Z1857" s="362"/>
      <c r="AA1857" s="362"/>
      <c r="AB1857" s="362"/>
      <c r="AC1857" s="362"/>
      <c r="AD1857" s="362"/>
      <c r="AE1857" s="362"/>
      <c r="AF1857" s="362"/>
      <c r="AG1857" s="362"/>
      <c r="AH1857" s="362"/>
      <c r="AI1857" s="360"/>
      <c r="AJ1857" s="360"/>
      <c r="AK1857" s="362"/>
      <c r="AL1857" s="362"/>
      <c r="AM1857" s="362"/>
      <c r="AN1857" s="362"/>
      <c r="AO1857" s="362"/>
      <c r="AP1857" s="362"/>
      <c r="AQ1857" s="362"/>
      <c r="AR1857" s="362"/>
    </row>
    <row r="1858" spans="1:44" ht="12" customHeight="1" x14ac:dyDescent="0.15">
      <c r="A1858" s="447"/>
      <c r="B1858" s="393"/>
      <c r="C1858" s="428"/>
      <c r="D1858" s="428"/>
      <c r="E1858" s="224"/>
      <c r="F1858" s="224"/>
      <c r="G1858" s="224"/>
      <c r="H1858" s="224"/>
      <c r="I1858" s="224"/>
      <c r="J1858" s="224"/>
      <c r="Z1858" s="362"/>
      <c r="AA1858" s="362"/>
      <c r="AB1858" s="362"/>
      <c r="AC1858" s="362"/>
      <c r="AD1858" s="362"/>
      <c r="AE1858" s="362"/>
      <c r="AF1858" s="362"/>
      <c r="AG1858" s="362"/>
      <c r="AH1858" s="362"/>
      <c r="AI1858" s="360"/>
      <c r="AJ1858" s="360"/>
      <c r="AK1858" s="362"/>
      <c r="AL1858" s="362"/>
      <c r="AM1858" s="362"/>
      <c r="AN1858" s="362"/>
      <c r="AO1858" s="362"/>
      <c r="AP1858" s="362"/>
      <c r="AQ1858" s="362"/>
      <c r="AR1858" s="362"/>
    </row>
    <row r="1859" spans="1:44" ht="12" customHeight="1" x14ac:dyDescent="0.15">
      <c r="A1859" s="447"/>
      <c r="B1859" s="393"/>
      <c r="C1859" s="428"/>
      <c r="D1859" s="428"/>
      <c r="E1859" s="224"/>
      <c r="F1859" s="224"/>
      <c r="G1859" s="224"/>
      <c r="H1859" s="224"/>
      <c r="I1859" s="224"/>
      <c r="J1859" s="224"/>
      <c r="Z1859" s="362"/>
      <c r="AA1859" s="362"/>
      <c r="AB1859" s="362"/>
      <c r="AC1859" s="362"/>
      <c r="AD1859" s="362"/>
      <c r="AE1859" s="362"/>
      <c r="AF1859" s="362"/>
      <c r="AG1859" s="362"/>
      <c r="AH1859" s="362"/>
      <c r="AI1859" s="360"/>
      <c r="AJ1859" s="360"/>
      <c r="AK1859" s="362"/>
      <c r="AL1859" s="362"/>
      <c r="AM1859" s="362"/>
      <c r="AN1859" s="362"/>
      <c r="AO1859" s="362"/>
      <c r="AP1859" s="362"/>
      <c r="AQ1859" s="362"/>
      <c r="AR1859" s="362"/>
    </row>
    <row r="1860" spans="1:44" ht="12" customHeight="1" x14ac:dyDescent="0.15">
      <c r="A1860" s="447"/>
      <c r="B1860" s="393"/>
      <c r="C1860" s="428"/>
      <c r="D1860" s="428"/>
      <c r="E1860" s="224"/>
      <c r="F1860" s="224"/>
      <c r="G1860" s="224"/>
      <c r="H1860" s="224"/>
      <c r="I1860" s="224"/>
      <c r="J1860" s="224"/>
      <c r="Z1860" s="362"/>
      <c r="AA1860" s="362"/>
      <c r="AB1860" s="362"/>
      <c r="AC1860" s="362"/>
      <c r="AD1860" s="362"/>
      <c r="AE1860" s="362"/>
      <c r="AF1860" s="362"/>
      <c r="AG1860" s="362"/>
      <c r="AH1860" s="362"/>
      <c r="AI1860" s="360"/>
      <c r="AJ1860" s="360"/>
      <c r="AK1860" s="362"/>
      <c r="AL1860" s="362"/>
      <c r="AM1860" s="362"/>
      <c r="AN1860" s="362"/>
      <c r="AO1860" s="362"/>
      <c r="AP1860" s="362"/>
      <c r="AQ1860" s="362"/>
      <c r="AR1860" s="362"/>
    </row>
    <row r="1861" spans="1:44" ht="12" customHeight="1" x14ac:dyDescent="0.15">
      <c r="A1861" s="447"/>
      <c r="B1861" s="393"/>
      <c r="C1861" s="428"/>
      <c r="D1861" s="428"/>
      <c r="E1861" s="224"/>
      <c r="F1861" s="224"/>
      <c r="G1861" s="224"/>
      <c r="H1861" s="224"/>
      <c r="I1861" s="224"/>
      <c r="J1861" s="224"/>
      <c r="Z1861" s="362"/>
      <c r="AA1861" s="362"/>
      <c r="AB1861" s="362"/>
      <c r="AC1861" s="362"/>
      <c r="AD1861" s="362"/>
      <c r="AE1861" s="362"/>
      <c r="AF1861" s="362"/>
      <c r="AG1861" s="362"/>
      <c r="AH1861" s="362"/>
      <c r="AI1861" s="360"/>
      <c r="AJ1861" s="360"/>
      <c r="AK1861" s="362"/>
      <c r="AL1861" s="362"/>
      <c r="AM1861" s="362"/>
      <c r="AN1861" s="362"/>
      <c r="AO1861" s="362"/>
      <c r="AP1861" s="362"/>
      <c r="AQ1861" s="362"/>
      <c r="AR1861" s="362"/>
    </row>
    <row r="1862" spans="1:44" ht="12" customHeight="1" x14ac:dyDescent="0.15">
      <c r="A1862" s="447"/>
      <c r="B1862" s="393"/>
      <c r="C1862" s="428"/>
      <c r="D1862" s="428"/>
      <c r="E1862" s="224"/>
      <c r="F1862" s="224"/>
      <c r="G1862" s="224"/>
      <c r="H1862" s="224"/>
      <c r="I1862" s="224"/>
      <c r="J1862" s="224"/>
      <c r="Z1862" s="362"/>
      <c r="AA1862" s="362"/>
      <c r="AB1862" s="362"/>
      <c r="AC1862" s="362"/>
      <c r="AD1862" s="362"/>
      <c r="AE1862" s="362"/>
      <c r="AF1862" s="362"/>
      <c r="AG1862" s="362"/>
      <c r="AH1862" s="362"/>
      <c r="AI1862" s="360"/>
      <c r="AJ1862" s="360"/>
      <c r="AK1862" s="362"/>
      <c r="AL1862" s="362"/>
      <c r="AM1862" s="362"/>
      <c r="AN1862" s="362"/>
      <c r="AO1862" s="362"/>
      <c r="AP1862" s="362"/>
      <c r="AQ1862" s="362"/>
      <c r="AR1862" s="362"/>
    </row>
    <row r="1863" spans="1:44" ht="12" customHeight="1" x14ac:dyDescent="0.15">
      <c r="A1863" s="447"/>
      <c r="B1863" s="393"/>
      <c r="C1863" s="428"/>
      <c r="D1863" s="428"/>
      <c r="E1863" s="224"/>
      <c r="F1863" s="224"/>
      <c r="G1863" s="224"/>
      <c r="H1863" s="224"/>
      <c r="I1863" s="224"/>
      <c r="J1863" s="224"/>
      <c r="Z1863" s="362"/>
      <c r="AA1863" s="362"/>
      <c r="AB1863" s="362"/>
      <c r="AC1863" s="362"/>
      <c r="AD1863" s="362"/>
      <c r="AE1863" s="362"/>
      <c r="AF1863" s="362"/>
      <c r="AG1863" s="362"/>
      <c r="AH1863" s="362"/>
      <c r="AI1863" s="360"/>
      <c r="AJ1863" s="360"/>
      <c r="AK1863" s="362"/>
      <c r="AL1863" s="362"/>
      <c r="AM1863" s="362"/>
      <c r="AN1863" s="362"/>
      <c r="AO1863" s="362"/>
      <c r="AP1863" s="362"/>
      <c r="AQ1863" s="362"/>
      <c r="AR1863" s="362"/>
    </row>
    <row r="1864" spans="1:44" ht="12" customHeight="1" x14ac:dyDescent="0.15">
      <c r="A1864" s="447"/>
      <c r="B1864" s="393"/>
      <c r="C1864" s="428"/>
      <c r="D1864" s="428"/>
      <c r="E1864" s="224"/>
      <c r="F1864" s="224"/>
      <c r="G1864" s="224"/>
      <c r="H1864" s="224"/>
      <c r="I1864" s="224"/>
      <c r="J1864" s="224"/>
      <c r="Z1864" s="362"/>
      <c r="AA1864" s="362"/>
      <c r="AB1864" s="362"/>
      <c r="AC1864" s="362"/>
      <c r="AD1864" s="362"/>
      <c r="AE1864" s="362"/>
      <c r="AF1864" s="362"/>
      <c r="AG1864" s="362"/>
      <c r="AH1864" s="362"/>
      <c r="AI1864" s="360"/>
      <c r="AJ1864" s="360"/>
      <c r="AK1864" s="362"/>
      <c r="AL1864" s="362"/>
      <c r="AM1864" s="362"/>
      <c r="AN1864" s="362"/>
      <c r="AO1864" s="362"/>
      <c r="AP1864" s="362"/>
      <c r="AQ1864" s="362"/>
      <c r="AR1864" s="362"/>
    </row>
    <row r="1865" spans="1:44" ht="12" customHeight="1" x14ac:dyDescent="0.15">
      <c r="A1865" s="447"/>
      <c r="B1865" s="393"/>
      <c r="C1865" s="428"/>
      <c r="D1865" s="428"/>
      <c r="E1865" s="224"/>
      <c r="F1865" s="224"/>
      <c r="G1865" s="224"/>
      <c r="H1865" s="224"/>
      <c r="I1865" s="224"/>
      <c r="J1865" s="224"/>
      <c r="Z1865" s="362"/>
      <c r="AA1865" s="362"/>
      <c r="AB1865" s="362"/>
      <c r="AC1865" s="362"/>
      <c r="AD1865" s="362"/>
      <c r="AE1865" s="362"/>
      <c r="AF1865" s="362"/>
      <c r="AG1865" s="362"/>
      <c r="AH1865" s="362"/>
      <c r="AI1865" s="360"/>
      <c r="AJ1865" s="360"/>
      <c r="AK1865" s="362"/>
      <c r="AL1865" s="362"/>
      <c r="AM1865" s="362"/>
      <c r="AN1865" s="362"/>
      <c r="AO1865" s="362"/>
      <c r="AP1865" s="362"/>
      <c r="AQ1865" s="362"/>
      <c r="AR1865" s="362"/>
    </row>
    <row r="1866" spans="1:44" ht="12" customHeight="1" x14ac:dyDescent="0.15">
      <c r="A1866" s="447"/>
      <c r="B1866" s="393"/>
      <c r="C1866" s="428"/>
      <c r="D1866" s="428"/>
      <c r="E1866" s="224"/>
      <c r="F1866" s="224"/>
      <c r="G1866" s="224"/>
      <c r="H1866" s="224"/>
      <c r="I1866" s="224"/>
      <c r="J1866" s="224"/>
      <c r="Z1866" s="362"/>
      <c r="AA1866" s="362"/>
      <c r="AB1866" s="362"/>
      <c r="AC1866" s="362"/>
      <c r="AD1866" s="362"/>
      <c r="AE1866" s="362"/>
      <c r="AF1866" s="362"/>
      <c r="AG1866" s="362"/>
      <c r="AH1866" s="362"/>
      <c r="AI1866" s="360"/>
      <c r="AJ1866" s="360"/>
      <c r="AK1866" s="362"/>
      <c r="AL1866" s="362"/>
      <c r="AM1866" s="362"/>
      <c r="AN1866" s="362"/>
      <c r="AO1866" s="362"/>
      <c r="AP1866" s="362"/>
      <c r="AQ1866" s="362"/>
      <c r="AR1866" s="362"/>
    </row>
    <row r="1867" spans="1:44" ht="12" customHeight="1" x14ac:dyDescent="0.15">
      <c r="A1867" s="447"/>
      <c r="B1867" s="393"/>
      <c r="C1867" s="428"/>
      <c r="D1867" s="428"/>
      <c r="E1867" s="224"/>
      <c r="F1867" s="224"/>
      <c r="G1867" s="224"/>
      <c r="H1867" s="224"/>
      <c r="I1867" s="224"/>
      <c r="J1867" s="224"/>
      <c r="Z1867" s="362"/>
      <c r="AA1867" s="362"/>
      <c r="AB1867" s="362"/>
      <c r="AC1867" s="362"/>
      <c r="AD1867" s="362"/>
      <c r="AE1867" s="362"/>
      <c r="AF1867" s="362"/>
      <c r="AG1867" s="362"/>
      <c r="AH1867" s="362"/>
      <c r="AI1867" s="360"/>
      <c r="AJ1867" s="360"/>
      <c r="AK1867" s="362"/>
      <c r="AL1867" s="362"/>
      <c r="AM1867" s="362"/>
      <c r="AN1867" s="362"/>
      <c r="AO1867" s="362"/>
      <c r="AP1867" s="362"/>
      <c r="AQ1867" s="362"/>
      <c r="AR1867" s="362"/>
    </row>
    <row r="1868" spans="1:44" ht="12" customHeight="1" x14ac:dyDescent="0.15">
      <c r="A1868" s="447"/>
      <c r="B1868" s="393"/>
      <c r="C1868" s="428"/>
      <c r="D1868" s="428"/>
      <c r="E1868" s="224"/>
      <c r="F1868" s="224"/>
      <c r="G1868" s="224"/>
      <c r="H1868" s="224"/>
      <c r="I1868" s="224"/>
      <c r="J1868" s="224"/>
      <c r="Z1868" s="362"/>
      <c r="AA1868" s="362"/>
      <c r="AB1868" s="362"/>
      <c r="AC1868" s="362"/>
      <c r="AD1868" s="362"/>
      <c r="AE1868" s="362"/>
      <c r="AF1868" s="362"/>
      <c r="AG1868" s="362"/>
      <c r="AH1868" s="362"/>
      <c r="AI1868" s="360"/>
      <c r="AJ1868" s="360"/>
      <c r="AK1868" s="362"/>
      <c r="AL1868" s="362"/>
      <c r="AM1868" s="362"/>
      <c r="AN1868" s="362"/>
      <c r="AO1868" s="362"/>
      <c r="AP1868" s="362"/>
      <c r="AQ1868" s="362"/>
      <c r="AR1868" s="362"/>
    </row>
    <row r="1869" spans="1:44" ht="12" customHeight="1" x14ac:dyDescent="0.15">
      <c r="A1869" s="447"/>
      <c r="B1869" s="393"/>
      <c r="C1869" s="428"/>
      <c r="D1869" s="428"/>
      <c r="E1869" s="224"/>
      <c r="F1869" s="224"/>
      <c r="G1869" s="224"/>
      <c r="H1869" s="224"/>
      <c r="I1869" s="224"/>
      <c r="J1869" s="224"/>
      <c r="Z1869" s="362"/>
      <c r="AA1869" s="362"/>
      <c r="AB1869" s="362"/>
      <c r="AC1869" s="362"/>
      <c r="AD1869" s="362"/>
      <c r="AE1869" s="362"/>
      <c r="AF1869" s="362"/>
      <c r="AG1869" s="362"/>
      <c r="AH1869" s="362"/>
      <c r="AI1869" s="360"/>
      <c r="AJ1869" s="360"/>
      <c r="AK1869" s="362"/>
      <c r="AL1869" s="362"/>
      <c r="AM1869" s="362"/>
      <c r="AN1869" s="362"/>
      <c r="AO1869" s="362"/>
      <c r="AP1869" s="362"/>
      <c r="AQ1869" s="362"/>
      <c r="AR1869" s="362"/>
    </row>
    <row r="1870" spans="1:44" ht="12" customHeight="1" x14ac:dyDescent="0.15">
      <c r="A1870" s="447"/>
      <c r="B1870" s="393"/>
      <c r="C1870" s="428"/>
      <c r="D1870" s="428"/>
      <c r="E1870" s="224"/>
      <c r="F1870" s="224"/>
      <c r="G1870" s="224"/>
      <c r="H1870" s="224"/>
      <c r="I1870" s="224"/>
      <c r="J1870" s="224"/>
      <c r="Z1870" s="362"/>
      <c r="AA1870" s="362"/>
      <c r="AB1870" s="362"/>
      <c r="AC1870" s="362"/>
      <c r="AD1870" s="362"/>
      <c r="AE1870" s="362"/>
      <c r="AF1870" s="362"/>
      <c r="AG1870" s="362"/>
      <c r="AH1870" s="362"/>
      <c r="AI1870" s="360"/>
      <c r="AJ1870" s="360"/>
      <c r="AK1870" s="362"/>
      <c r="AL1870" s="362"/>
      <c r="AM1870" s="362"/>
      <c r="AN1870" s="362"/>
      <c r="AO1870" s="362"/>
      <c r="AP1870" s="362"/>
      <c r="AQ1870" s="362"/>
      <c r="AR1870" s="362"/>
    </row>
    <row r="1871" spans="1:44" ht="12" customHeight="1" x14ac:dyDescent="0.15">
      <c r="A1871" s="447"/>
      <c r="B1871" s="393"/>
      <c r="C1871" s="428"/>
      <c r="D1871" s="428"/>
      <c r="E1871" s="224"/>
      <c r="F1871" s="224"/>
      <c r="G1871" s="224"/>
      <c r="H1871" s="224"/>
      <c r="I1871" s="224"/>
      <c r="J1871" s="224"/>
      <c r="Z1871" s="362"/>
      <c r="AA1871" s="362"/>
      <c r="AB1871" s="362"/>
      <c r="AC1871" s="362"/>
      <c r="AD1871" s="362"/>
      <c r="AE1871" s="362"/>
      <c r="AF1871" s="362"/>
      <c r="AG1871" s="362"/>
      <c r="AH1871" s="362"/>
      <c r="AI1871" s="360"/>
      <c r="AJ1871" s="360"/>
      <c r="AK1871" s="362"/>
      <c r="AL1871" s="362"/>
      <c r="AM1871" s="362"/>
      <c r="AN1871" s="362"/>
      <c r="AO1871" s="362"/>
      <c r="AP1871" s="362"/>
      <c r="AQ1871" s="362"/>
      <c r="AR1871" s="362"/>
    </row>
    <row r="1872" spans="1:44" ht="12" customHeight="1" x14ac:dyDescent="0.15">
      <c r="A1872" s="447"/>
      <c r="B1872" s="393"/>
      <c r="C1872" s="428"/>
      <c r="D1872" s="428"/>
      <c r="E1872" s="224"/>
      <c r="F1872" s="224"/>
      <c r="G1872" s="224"/>
      <c r="H1872" s="224"/>
      <c r="I1872" s="224"/>
      <c r="J1872" s="224"/>
      <c r="Z1872" s="362"/>
      <c r="AA1872" s="362"/>
      <c r="AB1872" s="362"/>
      <c r="AC1872" s="362"/>
      <c r="AD1872" s="362"/>
      <c r="AE1872" s="362"/>
      <c r="AF1872" s="362"/>
      <c r="AG1872" s="362"/>
      <c r="AH1872" s="362"/>
      <c r="AI1872" s="360"/>
      <c r="AJ1872" s="360"/>
      <c r="AK1872" s="362"/>
      <c r="AL1872" s="362"/>
      <c r="AM1872" s="362"/>
      <c r="AN1872" s="362"/>
      <c r="AO1872" s="362"/>
      <c r="AP1872" s="362"/>
      <c r="AQ1872" s="362"/>
      <c r="AR1872" s="362"/>
    </row>
    <row r="1873" spans="1:44" ht="12" customHeight="1" x14ac:dyDescent="0.15">
      <c r="A1873" s="447"/>
      <c r="B1873" s="393"/>
      <c r="C1873" s="428"/>
      <c r="D1873" s="428"/>
      <c r="E1873" s="224"/>
      <c r="F1873" s="224"/>
      <c r="G1873" s="224"/>
      <c r="H1873" s="224"/>
      <c r="I1873" s="224"/>
      <c r="J1873" s="224"/>
      <c r="Z1873" s="362"/>
      <c r="AA1873" s="362"/>
      <c r="AB1873" s="362"/>
      <c r="AC1873" s="362"/>
      <c r="AD1873" s="362"/>
      <c r="AE1873" s="362"/>
      <c r="AF1873" s="362"/>
      <c r="AG1873" s="362"/>
      <c r="AH1873" s="362"/>
      <c r="AI1873" s="360"/>
      <c r="AJ1873" s="360"/>
      <c r="AK1873" s="362"/>
      <c r="AL1873" s="362"/>
      <c r="AM1873" s="362"/>
      <c r="AN1873" s="362"/>
      <c r="AO1873" s="362"/>
      <c r="AP1873" s="362"/>
      <c r="AQ1873" s="362"/>
      <c r="AR1873" s="362"/>
    </row>
    <row r="1874" spans="1:44" ht="12" customHeight="1" x14ac:dyDescent="0.15">
      <c r="A1874" s="447"/>
      <c r="B1874" s="393"/>
      <c r="C1874" s="428"/>
      <c r="D1874" s="428"/>
      <c r="E1874" s="224"/>
      <c r="F1874" s="224"/>
      <c r="G1874" s="224"/>
      <c r="H1874" s="224"/>
      <c r="I1874" s="224"/>
      <c r="J1874" s="224"/>
      <c r="Z1874" s="362"/>
      <c r="AA1874" s="362"/>
      <c r="AB1874" s="362"/>
      <c r="AC1874" s="362"/>
      <c r="AD1874" s="362"/>
      <c r="AE1874" s="362"/>
      <c r="AF1874" s="362"/>
      <c r="AG1874" s="362"/>
      <c r="AH1874" s="362"/>
      <c r="AI1874" s="360"/>
      <c r="AJ1874" s="360"/>
      <c r="AK1874" s="362"/>
      <c r="AL1874" s="362"/>
      <c r="AM1874" s="362"/>
      <c r="AN1874" s="362"/>
      <c r="AO1874" s="362"/>
      <c r="AP1874" s="362"/>
      <c r="AQ1874" s="362"/>
      <c r="AR1874" s="362"/>
    </row>
    <row r="1875" spans="1:44" ht="12" customHeight="1" x14ac:dyDescent="0.15">
      <c r="A1875" s="447"/>
      <c r="B1875" s="393"/>
      <c r="C1875" s="428"/>
      <c r="D1875" s="428"/>
      <c r="E1875" s="224"/>
      <c r="F1875" s="224"/>
      <c r="G1875" s="224"/>
      <c r="H1875" s="224"/>
      <c r="I1875" s="224"/>
      <c r="J1875" s="224"/>
      <c r="Z1875" s="362"/>
      <c r="AA1875" s="362"/>
      <c r="AB1875" s="362"/>
      <c r="AC1875" s="362"/>
      <c r="AD1875" s="362"/>
      <c r="AE1875" s="362"/>
      <c r="AF1875" s="362"/>
      <c r="AG1875" s="362"/>
      <c r="AH1875" s="362"/>
      <c r="AI1875" s="360"/>
      <c r="AJ1875" s="360"/>
      <c r="AK1875" s="362"/>
      <c r="AL1875" s="362"/>
      <c r="AM1875" s="362"/>
      <c r="AN1875" s="362"/>
      <c r="AO1875" s="362"/>
      <c r="AP1875" s="362"/>
      <c r="AQ1875" s="362"/>
      <c r="AR1875" s="362"/>
    </row>
    <row r="1876" spans="1:44" ht="12" customHeight="1" x14ac:dyDescent="0.15">
      <c r="A1876" s="447"/>
      <c r="B1876" s="393"/>
      <c r="C1876" s="428"/>
      <c r="D1876" s="428"/>
      <c r="E1876" s="224"/>
      <c r="F1876" s="224"/>
      <c r="G1876" s="224"/>
      <c r="H1876" s="224"/>
      <c r="I1876" s="224"/>
      <c r="J1876" s="224"/>
      <c r="Z1876" s="362"/>
      <c r="AA1876" s="362"/>
      <c r="AB1876" s="362"/>
      <c r="AC1876" s="362"/>
      <c r="AD1876" s="362"/>
      <c r="AE1876" s="362"/>
      <c r="AF1876" s="362"/>
      <c r="AG1876" s="362"/>
      <c r="AH1876" s="362"/>
      <c r="AI1876" s="360"/>
      <c r="AJ1876" s="360"/>
      <c r="AK1876" s="362"/>
      <c r="AL1876" s="362"/>
      <c r="AM1876" s="362"/>
      <c r="AN1876" s="362"/>
      <c r="AO1876" s="362"/>
      <c r="AP1876" s="362"/>
      <c r="AQ1876" s="362"/>
      <c r="AR1876" s="362"/>
    </row>
    <row r="1877" spans="1:44" ht="12" customHeight="1" x14ac:dyDescent="0.15">
      <c r="A1877" s="447"/>
      <c r="B1877" s="393"/>
      <c r="C1877" s="428"/>
      <c r="D1877" s="428"/>
      <c r="E1877" s="224"/>
      <c r="F1877" s="224"/>
      <c r="G1877" s="224"/>
      <c r="H1877" s="224"/>
      <c r="I1877" s="224"/>
      <c r="J1877" s="224"/>
      <c r="Z1877" s="362"/>
      <c r="AA1877" s="362"/>
      <c r="AB1877" s="362"/>
      <c r="AC1877" s="362"/>
      <c r="AD1877" s="362"/>
      <c r="AE1877" s="362"/>
      <c r="AF1877" s="362"/>
      <c r="AG1877" s="362"/>
      <c r="AH1877" s="362"/>
      <c r="AI1877" s="360"/>
      <c r="AJ1877" s="360"/>
      <c r="AK1877" s="362"/>
      <c r="AL1877" s="362"/>
      <c r="AM1877" s="362"/>
      <c r="AN1877" s="362"/>
      <c r="AO1877" s="362"/>
      <c r="AP1877" s="362"/>
      <c r="AQ1877" s="362"/>
      <c r="AR1877" s="362"/>
    </row>
    <row r="1878" spans="1:44" ht="12" customHeight="1" x14ac:dyDescent="0.15">
      <c r="A1878" s="447"/>
      <c r="B1878" s="393"/>
      <c r="C1878" s="428"/>
      <c r="D1878" s="428"/>
      <c r="E1878" s="224"/>
      <c r="F1878" s="224"/>
      <c r="G1878" s="224"/>
      <c r="H1878" s="224"/>
      <c r="I1878" s="224"/>
      <c r="J1878" s="224"/>
      <c r="Z1878" s="362"/>
      <c r="AA1878" s="362"/>
      <c r="AB1878" s="362"/>
      <c r="AC1878" s="362"/>
      <c r="AD1878" s="362"/>
      <c r="AE1878" s="362"/>
      <c r="AF1878" s="362"/>
      <c r="AG1878" s="362"/>
      <c r="AH1878" s="362"/>
      <c r="AI1878" s="360"/>
      <c r="AJ1878" s="360"/>
      <c r="AK1878" s="362"/>
      <c r="AL1878" s="362"/>
      <c r="AM1878" s="362"/>
      <c r="AN1878" s="362"/>
      <c r="AO1878" s="362"/>
      <c r="AP1878" s="362"/>
      <c r="AQ1878" s="362"/>
      <c r="AR1878" s="362"/>
    </row>
    <row r="1879" spans="1:44" ht="12" customHeight="1" x14ac:dyDescent="0.15">
      <c r="A1879" s="447"/>
      <c r="B1879" s="393"/>
      <c r="C1879" s="428"/>
      <c r="D1879" s="428"/>
      <c r="E1879" s="224"/>
      <c r="F1879" s="224"/>
      <c r="G1879" s="224"/>
      <c r="H1879" s="224"/>
      <c r="I1879" s="224"/>
      <c r="J1879" s="224"/>
      <c r="Z1879" s="362"/>
      <c r="AA1879" s="362"/>
      <c r="AB1879" s="362"/>
      <c r="AC1879" s="362"/>
      <c r="AD1879" s="362"/>
      <c r="AE1879" s="362"/>
      <c r="AF1879" s="362"/>
      <c r="AG1879" s="362"/>
      <c r="AH1879" s="362"/>
      <c r="AI1879" s="360"/>
      <c r="AJ1879" s="360"/>
      <c r="AK1879" s="362"/>
      <c r="AL1879" s="362"/>
      <c r="AM1879" s="362"/>
      <c r="AN1879" s="362"/>
      <c r="AO1879" s="362"/>
      <c r="AP1879" s="362"/>
      <c r="AQ1879" s="362"/>
      <c r="AR1879" s="362"/>
    </row>
    <row r="1880" spans="1:44" ht="12" customHeight="1" x14ac:dyDescent="0.15">
      <c r="A1880" s="447"/>
      <c r="B1880" s="393"/>
      <c r="C1880" s="428"/>
      <c r="D1880" s="428"/>
      <c r="E1880" s="224"/>
      <c r="F1880" s="224"/>
      <c r="G1880" s="224"/>
      <c r="H1880" s="224"/>
      <c r="I1880" s="224"/>
      <c r="J1880" s="224"/>
      <c r="Z1880" s="362"/>
      <c r="AA1880" s="362"/>
      <c r="AB1880" s="362"/>
      <c r="AC1880" s="362"/>
      <c r="AD1880" s="362"/>
      <c r="AE1880" s="362"/>
      <c r="AF1880" s="362"/>
      <c r="AG1880" s="362"/>
      <c r="AH1880" s="362"/>
      <c r="AI1880" s="360"/>
      <c r="AJ1880" s="360"/>
      <c r="AK1880" s="362"/>
      <c r="AL1880" s="362"/>
      <c r="AM1880" s="362"/>
      <c r="AN1880" s="362"/>
      <c r="AO1880" s="362"/>
      <c r="AP1880" s="362"/>
      <c r="AQ1880" s="362"/>
      <c r="AR1880" s="362"/>
    </row>
    <row r="1881" spans="1:44" ht="12" customHeight="1" x14ac:dyDescent="0.15">
      <c r="A1881" s="447"/>
      <c r="B1881" s="393"/>
      <c r="C1881" s="428"/>
      <c r="D1881" s="428"/>
      <c r="E1881" s="224"/>
      <c r="F1881" s="224"/>
      <c r="G1881" s="224"/>
      <c r="H1881" s="224"/>
      <c r="I1881" s="224"/>
      <c r="J1881" s="224"/>
      <c r="Z1881" s="362"/>
      <c r="AA1881" s="362"/>
      <c r="AB1881" s="362"/>
      <c r="AC1881" s="362"/>
      <c r="AD1881" s="362"/>
      <c r="AE1881" s="362"/>
      <c r="AF1881" s="362"/>
      <c r="AG1881" s="362"/>
      <c r="AH1881" s="362"/>
      <c r="AI1881" s="360"/>
      <c r="AJ1881" s="360"/>
      <c r="AK1881" s="362"/>
      <c r="AL1881" s="362"/>
      <c r="AM1881" s="362"/>
      <c r="AN1881" s="362"/>
      <c r="AO1881" s="362"/>
      <c r="AP1881" s="362"/>
      <c r="AQ1881" s="362"/>
      <c r="AR1881" s="362"/>
    </row>
    <row r="1882" spans="1:44" ht="12" customHeight="1" x14ac:dyDescent="0.15">
      <c r="A1882" s="447"/>
      <c r="B1882" s="393"/>
      <c r="C1882" s="428"/>
      <c r="D1882" s="428"/>
      <c r="E1882" s="224"/>
      <c r="F1882" s="224"/>
      <c r="G1882" s="224"/>
      <c r="H1882" s="224"/>
      <c r="I1882" s="224"/>
      <c r="J1882" s="224"/>
      <c r="Z1882" s="362"/>
      <c r="AA1882" s="362"/>
      <c r="AB1882" s="362"/>
      <c r="AC1882" s="362"/>
      <c r="AD1882" s="362"/>
      <c r="AE1882" s="362"/>
      <c r="AF1882" s="362"/>
      <c r="AG1882" s="362"/>
      <c r="AH1882" s="362"/>
      <c r="AI1882" s="360"/>
      <c r="AJ1882" s="360"/>
      <c r="AK1882" s="362"/>
      <c r="AL1882" s="362"/>
      <c r="AM1882" s="362"/>
      <c r="AN1882" s="362"/>
      <c r="AO1882" s="362"/>
      <c r="AP1882" s="362"/>
      <c r="AQ1882" s="362"/>
      <c r="AR1882" s="362"/>
    </row>
    <row r="1883" spans="1:44" ht="12" customHeight="1" x14ac:dyDescent="0.15">
      <c r="A1883" s="447"/>
      <c r="B1883" s="393"/>
      <c r="C1883" s="428"/>
      <c r="D1883" s="428"/>
      <c r="E1883" s="224"/>
      <c r="F1883" s="224"/>
      <c r="G1883" s="224"/>
      <c r="H1883" s="224"/>
      <c r="I1883" s="224"/>
      <c r="J1883" s="224"/>
      <c r="Z1883" s="362"/>
      <c r="AA1883" s="362"/>
      <c r="AB1883" s="362"/>
      <c r="AC1883" s="362"/>
      <c r="AD1883" s="362"/>
      <c r="AE1883" s="362"/>
      <c r="AF1883" s="362"/>
      <c r="AG1883" s="362"/>
      <c r="AH1883" s="362"/>
      <c r="AI1883" s="360"/>
      <c r="AJ1883" s="360"/>
      <c r="AK1883" s="362"/>
      <c r="AL1883" s="362"/>
      <c r="AM1883" s="362"/>
      <c r="AN1883" s="362"/>
      <c r="AO1883" s="362"/>
      <c r="AP1883" s="362"/>
      <c r="AQ1883" s="362"/>
      <c r="AR1883" s="362"/>
    </row>
    <row r="1884" spans="1:44" ht="12" customHeight="1" x14ac:dyDescent="0.15">
      <c r="A1884" s="447"/>
      <c r="B1884" s="393"/>
      <c r="C1884" s="428"/>
      <c r="D1884" s="428"/>
      <c r="E1884" s="224"/>
      <c r="F1884" s="224"/>
      <c r="G1884" s="224"/>
      <c r="H1884" s="224"/>
      <c r="I1884" s="224"/>
      <c r="J1884" s="224"/>
      <c r="Z1884" s="362"/>
      <c r="AA1884" s="362"/>
      <c r="AB1884" s="362"/>
      <c r="AC1884" s="362"/>
      <c r="AD1884" s="362"/>
      <c r="AE1884" s="362"/>
      <c r="AF1884" s="362"/>
      <c r="AG1884" s="362"/>
      <c r="AH1884" s="362"/>
      <c r="AI1884" s="360"/>
      <c r="AJ1884" s="360"/>
      <c r="AK1884" s="362"/>
      <c r="AL1884" s="362"/>
      <c r="AM1884" s="362"/>
      <c r="AN1884" s="362"/>
      <c r="AO1884" s="362"/>
      <c r="AP1884" s="362"/>
      <c r="AQ1884" s="362"/>
      <c r="AR1884" s="362"/>
    </row>
    <row r="1885" spans="1:44" ht="12" customHeight="1" x14ac:dyDescent="0.15">
      <c r="A1885" s="447"/>
      <c r="B1885" s="393"/>
      <c r="C1885" s="428"/>
      <c r="D1885" s="428"/>
      <c r="E1885" s="224"/>
      <c r="F1885" s="224"/>
      <c r="G1885" s="224"/>
      <c r="H1885" s="224"/>
      <c r="I1885" s="224"/>
      <c r="J1885" s="224"/>
      <c r="Z1885" s="362"/>
      <c r="AA1885" s="362"/>
      <c r="AB1885" s="362"/>
      <c r="AC1885" s="362"/>
      <c r="AD1885" s="362"/>
      <c r="AE1885" s="362"/>
      <c r="AF1885" s="362"/>
      <c r="AG1885" s="362"/>
      <c r="AH1885" s="362"/>
      <c r="AI1885" s="360"/>
      <c r="AJ1885" s="360"/>
      <c r="AK1885" s="362"/>
      <c r="AL1885" s="362"/>
      <c r="AM1885" s="362"/>
      <c r="AN1885" s="362"/>
      <c r="AO1885" s="362"/>
      <c r="AP1885" s="362"/>
      <c r="AQ1885" s="362"/>
      <c r="AR1885" s="362"/>
    </row>
    <row r="1886" spans="1:44" ht="12" customHeight="1" x14ac:dyDescent="0.15">
      <c r="A1886" s="447"/>
      <c r="B1886" s="393"/>
      <c r="C1886" s="428"/>
      <c r="D1886" s="428"/>
      <c r="E1886" s="224"/>
      <c r="F1886" s="224"/>
      <c r="G1886" s="224"/>
      <c r="H1886" s="224"/>
      <c r="I1886" s="224"/>
      <c r="J1886" s="224"/>
      <c r="Z1886" s="362"/>
      <c r="AA1886" s="362"/>
      <c r="AB1886" s="362"/>
      <c r="AC1886" s="362"/>
      <c r="AD1886" s="362"/>
      <c r="AE1886" s="362"/>
      <c r="AF1886" s="362"/>
      <c r="AG1886" s="362"/>
      <c r="AH1886" s="362"/>
      <c r="AI1886" s="360"/>
      <c r="AJ1886" s="360"/>
      <c r="AK1886" s="362"/>
      <c r="AL1886" s="362"/>
      <c r="AM1886" s="362"/>
      <c r="AN1886" s="362"/>
      <c r="AO1886" s="362"/>
      <c r="AP1886" s="362"/>
      <c r="AQ1886" s="362"/>
      <c r="AR1886" s="362"/>
    </row>
    <row r="1887" spans="1:44" ht="12" customHeight="1" x14ac:dyDescent="0.15">
      <c r="A1887" s="447"/>
      <c r="B1887" s="393"/>
      <c r="C1887" s="428"/>
      <c r="D1887" s="428"/>
      <c r="E1887" s="224"/>
      <c r="F1887" s="224"/>
      <c r="G1887" s="224"/>
      <c r="H1887" s="224"/>
      <c r="I1887" s="224"/>
      <c r="J1887" s="224"/>
      <c r="Z1887" s="362"/>
      <c r="AA1887" s="362"/>
      <c r="AB1887" s="362"/>
      <c r="AC1887" s="362"/>
      <c r="AD1887" s="362"/>
      <c r="AE1887" s="362"/>
      <c r="AF1887" s="362"/>
      <c r="AG1887" s="362"/>
      <c r="AH1887" s="362"/>
      <c r="AI1887" s="360"/>
      <c r="AJ1887" s="360"/>
      <c r="AK1887" s="362"/>
      <c r="AL1887" s="362"/>
      <c r="AM1887" s="362"/>
      <c r="AN1887" s="362"/>
      <c r="AO1887" s="362"/>
      <c r="AP1887" s="362"/>
      <c r="AQ1887" s="362"/>
      <c r="AR1887" s="362"/>
    </row>
    <row r="1888" spans="1:44" ht="12" customHeight="1" x14ac:dyDescent="0.15">
      <c r="A1888" s="447"/>
      <c r="B1888" s="393"/>
      <c r="C1888" s="428"/>
      <c r="D1888" s="428"/>
      <c r="E1888" s="224"/>
      <c r="F1888" s="224"/>
      <c r="G1888" s="224"/>
      <c r="H1888" s="224"/>
      <c r="I1888" s="224"/>
      <c r="J1888" s="224"/>
      <c r="Z1888" s="362"/>
      <c r="AA1888" s="362"/>
      <c r="AB1888" s="362"/>
      <c r="AC1888" s="362"/>
      <c r="AD1888" s="362"/>
      <c r="AE1888" s="362"/>
      <c r="AF1888" s="362"/>
      <c r="AG1888" s="362"/>
      <c r="AH1888" s="362"/>
      <c r="AI1888" s="360"/>
      <c r="AJ1888" s="360"/>
      <c r="AK1888" s="362"/>
      <c r="AL1888" s="362"/>
      <c r="AM1888" s="362"/>
      <c r="AN1888" s="362"/>
      <c r="AO1888" s="362"/>
      <c r="AP1888" s="362"/>
      <c r="AQ1888" s="362"/>
      <c r="AR1888" s="362"/>
    </row>
    <row r="1889" spans="1:44" ht="12" customHeight="1" x14ac:dyDescent="0.15">
      <c r="A1889" s="447"/>
      <c r="B1889" s="393"/>
      <c r="C1889" s="428"/>
      <c r="D1889" s="428"/>
      <c r="E1889" s="224"/>
      <c r="F1889" s="224"/>
      <c r="G1889" s="224"/>
      <c r="H1889" s="224"/>
      <c r="I1889" s="224"/>
      <c r="J1889" s="224"/>
      <c r="Z1889" s="362"/>
      <c r="AA1889" s="362"/>
      <c r="AB1889" s="362"/>
      <c r="AC1889" s="362"/>
      <c r="AD1889" s="362"/>
      <c r="AE1889" s="362"/>
      <c r="AF1889" s="362"/>
      <c r="AG1889" s="362"/>
      <c r="AH1889" s="362"/>
      <c r="AI1889" s="360"/>
      <c r="AJ1889" s="360"/>
      <c r="AK1889" s="362"/>
      <c r="AL1889" s="362"/>
      <c r="AM1889" s="362"/>
      <c r="AN1889" s="362"/>
      <c r="AO1889" s="362"/>
      <c r="AP1889" s="362"/>
      <c r="AQ1889" s="362"/>
      <c r="AR1889" s="362"/>
    </row>
    <row r="1890" spans="1:44" ht="12" customHeight="1" x14ac:dyDescent="0.15">
      <c r="A1890" s="447"/>
      <c r="B1890" s="393"/>
      <c r="C1890" s="428"/>
      <c r="D1890" s="428"/>
      <c r="E1890" s="224"/>
      <c r="F1890" s="224"/>
      <c r="G1890" s="224"/>
      <c r="H1890" s="224"/>
      <c r="I1890" s="224"/>
      <c r="J1890" s="224"/>
      <c r="Z1890" s="362"/>
      <c r="AA1890" s="362"/>
      <c r="AB1890" s="362"/>
      <c r="AC1890" s="362"/>
      <c r="AD1890" s="362"/>
      <c r="AE1890" s="362"/>
      <c r="AF1890" s="362"/>
      <c r="AG1890" s="362"/>
      <c r="AH1890" s="362"/>
      <c r="AI1890" s="360"/>
      <c r="AJ1890" s="360"/>
      <c r="AK1890" s="362"/>
      <c r="AL1890" s="362"/>
      <c r="AM1890" s="362"/>
      <c r="AN1890" s="362"/>
      <c r="AO1890" s="362"/>
      <c r="AP1890" s="362"/>
      <c r="AQ1890" s="362"/>
      <c r="AR1890" s="362"/>
    </row>
    <row r="1891" spans="1:44" ht="12" customHeight="1" x14ac:dyDescent="0.15">
      <c r="A1891" s="447"/>
      <c r="B1891" s="393"/>
      <c r="C1891" s="428"/>
      <c r="D1891" s="428"/>
      <c r="E1891" s="224"/>
      <c r="F1891" s="224"/>
      <c r="G1891" s="224"/>
      <c r="H1891" s="224"/>
      <c r="I1891" s="224"/>
      <c r="J1891" s="224"/>
      <c r="Z1891" s="362"/>
      <c r="AA1891" s="362"/>
      <c r="AB1891" s="362"/>
      <c r="AC1891" s="362"/>
      <c r="AD1891" s="362"/>
      <c r="AE1891" s="362"/>
      <c r="AF1891" s="362"/>
      <c r="AG1891" s="362"/>
      <c r="AH1891" s="362"/>
      <c r="AI1891" s="360"/>
      <c r="AJ1891" s="360"/>
      <c r="AK1891" s="362"/>
      <c r="AL1891" s="362"/>
      <c r="AM1891" s="362"/>
      <c r="AN1891" s="362"/>
      <c r="AO1891" s="362"/>
      <c r="AP1891" s="362"/>
      <c r="AQ1891" s="362"/>
      <c r="AR1891" s="362"/>
    </row>
    <row r="1892" spans="1:44" ht="12" customHeight="1" x14ac:dyDescent="0.15">
      <c r="A1892" s="447"/>
      <c r="B1892" s="393"/>
      <c r="C1892" s="428"/>
      <c r="D1892" s="428"/>
      <c r="E1892" s="224"/>
      <c r="F1892" s="224"/>
      <c r="G1892" s="224"/>
      <c r="H1892" s="224"/>
      <c r="I1892" s="224"/>
      <c r="J1892" s="224"/>
      <c r="Z1892" s="362"/>
      <c r="AA1892" s="362"/>
      <c r="AB1892" s="362"/>
      <c r="AC1892" s="362"/>
      <c r="AD1892" s="362"/>
      <c r="AE1892" s="362"/>
      <c r="AF1892" s="362"/>
      <c r="AG1892" s="362"/>
      <c r="AH1892" s="362"/>
      <c r="AI1892" s="360"/>
      <c r="AJ1892" s="360"/>
      <c r="AK1892" s="362"/>
      <c r="AL1892" s="362"/>
      <c r="AM1892" s="362"/>
      <c r="AN1892" s="362"/>
      <c r="AO1892" s="362"/>
      <c r="AP1892" s="362"/>
      <c r="AQ1892" s="362"/>
      <c r="AR1892" s="362"/>
    </row>
    <row r="1893" spans="1:44" ht="12" customHeight="1" x14ac:dyDescent="0.15">
      <c r="A1893" s="447"/>
      <c r="B1893" s="393"/>
      <c r="C1893" s="428"/>
      <c r="D1893" s="428"/>
      <c r="E1893" s="224"/>
      <c r="F1893" s="224"/>
      <c r="G1893" s="224"/>
      <c r="H1893" s="224"/>
      <c r="I1893" s="224"/>
      <c r="J1893" s="224"/>
      <c r="Z1893" s="362"/>
      <c r="AA1893" s="362"/>
      <c r="AB1893" s="362"/>
      <c r="AC1893" s="362"/>
      <c r="AD1893" s="362"/>
      <c r="AE1893" s="362"/>
      <c r="AF1893" s="362"/>
      <c r="AG1893" s="362"/>
      <c r="AH1893" s="362"/>
      <c r="AI1893" s="360"/>
      <c r="AJ1893" s="360"/>
      <c r="AK1893" s="362"/>
      <c r="AL1893" s="362"/>
      <c r="AM1893" s="362"/>
      <c r="AN1893" s="362"/>
      <c r="AO1893" s="362"/>
      <c r="AP1893" s="362"/>
      <c r="AQ1893" s="362"/>
      <c r="AR1893" s="362"/>
    </row>
    <row r="1894" spans="1:44" ht="12" customHeight="1" x14ac:dyDescent="0.15">
      <c r="A1894" s="447"/>
      <c r="B1894" s="393"/>
      <c r="C1894" s="428"/>
      <c r="D1894" s="428"/>
      <c r="E1894" s="224"/>
      <c r="F1894" s="224"/>
      <c r="G1894" s="224"/>
      <c r="H1894" s="224"/>
      <c r="I1894" s="224"/>
      <c r="J1894" s="224"/>
      <c r="Z1894" s="362"/>
      <c r="AA1894" s="362"/>
      <c r="AB1894" s="362"/>
      <c r="AC1894" s="362"/>
      <c r="AD1894" s="362"/>
      <c r="AE1894" s="362"/>
      <c r="AF1894" s="362"/>
      <c r="AG1894" s="362"/>
      <c r="AH1894" s="362"/>
      <c r="AI1894" s="360"/>
      <c r="AJ1894" s="360"/>
      <c r="AK1894" s="362"/>
      <c r="AL1894" s="362"/>
      <c r="AM1894" s="362"/>
      <c r="AN1894" s="362"/>
      <c r="AO1894" s="362"/>
      <c r="AP1894" s="362"/>
      <c r="AQ1894" s="362"/>
      <c r="AR1894" s="362"/>
    </row>
    <row r="1895" spans="1:44" ht="12" customHeight="1" x14ac:dyDescent="0.15">
      <c r="A1895" s="447"/>
      <c r="B1895" s="393"/>
      <c r="C1895" s="428"/>
      <c r="D1895" s="428"/>
      <c r="E1895" s="224"/>
      <c r="F1895" s="224"/>
      <c r="G1895" s="224"/>
      <c r="H1895" s="224"/>
      <c r="I1895" s="224"/>
      <c r="J1895" s="224"/>
      <c r="Z1895" s="362"/>
      <c r="AA1895" s="362"/>
      <c r="AB1895" s="362"/>
      <c r="AC1895" s="362"/>
      <c r="AD1895" s="362"/>
      <c r="AE1895" s="362"/>
      <c r="AF1895" s="362"/>
      <c r="AG1895" s="362"/>
      <c r="AH1895" s="362"/>
      <c r="AI1895" s="360"/>
      <c r="AJ1895" s="360"/>
      <c r="AK1895" s="362"/>
      <c r="AL1895" s="362"/>
      <c r="AM1895" s="362"/>
      <c r="AN1895" s="362"/>
      <c r="AO1895" s="362"/>
      <c r="AP1895" s="362"/>
      <c r="AQ1895" s="362"/>
      <c r="AR1895" s="362"/>
    </row>
    <row r="1896" spans="1:44" ht="12" customHeight="1" x14ac:dyDescent="0.15">
      <c r="A1896" s="447"/>
      <c r="B1896" s="393"/>
      <c r="C1896" s="428"/>
      <c r="D1896" s="428"/>
      <c r="E1896" s="224"/>
      <c r="F1896" s="224"/>
      <c r="G1896" s="224"/>
      <c r="H1896" s="224"/>
      <c r="I1896" s="224"/>
      <c r="J1896" s="224"/>
      <c r="Z1896" s="362"/>
      <c r="AA1896" s="362"/>
      <c r="AB1896" s="362"/>
      <c r="AC1896" s="362"/>
      <c r="AD1896" s="362"/>
      <c r="AE1896" s="362"/>
      <c r="AF1896" s="362"/>
      <c r="AG1896" s="362"/>
      <c r="AH1896" s="362"/>
      <c r="AI1896" s="360"/>
      <c r="AJ1896" s="360"/>
      <c r="AK1896" s="362"/>
      <c r="AL1896" s="362"/>
      <c r="AM1896" s="362"/>
      <c r="AN1896" s="362"/>
      <c r="AO1896" s="362"/>
      <c r="AP1896" s="362"/>
      <c r="AQ1896" s="362"/>
      <c r="AR1896" s="362"/>
    </row>
    <row r="1897" spans="1:44" ht="12" customHeight="1" x14ac:dyDescent="0.15">
      <c r="A1897" s="447"/>
      <c r="B1897" s="393"/>
      <c r="C1897" s="428"/>
      <c r="D1897" s="428"/>
      <c r="E1897" s="224"/>
      <c r="F1897" s="224"/>
      <c r="G1897" s="224"/>
      <c r="H1897" s="224"/>
      <c r="I1897" s="224"/>
      <c r="J1897" s="224"/>
      <c r="Z1897" s="362"/>
      <c r="AA1897" s="362"/>
      <c r="AB1897" s="362"/>
      <c r="AC1897" s="362"/>
      <c r="AD1897" s="362"/>
      <c r="AE1897" s="362"/>
      <c r="AF1897" s="362"/>
      <c r="AG1897" s="362"/>
      <c r="AH1897" s="362"/>
      <c r="AI1897" s="360"/>
      <c r="AJ1897" s="360"/>
      <c r="AK1897" s="362"/>
      <c r="AL1897" s="362"/>
      <c r="AM1897" s="362"/>
      <c r="AN1897" s="362"/>
      <c r="AO1897" s="362"/>
      <c r="AP1897" s="362"/>
      <c r="AQ1897" s="362"/>
      <c r="AR1897" s="362"/>
    </row>
    <row r="1898" spans="1:44" ht="12" customHeight="1" x14ac:dyDescent="0.15">
      <c r="A1898" s="447"/>
      <c r="B1898" s="393"/>
      <c r="C1898" s="428"/>
      <c r="D1898" s="428"/>
      <c r="E1898" s="224"/>
      <c r="F1898" s="224"/>
      <c r="G1898" s="224"/>
      <c r="H1898" s="224"/>
      <c r="I1898" s="224"/>
      <c r="J1898" s="224"/>
      <c r="Z1898" s="362"/>
      <c r="AA1898" s="362"/>
      <c r="AB1898" s="362"/>
      <c r="AC1898" s="362"/>
      <c r="AD1898" s="362"/>
      <c r="AE1898" s="362"/>
      <c r="AF1898" s="362"/>
      <c r="AG1898" s="362"/>
      <c r="AH1898" s="362"/>
      <c r="AI1898" s="360"/>
      <c r="AJ1898" s="360"/>
      <c r="AK1898" s="362"/>
      <c r="AL1898" s="362"/>
      <c r="AM1898" s="362"/>
      <c r="AN1898" s="362"/>
      <c r="AO1898" s="362"/>
      <c r="AP1898" s="362"/>
      <c r="AQ1898" s="362"/>
      <c r="AR1898" s="362"/>
    </row>
    <row r="1899" spans="1:44" ht="12" customHeight="1" x14ac:dyDescent="0.15">
      <c r="A1899" s="447"/>
      <c r="B1899" s="393"/>
      <c r="C1899" s="428"/>
      <c r="D1899" s="428"/>
      <c r="E1899" s="224"/>
      <c r="F1899" s="224"/>
      <c r="G1899" s="224"/>
      <c r="H1899" s="224"/>
      <c r="I1899" s="224"/>
      <c r="J1899" s="224"/>
      <c r="Z1899" s="362"/>
      <c r="AA1899" s="362"/>
      <c r="AB1899" s="362"/>
      <c r="AC1899" s="362"/>
      <c r="AD1899" s="362"/>
      <c r="AE1899" s="362"/>
      <c r="AF1899" s="362"/>
      <c r="AG1899" s="362"/>
      <c r="AH1899" s="362"/>
      <c r="AI1899" s="360"/>
      <c r="AJ1899" s="360"/>
      <c r="AK1899" s="362"/>
      <c r="AL1899" s="362"/>
      <c r="AM1899" s="362"/>
      <c r="AN1899" s="362"/>
      <c r="AO1899" s="362"/>
      <c r="AP1899" s="362"/>
      <c r="AQ1899" s="362"/>
      <c r="AR1899" s="362"/>
    </row>
    <row r="1900" spans="1:44" ht="12" customHeight="1" x14ac:dyDescent="0.15">
      <c r="A1900" s="447"/>
      <c r="B1900" s="393"/>
      <c r="C1900" s="428"/>
      <c r="D1900" s="428"/>
      <c r="E1900" s="224"/>
      <c r="F1900" s="224"/>
      <c r="G1900" s="224"/>
      <c r="H1900" s="224"/>
      <c r="I1900" s="224"/>
      <c r="J1900" s="224"/>
      <c r="Z1900" s="362"/>
      <c r="AA1900" s="362"/>
      <c r="AB1900" s="362"/>
      <c r="AC1900" s="362"/>
      <c r="AD1900" s="362"/>
      <c r="AE1900" s="362"/>
      <c r="AF1900" s="362"/>
      <c r="AG1900" s="362"/>
      <c r="AH1900" s="362"/>
      <c r="AI1900" s="360"/>
      <c r="AJ1900" s="360"/>
      <c r="AK1900" s="362"/>
      <c r="AL1900" s="362"/>
      <c r="AM1900" s="362"/>
      <c r="AN1900" s="362"/>
      <c r="AO1900" s="362"/>
      <c r="AP1900" s="362"/>
      <c r="AQ1900" s="362"/>
      <c r="AR1900" s="362"/>
    </row>
    <row r="1901" spans="1:44" ht="12" customHeight="1" x14ac:dyDescent="0.15">
      <c r="A1901" s="447"/>
      <c r="B1901" s="393"/>
      <c r="C1901" s="428"/>
      <c r="D1901" s="428"/>
      <c r="E1901" s="224"/>
      <c r="F1901" s="224"/>
      <c r="G1901" s="224"/>
      <c r="H1901" s="224"/>
      <c r="I1901" s="224"/>
      <c r="J1901" s="224"/>
      <c r="Z1901" s="362"/>
      <c r="AA1901" s="362"/>
      <c r="AB1901" s="362"/>
      <c r="AC1901" s="362"/>
      <c r="AD1901" s="362"/>
      <c r="AE1901" s="362"/>
      <c r="AF1901" s="362"/>
      <c r="AG1901" s="362"/>
      <c r="AH1901" s="362"/>
      <c r="AI1901" s="360"/>
      <c r="AJ1901" s="360"/>
      <c r="AK1901" s="362"/>
      <c r="AL1901" s="362"/>
      <c r="AM1901" s="362"/>
      <c r="AN1901" s="362"/>
      <c r="AO1901" s="362"/>
      <c r="AP1901" s="362"/>
      <c r="AQ1901" s="362"/>
      <c r="AR1901" s="362"/>
    </row>
    <row r="1902" spans="1:44" ht="12" customHeight="1" x14ac:dyDescent="0.15">
      <c r="A1902" s="447"/>
      <c r="B1902" s="393"/>
      <c r="C1902" s="428"/>
      <c r="D1902" s="428"/>
      <c r="E1902" s="224"/>
      <c r="F1902" s="224"/>
      <c r="G1902" s="224"/>
      <c r="H1902" s="224"/>
      <c r="I1902" s="224"/>
      <c r="J1902" s="224"/>
      <c r="Z1902" s="362"/>
      <c r="AA1902" s="362"/>
      <c r="AB1902" s="362"/>
      <c r="AC1902" s="362"/>
      <c r="AD1902" s="362"/>
      <c r="AE1902" s="362"/>
      <c r="AF1902" s="362"/>
      <c r="AG1902" s="362"/>
      <c r="AH1902" s="362"/>
      <c r="AI1902" s="360"/>
      <c r="AJ1902" s="360"/>
      <c r="AK1902" s="362"/>
      <c r="AL1902" s="362"/>
      <c r="AM1902" s="362"/>
      <c r="AN1902" s="362"/>
      <c r="AO1902" s="362"/>
      <c r="AP1902" s="362"/>
      <c r="AQ1902" s="362"/>
      <c r="AR1902" s="362"/>
    </row>
    <row r="1903" spans="1:44" ht="12" customHeight="1" x14ac:dyDescent="0.15">
      <c r="A1903" s="447"/>
      <c r="B1903" s="393"/>
      <c r="C1903" s="428"/>
      <c r="D1903" s="428"/>
      <c r="E1903" s="224"/>
      <c r="F1903" s="224"/>
      <c r="G1903" s="224"/>
      <c r="H1903" s="224"/>
      <c r="I1903" s="224"/>
      <c r="J1903" s="224"/>
      <c r="Z1903" s="362"/>
      <c r="AA1903" s="362"/>
      <c r="AB1903" s="362"/>
      <c r="AC1903" s="362"/>
      <c r="AD1903" s="362"/>
      <c r="AE1903" s="362"/>
      <c r="AF1903" s="362"/>
      <c r="AG1903" s="362"/>
      <c r="AH1903" s="362"/>
      <c r="AI1903" s="360"/>
      <c r="AJ1903" s="360"/>
      <c r="AK1903" s="362"/>
      <c r="AL1903" s="362"/>
      <c r="AM1903" s="362"/>
      <c r="AN1903" s="362"/>
      <c r="AO1903" s="362"/>
      <c r="AP1903" s="362"/>
      <c r="AQ1903" s="362"/>
      <c r="AR1903" s="362"/>
    </row>
    <row r="1904" spans="1:44" ht="12" customHeight="1" x14ac:dyDescent="0.15">
      <c r="A1904" s="447"/>
      <c r="B1904" s="393"/>
      <c r="C1904" s="428"/>
      <c r="D1904" s="428"/>
      <c r="E1904" s="224"/>
      <c r="F1904" s="224"/>
      <c r="G1904" s="224"/>
      <c r="H1904" s="224"/>
      <c r="I1904" s="224"/>
      <c r="J1904" s="224"/>
      <c r="Z1904" s="362"/>
      <c r="AA1904" s="362"/>
      <c r="AB1904" s="362"/>
      <c r="AC1904" s="362"/>
      <c r="AD1904" s="362"/>
      <c r="AE1904" s="362"/>
      <c r="AF1904" s="362"/>
      <c r="AG1904" s="362"/>
      <c r="AH1904" s="362"/>
      <c r="AI1904" s="360"/>
      <c r="AJ1904" s="360"/>
      <c r="AK1904" s="362"/>
      <c r="AL1904" s="362"/>
      <c r="AM1904" s="362"/>
      <c r="AN1904" s="362"/>
      <c r="AO1904" s="362"/>
      <c r="AP1904" s="362"/>
      <c r="AQ1904" s="362"/>
      <c r="AR1904" s="362"/>
    </row>
    <row r="1905" spans="1:44" ht="12" customHeight="1" x14ac:dyDescent="0.15">
      <c r="A1905" s="447"/>
      <c r="B1905" s="393"/>
      <c r="C1905" s="428"/>
      <c r="D1905" s="428"/>
      <c r="E1905" s="224"/>
      <c r="F1905" s="224"/>
      <c r="G1905" s="224"/>
      <c r="H1905" s="224"/>
      <c r="I1905" s="224"/>
      <c r="J1905" s="224"/>
      <c r="Z1905" s="362"/>
      <c r="AA1905" s="362"/>
      <c r="AB1905" s="362"/>
      <c r="AC1905" s="362"/>
      <c r="AD1905" s="362"/>
      <c r="AE1905" s="362"/>
      <c r="AF1905" s="362"/>
      <c r="AG1905" s="362"/>
      <c r="AH1905" s="362"/>
      <c r="AI1905" s="360"/>
      <c r="AJ1905" s="360"/>
      <c r="AK1905" s="362"/>
      <c r="AL1905" s="362"/>
      <c r="AM1905" s="362"/>
      <c r="AN1905" s="362"/>
      <c r="AO1905" s="362"/>
      <c r="AP1905" s="362"/>
      <c r="AQ1905" s="362"/>
      <c r="AR1905" s="362"/>
    </row>
    <row r="1906" spans="1:44" ht="12" customHeight="1" x14ac:dyDescent="0.15">
      <c r="A1906" s="447"/>
      <c r="B1906" s="393"/>
      <c r="C1906" s="428"/>
      <c r="D1906" s="428"/>
      <c r="E1906" s="224"/>
      <c r="F1906" s="224"/>
      <c r="G1906" s="224"/>
      <c r="H1906" s="224"/>
      <c r="I1906" s="224"/>
      <c r="J1906" s="224"/>
      <c r="Z1906" s="362"/>
      <c r="AA1906" s="362"/>
      <c r="AB1906" s="362"/>
      <c r="AC1906" s="362"/>
      <c r="AD1906" s="362"/>
      <c r="AE1906" s="362"/>
      <c r="AF1906" s="362"/>
      <c r="AG1906" s="362"/>
      <c r="AH1906" s="362"/>
      <c r="AI1906" s="360"/>
      <c r="AJ1906" s="360"/>
      <c r="AK1906" s="362"/>
      <c r="AL1906" s="362"/>
      <c r="AM1906" s="362"/>
      <c r="AN1906" s="362"/>
      <c r="AO1906" s="362"/>
      <c r="AP1906" s="362"/>
      <c r="AQ1906" s="362"/>
      <c r="AR1906" s="362"/>
    </row>
    <row r="1907" spans="1:44" ht="12" customHeight="1" x14ac:dyDescent="0.15">
      <c r="A1907" s="447"/>
      <c r="B1907" s="393"/>
      <c r="C1907" s="428"/>
      <c r="D1907" s="428"/>
      <c r="E1907" s="224"/>
      <c r="F1907" s="224"/>
      <c r="G1907" s="224"/>
      <c r="H1907" s="224"/>
      <c r="I1907" s="224"/>
      <c r="J1907" s="224"/>
      <c r="Z1907" s="362"/>
      <c r="AA1907" s="362"/>
      <c r="AB1907" s="362"/>
      <c r="AC1907" s="362"/>
      <c r="AD1907" s="362"/>
      <c r="AE1907" s="362"/>
      <c r="AF1907" s="362"/>
      <c r="AG1907" s="362"/>
      <c r="AH1907" s="362"/>
      <c r="AI1907" s="360"/>
      <c r="AJ1907" s="360"/>
      <c r="AK1907" s="362"/>
      <c r="AL1907" s="362"/>
      <c r="AM1907" s="362"/>
      <c r="AN1907" s="362"/>
      <c r="AO1907" s="362"/>
      <c r="AP1907" s="362"/>
      <c r="AQ1907" s="362"/>
      <c r="AR1907" s="362"/>
    </row>
    <row r="1908" spans="1:44" ht="12" customHeight="1" x14ac:dyDescent="0.15">
      <c r="A1908" s="447"/>
      <c r="B1908" s="393"/>
      <c r="C1908" s="428"/>
      <c r="D1908" s="428"/>
      <c r="E1908" s="224"/>
      <c r="F1908" s="224"/>
      <c r="G1908" s="224"/>
      <c r="H1908" s="224"/>
      <c r="I1908" s="224"/>
      <c r="J1908" s="224"/>
      <c r="Z1908" s="362"/>
      <c r="AA1908" s="362"/>
      <c r="AB1908" s="362"/>
      <c r="AC1908" s="362"/>
      <c r="AD1908" s="362"/>
      <c r="AE1908" s="362"/>
      <c r="AF1908" s="362"/>
      <c r="AG1908" s="362"/>
      <c r="AH1908" s="362"/>
      <c r="AI1908" s="360"/>
      <c r="AJ1908" s="360"/>
      <c r="AK1908" s="362"/>
      <c r="AL1908" s="362"/>
      <c r="AM1908" s="362"/>
      <c r="AN1908" s="362"/>
      <c r="AO1908" s="362"/>
      <c r="AP1908" s="362"/>
      <c r="AQ1908" s="362"/>
      <c r="AR1908" s="362"/>
    </row>
    <row r="1909" spans="1:44" ht="12" customHeight="1" x14ac:dyDescent="0.15">
      <c r="A1909" s="447"/>
      <c r="B1909" s="393"/>
      <c r="C1909" s="428"/>
      <c r="D1909" s="428"/>
      <c r="E1909" s="224"/>
      <c r="F1909" s="224"/>
      <c r="G1909" s="224"/>
      <c r="H1909" s="224"/>
      <c r="I1909" s="224"/>
      <c r="J1909" s="224"/>
      <c r="Z1909" s="362"/>
      <c r="AA1909" s="362"/>
      <c r="AB1909" s="362"/>
      <c r="AC1909" s="362"/>
      <c r="AD1909" s="362"/>
      <c r="AE1909" s="362"/>
      <c r="AF1909" s="362"/>
      <c r="AG1909" s="362"/>
      <c r="AH1909" s="362"/>
      <c r="AI1909" s="360"/>
      <c r="AJ1909" s="360"/>
      <c r="AK1909" s="362"/>
      <c r="AL1909" s="362"/>
      <c r="AM1909" s="362"/>
      <c r="AN1909" s="362"/>
      <c r="AO1909" s="362"/>
      <c r="AP1909" s="362"/>
      <c r="AQ1909" s="362"/>
      <c r="AR1909" s="362"/>
    </row>
    <row r="1910" spans="1:44" ht="12" customHeight="1" x14ac:dyDescent="0.15">
      <c r="A1910" s="447"/>
      <c r="B1910" s="393"/>
      <c r="C1910" s="428"/>
      <c r="D1910" s="428"/>
      <c r="E1910" s="224"/>
      <c r="F1910" s="224"/>
      <c r="G1910" s="224"/>
      <c r="H1910" s="224"/>
      <c r="I1910" s="224"/>
      <c r="J1910" s="224"/>
      <c r="Z1910" s="362"/>
      <c r="AA1910" s="362"/>
      <c r="AB1910" s="362"/>
      <c r="AC1910" s="362"/>
      <c r="AD1910" s="362"/>
      <c r="AE1910" s="362"/>
      <c r="AF1910" s="362"/>
      <c r="AG1910" s="362"/>
      <c r="AH1910" s="362"/>
      <c r="AI1910" s="360"/>
      <c r="AJ1910" s="360"/>
      <c r="AK1910" s="362"/>
      <c r="AL1910" s="362"/>
      <c r="AM1910" s="362"/>
      <c r="AN1910" s="362"/>
      <c r="AO1910" s="362"/>
      <c r="AP1910" s="362"/>
      <c r="AQ1910" s="362"/>
      <c r="AR1910" s="362"/>
    </row>
    <row r="1911" spans="1:44" ht="12" customHeight="1" x14ac:dyDescent="0.15">
      <c r="A1911" s="447"/>
      <c r="B1911" s="393"/>
      <c r="C1911" s="428"/>
      <c r="D1911" s="428"/>
      <c r="E1911" s="224"/>
      <c r="F1911" s="224"/>
      <c r="G1911" s="224"/>
      <c r="H1911" s="224"/>
      <c r="I1911" s="224"/>
      <c r="J1911" s="224"/>
      <c r="Z1911" s="362"/>
      <c r="AA1911" s="362"/>
      <c r="AB1911" s="362"/>
      <c r="AC1911" s="362"/>
      <c r="AD1911" s="362"/>
      <c r="AE1911" s="362"/>
      <c r="AF1911" s="362"/>
      <c r="AG1911" s="362"/>
      <c r="AH1911" s="362"/>
      <c r="AI1911" s="360"/>
      <c r="AJ1911" s="360"/>
      <c r="AK1911" s="362"/>
      <c r="AL1911" s="362"/>
      <c r="AM1911" s="362"/>
      <c r="AN1911" s="362"/>
      <c r="AO1911" s="362"/>
      <c r="AP1911" s="362"/>
      <c r="AQ1911" s="362"/>
      <c r="AR1911" s="362"/>
    </row>
    <row r="1912" spans="1:44" ht="12" customHeight="1" x14ac:dyDescent="0.15">
      <c r="A1912" s="447"/>
      <c r="B1912" s="393"/>
      <c r="C1912" s="428"/>
      <c r="D1912" s="428"/>
      <c r="E1912" s="224"/>
      <c r="F1912" s="224"/>
      <c r="G1912" s="224"/>
      <c r="H1912" s="224"/>
      <c r="I1912" s="224"/>
      <c r="J1912" s="224"/>
      <c r="Z1912" s="362"/>
      <c r="AA1912" s="362"/>
      <c r="AB1912" s="362"/>
      <c r="AC1912" s="362"/>
      <c r="AD1912" s="362"/>
      <c r="AE1912" s="362"/>
      <c r="AF1912" s="362"/>
      <c r="AG1912" s="362"/>
      <c r="AH1912" s="362"/>
      <c r="AI1912" s="360"/>
      <c r="AJ1912" s="360"/>
      <c r="AK1912" s="362"/>
      <c r="AL1912" s="362"/>
      <c r="AM1912" s="362"/>
      <c r="AN1912" s="362"/>
      <c r="AO1912" s="362"/>
      <c r="AP1912" s="362"/>
      <c r="AQ1912" s="362"/>
      <c r="AR1912" s="362"/>
    </row>
    <row r="1913" spans="1:44" ht="12" customHeight="1" x14ac:dyDescent="0.15">
      <c r="A1913" s="447"/>
      <c r="B1913" s="393"/>
      <c r="C1913" s="428"/>
      <c r="D1913" s="428"/>
      <c r="E1913" s="224"/>
      <c r="F1913" s="224"/>
      <c r="G1913" s="224"/>
      <c r="H1913" s="224"/>
      <c r="I1913" s="224"/>
      <c r="J1913" s="224"/>
      <c r="Z1913" s="362"/>
      <c r="AA1913" s="362"/>
      <c r="AB1913" s="362"/>
      <c r="AC1913" s="362"/>
      <c r="AD1913" s="362"/>
      <c r="AE1913" s="362"/>
      <c r="AF1913" s="362"/>
      <c r="AG1913" s="362"/>
      <c r="AH1913" s="362"/>
      <c r="AI1913" s="360"/>
      <c r="AJ1913" s="360"/>
      <c r="AK1913" s="362"/>
      <c r="AL1913" s="362"/>
      <c r="AM1913" s="362"/>
      <c r="AN1913" s="362"/>
      <c r="AO1913" s="362"/>
      <c r="AP1913" s="362"/>
      <c r="AQ1913" s="362"/>
      <c r="AR1913" s="362"/>
    </row>
    <row r="1914" spans="1:44" ht="12" customHeight="1" x14ac:dyDescent="0.15">
      <c r="A1914" s="447"/>
      <c r="B1914" s="393"/>
      <c r="C1914" s="428"/>
      <c r="D1914" s="428"/>
      <c r="E1914" s="224"/>
      <c r="F1914" s="224"/>
      <c r="G1914" s="224"/>
      <c r="H1914" s="224"/>
      <c r="I1914" s="224"/>
      <c r="J1914" s="224"/>
      <c r="Z1914" s="362"/>
      <c r="AA1914" s="362"/>
      <c r="AB1914" s="362"/>
      <c r="AC1914" s="362"/>
      <c r="AD1914" s="362"/>
      <c r="AE1914" s="362"/>
      <c r="AF1914" s="362"/>
      <c r="AG1914" s="362"/>
      <c r="AH1914" s="362"/>
      <c r="AI1914" s="360"/>
      <c r="AJ1914" s="360"/>
      <c r="AK1914" s="362"/>
      <c r="AL1914" s="362"/>
      <c r="AM1914" s="362"/>
      <c r="AN1914" s="362"/>
      <c r="AO1914" s="362"/>
      <c r="AP1914" s="362"/>
      <c r="AQ1914" s="362"/>
      <c r="AR1914" s="362"/>
    </row>
    <row r="1915" spans="1:44" ht="12" customHeight="1" x14ac:dyDescent="0.15">
      <c r="A1915" s="447"/>
      <c r="B1915" s="393"/>
      <c r="C1915" s="428"/>
      <c r="D1915" s="428"/>
      <c r="E1915" s="224"/>
      <c r="F1915" s="224"/>
      <c r="G1915" s="224"/>
      <c r="H1915" s="224"/>
      <c r="I1915" s="224"/>
      <c r="J1915" s="224"/>
      <c r="Z1915" s="362"/>
      <c r="AA1915" s="362"/>
      <c r="AB1915" s="362"/>
      <c r="AC1915" s="362"/>
      <c r="AD1915" s="362"/>
      <c r="AE1915" s="362"/>
      <c r="AF1915" s="362"/>
      <c r="AG1915" s="362"/>
      <c r="AH1915" s="362"/>
      <c r="AI1915" s="360"/>
      <c r="AJ1915" s="360"/>
      <c r="AK1915" s="362"/>
      <c r="AL1915" s="362"/>
      <c r="AM1915" s="362"/>
      <c r="AN1915" s="362"/>
      <c r="AO1915" s="362"/>
      <c r="AP1915" s="362"/>
      <c r="AQ1915" s="362"/>
      <c r="AR1915" s="362"/>
    </row>
    <row r="1916" spans="1:44" ht="12" customHeight="1" x14ac:dyDescent="0.15">
      <c r="A1916" s="447"/>
      <c r="B1916" s="393"/>
      <c r="C1916" s="428"/>
      <c r="D1916" s="428"/>
      <c r="E1916" s="224"/>
      <c r="F1916" s="224"/>
      <c r="G1916" s="224"/>
      <c r="H1916" s="224"/>
      <c r="I1916" s="224"/>
      <c r="J1916" s="224"/>
      <c r="Z1916" s="362"/>
      <c r="AA1916" s="362"/>
      <c r="AB1916" s="362"/>
      <c r="AC1916" s="362"/>
      <c r="AD1916" s="362"/>
      <c r="AE1916" s="362"/>
      <c r="AF1916" s="362"/>
      <c r="AG1916" s="362"/>
      <c r="AH1916" s="362"/>
      <c r="AI1916" s="360"/>
      <c r="AJ1916" s="360"/>
      <c r="AK1916" s="362"/>
      <c r="AL1916" s="362"/>
      <c r="AM1916" s="362"/>
      <c r="AN1916" s="362"/>
      <c r="AO1916" s="362"/>
      <c r="AP1916" s="362"/>
      <c r="AQ1916" s="362"/>
      <c r="AR1916" s="362"/>
    </row>
    <row r="1917" spans="1:44" ht="12" customHeight="1" x14ac:dyDescent="0.15">
      <c r="A1917" s="447"/>
      <c r="B1917" s="393"/>
      <c r="C1917" s="428"/>
      <c r="D1917" s="428"/>
      <c r="E1917" s="224"/>
      <c r="F1917" s="224"/>
      <c r="G1917" s="224"/>
      <c r="H1917" s="224"/>
      <c r="I1917" s="224"/>
      <c r="J1917" s="224"/>
      <c r="Z1917" s="362"/>
      <c r="AA1917" s="362"/>
      <c r="AB1917" s="362"/>
      <c r="AC1917" s="362"/>
      <c r="AD1917" s="362"/>
      <c r="AE1917" s="362"/>
      <c r="AF1917" s="362"/>
      <c r="AG1917" s="362"/>
      <c r="AH1917" s="362"/>
      <c r="AI1917" s="360"/>
      <c r="AJ1917" s="360"/>
      <c r="AK1917" s="362"/>
      <c r="AL1917" s="362"/>
      <c r="AM1917" s="362"/>
      <c r="AN1917" s="362"/>
      <c r="AO1917" s="362"/>
      <c r="AP1917" s="362"/>
      <c r="AQ1917" s="362"/>
      <c r="AR1917" s="362"/>
    </row>
    <row r="1918" spans="1:44" ht="12" customHeight="1" x14ac:dyDescent="0.15">
      <c r="A1918" s="447"/>
      <c r="B1918" s="393"/>
      <c r="C1918" s="428"/>
      <c r="D1918" s="428"/>
      <c r="E1918" s="224"/>
      <c r="F1918" s="224"/>
      <c r="G1918" s="224"/>
      <c r="H1918" s="224"/>
      <c r="I1918" s="224"/>
      <c r="J1918" s="224"/>
      <c r="Z1918" s="362"/>
      <c r="AA1918" s="362"/>
      <c r="AB1918" s="362"/>
      <c r="AC1918" s="362"/>
      <c r="AD1918" s="362"/>
      <c r="AE1918" s="362"/>
      <c r="AF1918" s="362"/>
      <c r="AG1918" s="362"/>
      <c r="AH1918" s="362"/>
      <c r="AI1918" s="360"/>
      <c r="AJ1918" s="360"/>
      <c r="AK1918" s="362"/>
      <c r="AL1918" s="362"/>
      <c r="AM1918" s="362"/>
      <c r="AN1918" s="362"/>
      <c r="AO1918" s="362"/>
      <c r="AP1918" s="362"/>
      <c r="AQ1918" s="362"/>
      <c r="AR1918" s="362"/>
    </row>
    <row r="1919" spans="1:44" ht="12" customHeight="1" x14ac:dyDescent="0.15">
      <c r="A1919" s="447"/>
      <c r="B1919" s="393"/>
      <c r="C1919" s="428"/>
      <c r="D1919" s="428"/>
      <c r="E1919" s="224"/>
      <c r="F1919" s="224"/>
      <c r="G1919" s="224"/>
      <c r="H1919" s="224"/>
      <c r="I1919" s="224"/>
      <c r="J1919" s="224"/>
      <c r="Z1919" s="362"/>
      <c r="AA1919" s="362"/>
      <c r="AB1919" s="362"/>
      <c r="AC1919" s="362"/>
      <c r="AD1919" s="362"/>
      <c r="AE1919" s="362"/>
      <c r="AF1919" s="362"/>
      <c r="AG1919" s="362"/>
      <c r="AH1919" s="362"/>
      <c r="AI1919" s="360"/>
      <c r="AJ1919" s="360"/>
      <c r="AK1919" s="362"/>
      <c r="AL1919" s="362"/>
      <c r="AM1919" s="362"/>
      <c r="AN1919" s="362"/>
      <c r="AO1919" s="362"/>
      <c r="AP1919" s="362"/>
      <c r="AQ1919" s="362"/>
      <c r="AR1919" s="362"/>
    </row>
    <row r="1920" spans="1:44" ht="12" customHeight="1" x14ac:dyDescent="0.15">
      <c r="A1920" s="447"/>
      <c r="B1920" s="393"/>
      <c r="C1920" s="428"/>
      <c r="D1920" s="428"/>
      <c r="E1920" s="224"/>
      <c r="F1920" s="224"/>
      <c r="G1920" s="224"/>
      <c r="H1920" s="224"/>
      <c r="I1920" s="224"/>
      <c r="J1920" s="224"/>
      <c r="Z1920" s="362"/>
      <c r="AA1920" s="362"/>
      <c r="AB1920" s="362"/>
      <c r="AC1920" s="362"/>
      <c r="AD1920" s="362"/>
      <c r="AE1920" s="362"/>
      <c r="AF1920" s="362"/>
      <c r="AG1920" s="362"/>
      <c r="AH1920" s="362"/>
      <c r="AI1920" s="360"/>
      <c r="AJ1920" s="360"/>
      <c r="AK1920" s="362"/>
      <c r="AL1920" s="362"/>
      <c r="AM1920" s="362"/>
      <c r="AN1920" s="362"/>
      <c r="AO1920" s="362"/>
      <c r="AP1920" s="362"/>
      <c r="AQ1920" s="362"/>
      <c r="AR1920" s="362"/>
    </row>
    <row r="1921" spans="1:44" ht="12" customHeight="1" x14ac:dyDescent="0.15">
      <c r="A1921" s="447"/>
      <c r="B1921" s="393"/>
      <c r="C1921" s="428"/>
      <c r="D1921" s="428"/>
      <c r="E1921" s="224"/>
      <c r="F1921" s="224"/>
      <c r="G1921" s="224"/>
      <c r="H1921" s="224"/>
      <c r="I1921" s="224"/>
      <c r="J1921" s="224"/>
      <c r="Z1921" s="362"/>
      <c r="AA1921" s="362"/>
      <c r="AB1921" s="362"/>
      <c r="AC1921" s="362"/>
      <c r="AD1921" s="362"/>
      <c r="AE1921" s="362"/>
      <c r="AF1921" s="362"/>
      <c r="AG1921" s="362"/>
      <c r="AH1921" s="362"/>
      <c r="AI1921" s="360"/>
      <c r="AJ1921" s="360"/>
      <c r="AK1921" s="362"/>
      <c r="AL1921" s="362"/>
      <c r="AM1921" s="362"/>
      <c r="AN1921" s="362"/>
      <c r="AO1921" s="362"/>
      <c r="AP1921" s="362"/>
      <c r="AQ1921" s="362"/>
      <c r="AR1921" s="362"/>
    </row>
    <row r="1922" spans="1:44" ht="12" customHeight="1" x14ac:dyDescent="0.15">
      <c r="A1922" s="447"/>
      <c r="B1922" s="393"/>
      <c r="C1922" s="428"/>
      <c r="D1922" s="428"/>
      <c r="E1922" s="224"/>
      <c r="F1922" s="224"/>
      <c r="G1922" s="224"/>
      <c r="H1922" s="224"/>
      <c r="I1922" s="224"/>
      <c r="J1922" s="224"/>
      <c r="Z1922" s="362"/>
      <c r="AA1922" s="362"/>
      <c r="AB1922" s="362"/>
      <c r="AC1922" s="362"/>
      <c r="AD1922" s="362"/>
      <c r="AE1922" s="362"/>
      <c r="AF1922" s="362"/>
      <c r="AG1922" s="362"/>
      <c r="AH1922" s="362"/>
      <c r="AI1922" s="360"/>
      <c r="AJ1922" s="360"/>
      <c r="AK1922" s="362"/>
      <c r="AL1922" s="362"/>
      <c r="AM1922" s="362"/>
      <c r="AN1922" s="362"/>
      <c r="AO1922" s="362"/>
      <c r="AP1922" s="362"/>
      <c r="AQ1922" s="362"/>
      <c r="AR1922" s="362"/>
    </row>
    <row r="1923" spans="1:44" ht="12" customHeight="1" x14ac:dyDescent="0.15">
      <c r="A1923" s="447"/>
      <c r="B1923" s="393"/>
      <c r="C1923" s="428"/>
      <c r="D1923" s="428"/>
      <c r="E1923" s="224"/>
      <c r="F1923" s="224"/>
      <c r="G1923" s="224"/>
      <c r="H1923" s="224"/>
      <c r="I1923" s="224"/>
      <c r="J1923" s="224"/>
      <c r="Z1923" s="362"/>
      <c r="AA1923" s="362"/>
      <c r="AB1923" s="362"/>
      <c r="AC1923" s="362"/>
      <c r="AD1923" s="362"/>
      <c r="AE1923" s="362"/>
      <c r="AF1923" s="362"/>
      <c r="AG1923" s="362"/>
      <c r="AH1923" s="362"/>
      <c r="AI1923" s="360"/>
      <c r="AJ1923" s="360"/>
      <c r="AK1923" s="362"/>
      <c r="AL1923" s="362"/>
      <c r="AM1923" s="362"/>
      <c r="AN1923" s="362"/>
      <c r="AO1923" s="362"/>
      <c r="AP1923" s="362"/>
      <c r="AQ1923" s="362"/>
      <c r="AR1923" s="362"/>
    </row>
    <row r="1924" spans="1:44" ht="12" customHeight="1" x14ac:dyDescent="0.15">
      <c r="A1924" s="447"/>
      <c r="B1924" s="393"/>
      <c r="C1924" s="428"/>
      <c r="D1924" s="428"/>
      <c r="E1924" s="224"/>
      <c r="F1924" s="224"/>
      <c r="G1924" s="224"/>
      <c r="H1924" s="224"/>
      <c r="I1924" s="224"/>
      <c r="J1924" s="224"/>
      <c r="Z1924" s="362"/>
      <c r="AA1924" s="362"/>
      <c r="AB1924" s="362"/>
      <c r="AC1924" s="362"/>
      <c r="AD1924" s="362"/>
      <c r="AE1924" s="362"/>
      <c r="AF1924" s="362"/>
      <c r="AG1924" s="362"/>
      <c r="AH1924" s="362"/>
      <c r="AI1924" s="360"/>
      <c r="AJ1924" s="360"/>
      <c r="AK1924" s="362"/>
      <c r="AL1924" s="362"/>
      <c r="AM1924" s="362"/>
      <c r="AN1924" s="362"/>
      <c r="AO1924" s="362"/>
      <c r="AP1924" s="362"/>
      <c r="AQ1924" s="362"/>
      <c r="AR1924" s="362"/>
    </row>
    <row r="1925" spans="1:44" ht="12" customHeight="1" x14ac:dyDescent="0.15">
      <c r="A1925" s="447"/>
      <c r="B1925" s="393"/>
      <c r="C1925" s="428"/>
      <c r="D1925" s="428"/>
      <c r="E1925" s="224"/>
      <c r="F1925" s="224"/>
      <c r="G1925" s="224"/>
      <c r="H1925" s="224"/>
      <c r="I1925" s="224"/>
      <c r="J1925" s="224"/>
      <c r="Z1925" s="362"/>
      <c r="AA1925" s="362"/>
      <c r="AB1925" s="362"/>
      <c r="AC1925" s="362"/>
      <c r="AD1925" s="362"/>
      <c r="AE1925" s="362"/>
      <c r="AF1925" s="362"/>
      <c r="AG1925" s="362"/>
      <c r="AH1925" s="362"/>
      <c r="AI1925" s="360"/>
      <c r="AJ1925" s="360"/>
      <c r="AK1925" s="362"/>
      <c r="AL1925" s="362"/>
      <c r="AM1925" s="362"/>
      <c r="AN1925" s="362"/>
      <c r="AO1925" s="362"/>
      <c r="AP1925" s="362"/>
      <c r="AQ1925" s="362"/>
      <c r="AR1925" s="362"/>
    </row>
    <row r="1926" spans="1:44" ht="12" customHeight="1" x14ac:dyDescent="0.15">
      <c r="A1926" s="447"/>
      <c r="B1926" s="393"/>
      <c r="C1926" s="428"/>
      <c r="D1926" s="428"/>
      <c r="E1926" s="224"/>
      <c r="F1926" s="224"/>
      <c r="G1926" s="224"/>
      <c r="H1926" s="224"/>
      <c r="I1926" s="224"/>
      <c r="J1926" s="224"/>
      <c r="Z1926" s="362"/>
      <c r="AA1926" s="362"/>
      <c r="AB1926" s="362"/>
      <c r="AC1926" s="362"/>
      <c r="AD1926" s="362"/>
      <c r="AE1926" s="362"/>
      <c r="AF1926" s="362"/>
      <c r="AG1926" s="362"/>
      <c r="AH1926" s="362"/>
      <c r="AI1926" s="360"/>
      <c r="AJ1926" s="360"/>
      <c r="AK1926" s="362"/>
      <c r="AL1926" s="362"/>
      <c r="AM1926" s="362"/>
      <c r="AN1926" s="362"/>
      <c r="AO1926" s="362"/>
      <c r="AP1926" s="362"/>
      <c r="AQ1926" s="362"/>
      <c r="AR1926" s="362"/>
    </row>
    <row r="1927" spans="1:44" ht="12" customHeight="1" x14ac:dyDescent="0.15">
      <c r="A1927" s="447"/>
      <c r="B1927" s="393"/>
      <c r="C1927" s="428"/>
      <c r="D1927" s="428"/>
      <c r="E1927" s="224"/>
      <c r="F1927" s="224"/>
      <c r="G1927" s="224"/>
      <c r="H1927" s="224"/>
      <c r="I1927" s="224"/>
      <c r="J1927" s="224"/>
      <c r="Z1927" s="362"/>
      <c r="AA1927" s="362"/>
      <c r="AB1927" s="362"/>
      <c r="AC1927" s="362"/>
      <c r="AD1927" s="362"/>
      <c r="AE1927" s="362"/>
      <c r="AF1927" s="362"/>
      <c r="AG1927" s="362"/>
      <c r="AH1927" s="362"/>
      <c r="AI1927" s="360"/>
      <c r="AJ1927" s="360"/>
      <c r="AK1927" s="362"/>
      <c r="AL1927" s="362"/>
      <c r="AM1927" s="362"/>
      <c r="AN1927" s="362"/>
      <c r="AO1927" s="362"/>
      <c r="AP1927" s="362"/>
      <c r="AQ1927" s="362"/>
      <c r="AR1927" s="362"/>
    </row>
    <row r="1928" spans="1:44" ht="12" customHeight="1" x14ac:dyDescent="0.15">
      <c r="A1928" s="447"/>
      <c r="B1928" s="393"/>
      <c r="C1928" s="428"/>
      <c r="D1928" s="428"/>
      <c r="E1928" s="224"/>
      <c r="F1928" s="224"/>
      <c r="G1928" s="224"/>
      <c r="H1928" s="224"/>
      <c r="I1928" s="224"/>
      <c r="J1928" s="224"/>
      <c r="Z1928" s="362"/>
      <c r="AA1928" s="362"/>
      <c r="AB1928" s="362"/>
      <c r="AC1928" s="362"/>
      <c r="AD1928" s="362"/>
      <c r="AE1928" s="362"/>
      <c r="AF1928" s="362"/>
      <c r="AG1928" s="362"/>
      <c r="AH1928" s="362"/>
      <c r="AI1928" s="360"/>
      <c r="AJ1928" s="360"/>
      <c r="AK1928" s="362"/>
      <c r="AL1928" s="362"/>
      <c r="AM1928" s="362"/>
      <c r="AN1928" s="362"/>
      <c r="AO1928" s="362"/>
      <c r="AP1928" s="362"/>
      <c r="AQ1928" s="362"/>
      <c r="AR1928" s="362"/>
    </row>
    <row r="1929" spans="1:44" ht="12" customHeight="1" x14ac:dyDescent="0.15">
      <c r="A1929" s="447"/>
      <c r="B1929" s="393"/>
      <c r="C1929" s="428"/>
      <c r="D1929" s="428"/>
      <c r="E1929" s="224"/>
      <c r="F1929" s="224"/>
      <c r="G1929" s="224"/>
      <c r="H1929" s="224"/>
      <c r="I1929" s="224"/>
      <c r="J1929" s="224"/>
      <c r="Z1929" s="362"/>
      <c r="AA1929" s="362"/>
      <c r="AB1929" s="362"/>
      <c r="AC1929" s="362"/>
      <c r="AD1929" s="362"/>
      <c r="AE1929" s="362"/>
      <c r="AF1929" s="362"/>
      <c r="AG1929" s="362"/>
      <c r="AH1929" s="362"/>
      <c r="AI1929" s="360"/>
      <c r="AJ1929" s="360"/>
      <c r="AK1929" s="362"/>
      <c r="AL1929" s="362"/>
      <c r="AM1929" s="362"/>
      <c r="AN1929" s="362"/>
      <c r="AO1929" s="362"/>
      <c r="AP1929" s="362"/>
      <c r="AQ1929" s="362"/>
      <c r="AR1929" s="362"/>
    </row>
    <row r="1930" spans="1:44" ht="12" customHeight="1" x14ac:dyDescent="0.15">
      <c r="A1930" s="447"/>
      <c r="B1930" s="393"/>
      <c r="C1930" s="428"/>
      <c r="D1930" s="428"/>
      <c r="E1930" s="224"/>
      <c r="F1930" s="224"/>
      <c r="G1930" s="224"/>
      <c r="H1930" s="224"/>
      <c r="I1930" s="224"/>
      <c r="J1930" s="224"/>
      <c r="Z1930" s="362"/>
      <c r="AA1930" s="362"/>
      <c r="AB1930" s="362"/>
      <c r="AC1930" s="362"/>
      <c r="AD1930" s="362"/>
      <c r="AE1930" s="362"/>
      <c r="AF1930" s="362"/>
      <c r="AG1930" s="362"/>
      <c r="AH1930" s="362"/>
      <c r="AI1930" s="360"/>
      <c r="AJ1930" s="360"/>
      <c r="AK1930" s="362"/>
      <c r="AL1930" s="362"/>
      <c r="AM1930" s="362"/>
      <c r="AN1930" s="362"/>
      <c r="AO1930" s="362"/>
      <c r="AP1930" s="362"/>
      <c r="AQ1930" s="362"/>
      <c r="AR1930" s="362"/>
    </row>
    <row r="1931" spans="1:44" ht="12" customHeight="1" x14ac:dyDescent="0.15">
      <c r="A1931" s="447"/>
      <c r="B1931" s="393"/>
      <c r="C1931" s="428"/>
      <c r="D1931" s="428"/>
      <c r="E1931" s="224"/>
      <c r="F1931" s="224"/>
      <c r="G1931" s="224"/>
      <c r="H1931" s="224"/>
      <c r="I1931" s="224"/>
      <c r="J1931" s="224"/>
      <c r="Z1931" s="362"/>
      <c r="AA1931" s="362"/>
      <c r="AB1931" s="362"/>
      <c r="AC1931" s="362"/>
      <c r="AD1931" s="362"/>
      <c r="AE1931" s="362"/>
      <c r="AF1931" s="362"/>
      <c r="AG1931" s="362"/>
      <c r="AH1931" s="362"/>
      <c r="AI1931" s="360"/>
      <c r="AJ1931" s="360"/>
      <c r="AK1931" s="362"/>
      <c r="AL1931" s="362"/>
      <c r="AM1931" s="362"/>
      <c r="AN1931" s="362"/>
      <c r="AO1931" s="362"/>
      <c r="AP1931" s="362"/>
      <c r="AQ1931" s="362"/>
      <c r="AR1931" s="362"/>
    </row>
    <row r="1932" spans="1:44" ht="12" customHeight="1" x14ac:dyDescent="0.15">
      <c r="A1932" s="447"/>
      <c r="B1932" s="393"/>
      <c r="C1932" s="428"/>
      <c r="D1932" s="428"/>
      <c r="E1932" s="224"/>
      <c r="F1932" s="224"/>
      <c r="G1932" s="224"/>
      <c r="H1932" s="224"/>
      <c r="I1932" s="224"/>
      <c r="J1932" s="224"/>
      <c r="Z1932" s="362"/>
      <c r="AA1932" s="362"/>
      <c r="AB1932" s="362"/>
      <c r="AC1932" s="362"/>
      <c r="AD1932" s="362"/>
      <c r="AE1932" s="362"/>
      <c r="AF1932" s="362"/>
      <c r="AG1932" s="362"/>
      <c r="AH1932" s="362"/>
      <c r="AI1932" s="360"/>
      <c r="AJ1932" s="360"/>
      <c r="AK1932" s="362"/>
      <c r="AL1932" s="362"/>
      <c r="AM1932" s="362"/>
      <c r="AN1932" s="362"/>
      <c r="AO1932" s="362"/>
      <c r="AP1932" s="362"/>
      <c r="AQ1932" s="362"/>
      <c r="AR1932" s="362"/>
    </row>
    <row r="1933" spans="1:44" ht="12" customHeight="1" x14ac:dyDescent="0.15">
      <c r="A1933" s="447"/>
      <c r="B1933" s="393"/>
      <c r="C1933" s="428"/>
      <c r="D1933" s="428"/>
      <c r="E1933" s="224"/>
      <c r="F1933" s="224"/>
      <c r="G1933" s="224"/>
      <c r="H1933" s="224"/>
      <c r="I1933" s="224"/>
      <c r="J1933" s="224"/>
      <c r="Z1933" s="362"/>
      <c r="AA1933" s="362"/>
      <c r="AB1933" s="362"/>
      <c r="AC1933" s="362"/>
      <c r="AD1933" s="362"/>
      <c r="AE1933" s="362"/>
      <c r="AF1933" s="362"/>
      <c r="AG1933" s="362"/>
      <c r="AH1933" s="362"/>
      <c r="AI1933" s="360"/>
      <c r="AJ1933" s="360"/>
      <c r="AK1933" s="362"/>
      <c r="AL1933" s="362"/>
      <c r="AM1933" s="362"/>
      <c r="AN1933" s="362"/>
      <c r="AO1933" s="362"/>
      <c r="AP1933" s="362"/>
      <c r="AQ1933" s="362"/>
      <c r="AR1933" s="362"/>
    </row>
    <row r="1934" spans="1:44" ht="12" customHeight="1" x14ac:dyDescent="0.15">
      <c r="A1934" s="447"/>
      <c r="B1934" s="393"/>
      <c r="C1934" s="428"/>
      <c r="D1934" s="428"/>
      <c r="E1934" s="224"/>
      <c r="F1934" s="224"/>
      <c r="G1934" s="224"/>
      <c r="H1934" s="224"/>
      <c r="I1934" s="224"/>
      <c r="J1934" s="224"/>
      <c r="Z1934" s="362"/>
      <c r="AA1934" s="362"/>
      <c r="AB1934" s="362"/>
      <c r="AC1934" s="362"/>
      <c r="AD1934" s="362"/>
      <c r="AE1934" s="362"/>
      <c r="AF1934" s="362"/>
      <c r="AG1934" s="362"/>
      <c r="AH1934" s="362"/>
      <c r="AI1934" s="360"/>
      <c r="AJ1934" s="360"/>
      <c r="AK1934" s="362"/>
      <c r="AL1934" s="362"/>
      <c r="AM1934" s="362"/>
      <c r="AN1934" s="362"/>
      <c r="AO1934" s="362"/>
      <c r="AP1934" s="362"/>
      <c r="AQ1934" s="362"/>
      <c r="AR1934" s="362"/>
    </row>
    <row r="1935" spans="1:44" ht="12" customHeight="1" x14ac:dyDescent="0.15">
      <c r="A1935" s="447"/>
      <c r="B1935" s="393"/>
      <c r="C1935" s="428"/>
      <c r="D1935" s="428"/>
      <c r="E1935" s="224"/>
      <c r="F1935" s="224"/>
      <c r="G1935" s="224"/>
      <c r="H1935" s="224"/>
      <c r="I1935" s="224"/>
      <c r="J1935" s="224"/>
      <c r="Z1935" s="362"/>
      <c r="AA1935" s="362"/>
      <c r="AB1935" s="362"/>
      <c r="AC1935" s="362"/>
      <c r="AD1935" s="362"/>
      <c r="AE1935" s="362"/>
      <c r="AF1935" s="362"/>
      <c r="AG1935" s="362"/>
      <c r="AH1935" s="362"/>
      <c r="AI1935" s="360"/>
      <c r="AJ1935" s="360"/>
      <c r="AK1935" s="362"/>
      <c r="AL1935" s="362"/>
      <c r="AM1935" s="362"/>
      <c r="AN1935" s="362"/>
      <c r="AO1935" s="362"/>
      <c r="AP1935" s="362"/>
      <c r="AQ1935" s="362"/>
      <c r="AR1935" s="362"/>
    </row>
    <row r="1936" spans="1:44" ht="12" customHeight="1" x14ac:dyDescent="0.15">
      <c r="A1936" s="447"/>
      <c r="B1936" s="393"/>
      <c r="C1936" s="428"/>
      <c r="D1936" s="428"/>
      <c r="E1936" s="224"/>
      <c r="F1936" s="224"/>
      <c r="G1936" s="224"/>
      <c r="H1936" s="224"/>
      <c r="I1936" s="224"/>
      <c r="J1936" s="224"/>
      <c r="Z1936" s="362"/>
      <c r="AA1936" s="362"/>
      <c r="AB1936" s="362"/>
      <c r="AC1936" s="362"/>
      <c r="AD1936" s="362"/>
      <c r="AE1936" s="362"/>
      <c r="AF1936" s="362"/>
      <c r="AG1936" s="362"/>
      <c r="AH1936" s="362"/>
      <c r="AI1936" s="360"/>
      <c r="AJ1936" s="360"/>
      <c r="AK1936" s="362"/>
      <c r="AL1936" s="362"/>
      <c r="AM1936" s="362"/>
      <c r="AN1936" s="362"/>
      <c r="AO1936" s="362"/>
      <c r="AP1936" s="362"/>
      <c r="AQ1936" s="362"/>
      <c r="AR1936" s="362"/>
    </row>
    <row r="1937" spans="1:44" ht="12" customHeight="1" x14ac:dyDescent="0.15">
      <c r="A1937" s="447"/>
      <c r="B1937" s="393"/>
      <c r="C1937" s="428"/>
      <c r="D1937" s="428"/>
      <c r="E1937" s="224"/>
      <c r="F1937" s="224"/>
      <c r="G1937" s="224"/>
      <c r="H1937" s="224"/>
      <c r="I1937" s="224"/>
      <c r="J1937" s="224"/>
      <c r="Z1937" s="362"/>
      <c r="AA1937" s="362"/>
      <c r="AB1937" s="362"/>
      <c r="AC1937" s="362"/>
      <c r="AD1937" s="362"/>
      <c r="AE1937" s="362"/>
      <c r="AF1937" s="362"/>
      <c r="AG1937" s="362"/>
      <c r="AH1937" s="362"/>
      <c r="AI1937" s="360"/>
      <c r="AJ1937" s="360"/>
      <c r="AK1937" s="362"/>
      <c r="AL1937" s="362"/>
      <c r="AM1937" s="362"/>
      <c r="AN1937" s="362"/>
      <c r="AO1937" s="362"/>
      <c r="AP1937" s="362"/>
      <c r="AQ1937" s="362"/>
      <c r="AR1937" s="362"/>
    </row>
    <row r="1938" spans="1:44" ht="12" customHeight="1" x14ac:dyDescent="0.15">
      <c r="A1938" s="447"/>
      <c r="B1938" s="393"/>
      <c r="C1938" s="428"/>
      <c r="D1938" s="428"/>
      <c r="E1938" s="224"/>
      <c r="F1938" s="224"/>
      <c r="G1938" s="224"/>
      <c r="H1938" s="224"/>
      <c r="I1938" s="224"/>
      <c r="J1938" s="224"/>
      <c r="Z1938" s="362"/>
      <c r="AA1938" s="362"/>
      <c r="AB1938" s="362"/>
      <c r="AC1938" s="362"/>
      <c r="AD1938" s="362"/>
      <c r="AE1938" s="362"/>
      <c r="AF1938" s="362"/>
      <c r="AG1938" s="362"/>
      <c r="AH1938" s="362"/>
      <c r="AI1938" s="360"/>
      <c r="AJ1938" s="360"/>
      <c r="AK1938" s="362"/>
      <c r="AL1938" s="362"/>
      <c r="AM1938" s="362"/>
      <c r="AN1938" s="362"/>
      <c r="AO1938" s="362"/>
      <c r="AP1938" s="362"/>
      <c r="AQ1938" s="362"/>
      <c r="AR1938" s="362"/>
    </row>
    <row r="1939" spans="1:44" ht="12" customHeight="1" x14ac:dyDescent="0.15">
      <c r="A1939" s="447"/>
      <c r="B1939" s="393"/>
      <c r="C1939" s="428"/>
      <c r="D1939" s="428"/>
      <c r="E1939" s="224"/>
      <c r="F1939" s="224"/>
      <c r="G1939" s="224"/>
      <c r="H1939" s="224"/>
      <c r="I1939" s="224"/>
      <c r="J1939" s="224"/>
      <c r="Z1939" s="362"/>
      <c r="AA1939" s="362"/>
      <c r="AB1939" s="362"/>
      <c r="AC1939" s="362"/>
      <c r="AD1939" s="362"/>
      <c r="AE1939" s="362"/>
      <c r="AF1939" s="362"/>
      <c r="AG1939" s="362"/>
      <c r="AH1939" s="362"/>
      <c r="AI1939" s="360"/>
      <c r="AJ1939" s="360"/>
      <c r="AK1939" s="362"/>
      <c r="AL1939" s="362"/>
      <c r="AM1939" s="362"/>
      <c r="AN1939" s="362"/>
      <c r="AO1939" s="362"/>
      <c r="AP1939" s="362"/>
      <c r="AQ1939" s="362"/>
      <c r="AR1939" s="362"/>
    </row>
    <row r="1940" spans="1:44" ht="12" customHeight="1" x14ac:dyDescent="0.15">
      <c r="A1940" s="447"/>
      <c r="B1940" s="393"/>
      <c r="C1940" s="428"/>
      <c r="D1940" s="428"/>
      <c r="E1940" s="224"/>
      <c r="F1940" s="224"/>
      <c r="G1940" s="224"/>
      <c r="H1940" s="224"/>
      <c r="I1940" s="224"/>
      <c r="J1940" s="224"/>
      <c r="Z1940" s="362"/>
      <c r="AA1940" s="362"/>
      <c r="AB1940" s="362"/>
      <c r="AC1940" s="362"/>
      <c r="AD1940" s="362"/>
      <c r="AE1940" s="362"/>
      <c r="AF1940" s="362"/>
      <c r="AG1940" s="362"/>
      <c r="AH1940" s="362"/>
      <c r="AI1940" s="360"/>
      <c r="AJ1940" s="360"/>
      <c r="AK1940" s="362"/>
      <c r="AL1940" s="362"/>
      <c r="AM1940" s="362"/>
      <c r="AN1940" s="362"/>
      <c r="AO1940" s="362"/>
      <c r="AP1940" s="362"/>
      <c r="AQ1940" s="362"/>
      <c r="AR1940" s="362"/>
    </row>
    <row r="1941" spans="1:44" ht="12" customHeight="1" x14ac:dyDescent="0.15">
      <c r="A1941" s="447"/>
      <c r="B1941" s="393"/>
      <c r="C1941" s="428"/>
      <c r="D1941" s="428"/>
      <c r="E1941" s="224"/>
      <c r="F1941" s="224"/>
      <c r="G1941" s="224"/>
      <c r="H1941" s="224"/>
      <c r="I1941" s="224"/>
      <c r="J1941" s="224"/>
      <c r="Z1941" s="362"/>
      <c r="AA1941" s="362"/>
      <c r="AB1941" s="362"/>
      <c r="AC1941" s="362"/>
      <c r="AD1941" s="362"/>
      <c r="AE1941" s="362"/>
      <c r="AF1941" s="362"/>
      <c r="AG1941" s="362"/>
      <c r="AH1941" s="362"/>
      <c r="AI1941" s="360"/>
      <c r="AJ1941" s="360"/>
      <c r="AK1941" s="362"/>
      <c r="AL1941" s="362"/>
      <c r="AM1941" s="362"/>
      <c r="AN1941" s="362"/>
      <c r="AO1941" s="362"/>
      <c r="AP1941" s="362"/>
      <c r="AQ1941" s="362"/>
      <c r="AR1941" s="362"/>
    </row>
    <row r="1942" spans="1:44" ht="12" customHeight="1" x14ac:dyDescent="0.15">
      <c r="A1942" s="447"/>
      <c r="B1942" s="393"/>
      <c r="C1942" s="428"/>
      <c r="D1942" s="428"/>
      <c r="E1942" s="224"/>
      <c r="F1942" s="224"/>
      <c r="G1942" s="224"/>
      <c r="H1942" s="224"/>
      <c r="I1942" s="224"/>
      <c r="J1942" s="224"/>
      <c r="Z1942" s="362"/>
      <c r="AA1942" s="362"/>
      <c r="AB1942" s="362"/>
      <c r="AC1942" s="362"/>
      <c r="AD1942" s="362"/>
      <c r="AE1942" s="362"/>
      <c r="AF1942" s="362"/>
      <c r="AG1942" s="362"/>
      <c r="AH1942" s="362"/>
      <c r="AI1942" s="360"/>
      <c r="AJ1942" s="360"/>
      <c r="AK1942" s="362"/>
      <c r="AL1942" s="362"/>
      <c r="AM1942" s="362"/>
      <c r="AN1942" s="362"/>
      <c r="AO1942" s="362"/>
      <c r="AP1942" s="362"/>
      <c r="AQ1942" s="362"/>
      <c r="AR1942" s="362"/>
    </row>
    <row r="1943" spans="1:44" ht="12" customHeight="1" x14ac:dyDescent="0.15">
      <c r="A1943" s="447"/>
      <c r="B1943" s="393"/>
      <c r="C1943" s="428"/>
      <c r="D1943" s="428"/>
      <c r="E1943" s="224"/>
      <c r="F1943" s="224"/>
      <c r="G1943" s="224"/>
      <c r="H1943" s="224"/>
      <c r="I1943" s="224"/>
      <c r="J1943" s="224"/>
      <c r="Z1943" s="362"/>
      <c r="AA1943" s="362"/>
      <c r="AB1943" s="362"/>
      <c r="AC1943" s="362"/>
      <c r="AD1943" s="362"/>
      <c r="AE1943" s="362"/>
      <c r="AF1943" s="362"/>
      <c r="AG1943" s="362"/>
      <c r="AH1943" s="362"/>
      <c r="AI1943" s="360"/>
      <c r="AJ1943" s="360"/>
      <c r="AK1943" s="362"/>
      <c r="AL1943" s="362"/>
      <c r="AM1943" s="362"/>
      <c r="AN1943" s="362"/>
      <c r="AO1943" s="362"/>
      <c r="AP1943" s="362"/>
      <c r="AQ1943" s="362"/>
      <c r="AR1943" s="362"/>
    </row>
    <row r="1944" spans="1:44" ht="12" customHeight="1" x14ac:dyDescent="0.15">
      <c r="A1944" s="447"/>
      <c r="B1944" s="393"/>
      <c r="C1944" s="428"/>
      <c r="D1944" s="428"/>
      <c r="E1944" s="224"/>
      <c r="F1944" s="224"/>
      <c r="G1944" s="224"/>
      <c r="H1944" s="224"/>
      <c r="I1944" s="224"/>
      <c r="J1944" s="224"/>
      <c r="Z1944" s="362"/>
      <c r="AA1944" s="362"/>
      <c r="AB1944" s="362"/>
      <c r="AC1944" s="362"/>
      <c r="AD1944" s="362"/>
      <c r="AE1944" s="362"/>
      <c r="AF1944" s="362"/>
      <c r="AG1944" s="362"/>
      <c r="AH1944" s="362"/>
      <c r="AI1944" s="360"/>
      <c r="AJ1944" s="360"/>
      <c r="AK1944" s="362"/>
      <c r="AL1944" s="362"/>
      <c r="AM1944" s="362"/>
      <c r="AN1944" s="362"/>
      <c r="AO1944" s="362"/>
      <c r="AP1944" s="362"/>
      <c r="AQ1944" s="362"/>
      <c r="AR1944" s="362"/>
    </row>
    <row r="1945" spans="1:44" ht="12" customHeight="1" x14ac:dyDescent="0.15">
      <c r="A1945" s="447"/>
      <c r="B1945" s="393"/>
      <c r="C1945" s="428"/>
      <c r="D1945" s="428"/>
      <c r="E1945" s="224"/>
      <c r="F1945" s="224"/>
      <c r="G1945" s="224"/>
      <c r="H1945" s="224"/>
      <c r="I1945" s="224"/>
      <c r="J1945" s="224"/>
      <c r="Z1945" s="362"/>
      <c r="AA1945" s="362"/>
      <c r="AB1945" s="362"/>
      <c r="AC1945" s="362"/>
      <c r="AD1945" s="362"/>
      <c r="AE1945" s="362"/>
      <c r="AF1945" s="362"/>
      <c r="AG1945" s="362"/>
      <c r="AH1945" s="362"/>
      <c r="AI1945" s="360"/>
      <c r="AJ1945" s="360"/>
      <c r="AK1945" s="362"/>
      <c r="AL1945" s="362"/>
      <c r="AM1945" s="362"/>
      <c r="AN1945" s="362"/>
      <c r="AO1945" s="362"/>
      <c r="AP1945" s="362"/>
      <c r="AQ1945" s="362"/>
      <c r="AR1945" s="362"/>
    </row>
    <row r="1946" spans="1:44" ht="12" customHeight="1" x14ac:dyDescent="0.15">
      <c r="A1946" s="447"/>
      <c r="B1946" s="393"/>
      <c r="C1946" s="428"/>
      <c r="D1946" s="428"/>
      <c r="E1946" s="224"/>
      <c r="F1946" s="224"/>
      <c r="G1946" s="224"/>
      <c r="H1946" s="224"/>
      <c r="I1946" s="224"/>
      <c r="J1946" s="224"/>
      <c r="Z1946" s="362"/>
      <c r="AA1946" s="362"/>
      <c r="AB1946" s="362"/>
      <c r="AC1946" s="362"/>
      <c r="AD1946" s="362"/>
      <c r="AE1946" s="362"/>
      <c r="AF1946" s="362"/>
      <c r="AG1946" s="362"/>
      <c r="AH1946" s="362"/>
      <c r="AI1946" s="360"/>
      <c r="AJ1946" s="360"/>
      <c r="AK1946" s="362"/>
      <c r="AL1946" s="362"/>
      <c r="AM1946" s="362"/>
      <c r="AN1946" s="362"/>
      <c r="AO1946" s="362"/>
      <c r="AP1946" s="362"/>
      <c r="AQ1946" s="362"/>
      <c r="AR1946" s="362"/>
    </row>
    <row r="1947" spans="1:44" ht="12" customHeight="1" x14ac:dyDescent="0.15">
      <c r="A1947" s="447"/>
      <c r="B1947" s="393"/>
      <c r="C1947" s="428"/>
      <c r="D1947" s="428"/>
      <c r="E1947" s="224"/>
      <c r="F1947" s="224"/>
      <c r="G1947" s="224"/>
      <c r="H1947" s="224"/>
      <c r="I1947" s="224"/>
      <c r="J1947" s="224"/>
      <c r="Z1947" s="362"/>
      <c r="AA1947" s="362"/>
      <c r="AB1947" s="362"/>
      <c r="AC1947" s="362"/>
      <c r="AD1947" s="362"/>
      <c r="AE1947" s="362"/>
      <c r="AF1947" s="362"/>
      <c r="AG1947" s="362"/>
      <c r="AH1947" s="362"/>
      <c r="AI1947" s="360"/>
      <c r="AJ1947" s="360"/>
      <c r="AK1947" s="362"/>
      <c r="AL1947" s="362"/>
      <c r="AM1947" s="362"/>
      <c r="AN1947" s="362"/>
      <c r="AO1947" s="362"/>
      <c r="AP1947" s="362"/>
      <c r="AQ1947" s="362"/>
      <c r="AR1947" s="362"/>
    </row>
    <row r="1948" spans="1:44" ht="12" customHeight="1" x14ac:dyDescent="0.15">
      <c r="A1948" s="447"/>
      <c r="B1948" s="393"/>
      <c r="C1948" s="428"/>
      <c r="D1948" s="428"/>
      <c r="E1948" s="224"/>
      <c r="F1948" s="224"/>
      <c r="G1948" s="224"/>
      <c r="H1948" s="224"/>
      <c r="I1948" s="224"/>
      <c r="J1948" s="224"/>
      <c r="Z1948" s="362"/>
      <c r="AA1948" s="362"/>
      <c r="AB1948" s="362"/>
      <c r="AC1948" s="362"/>
      <c r="AD1948" s="362"/>
      <c r="AE1948" s="362"/>
      <c r="AF1948" s="362"/>
      <c r="AG1948" s="362"/>
      <c r="AH1948" s="362"/>
      <c r="AI1948" s="360"/>
      <c r="AJ1948" s="360"/>
      <c r="AK1948" s="362"/>
      <c r="AL1948" s="362"/>
      <c r="AM1948" s="362"/>
      <c r="AN1948" s="362"/>
      <c r="AO1948" s="362"/>
      <c r="AP1948" s="362"/>
      <c r="AQ1948" s="362"/>
      <c r="AR1948" s="362"/>
    </row>
    <row r="1949" spans="1:44" ht="12" customHeight="1" x14ac:dyDescent="0.15">
      <c r="A1949" s="447"/>
      <c r="B1949" s="393"/>
      <c r="C1949" s="428"/>
      <c r="D1949" s="428"/>
      <c r="E1949" s="224"/>
      <c r="F1949" s="224"/>
      <c r="G1949" s="224"/>
      <c r="H1949" s="224"/>
      <c r="I1949" s="224"/>
      <c r="J1949" s="224"/>
      <c r="Z1949" s="362"/>
      <c r="AA1949" s="362"/>
      <c r="AB1949" s="362"/>
      <c r="AC1949" s="362"/>
      <c r="AD1949" s="362"/>
      <c r="AE1949" s="362"/>
      <c r="AF1949" s="362"/>
      <c r="AG1949" s="362"/>
      <c r="AH1949" s="362"/>
      <c r="AI1949" s="360"/>
      <c r="AJ1949" s="360"/>
      <c r="AK1949" s="362"/>
      <c r="AL1949" s="362"/>
      <c r="AM1949" s="362"/>
      <c r="AN1949" s="362"/>
      <c r="AO1949" s="362"/>
      <c r="AP1949" s="362"/>
      <c r="AQ1949" s="362"/>
      <c r="AR1949" s="362"/>
    </row>
    <row r="1950" spans="1:44" ht="12" customHeight="1" x14ac:dyDescent="0.15">
      <c r="A1950" s="447"/>
      <c r="B1950" s="393"/>
      <c r="C1950" s="428"/>
      <c r="D1950" s="428"/>
      <c r="E1950" s="224"/>
      <c r="F1950" s="224"/>
      <c r="G1950" s="224"/>
      <c r="H1950" s="224"/>
      <c r="I1950" s="224"/>
      <c r="J1950" s="224"/>
      <c r="Z1950" s="362"/>
      <c r="AA1950" s="362"/>
      <c r="AB1950" s="362"/>
      <c r="AC1950" s="362"/>
      <c r="AD1950" s="362"/>
      <c r="AE1950" s="362"/>
      <c r="AF1950" s="362"/>
      <c r="AG1950" s="362"/>
      <c r="AH1950" s="362"/>
      <c r="AI1950" s="360"/>
      <c r="AJ1950" s="360"/>
      <c r="AK1950" s="362"/>
      <c r="AL1950" s="362"/>
      <c r="AM1950" s="362"/>
      <c r="AN1950" s="362"/>
      <c r="AO1950" s="362"/>
      <c r="AP1950" s="362"/>
      <c r="AQ1950" s="362"/>
      <c r="AR1950" s="362"/>
    </row>
    <row r="1951" spans="1:44" ht="12" customHeight="1" x14ac:dyDescent="0.15">
      <c r="A1951" s="447"/>
      <c r="B1951" s="393"/>
      <c r="C1951" s="428"/>
      <c r="D1951" s="428"/>
      <c r="E1951" s="224"/>
      <c r="F1951" s="224"/>
      <c r="G1951" s="224"/>
      <c r="H1951" s="224"/>
      <c r="I1951" s="224"/>
      <c r="J1951" s="224"/>
      <c r="Z1951" s="362"/>
      <c r="AA1951" s="362"/>
      <c r="AB1951" s="362"/>
      <c r="AC1951" s="362"/>
      <c r="AD1951" s="362"/>
      <c r="AE1951" s="362"/>
      <c r="AF1951" s="362"/>
      <c r="AG1951" s="362"/>
      <c r="AH1951" s="362"/>
      <c r="AI1951" s="360"/>
      <c r="AJ1951" s="360"/>
      <c r="AK1951" s="362"/>
      <c r="AL1951" s="362"/>
      <c r="AM1951" s="362"/>
      <c r="AN1951" s="362"/>
      <c r="AO1951" s="362"/>
      <c r="AP1951" s="362"/>
      <c r="AQ1951" s="362"/>
      <c r="AR1951" s="362"/>
    </row>
    <row r="1952" spans="1:44" ht="12" customHeight="1" x14ac:dyDescent="0.15">
      <c r="A1952" s="447"/>
      <c r="B1952" s="393"/>
      <c r="C1952" s="428"/>
      <c r="D1952" s="428"/>
      <c r="E1952" s="224"/>
      <c r="F1952" s="224"/>
      <c r="G1952" s="224"/>
      <c r="H1952" s="224"/>
      <c r="I1952" s="224"/>
      <c r="J1952" s="224"/>
      <c r="Z1952" s="362"/>
      <c r="AA1952" s="362"/>
      <c r="AB1952" s="362"/>
      <c r="AC1952" s="362"/>
      <c r="AD1952" s="362"/>
      <c r="AE1952" s="362"/>
      <c r="AF1952" s="362"/>
      <c r="AG1952" s="362"/>
      <c r="AH1952" s="362"/>
      <c r="AI1952" s="360"/>
      <c r="AJ1952" s="360"/>
      <c r="AK1952" s="362"/>
      <c r="AL1952" s="362"/>
      <c r="AM1952" s="362"/>
      <c r="AN1952" s="362"/>
      <c r="AO1952" s="362"/>
      <c r="AP1952" s="362"/>
      <c r="AQ1952" s="362"/>
      <c r="AR1952" s="362"/>
    </row>
    <row r="1953" spans="1:44" ht="12" customHeight="1" x14ac:dyDescent="0.15">
      <c r="A1953" s="447"/>
      <c r="B1953" s="393"/>
      <c r="C1953" s="428"/>
      <c r="D1953" s="428"/>
      <c r="E1953" s="224"/>
      <c r="F1953" s="224"/>
      <c r="G1953" s="224"/>
      <c r="H1953" s="224"/>
      <c r="I1953" s="224"/>
      <c r="J1953" s="224"/>
      <c r="Z1953" s="362"/>
      <c r="AA1953" s="362"/>
      <c r="AB1953" s="362"/>
      <c r="AC1953" s="362"/>
      <c r="AD1953" s="362"/>
      <c r="AE1953" s="362"/>
      <c r="AF1953" s="362"/>
      <c r="AG1953" s="362"/>
      <c r="AH1953" s="362"/>
      <c r="AI1953" s="360"/>
      <c r="AJ1953" s="360"/>
      <c r="AK1953" s="362"/>
      <c r="AL1953" s="362"/>
      <c r="AM1953" s="362"/>
      <c r="AN1953" s="362"/>
      <c r="AO1953" s="362"/>
      <c r="AP1953" s="362"/>
      <c r="AQ1953" s="362"/>
      <c r="AR1953" s="362"/>
    </row>
    <row r="1954" spans="1:44" ht="12" customHeight="1" x14ac:dyDescent="0.15">
      <c r="A1954" s="447"/>
      <c r="B1954" s="393"/>
      <c r="C1954" s="428"/>
      <c r="D1954" s="428"/>
      <c r="E1954" s="224"/>
      <c r="F1954" s="224"/>
      <c r="G1954" s="224"/>
      <c r="H1954" s="224"/>
      <c r="I1954" s="224"/>
      <c r="J1954" s="224"/>
      <c r="Z1954" s="362"/>
      <c r="AA1954" s="362"/>
      <c r="AB1954" s="362"/>
      <c r="AC1954" s="362"/>
      <c r="AD1954" s="362"/>
      <c r="AE1954" s="362"/>
      <c r="AF1954" s="362"/>
      <c r="AG1954" s="362"/>
      <c r="AH1954" s="362"/>
      <c r="AI1954" s="360"/>
      <c r="AJ1954" s="360"/>
      <c r="AK1954" s="362"/>
      <c r="AL1954" s="362"/>
      <c r="AM1954" s="362"/>
      <c r="AN1954" s="362"/>
      <c r="AO1954" s="362"/>
      <c r="AP1954" s="362"/>
      <c r="AQ1954" s="362"/>
      <c r="AR1954" s="362"/>
    </row>
    <row r="1955" spans="1:44" ht="12" customHeight="1" x14ac:dyDescent="0.15">
      <c r="A1955" s="447"/>
      <c r="B1955" s="393"/>
      <c r="C1955" s="428"/>
      <c r="D1955" s="428"/>
      <c r="E1955" s="224"/>
      <c r="F1955" s="224"/>
      <c r="G1955" s="224"/>
      <c r="H1955" s="224"/>
      <c r="I1955" s="224"/>
      <c r="J1955" s="224"/>
      <c r="Z1955" s="362"/>
      <c r="AA1955" s="362"/>
      <c r="AB1955" s="362"/>
      <c r="AC1955" s="362"/>
      <c r="AD1955" s="362"/>
      <c r="AE1955" s="362"/>
      <c r="AF1955" s="362"/>
      <c r="AG1955" s="362"/>
      <c r="AH1955" s="362"/>
      <c r="AI1955" s="360"/>
      <c r="AJ1955" s="360"/>
      <c r="AK1955" s="362"/>
      <c r="AL1955" s="362"/>
      <c r="AM1955" s="362"/>
      <c r="AN1955" s="362"/>
      <c r="AO1955" s="362"/>
      <c r="AP1955" s="362"/>
      <c r="AQ1955" s="362"/>
      <c r="AR1955" s="362"/>
    </row>
    <row r="1956" spans="1:44" ht="12" customHeight="1" x14ac:dyDescent="0.15">
      <c r="A1956" s="447"/>
      <c r="B1956" s="393"/>
      <c r="C1956" s="428"/>
      <c r="D1956" s="428"/>
      <c r="E1956" s="224"/>
      <c r="F1956" s="224"/>
      <c r="G1956" s="224"/>
      <c r="H1956" s="224"/>
      <c r="I1956" s="224"/>
      <c r="J1956" s="224"/>
      <c r="Z1956" s="362"/>
      <c r="AA1956" s="362"/>
      <c r="AB1956" s="362"/>
      <c r="AC1956" s="362"/>
      <c r="AD1956" s="362"/>
      <c r="AE1956" s="362"/>
      <c r="AF1956" s="362"/>
      <c r="AG1956" s="362"/>
      <c r="AH1956" s="362"/>
      <c r="AI1956" s="360"/>
      <c r="AJ1956" s="360"/>
      <c r="AK1956" s="362"/>
      <c r="AL1956" s="362"/>
      <c r="AM1956" s="362"/>
      <c r="AN1956" s="362"/>
      <c r="AO1956" s="362"/>
      <c r="AP1956" s="362"/>
      <c r="AQ1956" s="362"/>
      <c r="AR1956" s="362"/>
    </row>
    <row r="1957" spans="1:44" ht="12" customHeight="1" x14ac:dyDescent="0.15">
      <c r="A1957" s="447"/>
      <c r="B1957" s="393"/>
      <c r="C1957" s="428"/>
      <c r="D1957" s="428"/>
      <c r="E1957" s="224"/>
      <c r="F1957" s="224"/>
      <c r="G1957" s="224"/>
      <c r="H1957" s="224"/>
      <c r="I1957" s="224"/>
      <c r="J1957" s="224"/>
      <c r="Z1957" s="362"/>
      <c r="AA1957" s="362"/>
      <c r="AB1957" s="362"/>
      <c r="AC1957" s="362"/>
      <c r="AD1957" s="362"/>
      <c r="AE1957" s="362"/>
      <c r="AF1957" s="362"/>
      <c r="AG1957" s="362"/>
      <c r="AH1957" s="362"/>
      <c r="AI1957" s="360"/>
      <c r="AJ1957" s="360"/>
      <c r="AK1957" s="362"/>
      <c r="AL1957" s="362"/>
      <c r="AM1957" s="362"/>
      <c r="AN1957" s="362"/>
      <c r="AO1957" s="362"/>
      <c r="AP1957" s="362"/>
      <c r="AQ1957" s="362"/>
      <c r="AR1957" s="362"/>
    </row>
    <row r="1958" spans="1:44" ht="12" customHeight="1" x14ac:dyDescent="0.15">
      <c r="A1958" s="447"/>
      <c r="B1958" s="393"/>
      <c r="C1958" s="428"/>
      <c r="D1958" s="428"/>
      <c r="E1958" s="224"/>
      <c r="F1958" s="224"/>
      <c r="G1958" s="224"/>
      <c r="H1958" s="224"/>
      <c r="I1958" s="224"/>
      <c r="J1958" s="224"/>
      <c r="Z1958" s="362"/>
      <c r="AA1958" s="362"/>
      <c r="AB1958" s="362"/>
      <c r="AC1958" s="362"/>
      <c r="AD1958" s="362"/>
      <c r="AE1958" s="362"/>
      <c r="AF1958" s="362"/>
      <c r="AG1958" s="362"/>
      <c r="AH1958" s="362"/>
      <c r="AI1958" s="360"/>
      <c r="AJ1958" s="360"/>
      <c r="AK1958" s="362"/>
      <c r="AL1958" s="362"/>
      <c r="AM1958" s="362"/>
      <c r="AN1958" s="362"/>
      <c r="AO1958" s="362"/>
      <c r="AP1958" s="362"/>
      <c r="AQ1958" s="362"/>
      <c r="AR1958" s="362"/>
    </row>
    <row r="1959" spans="1:44" ht="12" customHeight="1" x14ac:dyDescent="0.15">
      <c r="A1959" s="447"/>
      <c r="B1959" s="393"/>
      <c r="C1959" s="428"/>
      <c r="D1959" s="428"/>
      <c r="E1959" s="224"/>
      <c r="F1959" s="224"/>
      <c r="G1959" s="224"/>
      <c r="H1959" s="224"/>
      <c r="I1959" s="224"/>
      <c r="J1959" s="224"/>
      <c r="Z1959" s="362"/>
      <c r="AA1959" s="362"/>
      <c r="AB1959" s="362"/>
      <c r="AC1959" s="362"/>
      <c r="AD1959" s="362"/>
      <c r="AE1959" s="362"/>
      <c r="AF1959" s="362"/>
      <c r="AG1959" s="362"/>
      <c r="AH1959" s="362"/>
      <c r="AI1959" s="360"/>
      <c r="AJ1959" s="360"/>
      <c r="AK1959" s="362"/>
      <c r="AL1959" s="362"/>
      <c r="AM1959" s="362"/>
      <c r="AN1959" s="362"/>
      <c r="AO1959" s="362"/>
      <c r="AP1959" s="362"/>
      <c r="AQ1959" s="362"/>
      <c r="AR1959" s="362"/>
    </row>
    <row r="1960" spans="1:44" ht="12" customHeight="1" x14ac:dyDescent="0.15">
      <c r="A1960" s="447"/>
      <c r="B1960" s="393"/>
      <c r="C1960" s="428"/>
      <c r="D1960" s="428"/>
      <c r="E1960" s="224"/>
      <c r="F1960" s="224"/>
      <c r="G1960" s="224"/>
      <c r="H1960" s="224"/>
      <c r="I1960" s="224"/>
      <c r="J1960" s="224"/>
      <c r="Z1960" s="362"/>
      <c r="AA1960" s="362"/>
      <c r="AB1960" s="362"/>
      <c r="AC1960" s="362"/>
      <c r="AD1960" s="362"/>
      <c r="AE1960" s="362"/>
      <c r="AF1960" s="362"/>
      <c r="AG1960" s="362"/>
      <c r="AH1960" s="362"/>
      <c r="AI1960" s="360"/>
      <c r="AJ1960" s="360"/>
      <c r="AK1960" s="362"/>
      <c r="AL1960" s="362"/>
      <c r="AM1960" s="362"/>
      <c r="AN1960" s="362"/>
      <c r="AO1960" s="362"/>
      <c r="AP1960" s="362"/>
      <c r="AQ1960" s="362"/>
      <c r="AR1960" s="362"/>
    </row>
    <row r="1961" spans="1:44" ht="12" customHeight="1" x14ac:dyDescent="0.15">
      <c r="A1961" s="447"/>
      <c r="B1961" s="393"/>
      <c r="C1961" s="428"/>
      <c r="D1961" s="428"/>
      <c r="E1961" s="224"/>
      <c r="F1961" s="224"/>
      <c r="G1961" s="224"/>
      <c r="H1961" s="224"/>
      <c r="I1961" s="224"/>
      <c r="J1961" s="224"/>
      <c r="Z1961" s="362"/>
      <c r="AA1961" s="362"/>
      <c r="AB1961" s="362"/>
      <c r="AC1961" s="362"/>
      <c r="AD1961" s="362"/>
      <c r="AE1961" s="362"/>
      <c r="AF1961" s="362"/>
      <c r="AG1961" s="362"/>
      <c r="AH1961" s="362"/>
      <c r="AI1961" s="360"/>
      <c r="AJ1961" s="360"/>
      <c r="AK1961" s="362"/>
      <c r="AL1961" s="362"/>
      <c r="AM1961" s="362"/>
      <c r="AN1961" s="362"/>
      <c r="AO1961" s="362"/>
      <c r="AP1961" s="362"/>
      <c r="AQ1961" s="362"/>
      <c r="AR1961" s="362"/>
    </row>
    <row r="1962" spans="1:44" ht="12" customHeight="1" x14ac:dyDescent="0.15">
      <c r="A1962" s="447"/>
      <c r="B1962" s="393"/>
      <c r="C1962" s="428"/>
      <c r="D1962" s="428"/>
      <c r="E1962" s="224"/>
      <c r="F1962" s="224"/>
      <c r="G1962" s="224"/>
      <c r="H1962" s="224"/>
      <c r="I1962" s="224"/>
      <c r="J1962" s="224"/>
      <c r="Z1962" s="362"/>
      <c r="AA1962" s="362"/>
      <c r="AB1962" s="362"/>
      <c r="AC1962" s="362"/>
      <c r="AD1962" s="362"/>
      <c r="AE1962" s="362"/>
      <c r="AF1962" s="362"/>
      <c r="AG1962" s="362"/>
      <c r="AH1962" s="362"/>
      <c r="AI1962" s="360"/>
      <c r="AJ1962" s="360"/>
      <c r="AK1962" s="362"/>
      <c r="AL1962" s="362"/>
      <c r="AM1962" s="362"/>
      <c r="AN1962" s="362"/>
      <c r="AO1962" s="362"/>
      <c r="AP1962" s="362"/>
      <c r="AQ1962" s="362"/>
      <c r="AR1962" s="362"/>
    </row>
    <row r="1963" spans="1:44" ht="12" customHeight="1" x14ac:dyDescent="0.15">
      <c r="A1963" s="447"/>
      <c r="B1963" s="393"/>
      <c r="C1963" s="428"/>
      <c r="D1963" s="428"/>
      <c r="E1963" s="224"/>
      <c r="F1963" s="224"/>
      <c r="G1963" s="224"/>
      <c r="H1963" s="224"/>
      <c r="I1963" s="224"/>
      <c r="J1963" s="224"/>
      <c r="Z1963" s="362"/>
      <c r="AA1963" s="362"/>
      <c r="AB1963" s="362"/>
      <c r="AC1963" s="362"/>
      <c r="AD1963" s="362"/>
      <c r="AE1963" s="362"/>
      <c r="AF1963" s="362"/>
      <c r="AG1963" s="362"/>
      <c r="AH1963" s="362"/>
      <c r="AI1963" s="360"/>
      <c r="AJ1963" s="360"/>
      <c r="AK1963" s="362"/>
      <c r="AL1963" s="362"/>
      <c r="AM1963" s="362"/>
      <c r="AN1963" s="362"/>
      <c r="AO1963" s="362"/>
      <c r="AP1963" s="362"/>
      <c r="AQ1963" s="362"/>
      <c r="AR1963" s="362"/>
    </row>
    <row r="1964" spans="1:44" ht="12" customHeight="1" x14ac:dyDescent="0.15">
      <c r="A1964" s="447"/>
      <c r="B1964" s="393"/>
      <c r="C1964" s="428"/>
      <c r="D1964" s="428"/>
      <c r="E1964" s="224"/>
      <c r="F1964" s="224"/>
      <c r="G1964" s="224"/>
      <c r="H1964" s="224"/>
      <c r="I1964" s="224"/>
      <c r="J1964" s="224"/>
      <c r="Z1964" s="362"/>
      <c r="AA1964" s="362"/>
      <c r="AB1964" s="362"/>
      <c r="AC1964" s="362"/>
      <c r="AD1964" s="362"/>
      <c r="AE1964" s="362"/>
      <c r="AF1964" s="362"/>
      <c r="AG1964" s="362"/>
      <c r="AH1964" s="362"/>
      <c r="AI1964" s="360"/>
      <c r="AJ1964" s="360"/>
      <c r="AK1964" s="362"/>
      <c r="AL1964" s="362"/>
      <c r="AM1964" s="362"/>
      <c r="AN1964" s="362"/>
      <c r="AO1964" s="362"/>
      <c r="AP1964" s="362"/>
      <c r="AQ1964" s="362"/>
      <c r="AR1964" s="362"/>
    </row>
    <row r="1965" spans="1:44" ht="12" customHeight="1" x14ac:dyDescent="0.15">
      <c r="A1965" s="447"/>
      <c r="B1965" s="393"/>
      <c r="C1965" s="428"/>
      <c r="D1965" s="428"/>
      <c r="E1965" s="224"/>
      <c r="F1965" s="224"/>
      <c r="G1965" s="224"/>
      <c r="H1965" s="224"/>
      <c r="I1965" s="224"/>
      <c r="J1965" s="224"/>
      <c r="Z1965" s="362"/>
      <c r="AA1965" s="362"/>
      <c r="AB1965" s="362"/>
      <c r="AC1965" s="362"/>
      <c r="AD1965" s="362"/>
      <c r="AE1965" s="362"/>
      <c r="AF1965" s="362"/>
      <c r="AG1965" s="362"/>
      <c r="AH1965" s="362"/>
      <c r="AI1965" s="360"/>
      <c r="AJ1965" s="360"/>
      <c r="AK1965" s="362"/>
      <c r="AL1965" s="362"/>
      <c r="AM1965" s="362"/>
      <c r="AN1965" s="362"/>
      <c r="AO1965" s="362"/>
      <c r="AP1965" s="362"/>
      <c r="AQ1965" s="362"/>
      <c r="AR1965" s="362"/>
    </row>
    <row r="1966" spans="1:44" ht="12" customHeight="1" x14ac:dyDescent="0.15">
      <c r="A1966" s="447"/>
      <c r="B1966" s="393"/>
      <c r="C1966" s="428"/>
      <c r="D1966" s="428"/>
      <c r="E1966" s="224"/>
      <c r="F1966" s="224"/>
      <c r="G1966" s="224"/>
      <c r="H1966" s="224"/>
      <c r="I1966" s="224"/>
      <c r="J1966" s="224"/>
      <c r="Z1966" s="362"/>
      <c r="AA1966" s="362"/>
      <c r="AB1966" s="362"/>
      <c r="AC1966" s="362"/>
      <c r="AD1966" s="362"/>
      <c r="AE1966" s="362"/>
      <c r="AF1966" s="362"/>
      <c r="AG1966" s="362"/>
      <c r="AH1966" s="362"/>
      <c r="AI1966" s="360"/>
      <c r="AJ1966" s="360"/>
      <c r="AK1966" s="362"/>
      <c r="AL1966" s="362"/>
      <c r="AM1966" s="362"/>
      <c r="AN1966" s="362"/>
      <c r="AO1966" s="362"/>
      <c r="AP1966" s="362"/>
      <c r="AQ1966" s="362"/>
      <c r="AR1966" s="362"/>
    </row>
    <row r="1967" spans="1:44" ht="12" customHeight="1" x14ac:dyDescent="0.15">
      <c r="A1967" s="447"/>
      <c r="B1967" s="393"/>
      <c r="C1967" s="428"/>
      <c r="D1967" s="428"/>
      <c r="E1967" s="224"/>
      <c r="F1967" s="224"/>
      <c r="G1967" s="224"/>
      <c r="H1967" s="224"/>
      <c r="I1967" s="224"/>
      <c r="J1967" s="224"/>
      <c r="Z1967" s="362"/>
      <c r="AA1967" s="362"/>
      <c r="AB1967" s="362"/>
      <c r="AC1967" s="362"/>
      <c r="AD1967" s="362"/>
      <c r="AE1967" s="362"/>
      <c r="AF1967" s="362"/>
      <c r="AG1967" s="362"/>
      <c r="AH1967" s="362"/>
      <c r="AI1967" s="360"/>
      <c r="AJ1967" s="360"/>
      <c r="AK1967" s="362"/>
      <c r="AL1967" s="362"/>
      <c r="AM1967" s="362"/>
      <c r="AN1967" s="362"/>
      <c r="AO1967" s="362"/>
      <c r="AP1967" s="362"/>
      <c r="AQ1967" s="362"/>
      <c r="AR1967" s="362"/>
    </row>
    <row r="1968" spans="1:44" ht="12" customHeight="1" x14ac:dyDescent="0.15">
      <c r="A1968" s="447"/>
      <c r="B1968" s="393"/>
      <c r="C1968" s="428"/>
      <c r="D1968" s="428"/>
      <c r="E1968" s="224"/>
      <c r="F1968" s="224"/>
      <c r="G1968" s="224"/>
      <c r="H1968" s="224"/>
      <c r="I1968" s="224"/>
      <c r="J1968" s="224"/>
      <c r="Z1968" s="362"/>
      <c r="AA1968" s="362"/>
      <c r="AB1968" s="362"/>
      <c r="AC1968" s="362"/>
      <c r="AD1968" s="362"/>
      <c r="AE1968" s="362"/>
      <c r="AF1968" s="362"/>
      <c r="AG1968" s="362"/>
      <c r="AH1968" s="362"/>
      <c r="AI1968" s="360"/>
      <c r="AJ1968" s="360"/>
      <c r="AK1968" s="362"/>
      <c r="AL1968" s="362"/>
      <c r="AM1968" s="362"/>
      <c r="AN1968" s="362"/>
      <c r="AO1968" s="362"/>
      <c r="AP1968" s="362"/>
      <c r="AQ1968" s="362"/>
      <c r="AR1968" s="362"/>
    </row>
    <row r="1969" spans="1:44" ht="12" customHeight="1" x14ac:dyDescent="0.15">
      <c r="A1969" s="447"/>
      <c r="B1969" s="393"/>
      <c r="C1969" s="428"/>
      <c r="D1969" s="428"/>
      <c r="E1969" s="224"/>
      <c r="F1969" s="224"/>
      <c r="G1969" s="224"/>
      <c r="H1969" s="224"/>
      <c r="I1969" s="224"/>
      <c r="J1969" s="224"/>
      <c r="Z1969" s="362"/>
      <c r="AA1969" s="362"/>
      <c r="AB1969" s="362"/>
      <c r="AC1969" s="362"/>
      <c r="AD1969" s="362"/>
      <c r="AE1969" s="362"/>
      <c r="AF1969" s="362"/>
      <c r="AG1969" s="362"/>
      <c r="AH1969" s="362"/>
      <c r="AI1969" s="360"/>
      <c r="AJ1969" s="360"/>
      <c r="AK1969" s="362"/>
      <c r="AL1969" s="362"/>
      <c r="AM1969" s="362"/>
      <c r="AN1969" s="362"/>
      <c r="AO1969" s="362"/>
      <c r="AP1969" s="362"/>
      <c r="AQ1969" s="362"/>
      <c r="AR1969" s="362"/>
    </row>
    <row r="1970" spans="1:44" ht="12" customHeight="1" x14ac:dyDescent="0.15">
      <c r="A1970" s="447"/>
      <c r="B1970" s="393"/>
      <c r="C1970" s="428"/>
      <c r="D1970" s="428"/>
      <c r="E1970" s="224"/>
      <c r="F1970" s="224"/>
      <c r="G1970" s="224"/>
      <c r="H1970" s="224"/>
      <c r="I1970" s="224"/>
      <c r="J1970" s="224"/>
      <c r="Z1970" s="362"/>
      <c r="AA1970" s="362"/>
      <c r="AB1970" s="362"/>
      <c r="AC1970" s="362"/>
      <c r="AD1970" s="362"/>
      <c r="AE1970" s="362"/>
      <c r="AF1970" s="362"/>
      <c r="AG1970" s="362"/>
      <c r="AH1970" s="362"/>
      <c r="AI1970" s="360"/>
      <c r="AJ1970" s="360"/>
      <c r="AK1970" s="362"/>
      <c r="AL1970" s="362"/>
      <c r="AM1970" s="362"/>
      <c r="AN1970" s="362"/>
      <c r="AO1970" s="362"/>
      <c r="AP1970" s="362"/>
      <c r="AQ1970" s="362"/>
      <c r="AR1970" s="362"/>
    </row>
    <row r="1971" spans="1:44" ht="12" customHeight="1" x14ac:dyDescent="0.15">
      <c r="A1971" s="447"/>
      <c r="B1971" s="393"/>
      <c r="C1971" s="428"/>
      <c r="D1971" s="428"/>
      <c r="E1971" s="224"/>
      <c r="F1971" s="224"/>
      <c r="G1971" s="224"/>
      <c r="H1971" s="224"/>
      <c r="I1971" s="224"/>
      <c r="J1971" s="224"/>
      <c r="Z1971" s="362"/>
      <c r="AA1971" s="362"/>
      <c r="AB1971" s="362"/>
      <c r="AC1971" s="362"/>
      <c r="AD1971" s="362"/>
      <c r="AE1971" s="362"/>
      <c r="AF1971" s="362"/>
      <c r="AG1971" s="362"/>
      <c r="AH1971" s="362"/>
      <c r="AI1971" s="360"/>
      <c r="AJ1971" s="360"/>
      <c r="AK1971" s="362"/>
      <c r="AL1971" s="362"/>
      <c r="AM1971" s="362"/>
      <c r="AN1971" s="362"/>
      <c r="AO1971" s="362"/>
      <c r="AP1971" s="362"/>
      <c r="AQ1971" s="362"/>
      <c r="AR1971" s="362"/>
    </row>
    <row r="1972" spans="1:44" ht="12" customHeight="1" x14ac:dyDescent="0.15">
      <c r="A1972" s="447"/>
      <c r="B1972" s="393"/>
      <c r="C1972" s="428"/>
      <c r="D1972" s="428"/>
      <c r="E1972" s="224"/>
      <c r="F1972" s="224"/>
      <c r="G1972" s="224"/>
      <c r="H1972" s="224"/>
      <c r="I1972" s="224"/>
      <c r="J1972" s="224"/>
      <c r="Z1972" s="362"/>
      <c r="AA1972" s="362"/>
      <c r="AB1972" s="362"/>
      <c r="AC1972" s="362"/>
      <c r="AD1972" s="362"/>
      <c r="AE1972" s="362"/>
      <c r="AF1972" s="362"/>
      <c r="AG1972" s="362"/>
      <c r="AH1972" s="362"/>
      <c r="AI1972" s="360"/>
      <c r="AJ1972" s="360"/>
      <c r="AK1972" s="362"/>
      <c r="AL1972" s="362"/>
      <c r="AM1972" s="362"/>
      <c r="AN1972" s="362"/>
      <c r="AO1972" s="362"/>
      <c r="AP1972" s="362"/>
      <c r="AQ1972" s="362"/>
      <c r="AR1972" s="362"/>
    </row>
    <row r="1973" spans="1:44" ht="12" customHeight="1" x14ac:dyDescent="0.15">
      <c r="A1973" s="447"/>
      <c r="B1973" s="393"/>
      <c r="C1973" s="428"/>
      <c r="D1973" s="428"/>
      <c r="E1973" s="224"/>
      <c r="F1973" s="224"/>
      <c r="G1973" s="224"/>
      <c r="H1973" s="224"/>
      <c r="I1973" s="224"/>
      <c r="J1973" s="224"/>
      <c r="Z1973" s="362"/>
      <c r="AA1973" s="362"/>
      <c r="AB1973" s="362"/>
      <c r="AC1973" s="362"/>
      <c r="AD1973" s="362"/>
      <c r="AE1973" s="362"/>
      <c r="AF1973" s="362"/>
      <c r="AG1973" s="362"/>
      <c r="AH1973" s="362"/>
      <c r="AI1973" s="360"/>
      <c r="AJ1973" s="360"/>
      <c r="AK1973" s="362"/>
      <c r="AL1973" s="362"/>
      <c r="AM1973" s="362"/>
      <c r="AN1973" s="362"/>
      <c r="AO1973" s="362"/>
      <c r="AP1973" s="362"/>
      <c r="AQ1973" s="362"/>
      <c r="AR1973" s="362"/>
    </row>
    <row r="1974" spans="1:44" ht="12" customHeight="1" x14ac:dyDescent="0.15">
      <c r="A1974" s="447"/>
      <c r="B1974" s="393"/>
      <c r="C1974" s="428"/>
      <c r="D1974" s="428"/>
      <c r="E1974" s="224"/>
      <c r="F1974" s="224"/>
      <c r="G1974" s="224"/>
      <c r="H1974" s="224"/>
      <c r="I1974" s="224"/>
      <c r="J1974" s="224"/>
      <c r="Z1974" s="362"/>
      <c r="AA1974" s="362"/>
      <c r="AB1974" s="362"/>
      <c r="AC1974" s="362"/>
      <c r="AD1974" s="362"/>
      <c r="AE1974" s="362"/>
      <c r="AF1974" s="362"/>
      <c r="AG1974" s="362"/>
      <c r="AH1974" s="362"/>
      <c r="AI1974" s="360"/>
      <c r="AJ1974" s="360"/>
      <c r="AK1974" s="362"/>
      <c r="AL1974" s="362"/>
      <c r="AM1974" s="362"/>
      <c r="AN1974" s="362"/>
      <c r="AO1974" s="362"/>
      <c r="AP1974" s="362"/>
      <c r="AQ1974" s="362"/>
      <c r="AR1974" s="362"/>
    </row>
    <row r="1975" spans="1:44" ht="12" customHeight="1" x14ac:dyDescent="0.15">
      <c r="A1975" s="447"/>
      <c r="B1975" s="393"/>
      <c r="C1975" s="428"/>
      <c r="D1975" s="428"/>
      <c r="E1975" s="224"/>
      <c r="F1975" s="224"/>
      <c r="G1975" s="224"/>
      <c r="H1975" s="224"/>
      <c r="I1975" s="224"/>
      <c r="J1975" s="224"/>
      <c r="Z1975" s="362"/>
      <c r="AA1975" s="362"/>
      <c r="AB1975" s="362"/>
      <c r="AC1975" s="362"/>
      <c r="AD1975" s="362"/>
      <c r="AE1975" s="362"/>
      <c r="AF1975" s="362"/>
      <c r="AG1975" s="362"/>
      <c r="AH1975" s="362"/>
      <c r="AI1975" s="360"/>
      <c r="AJ1975" s="360"/>
      <c r="AK1975" s="362"/>
      <c r="AL1975" s="362"/>
      <c r="AM1975" s="362"/>
      <c r="AN1975" s="362"/>
      <c r="AO1975" s="362"/>
      <c r="AP1975" s="362"/>
      <c r="AQ1975" s="362"/>
      <c r="AR1975" s="362"/>
    </row>
    <row r="1976" spans="1:44" ht="12" customHeight="1" x14ac:dyDescent="0.15">
      <c r="A1976" s="447"/>
      <c r="B1976" s="393"/>
      <c r="C1976" s="428"/>
      <c r="D1976" s="428"/>
      <c r="E1976" s="224"/>
      <c r="F1976" s="224"/>
      <c r="G1976" s="224"/>
      <c r="H1976" s="224"/>
      <c r="I1976" s="224"/>
      <c r="J1976" s="224"/>
      <c r="Z1976" s="362"/>
      <c r="AA1976" s="362"/>
      <c r="AB1976" s="362"/>
      <c r="AC1976" s="362"/>
      <c r="AD1976" s="362"/>
      <c r="AE1976" s="362"/>
      <c r="AF1976" s="362"/>
      <c r="AG1976" s="362"/>
      <c r="AH1976" s="362"/>
      <c r="AI1976" s="360"/>
      <c r="AJ1976" s="360"/>
      <c r="AK1976" s="362"/>
      <c r="AL1976" s="362"/>
      <c r="AM1976" s="362"/>
      <c r="AN1976" s="362"/>
      <c r="AO1976" s="362"/>
      <c r="AP1976" s="362"/>
      <c r="AQ1976" s="362"/>
      <c r="AR1976" s="362"/>
    </row>
    <row r="1977" spans="1:44" ht="12" customHeight="1" x14ac:dyDescent="0.15">
      <c r="A1977" s="447"/>
      <c r="B1977" s="393"/>
      <c r="C1977" s="428"/>
      <c r="D1977" s="428"/>
      <c r="E1977" s="224"/>
      <c r="F1977" s="224"/>
      <c r="G1977" s="224"/>
      <c r="H1977" s="224"/>
      <c r="I1977" s="224"/>
      <c r="J1977" s="224"/>
      <c r="Z1977" s="362"/>
      <c r="AA1977" s="362"/>
      <c r="AB1977" s="362"/>
      <c r="AC1977" s="362"/>
      <c r="AD1977" s="362"/>
      <c r="AE1977" s="362"/>
      <c r="AF1977" s="362"/>
      <c r="AG1977" s="362"/>
      <c r="AH1977" s="362"/>
      <c r="AI1977" s="360"/>
      <c r="AJ1977" s="360"/>
      <c r="AK1977" s="362"/>
      <c r="AL1977" s="362"/>
      <c r="AM1977" s="362"/>
      <c r="AN1977" s="362"/>
      <c r="AO1977" s="362"/>
      <c r="AP1977" s="362"/>
      <c r="AQ1977" s="362"/>
      <c r="AR1977" s="362"/>
    </row>
    <row r="1978" spans="1:44" ht="12" customHeight="1" x14ac:dyDescent="0.15">
      <c r="A1978" s="447"/>
      <c r="B1978" s="393"/>
      <c r="C1978" s="428"/>
      <c r="D1978" s="428"/>
      <c r="E1978" s="224"/>
      <c r="F1978" s="224"/>
      <c r="G1978" s="224"/>
      <c r="H1978" s="224"/>
      <c r="I1978" s="224"/>
      <c r="J1978" s="224"/>
      <c r="Z1978" s="362"/>
      <c r="AA1978" s="362"/>
      <c r="AB1978" s="362"/>
      <c r="AC1978" s="362"/>
      <c r="AD1978" s="362"/>
      <c r="AE1978" s="362"/>
      <c r="AF1978" s="362"/>
      <c r="AG1978" s="362"/>
      <c r="AH1978" s="362"/>
      <c r="AI1978" s="360"/>
      <c r="AJ1978" s="360"/>
      <c r="AK1978" s="362"/>
      <c r="AL1978" s="362"/>
      <c r="AM1978" s="362"/>
      <c r="AN1978" s="362"/>
      <c r="AO1978" s="362"/>
      <c r="AP1978" s="362"/>
      <c r="AQ1978" s="362"/>
      <c r="AR1978" s="362"/>
    </row>
    <row r="1979" spans="1:44" ht="12" customHeight="1" x14ac:dyDescent="0.15">
      <c r="A1979" s="447"/>
      <c r="B1979" s="393"/>
      <c r="C1979" s="428"/>
      <c r="D1979" s="428"/>
      <c r="E1979" s="224"/>
      <c r="F1979" s="224"/>
      <c r="G1979" s="224"/>
      <c r="H1979" s="224"/>
      <c r="I1979" s="224"/>
      <c r="J1979" s="224"/>
      <c r="Z1979" s="362"/>
      <c r="AA1979" s="362"/>
      <c r="AB1979" s="362"/>
      <c r="AC1979" s="362"/>
      <c r="AD1979" s="362"/>
      <c r="AE1979" s="362"/>
      <c r="AF1979" s="362"/>
      <c r="AG1979" s="362"/>
      <c r="AH1979" s="362"/>
      <c r="AI1979" s="360"/>
      <c r="AJ1979" s="360"/>
      <c r="AK1979" s="362"/>
      <c r="AL1979" s="362"/>
      <c r="AM1979" s="362"/>
      <c r="AN1979" s="362"/>
      <c r="AO1979" s="362"/>
      <c r="AP1979" s="362"/>
      <c r="AQ1979" s="362"/>
      <c r="AR1979" s="362"/>
    </row>
    <row r="1980" spans="1:44" ht="12" customHeight="1" x14ac:dyDescent="0.15">
      <c r="A1980" s="447"/>
      <c r="B1980" s="393"/>
      <c r="C1980" s="428"/>
      <c r="D1980" s="428"/>
      <c r="E1980" s="224"/>
      <c r="F1980" s="224"/>
      <c r="G1980" s="224"/>
      <c r="H1980" s="224"/>
      <c r="I1980" s="224"/>
      <c r="J1980" s="224"/>
      <c r="Z1980" s="362"/>
      <c r="AA1980" s="362"/>
      <c r="AB1980" s="362"/>
      <c r="AC1980" s="362"/>
      <c r="AD1980" s="362"/>
      <c r="AE1980" s="362"/>
      <c r="AF1980" s="362"/>
      <c r="AG1980" s="362"/>
      <c r="AH1980" s="362"/>
      <c r="AI1980" s="360"/>
      <c r="AJ1980" s="360"/>
      <c r="AK1980" s="362"/>
      <c r="AL1980" s="362"/>
      <c r="AM1980" s="362"/>
      <c r="AN1980" s="362"/>
      <c r="AO1980" s="362"/>
      <c r="AP1980" s="362"/>
      <c r="AQ1980" s="362"/>
      <c r="AR1980" s="362"/>
    </row>
    <row r="1981" spans="1:44" ht="12" customHeight="1" x14ac:dyDescent="0.15">
      <c r="A1981" s="447"/>
      <c r="B1981" s="393"/>
      <c r="C1981" s="428"/>
      <c r="D1981" s="428"/>
      <c r="E1981" s="224"/>
      <c r="F1981" s="224"/>
      <c r="G1981" s="224"/>
      <c r="H1981" s="224"/>
      <c r="I1981" s="224"/>
      <c r="J1981" s="224"/>
      <c r="Z1981" s="362"/>
      <c r="AA1981" s="362"/>
      <c r="AB1981" s="362"/>
      <c r="AC1981" s="362"/>
      <c r="AD1981" s="362"/>
      <c r="AE1981" s="362"/>
      <c r="AF1981" s="362"/>
      <c r="AG1981" s="362"/>
      <c r="AH1981" s="362"/>
      <c r="AI1981" s="360"/>
      <c r="AJ1981" s="360"/>
      <c r="AK1981" s="362"/>
      <c r="AL1981" s="362"/>
      <c r="AM1981" s="362"/>
      <c r="AN1981" s="362"/>
      <c r="AO1981" s="362"/>
      <c r="AP1981" s="362"/>
      <c r="AQ1981" s="362"/>
      <c r="AR1981" s="362"/>
    </row>
    <row r="1982" spans="1:44" ht="12" customHeight="1" x14ac:dyDescent="0.15">
      <c r="A1982" s="447"/>
      <c r="B1982" s="393"/>
      <c r="C1982" s="428"/>
      <c r="D1982" s="428"/>
      <c r="E1982" s="224"/>
      <c r="F1982" s="224"/>
      <c r="G1982" s="224"/>
      <c r="H1982" s="224"/>
      <c r="I1982" s="224"/>
      <c r="J1982" s="224"/>
      <c r="Z1982" s="362"/>
      <c r="AA1982" s="362"/>
      <c r="AB1982" s="362"/>
      <c r="AC1982" s="362"/>
      <c r="AD1982" s="362"/>
      <c r="AE1982" s="362"/>
      <c r="AF1982" s="362"/>
      <c r="AG1982" s="362"/>
      <c r="AH1982" s="362"/>
      <c r="AI1982" s="360"/>
      <c r="AJ1982" s="360"/>
      <c r="AK1982" s="362"/>
      <c r="AL1982" s="362"/>
      <c r="AM1982" s="362"/>
      <c r="AN1982" s="362"/>
      <c r="AO1982" s="362"/>
      <c r="AP1982" s="362"/>
      <c r="AQ1982" s="362"/>
      <c r="AR1982" s="362"/>
    </row>
    <row r="1983" spans="1:44" ht="12" customHeight="1" x14ac:dyDescent="0.15">
      <c r="A1983" s="447"/>
      <c r="B1983" s="393"/>
      <c r="C1983" s="428"/>
      <c r="D1983" s="428"/>
      <c r="E1983" s="224"/>
      <c r="F1983" s="224"/>
      <c r="G1983" s="224"/>
      <c r="H1983" s="224"/>
      <c r="I1983" s="224"/>
      <c r="J1983" s="224"/>
      <c r="Z1983" s="362"/>
      <c r="AA1983" s="362"/>
      <c r="AB1983" s="362"/>
      <c r="AC1983" s="362"/>
      <c r="AD1983" s="362"/>
      <c r="AE1983" s="362"/>
      <c r="AF1983" s="362"/>
      <c r="AG1983" s="362"/>
      <c r="AH1983" s="362"/>
      <c r="AI1983" s="360"/>
      <c r="AJ1983" s="360"/>
      <c r="AK1983" s="362"/>
      <c r="AL1983" s="362"/>
      <c r="AM1983" s="362"/>
      <c r="AN1983" s="362"/>
      <c r="AO1983" s="362"/>
      <c r="AP1983" s="362"/>
      <c r="AQ1983" s="362"/>
      <c r="AR1983" s="362"/>
    </row>
    <row r="1984" spans="1:44" ht="12" customHeight="1" x14ac:dyDescent="0.15">
      <c r="A1984" s="447"/>
      <c r="B1984" s="393"/>
      <c r="C1984" s="428"/>
      <c r="D1984" s="428"/>
      <c r="E1984" s="224"/>
      <c r="F1984" s="224"/>
      <c r="G1984" s="224"/>
      <c r="H1984" s="224"/>
      <c r="I1984" s="224"/>
      <c r="J1984" s="224"/>
      <c r="Z1984" s="362"/>
      <c r="AA1984" s="362"/>
      <c r="AB1984" s="362"/>
      <c r="AC1984" s="362"/>
      <c r="AD1984" s="362"/>
      <c r="AE1984" s="362"/>
      <c r="AF1984" s="362"/>
      <c r="AG1984" s="362"/>
      <c r="AH1984" s="362"/>
      <c r="AI1984" s="360"/>
      <c r="AJ1984" s="360"/>
      <c r="AK1984" s="362"/>
      <c r="AL1984" s="362"/>
      <c r="AM1984" s="362"/>
      <c r="AN1984" s="362"/>
      <c r="AO1984" s="362"/>
      <c r="AP1984" s="362"/>
      <c r="AQ1984" s="362"/>
      <c r="AR1984" s="362"/>
    </row>
    <row r="1985" spans="1:44" ht="12" customHeight="1" x14ac:dyDescent="0.15">
      <c r="A1985" s="447"/>
      <c r="B1985" s="393"/>
      <c r="C1985" s="428"/>
      <c r="D1985" s="428"/>
      <c r="E1985" s="224"/>
      <c r="F1985" s="224"/>
      <c r="G1985" s="224"/>
      <c r="H1985" s="224"/>
      <c r="I1985" s="224"/>
      <c r="J1985" s="224"/>
      <c r="Z1985" s="362"/>
      <c r="AA1985" s="362"/>
      <c r="AB1985" s="362"/>
      <c r="AC1985" s="362"/>
      <c r="AD1985" s="362"/>
      <c r="AE1985" s="362"/>
      <c r="AF1985" s="362"/>
      <c r="AG1985" s="362"/>
      <c r="AH1985" s="362"/>
      <c r="AI1985" s="360"/>
      <c r="AJ1985" s="360"/>
      <c r="AK1985" s="362"/>
      <c r="AL1985" s="362"/>
      <c r="AM1985" s="362"/>
      <c r="AN1985" s="362"/>
      <c r="AO1985" s="362"/>
      <c r="AP1985" s="362"/>
      <c r="AQ1985" s="362"/>
      <c r="AR1985" s="362"/>
    </row>
    <row r="1986" spans="1:44" ht="12" customHeight="1" x14ac:dyDescent="0.15">
      <c r="A1986" s="447"/>
      <c r="B1986" s="393"/>
      <c r="C1986" s="428"/>
      <c r="D1986" s="428"/>
      <c r="E1986" s="224"/>
      <c r="F1986" s="224"/>
      <c r="G1986" s="224"/>
      <c r="H1986" s="224"/>
      <c r="I1986" s="224"/>
      <c r="J1986" s="224"/>
      <c r="Z1986" s="362"/>
      <c r="AA1986" s="362"/>
      <c r="AB1986" s="362"/>
      <c r="AC1986" s="362"/>
      <c r="AD1986" s="362"/>
      <c r="AE1986" s="362"/>
      <c r="AF1986" s="362"/>
      <c r="AG1986" s="362"/>
      <c r="AH1986" s="362"/>
      <c r="AI1986" s="360"/>
      <c r="AJ1986" s="360"/>
      <c r="AK1986" s="362"/>
      <c r="AL1986" s="362"/>
      <c r="AM1986" s="362"/>
      <c r="AN1986" s="362"/>
      <c r="AO1986" s="362"/>
      <c r="AP1986" s="362"/>
      <c r="AQ1986" s="362"/>
      <c r="AR1986" s="362"/>
    </row>
    <row r="1987" spans="1:44" ht="12" customHeight="1" x14ac:dyDescent="0.15">
      <c r="A1987" s="447"/>
      <c r="B1987" s="393"/>
      <c r="C1987" s="428"/>
      <c r="D1987" s="428"/>
      <c r="E1987" s="224"/>
      <c r="F1987" s="224"/>
      <c r="G1987" s="224"/>
      <c r="H1987" s="224"/>
      <c r="I1987" s="224"/>
      <c r="J1987" s="224"/>
      <c r="Z1987" s="362"/>
      <c r="AA1987" s="362"/>
      <c r="AB1987" s="362"/>
      <c r="AC1987" s="362"/>
      <c r="AD1987" s="362"/>
      <c r="AE1987" s="362"/>
      <c r="AF1987" s="362"/>
      <c r="AG1987" s="362"/>
      <c r="AH1987" s="362"/>
      <c r="AI1987" s="360"/>
      <c r="AJ1987" s="360"/>
      <c r="AK1987" s="362"/>
      <c r="AL1987" s="362"/>
      <c r="AM1987" s="362"/>
      <c r="AN1987" s="362"/>
      <c r="AO1987" s="362"/>
      <c r="AP1987" s="362"/>
      <c r="AQ1987" s="362"/>
      <c r="AR1987" s="362"/>
    </row>
    <row r="1988" spans="1:44" ht="12" customHeight="1" x14ac:dyDescent="0.15">
      <c r="A1988" s="447"/>
      <c r="B1988" s="393"/>
      <c r="C1988" s="428"/>
      <c r="D1988" s="428"/>
      <c r="E1988" s="224"/>
      <c r="F1988" s="224"/>
      <c r="G1988" s="224"/>
      <c r="H1988" s="224"/>
      <c r="I1988" s="224"/>
      <c r="J1988" s="224"/>
      <c r="Z1988" s="362"/>
      <c r="AA1988" s="362"/>
      <c r="AB1988" s="362"/>
      <c r="AC1988" s="362"/>
      <c r="AD1988" s="362"/>
      <c r="AE1988" s="362"/>
      <c r="AF1988" s="362"/>
      <c r="AG1988" s="362"/>
      <c r="AH1988" s="362"/>
      <c r="AI1988" s="360"/>
      <c r="AJ1988" s="360"/>
      <c r="AK1988" s="362"/>
      <c r="AL1988" s="362"/>
      <c r="AM1988" s="362"/>
      <c r="AN1988" s="362"/>
      <c r="AO1988" s="362"/>
      <c r="AP1988" s="362"/>
      <c r="AQ1988" s="362"/>
      <c r="AR1988" s="362"/>
    </row>
    <row r="1989" spans="1:44" ht="12" customHeight="1" x14ac:dyDescent="0.15">
      <c r="A1989" s="447"/>
      <c r="B1989" s="393"/>
      <c r="C1989" s="428"/>
      <c r="D1989" s="428"/>
      <c r="E1989" s="224"/>
      <c r="F1989" s="224"/>
      <c r="G1989" s="224"/>
      <c r="H1989" s="224"/>
      <c r="I1989" s="224"/>
      <c r="J1989" s="224"/>
      <c r="Z1989" s="362"/>
      <c r="AA1989" s="362"/>
      <c r="AB1989" s="362"/>
      <c r="AC1989" s="362"/>
      <c r="AD1989" s="362"/>
      <c r="AE1989" s="362"/>
      <c r="AF1989" s="362"/>
      <c r="AG1989" s="362"/>
      <c r="AH1989" s="362"/>
      <c r="AI1989" s="360"/>
      <c r="AJ1989" s="360"/>
      <c r="AK1989" s="362"/>
      <c r="AL1989" s="362"/>
      <c r="AM1989" s="362"/>
      <c r="AN1989" s="362"/>
      <c r="AO1989" s="362"/>
      <c r="AP1989" s="362"/>
      <c r="AQ1989" s="362"/>
      <c r="AR1989" s="362"/>
    </row>
    <row r="1990" spans="1:44" ht="12" customHeight="1" x14ac:dyDescent="0.15">
      <c r="A1990" s="447"/>
      <c r="B1990" s="393"/>
      <c r="C1990" s="428"/>
      <c r="D1990" s="428"/>
      <c r="E1990" s="224"/>
      <c r="F1990" s="224"/>
      <c r="G1990" s="224"/>
      <c r="H1990" s="224"/>
      <c r="I1990" s="224"/>
      <c r="J1990" s="224"/>
      <c r="Z1990" s="362"/>
      <c r="AA1990" s="362"/>
      <c r="AB1990" s="362"/>
      <c r="AC1990" s="362"/>
      <c r="AD1990" s="362"/>
      <c r="AE1990" s="362"/>
      <c r="AF1990" s="362"/>
      <c r="AG1990" s="362"/>
      <c r="AH1990" s="362"/>
      <c r="AI1990" s="360"/>
      <c r="AJ1990" s="360"/>
      <c r="AK1990" s="362"/>
      <c r="AL1990" s="362"/>
      <c r="AM1990" s="362"/>
      <c r="AN1990" s="362"/>
      <c r="AO1990" s="362"/>
      <c r="AP1990" s="362"/>
      <c r="AQ1990" s="362"/>
      <c r="AR1990" s="362"/>
    </row>
    <row r="1991" spans="1:44" ht="12" customHeight="1" x14ac:dyDescent="0.15">
      <c r="A1991" s="447"/>
      <c r="B1991" s="393"/>
      <c r="C1991" s="428"/>
      <c r="D1991" s="428"/>
      <c r="E1991" s="224"/>
      <c r="F1991" s="224"/>
      <c r="G1991" s="224"/>
      <c r="H1991" s="224"/>
      <c r="I1991" s="224"/>
      <c r="J1991" s="224"/>
      <c r="Z1991" s="362"/>
      <c r="AA1991" s="362"/>
      <c r="AB1991" s="362"/>
      <c r="AC1991" s="362"/>
      <c r="AD1991" s="362"/>
      <c r="AE1991" s="362"/>
      <c r="AF1991" s="362"/>
      <c r="AG1991" s="362"/>
      <c r="AH1991" s="362"/>
      <c r="AI1991" s="360"/>
      <c r="AJ1991" s="360"/>
      <c r="AK1991" s="362"/>
      <c r="AL1991" s="362"/>
      <c r="AM1991" s="362"/>
      <c r="AN1991" s="362"/>
      <c r="AO1991" s="362"/>
      <c r="AP1991" s="362"/>
      <c r="AQ1991" s="362"/>
      <c r="AR1991" s="362"/>
    </row>
    <row r="1992" spans="1:44" ht="12" customHeight="1" x14ac:dyDescent="0.15">
      <c r="A1992" s="447"/>
      <c r="B1992" s="393"/>
      <c r="C1992" s="428"/>
      <c r="D1992" s="428"/>
      <c r="E1992" s="224"/>
      <c r="F1992" s="224"/>
      <c r="G1992" s="224"/>
      <c r="H1992" s="224"/>
      <c r="I1992" s="224"/>
      <c r="J1992" s="224"/>
      <c r="Z1992" s="362"/>
      <c r="AA1992" s="362"/>
      <c r="AB1992" s="362"/>
      <c r="AC1992" s="362"/>
      <c r="AD1992" s="362"/>
      <c r="AE1992" s="362"/>
      <c r="AF1992" s="362"/>
      <c r="AG1992" s="362"/>
      <c r="AH1992" s="362"/>
      <c r="AI1992" s="360"/>
      <c r="AJ1992" s="360"/>
      <c r="AK1992" s="362"/>
      <c r="AL1992" s="362"/>
      <c r="AM1992" s="362"/>
      <c r="AN1992" s="362"/>
      <c r="AO1992" s="362"/>
      <c r="AP1992" s="362"/>
      <c r="AQ1992" s="362"/>
      <c r="AR1992" s="362"/>
    </row>
    <row r="1993" spans="1:44" ht="12" customHeight="1" x14ac:dyDescent="0.15">
      <c r="A1993" s="447"/>
      <c r="B1993" s="393"/>
      <c r="C1993" s="428"/>
      <c r="D1993" s="428"/>
      <c r="E1993" s="224"/>
      <c r="F1993" s="224"/>
      <c r="G1993" s="224"/>
      <c r="H1993" s="224"/>
      <c r="I1993" s="224"/>
      <c r="J1993" s="224"/>
      <c r="Z1993" s="362"/>
      <c r="AA1993" s="362"/>
      <c r="AB1993" s="362"/>
      <c r="AC1993" s="362"/>
      <c r="AD1993" s="362"/>
      <c r="AE1993" s="362"/>
      <c r="AF1993" s="362"/>
      <c r="AG1993" s="362"/>
      <c r="AH1993" s="362"/>
      <c r="AI1993" s="360"/>
      <c r="AJ1993" s="360"/>
      <c r="AK1993" s="362"/>
      <c r="AL1993" s="362"/>
      <c r="AM1993" s="362"/>
      <c r="AN1993" s="362"/>
      <c r="AO1993" s="362"/>
      <c r="AP1993" s="362"/>
      <c r="AQ1993" s="362"/>
      <c r="AR1993" s="362"/>
    </row>
    <row r="1994" spans="1:44" ht="12" customHeight="1" x14ac:dyDescent="0.15">
      <c r="A1994" s="447"/>
      <c r="B1994" s="393"/>
      <c r="C1994" s="428"/>
      <c r="D1994" s="428"/>
      <c r="E1994" s="224"/>
      <c r="F1994" s="224"/>
      <c r="G1994" s="224"/>
      <c r="H1994" s="224"/>
      <c r="I1994" s="224"/>
      <c r="J1994" s="224"/>
      <c r="Z1994" s="362"/>
      <c r="AA1994" s="362"/>
      <c r="AB1994" s="362"/>
      <c r="AC1994" s="362"/>
      <c r="AD1994" s="362"/>
      <c r="AE1994" s="362"/>
      <c r="AF1994" s="362"/>
      <c r="AG1994" s="362"/>
      <c r="AH1994" s="362"/>
      <c r="AI1994" s="360"/>
      <c r="AJ1994" s="360"/>
      <c r="AK1994" s="362"/>
      <c r="AL1994" s="362"/>
      <c r="AM1994" s="362"/>
      <c r="AN1994" s="362"/>
      <c r="AO1994" s="362"/>
      <c r="AP1994" s="362"/>
      <c r="AQ1994" s="362"/>
      <c r="AR1994" s="362"/>
    </row>
    <row r="1995" spans="1:44" ht="12" customHeight="1" x14ac:dyDescent="0.15">
      <c r="A1995" s="447"/>
      <c r="B1995" s="393"/>
      <c r="C1995" s="428"/>
      <c r="D1995" s="428"/>
      <c r="E1995" s="224"/>
      <c r="F1995" s="224"/>
      <c r="G1995" s="224"/>
      <c r="H1995" s="224"/>
      <c r="I1995" s="224"/>
      <c r="J1995" s="224"/>
      <c r="Z1995" s="362"/>
      <c r="AA1995" s="362"/>
      <c r="AB1995" s="362"/>
      <c r="AC1995" s="362"/>
      <c r="AD1995" s="362"/>
      <c r="AE1995" s="362"/>
      <c r="AF1995" s="362"/>
      <c r="AG1995" s="362"/>
      <c r="AH1995" s="362"/>
      <c r="AI1995" s="360"/>
      <c r="AJ1995" s="360"/>
      <c r="AK1995" s="362"/>
      <c r="AL1995" s="362"/>
      <c r="AM1995" s="362"/>
      <c r="AN1995" s="362"/>
      <c r="AO1995" s="362"/>
      <c r="AP1995" s="362"/>
      <c r="AQ1995" s="362"/>
      <c r="AR1995" s="362"/>
    </row>
    <row r="1996" spans="1:44" ht="12" customHeight="1" x14ac:dyDescent="0.15">
      <c r="A1996" s="447"/>
      <c r="B1996" s="393"/>
      <c r="C1996" s="428"/>
      <c r="D1996" s="428"/>
      <c r="E1996" s="224"/>
      <c r="F1996" s="224"/>
      <c r="G1996" s="224"/>
      <c r="H1996" s="224"/>
      <c r="I1996" s="224"/>
      <c r="J1996" s="224"/>
      <c r="Z1996" s="362"/>
      <c r="AA1996" s="362"/>
      <c r="AB1996" s="362"/>
      <c r="AC1996" s="362"/>
      <c r="AD1996" s="362"/>
      <c r="AE1996" s="362"/>
      <c r="AF1996" s="362"/>
      <c r="AG1996" s="362"/>
      <c r="AH1996" s="362"/>
      <c r="AI1996" s="360"/>
      <c r="AJ1996" s="360"/>
      <c r="AK1996" s="362"/>
      <c r="AL1996" s="362"/>
      <c r="AM1996" s="362"/>
      <c r="AN1996" s="362"/>
      <c r="AO1996" s="362"/>
      <c r="AP1996" s="362"/>
      <c r="AQ1996" s="362"/>
      <c r="AR1996" s="362"/>
    </row>
    <row r="1997" spans="1:44" ht="12" customHeight="1" x14ac:dyDescent="0.15">
      <c r="A1997" s="447"/>
      <c r="B1997" s="393"/>
      <c r="C1997" s="428"/>
      <c r="D1997" s="428"/>
      <c r="E1997" s="224"/>
      <c r="F1997" s="224"/>
      <c r="G1997" s="224"/>
      <c r="H1997" s="224"/>
      <c r="I1997" s="224"/>
      <c r="J1997" s="224"/>
      <c r="Z1997" s="362"/>
      <c r="AA1997" s="362"/>
      <c r="AB1997" s="362"/>
      <c r="AC1997" s="362"/>
      <c r="AD1997" s="362"/>
      <c r="AE1997" s="362"/>
      <c r="AF1997" s="362"/>
      <c r="AG1997" s="362"/>
      <c r="AH1997" s="362"/>
      <c r="AI1997" s="360"/>
      <c r="AJ1997" s="360"/>
      <c r="AK1997" s="362"/>
      <c r="AL1997" s="362"/>
      <c r="AM1997" s="362"/>
      <c r="AN1997" s="362"/>
      <c r="AO1997" s="362"/>
      <c r="AP1997" s="362"/>
      <c r="AQ1997" s="362"/>
      <c r="AR1997" s="362"/>
    </row>
    <row r="1998" spans="1:44" ht="12" customHeight="1" x14ac:dyDescent="0.15">
      <c r="A1998" s="447"/>
      <c r="B1998" s="393"/>
      <c r="C1998" s="428"/>
      <c r="D1998" s="428"/>
      <c r="E1998" s="224"/>
      <c r="F1998" s="224"/>
      <c r="G1998" s="224"/>
      <c r="H1998" s="224"/>
      <c r="I1998" s="224"/>
      <c r="J1998" s="224"/>
      <c r="Z1998" s="362"/>
      <c r="AA1998" s="362"/>
      <c r="AB1998" s="362"/>
      <c r="AC1998" s="362"/>
      <c r="AD1998" s="362"/>
      <c r="AE1998" s="362"/>
      <c r="AF1998" s="362"/>
      <c r="AG1998" s="362"/>
      <c r="AH1998" s="362"/>
      <c r="AI1998" s="360"/>
      <c r="AJ1998" s="360"/>
      <c r="AK1998" s="362"/>
      <c r="AL1998" s="362"/>
      <c r="AM1998" s="362"/>
      <c r="AN1998" s="362"/>
      <c r="AO1998" s="362"/>
      <c r="AP1998" s="362"/>
      <c r="AQ1998" s="362"/>
      <c r="AR1998" s="362"/>
    </row>
    <row r="1999" spans="1:44" ht="12" customHeight="1" x14ac:dyDescent="0.15">
      <c r="A1999" s="447"/>
      <c r="B1999" s="393"/>
      <c r="C1999" s="428"/>
      <c r="D1999" s="428"/>
      <c r="E1999" s="224"/>
      <c r="F1999" s="224"/>
      <c r="G1999" s="224"/>
      <c r="H1999" s="224"/>
      <c r="I1999" s="224"/>
      <c r="J1999" s="224"/>
      <c r="Z1999" s="362"/>
      <c r="AA1999" s="362"/>
      <c r="AB1999" s="362"/>
      <c r="AC1999" s="362"/>
      <c r="AD1999" s="362"/>
      <c r="AE1999" s="362"/>
      <c r="AF1999" s="362"/>
      <c r="AG1999" s="362"/>
      <c r="AH1999" s="362"/>
      <c r="AI1999" s="360"/>
      <c r="AJ1999" s="360"/>
      <c r="AK1999" s="362"/>
      <c r="AL1999" s="362"/>
      <c r="AM1999" s="362"/>
      <c r="AN1999" s="362"/>
      <c r="AO1999" s="362"/>
      <c r="AP1999" s="362"/>
      <c r="AQ1999" s="362"/>
      <c r="AR1999" s="362"/>
    </row>
    <row r="2000" spans="1:44" ht="12" customHeight="1" x14ac:dyDescent="0.15">
      <c r="A2000" s="447"/>
      <c r="B2000" s="393"/>
      <c r="C2000" s="428"/>
      <c r="D2000" s="428"/>
      <c r="E2000" s="224"/>
      <c r="F2000" s="224"/>
      <c r="G2000" s="224"/>
      <c r="H2000" s="224"/>
      <c r="I2000" s="224"/>
      <c r="J2000" s="224"/>
      <c r="Z2000" s="362"/>
      <c r="AA2000" s="362"/>
      <c r="AB2000" s="362"/>
      <c r="AC2000" s="362"/>
      <c r="AD2000" s="362"/>
      <c r="AE2000" s="362"/>
      <c r="AF2000" s="362"/>
      <c r="AG2000" s="362"/>
      <c r="AH2000" s="362"/>
      <c r="AI2000" s="360"/>
      <c r="AJ2000" s="360"/>
      <c r="AK2000" s="362"/>
      <c r="AL2000" s="362"/>
      <c r="AM2000" s="362"/>
      <c r="AN2000" s="362"/>
      <c r="AO2000" s="362"/>
      <c r="AP2000" s="362"/>
      <c r="AQ2000" s="362"/>
      <c r="AR2000" s="362"/>
    </row>
    <row r="2001" spans="1:44" ht="12" customHeight="1" x14ac:dyDescent="0.15">
      <c r="A2001" s="447"/>
      <c r="B2001" s="393"/>
      <c r="C2001" s="428"/>
      <c r="D2001" s="428"/>
      <c r="E2001" s="224"/>
      <c r="F2001" s="224"/>
      <c r="G2001" s="224"/>
      <c r="H2001" s="224"/>
      <c r="I2001" s="224"/>
      <c r="J2001" s="224"/>
      <c r="Z2001" s="362"/>
      <c r="AA2001" s="362"/>
      <c r="AB2001" s="362"/>
      <c r="AC2001" s="362"/>
      <c r="AD2001" s="362"/>
      <c r="AE2001" s="362"/>
      <c r="AF2001" s="362"/>
      <c r="AG2001" s="362"/>
      <c r="AH2001" s="362"/>
      <c r="AI2001" s="360"/>
      <c r="AJ2001" s="360"/>
      <c r="AK2001" s="362"/>
      <c r="AL2001" s="362"/>
      <c r="AM2001" s="362"/>
      <c r="AN2001" s="362"/>
      <c r="AO2001" s="362"/>
      <c r="AP2001" s="362"/>
      <c r="AQ2001" s="362"/>
      <c r="AR2001" s="362"/>
    </row>
    <row r="2002" spans="1:44" ht="12" customHeight="1" x14ac:dyDescent="0.15">
      <c r="A2002" s="447"/>
      <c r="B2002" s="393"/>
      <c r="C2002" s="428"/>
      <c r="D2002" s="428"/>
      <c r="E2002" s="224"/>
      <c r="F2002" s="224"/>
      <c r="G2002" s="224"/>
      <c r="H2002" s="224"/>
      <c r="I2002" s="224"/>
      <c r="J2002" s="224"/>
      <c r="Z2002" s="362"/>
      <c r="AA2002" s="362"/>
      <c r="AB2002" s="362"/>
      <c r="AC2002" s="362"/>
      <c r="AD2002" s="362"/>
      <c r="AE2002" s="362"/>
      <c r="AF2002" s="362"/>
      <c r="AG2002" s="362"/>
      <c r="AH2002" s="362"/>
      <c r="AI2002" s="360"/>
      <c r="AJ2002" s="360"/>
      <c r="AK2002" s="362"/>
      <c r="AL2002" s="362"/>
      <c r="AM2002" s="362"/>
      <c r="AN2002" s="362"/>
      <c r="AO2002" s="362"/>
      <c r="AP2002" s="362"/>
      <c r="AQ2002" s="362"/>
      <c r="AR2002" s="362"/>
    </row>
    <row r="2003" spans="1:44" ht="12" customHeight="1" x14ac:dyDescent="0.15">
      <c r="A2003" s="447"/>
      <c r="B2003" s="393"/>
      <c r="C2003" s="428"/>
      <c r="D2003" s="428"/>
      <c r="E2003" s="224"/>
      <c r="F2003" s="224"/>
      <c r="G2003" s="224"/>
      <c r="H2003" s="224"/>
      <c r="I2003" s="224"/>
      <c r="J2003" s="224"/>
      <c r="Z2003" s="362"/>
      <c r="AA2003" s="362"/>
      <c r="AB2003" s="362"/>
      <c r="AC2003" s="362"/>
      <c r="AD2003" s="362"/>
      <c r="AE2003" s="362"/>
      <c r="AF2003" s="362"/>
      <c r="AG2003" s="362"/>
      <c r="AH2003" s="362"/>
      <c r="AI2003" s="360"/>
      <c r="AJ2003" s="360"/>
      <c r="AK2003" s="362"/>
      <c r="AL2003" s="362"/>
      <c r="AM2003" s="362"/>
      <c r="AN2003" s="362"/>
      <c r="AO2003" s="362"/>
      <c r="AP2003" s="362"/>
      <c r="AQ2003" s="362"/>
      <c r="AR2003" s="362"/>
    </row>
    <row r="2004" spans="1:44" ht="12" customHeight="1" x14ac:dyDescent="0.15">
      <c r="A2004" s="447"/>
      <c r="B2004" s="393"/>
      <c r="C2004" s="428"/>
      <c r="D2004" s="428"/>
      <c r="E2004" s="224"/>
      <c r="F2004" s="224"/>
      <c r="G2004" s="224"/>
      <c r="H2004" s="224"/>
      <c r="I2004" s="224"/>
      <c r="J2004" s="224"/>
      <c r="Z2004" s="362"/>
      <c r="AA2004" s="362"/>
      <c r="AB2004" s="362"/>
      <c r="AC2004" s="362"/>
      <c r="AD2004" s="362"/>
      <c r="AE2004" s="362"/>
      <c r="AF2004" s="362"/>
      <c r="AG2004" s="362"/>
      <c r="AH2004" s="362"/>
      <c r="AI2004" s="360"/>
      <c r="AJ2004" s="360"/>
      <c r="AK2004" s="362"/>
      <c r="AL2004" s="362"/>
      <c r="AM2004" s="362"/>
      <c r="AN2004" s="362"/>
      <c r="AO2004" s="362"/>
      <c r="AP2004" s="362"/>
      <c r="AQ2004" s="362"/>
      <c r="AR2004" s="362"/>
    </row>
    <row r="2005" spans="1:44" ht="12" customHeight="1" x14ac:dyDescent="0.15">
      <c r="A2005" s="447"/>
      <c r="B2005" s="393"/>
      <c r="C2005" s="428"/>
      <c r="D2005" s="428"/>
      <c r="E2005" s="224"/>
      <c r="F2005" s="224"/>
      <c r="G2005" s="224"/>
      <c r="H2005" s="224"/>
      <c r="I2005" s="224"/>
      <c r="J2005" s="224"/>
      <c r="Z2005" s="362"/>
      <c r="AA2005" s="362"/>
      <c r="AB2005" s="362"/>
      <c r="AC2005" s="362"/>
      <c r="AD2005" s="362"/>
      <c r="AE2005" s="362"/>
      <c r="AF2005" s="362"/>
      <c r="AG2005" s="362"/>
      <c r="AH2005" s="362"/>
      <c r="AI2005" s="360"/>
      <c r="AJ2005" s="360"/>
      <c r="AK2005" s="362"/>
      <c r="AL2005" s="362"/>
      <c r="AM2005" s="362"/>
      <c r="AN2005" s="362"/>
      <c r="AO2005" s="362"/>
      <c r="AP2005" s="362"/>
      <c r="AQ2005" s="362"/>
      <c r="AR2005" s="362"/>
    </row>
    <row r="2006" spans="1:44" ht="12" customHeight="1" x14ac:dyDescent="0.15">
      <c r="A2006" s="447"/>
      <c r="B2006" s="393"/>
      <c r="C2006" s="428"/>
      <c r="D2006" s="428"/>
      <c r="E2006" s="224"/>
      <c r="F2006" s="224"/>
      <c r="G2006" s="224"/>
      <c r="H2006" s="224"/>
      <c r="I2006" s="224"/>
      <c r="J2006" s="224"/>
      <c r="Z2006" s="362"/>
      <c r="AA2006" s="362"/>
      <c r="AB2006" s="362"/>
      <c r="AC2006" s="362"/>
      <c r="AD2006" s="362"/>
      <c r="AE2006" s="362"/>
      <c r="AF2006" s="362"/>
      <c r="AG2006" s="362"/>
      <c r="AH2006" s="362"/>
      <c r="AI2006" s="360"/>
      <c r="AJ2006" s="360"/>
      <c r="AK2006" s="362"/>
      <c r="AL2006" s="362"/>
      <c r="AM2006" s="362"/>
      <c r="AN2006" s="362"/>
      <c r="AO2006" s="362"/>
      <c r="AP2006" s="362"/>
      <c r="AQ2006" s="362"/>
      <c r="AR2006" s="362"/>
    </row>
    <row r="2007" spans="1:44" ht="12" customHeight="1" x14ac:dyDescent="0.15">
      <c r="A2007" s="447"/>
      <c r="B2007" s="393"/>
      <c r="C2007" s="428"/>
      <c r="D2007" s="428"/>
      <c r="E2007" s="224"/>
      <c r="F2007" s="224"/>
      <c r="G2007" s="224"/>
      <c r="H2007" s="224"/>
      <c r="I2007" s="224"/>
      <c r="J2007" s="224"/>
      <c r="Z2007" s="362"/>
      <c r="AA2007" s="362"/>
      <c r="AB2007" s="362"/>
      <c r="AC2007" s="362"/>
      <c r="AD2007" s="362"/>
      <c r="AE2007" s="362"/>
      <c r="AF2007" s="362"/>
      <c r="AG2007" s="362"/>
      <c r="AH2007" s="362"/>
      <c r="AI2007" s="360"/>
      <c r="AJ2007" s="360"/>
      <c r="AK2007" s="362"/>
      <c r="AL2007" s="362"/>
      <c r="AM2007" s="362"/>
      <c r="AN2007" s="362"/>
      <c r="AO2007" s="362"/>
      <c r="AP2007" s="362"/>
      <c r="AQ2007" s="362"/>
      <c r="AR2007" s="362"/>
    </row>
    <row r="2008" spans="1:44" ht="12" customHeight="1" x14ac:dyDescent="0.15">
      <c r="A2008" s="447"/>
      <c r="B2008" s="393"/>
      <c r="C2008" s="428"/>
      <c r="D2008" s="428"/>
      <c r="E2008" s="224"/>
      <c r="F2008" s="224"/>
      <c r="G2008" s="224"/>
      <c r="H2008" s="224"/>
      <c r="I2008" s="224"/>
      <c r="J2008" s="224"/>
      <c r="Z2008" s="362"/>
      <c r="AA2008" s="362"/>
      <c r="AB2008" s="362"/>
      <c r="AC2008" s="362"/>
      <c r="AD2008" s="362"/>
      <c r="AE2008" s="362"/>
      <c r="AF2008" s="362"/>
      <c r="AG2008" s="362"/>
      <c r="AH2008" s="362"/>
      <c r="AI2008" s="360"/>
      <c r="AJ2008" s="360"/>
      <c r="AK2008" s="362"/>
      <c r="AL2008" s="362"/>
      <c r="AM2008" s="362"/>
      <c r="AN2008" s="362"/>
      <c r="AO2008" s="362"/>
      <c r="AP2008" s="362"/>
      <c r="AQ2008" s="362"/>
      <c r="AR2008" s="362"/>
    </row>
    <row r="2009" spans="1:44" ht="12" customHeight="1" x14ac:dyDescent="0.15">
      <c r="A2009" s="447"/>
      <c r="B2009" s="393"/>
      <c r="C2009" s="428"/>
      <c r="D2009" s="428"/>
      <c r="E2009" s="224"/>
      <c r="F2009" s="224"/>
      <c r="G2009" s="224"/>
      <c r="H2009" s="224"/>
      <c r="I2009" s="224"/>
      <c r="J2009" s="224"/>
      <c r="Z2009" s="362"/>
      <c r="AA2009" s="362"/>
      <c r="AB2009" s="362"/>
      <c r="AC2009" s="362"/>
      <c r="AD2009" s="362"/>
      <c r="AE2009" s="362"/>
      <c r="AF2009" s="362"/>
      <c r="AG2009" s="362"/>
      <c r="AH2009" s="362"/>
      <c r="AI2009" s="360"/>
      <c r="AJ2009" s="360"/>
      <c r="AK2009" s="362"/>
      <c r="AL2009" s="362"/>
      <c r="AM2009" s="362"/>
      <c r="AN2009" s="362"/>
      <c r="AO2009" s="362"/>
      <c r="AP2009" s="362"/>
      <c r="AQ2009" s="362"/>
      <c r="AR2009" s="362"/>
    </row>
    <row r="2010" spans="1:44" ht="12" customHeight="1" x14ac:dyDescent="0.15">
      <c r="A2010" s="447"/>
      <c r="B2010" s="393"/>
      <c r="C2010" s="428"/>
      <c r="D2010" s="428"/>
      <c r="E2010" s="224"/>
      <c r="F2010" s="224"/>
      <c r="G2010" s="224"/>
      <c r="H2010" s="224"/>
      <c r="I2010" s="224"/>
      <c r="J2010" s="224"/>
      <c r="Z2010" s="362"/>
      <c r="AA2010" s="362"/>
      <c r="AB2010" s="362"/>
      <c r="AC2010" s="362"/>
      <c r="AD2010" s="362"/>
      <c r="AE2010" s="362"/>
      <c r="AF2010" s="362"/>
      <c r="AG2010" s="362"/>
      <c r="AH2010" s="362"/>
      <c r="AI2010" s="360"/>
      <c r="AJ2010" s="360"/>
      <c r="AK2010" s="362"/>
      <c r="AL2010" s="362"/>
      <c r="AM2010" s="362"/>
      <c r="AN2010" s="362"/>
      <c r="AO2010" s="362"/>
      <c r="AP2010" s="362"/>
      <c r="AQ2010" s="362"/>
      <c r="AR2010" s="362"/>
    </row>
    <row r="2011" spans="1:44" ht="12" customHeight="1" x14ac:dyDescent="0.15">
      <c r="A2011" s="447"/>
      <c r="B2011" s="393"/>
      <c r="C2011" s="428"/>
      <c r="D2011" s="428"/>
      <c r="E2011" s="224"/>
      <c r="F2011" s="224"/>
      <c r="G2011" s="224"/>
      <c r="H2011" s="224"/>
      <c r="I2011" s="224"/>
      <c r="J2011" s="224"/>
      <c r="Z2011" s="362"/>
      <c r="AA2011" s="362"/>
      <c r="AB2011" s="362"/>
      <c r="AC2011" s="362"/>
      <c r="AD2011" s="362"/>
      <c r="AE2011" s="362"/>
      <c r="AF2011" s="362"/>
      <c r="AG2011" s="362"/>
      <c r="AH2011" s="362"/>
      <c r="AI2011" s="360"/>
      <c r="AJ2011" s="360"/>
      <c r="AK2011" s="362"/>
      <c r="AL2011" s="362"/>
      <c r="AM2011" s="362"/>
      <c r="AN2011" s="362"/>
      <c r="AO2011" s="362"/>
      <c r="AP2011" s="362"/>
      <c r="AQ2011" s="362"/>
      <c r="AR2011" s="362"/>
    </row>
    <row r="2012" spans="1:44" ht="12" customHeight="1" x14ac:dyDescent="0.15">
      <c r="A2012" s="447"/>
      <c r="B2012" s="393"/>
      <c r="C2012" s="428"/>
      <c r="D2012" s="428"/>
      <c r="E2012" s="224"/>
      <c r="F2012" s="224"/>
      <c r="G2012" s="224"/>
      <c r="H2012" s="224"/>
      <c r="I2012" s="224"/>
      <c r="J2012" s="224"/>
      <c r="Z2012" s="362"/>
      <c r="AA2012" s="362"/>
      <c r="AB2012" s="362"/>
      <c r="AC2012" s="362"/>
      <c r="AD2012" s="362"/>
      <c r="AE2012" s="362"/>
      <c r="AF2012" s="362"/>
      <c r="AG2012" s="362"/>
      <c r="AH2012" s="362"/>
      <c r="AI2012" s="360"/>
      <c r="AJ2012" s="360"/>
      <c r="AK2012" s="362"/>
      <c r="AL2012" s="362"/>
      <c r="AM2012" s="362"/>
      <c r="AN2012" s="362"/>
      <c r="AO2012" s="362"/>
      <c r="AP2012" s="362"/>
      <c r="AQ2012" s="362"/>
      <c r="AR2012" s="362"/>
    </row>
    <row r="2013" spans="1:44" ht="12" customHeight="1" x14ac:dyDescent="0.15">
      <c r="A2013" s="447"/>
      <c r="B2013" s="393"/>
      <c r="C2013" s="428"/>
      <c r="D2013" s="428"/>
      <c r="E2013" s="224"/>
      <c r="F2013" s="224"/>
      <c r="G2013" s="224"/>
      <c r="H2013" s="224"/>
      <c r="I2013" s="224"/>
      <c r="J2013" s="224"/>
      <c r="Z2013" s="362"/>
      <c r="AA2013" s="362"/>
      <c r="AB2013" s="362"/>
      <c r="AC2013" s="362"/>
      <c r="AD2013" s="362"/>
      <c r="AE2013" s="362"/>
      <c r="AF2013" s="362"/>
      <c r="AG2013" s="362"/>
      <c r="AH2013" s="362"/>
      <c r="AI2013" s="360"/>
      <c r="AJ2013" s="360"/>
      <c r="AK2013" s="362"/>
      <c r="AL2013" s="362"/>
      <c r="AM2013" s="362"/>
      <c r="AN2013" s="362"/>
      <c r="AO2013" s="362"/>
      <c r="AP2013" s="362"/>
      <c r="AQ2013" s="362"/>
      <c r="AR2013" s="362"/>
    </row>
    <row r="2014" spans="1:44" ht="12" customHeight="1" x14ac:dyDescent="0.15">
      <c r="A2014" s="447"/>
      <c r="B2014" s="393"/>
      <c r="C2014" s="428"/>
      <c r="D2014" s="428"/>
      <c r="E2014" s="224"/>
      <c r="F2014" s="224"/>
      <c r="G2014" s="224"/>
      <c r="H2014" s="224"/>
      <c r="I2014" s="224"/>
      <c r="J2014" s="224"/>
      <c r="Z2014" s="362"/>
      <c r="AA2014" s="362"/>
      <c r="AB2014" s="362"/>
      <c r="AC2014" s="362"/>
      <c r="AD2014" s="362"/>
      <c r="AE2014" s="362"/>
      <c r="AF2014" s="362"/>
      <c r="AG2014" s="362"/>
      <c r="AH2014" s="362"/>
      <c r="AI2014" s="360"/>
      <c r="AJ2014" s="360"/>
      <c r="AK2014" s="362"/>
      <c r="AL2014" s="362"/>
      <c r="AM2014" s="362"/>
      <c r="AN2014" s="362"/>
      <c r="AO2014" s="362"/>
      <c r="AP2014" s="362"/>
      <c r="AQ2014" s="362"/>
      <c r="AR2014" s="362"/>
    </row>
    <row r="2015" spans="1:44" ht="12" customHeight="1" x14ac:dyDescent="0.15">
      <c r="A2015" s="447"/>
      <c r="B2015" s="393"/>
      <c r="C2015" s="428"/>
      <c r="D2015" s="428"/>
      <c r="E2015" s="224"/>
      <c r="F2015" s="224"/>
      <c r="G2015" s="224"/>
      <c r="H2015" s="224"/>
      <c r="I2015" s="224"/>
      <c r="J2015" s="224"/>
      <c r="Z2015" s="362"/>
      <c r="AA2015" s="362"/>
      <c r="AB2015" s="362"/>
      <c r="AC2015" s="362"/>
      <c r="AD2015" s="362"/>
      <c r="AE2015" s="362"/>
      <c r="AF2015" s="362"/>
      <c r="AG2015" s="362"/>
      <c r="AH2015" s="362"/>
      <c r="AI2015" s="360"/>
      <c r="AJ2015" s="360"/>
      <c r="AK2015" s="362"/>
      <c r="AL2015" s="362"/>
      <c r="AM2015" s="362"/>
      <c r="AN2015" s="362"/>
      <c r="AO2015" s="362"/>
      <c r="AP2015" s="362"/>
      <c r="AQ2015" s="362"/>
      <c r="AR2015" s="362"/>
    </row>
    <row r="2016" spans="1:44" ht="12" customHeight="1" x14ac:dyDescent="0.15">
      <c r="A2016" s="447"/>
      <c r="B2016" s="393"/>
      <c r="C2016" s="428"/>
      <c r="D2016" s="428"/>
      <c r="E2016" s="224"/>
      <c r="F2016" s="224"/>
      <c r="G2016" s="224"/>
      <c r="H2016" s="224"/>
      <c r="I2016" s="224"/>
      <c r="J2016" s="224"/>
      <c r="Z2016" s="362"/>
      <c r="AA2016" s="362"/>
      <c r="AB2016" s="362"/>
      <c r="AC2016" s="362"/>
      <c r="AD2016" s="362"/>
      <c r="AE2016" s="362"/>
      <c r="AF2016" s="362"/>
      <c r="AG2016" s="362"/>
      <c r="AH2016" s="362"/>
      <c r="AI2016" s="360"/>
      <c r="AJ2016" s="360"/>
      <c r="AK2016" s="362"/>
      <c r="AL2016" s="362"/>
      <c r="AM2016" s="362"/>
      <c r="AN2016" s="362"/>
      <c r="AO2016" s="362"/>
      <c r="AP2016" s="362"/>
      <c r="AQ2016" s="362"/>
      <c r="AR2016" s="362"/>
    </row>
    <row r="2017" spans="1:44" ht="12" customHeight="1" x14ac:dyDescent="0.15">
      <c r="A2017" s="447"/>
      <c r="B2017" s="393"/>
      <c r="C2017" s="428"/>
      <c r="D2017" s="428"/>
      <c r="E2017" s="224"/>
      <c r="F2017" s="224"/>
      <c r="G2017" s="224"/>
      <c r="H2017" s="224"/>
      <c r="I2017" s="224"/>
      <c r="J2017" s="224"/>
      <c r="Z2017" s="362"/>
      <c r="AA2017" s="362"/>
      <c r="AB2017" s="362"/>
      <c r="AC2017" s="362"/>
      <c r="AD2017" s="362"/>
      <c r="AE2017" s="362"/>
      <c r="AF2017" s="362"/>
      <c r="AG2017" s="362"/>
      <c r="AH2017" s="362"/>
      <c r="AI2017" s="360"/>
      <c r="AJ2017" s="360"/>
      <c r="AK2017" s="362"/>
      <c r="AL2017" s="362"/>
      <c r="AM2017" s="362"/>
      <c r="AN2017" s="362"/>
      <c r="AO2017" s="362"/>
      <c r="AP2017" s="362"/>
      <c r="AQ2017" s="362"/>
      <c r="AR2017" s="362"/>
    </row>
    <row r="1048576" ht="12" customHeight="1" x14ac:dyDescent="0.15"/>
  </sheetData>
  <mergeCells count="5">
    <mergeCell ref="C1:K1"/>
    <mergeCell ref="C5:G5"/>
    <mergeCell ref="AI10:AJ10"/>
    <mergeCell ref="L10:S10"/>
    <mergeCell ref="AI5:AJ5"/>
  </mergeCells>
  <pageMargins left="0.7" right="0.7" top="0.75" bottom="0.75" header="0.511811023622047" footer="0.511811023622047"/>
  <pageSetup paperSize="9" orientation="portrait" horizontalDpi="300" verticalDpi="300"/>
  <drawing r:id="rId1"/>
  <mc:AlternateContent xmlns:mc="http://schemas.openxmlformats.org/markup-compatibility/2006">
    <mc:Choice Requires="v">
      <legacyDrawing r:id="rId2"/>
    </mc:Choice>
  </mc:AlternateContent>
  <controls>
    <control shapeId="1001" r:id="rId3" name="Button 5">
      <controlPr defaultSize="0" autoFill="0" autoPict="0" macro="Module3.Simulation">
        <anchor moveWithCells="1">
          <from>
            <xdr:col>2</xdr:col>
            <xdr:colOff>215900</xdr:colOff>
            <xdr:row>1</xdr:row>
            <xdr:rowOff>215900</xdr:rowOff>
          </from>
          <to>
            <xdr:col>3</xdr:col>
            <xdr:colOff>330200</xdr:colOff>
            <xdr:row>2</xdr:row>
            <xdr:rowOff>50800</xdr:rowOff>
          </to>
        </anchor>
      </controlPr>
    </control>
  </controls>
</worksheet>
</file>

<file path=xl/worksheets/sheet1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1001"/>
  <sheetViews>
    <sheetView zoomScale="70" zoomScaleNormal="70" workbookViewId="0">
      <selection activeCell="I35" sqref="I35"/>
    </sheetView>
  </sheetViews>
  <sheetFormatPr baseColWidth="10" defaultColWidth="8.83203125" defaultRowHeight="13" x14ac:dyDescent="0.15"/>
  <cols>
    <col min="1" max="1" width="17.83203125" style="448" customWidth="1"/>
    <col min="2" max="2" width="34.5" style="448" customWidth="1"/>
    <col min="3" max="4" width="8.83203125" style="429" customWidth="1"/>
    <col min="5" max="16384" width="8.83203125" style="429"/>
  </cols>
  <sheetData>
    <row r="1" spans="1:2" ht="48" customHeight="1" x14ac:dyDescent="0.15">
      <c r="A1" s="449" t="s">
        <v>730</v>
      </c>
      <c r="B1" s="449" t="s">
        <v>731</v>
      </c>
    </row>
    <row r="2" spans="1:2" ht="12" customHeight="1" x14ac:dyDescent="0.15">
      <c r="A2" s="448">
        <f>Simulation!O18</f>
        <v>0.31909805528831958</v>
      </c>
      <c r="B2" s="448">
        <f>Simulation!M18</f>
        <v>407365.10959025193</v>
      </c>
    </row>
    <row r="3" spans="1:2" ht="12" customHeight="1" x14ac:dyDescent="0.15">
      <c r="A3" s="448">
        <f>Simulation!O19</f>
        <v>0.13947341884160114</v>
      </c>
      <c r="B3" s="448">
        <f>Simulation!M19</f>
        <v>392946.01379324554</v>
      </c>
    </row>
    <row r="4" spans="1:2" ht="12" customHeight="1" x14ac:dyDescent="0.15">
      <c r="A4" s="448">
        <f>Simulation!O20</f>
        <v>-8.5285814768488954E-2</v>
      </c>
      <c r="B4" s="448">
        <f>Simulation!M20</f>
        <v>357418.54655915638</v>
      </c>
    </row>
    <row r="5" spans="1:2" ht="12" customHeight="1" x14ac:dyDescent="0.15">
      <c r="A5" s="448">
        <f>Simulation!O21</f>
        <v>-4.0815347058308138E-2</v>
      </c>
      <c r="B5" s="448">
        <f>Simulation!M21</f>
        <v>371905.1933592764</v>
      </c>
    </row>
    <row r="6" spans="1:2" ht="12" customHeight="1" x14ac:dyDescent="0.15">
      <c r="A6" s="448">
        <f>Simulation!O22</f>
        <v>0.30533355592639388</v>
      </c>
      <c r="B6" s="448">
        <f>Simulation!M22</f>
        <v>439264.48308019701</v>
      </c>
    </row>
    <row r="7" spans="1:2" ht="12" customHeight="1" x14ac:dyDescent="0.15">
      <c r="A7" s="448">
        <f>Simulation!O23</f>
        <v>0.68564029314004049</v>
      </c>
      <c r="B7" s="448">
        <f>Simulation!M23</f>
        <v>522045.54991897783</v>
      </c>
    </row>
    <row r="8" spans="1:2" ht="12" customHeight="1" x14ac:dyDescent="0.15">
      <c r="A8" s="448">
        <f>Simulation!O24</f>
        <v>0.16155685781735141</v>
      </c>
      <c r="B8" s="448">
        <f>Simulation!M24</f>
        <v>352829.16323479317</v>
      </c>
    </row>
    <row r="9" spans="1:2" ht="12" customHeight="1" x14ac:dyDescent="0.15">
      <c r="A9" s="448">
        <f>Simulation!O25</f>
        <v>0.2107052932705078</v>
      </c>
      <c r="B9" s="448">
        <f>Simulation!M25</f>
        <v>391762.40230365499</v>
      </c>
    </row>
    <row r="10" spans="1:2" ht="12" customHeight="1" x14ac:dyDescent="0.15">
      <c r="A10" s="448">
        <f>Simulation!O26</f>
        <v>0.62875456507794092</v>
      </c>
      <c r="B10" s="448">
        <f>Simulation!M26</f>
        <v>477601.95278171403</v>
      </c>
    </row>
    <row r="11" spans="1:2" ht="12" customHeight="1" x14ac:dyDescent="0.15">
      <c r="A11" s="448">
        <f>Simulation!O27</f>
        <v>0.27560088369615765</v>
      </c>
      <c r="B11" s="448">
        <f>Simulation!M27</f>
        <v>442002.93391911103</v>
      </c>
    </row>
    <row r="12" spans="1:2" ht="12" customHeight="1" x14ac:dyDescent="0.15">
      <c r="A12" s="448">
        <f>Simulation!O28</f>
        <v>0.29176602684958142</v>
      </c>
      <c r="B12" s="448">
        <f>Simulation!M28</f>
        <v>412835.40017314069</v>
      </c>
    </row>
    <row r="13" spans="1:2" ht="12" customHeight="1" x14ac:dyDescent="0.15">
      <c r="A13" s="448">
        <f>Simulation!O29</f>
        <v>0.25721457733937836</v>
      </c>
      <c r="B13" s="448">
        <f>Simulation!M29</f>
        <v>384572.15907129063</v>
      </c>
    </row>
    <row r="14" spans="1:2" ht="12" customHeight="1" x14ac:dyDescent="0.15">
      <c r="A14" s="448">
        <f>Simulation!O30</f>
        <v>0.41845569620978473</v>
      </c>
      <c r="B14" s="448">
        <f>Simulation!M30</f>
        <v>392295.72228704818</v>
      </c>
    </row>
    <row r="15" spans="1:2" ht="12" customHeight="1" x14ac:dyDescent="0.15">
      <c r="A15" s="448">
        <f>Simulation!O31</f>
        <v>0.39111311611944277</v>
      </c>
      <c r="B15" s="448">
        <f>Simulation!M31</f>
        <v>368297.36685077153</v>
      </c>
    </row>
    <row r="16" spans="1:2" ht="12" customHeight="1" x14ac:dyDescent="0.15">
      <c r="A16" s="448">
        <f>Simulation!O32</f>
        <v>0.57755870289623346</v>
      </c>
      <c r="B16" s="448">
        <f>Simulation!M32</f>
        <v>532989.24398542475</v>
      </c>
    </row>
    <row r="17" spans="1:2" ht="12" customHeight="1" x14ac:dyDescent="0.15">
      <c r="A17" s="448">
        <f>Simulation!O33</f>
        <v>0.41085471464140655</v>
      </c>
      <c r="B17" s="448">
        <f>Simulation!M33</f>
        <v>434823.22947125993</v>
      </c>
    </row>
    <row r="18" spans="1:2" ht="12" customHeight="1" x14ac:dyDescent="0.15">
      <c r="A18" s="448">
        <f>Simulation!O34</f>
        <v>0.50767739629589359</v>
      </c>
      <c r="B18" s="448">
        <f>Simulation!M34</f>
        <v>435617.80854456965</v>
      </c>
    </row>
    <row r="19" spans="1:2" ht="12" customHeight="1" x14ac:dyDescent="0.15">
      <c r="A19" s="448">
        <f>Simulation!O35</f>
        <v>5.5248917846111301E-2</v>
      </c>
      <c r="B19" s="448">
        <f>Simulation!M35</f>
        <v>423648.0006739184</v>
      </c>
    </row>
    <row r="20" spans="1:2" ht="12" customHeight="1" x14ac:dyDescent="0.15">
      <c r="A20" s="448">
        <f>Simulation!O36</f>
        <v>0.39703407829865855</v>
      </c>
      <c r="B20" s="448">
        <f>Simulation!M36</f>
        <v>417715.78489986708</v>
      </c>
    </row>
    <row r="21" spans="1:2" ht="12" customHeight="1" x14ac:dyDescent="0.15">
      <c r="A21" s="448">
        <f>Simulation!O37</f>
        <v>0.79049218569406277</v>
      </c>
      <c r="B21" s="448">
        <f>Simulation!M37</f>
        <v>480157.07193504763</v>
      </c>
    </row>
    <row r="22" spans="1:2" ht="12" customHeight="1" x14ac:dyDescent="0.15">
      <c r="A22" s="448">
        <f>Simulation!O38</f>
        <v>0.72277057921450405</v>
      </c>
      <c r="B22" s="448">
        <f>Simulation!M38</f>
        <v>491606.19125639671</v>
      </c>
    </row>
    <row r="23" spans="1:2" ht="12" customHeight="1" x14ac:dyDescent="0.15">
      <c r="A23" s="448">
        <f>Simulation!O39</f>
        <v>0.55514808994976894</v>
      </c>
      <c r="B23" s="448">
        <f>Simulation!M39</f>
        <v>404201.37253225641</v>
      </c>
    </row>
    <row r="24" spans="1:2" ht="12" customHeight="1" x14ac:dyDescent="0.15">
      <c r="A24" s="448">
        <f>Simulation!O40</f>
        <v>0.35241953288566608</v>
      </c>
      <c r="B24" s="448">
        <f>Simulation!M40</f>
        <v>406463.59475966182</v>
      </c>
    </row>
    <row r="25" spans="1:2" ht="12" customHeight="1" x14ac:dyDescent="0.15">
      <c r="A25" s="448">
        <f>Simulation!O41</f>
        <v>-6.9768126201568137E-3</v>
      </c>
      <c r="B25" s="448">
        <f>Simulation!M41</f>
        <v>468858.54377545964</v>
      </c>
    </row>
    <row r="26" spans="1:2" ht="12" customHeight="1" x14ac:dyDescent="0.15">
      <c r="A26" s="448">
        <f>Simulation!O42</f>
        <v>0.34521199219736998</v>
      </c>
      <c r="B26" s="448">
        <f>Simulation!M42</f>
        <v>430526.98976892105</v>
      </c>
    </row>
    <row r="27" spans="1:2" ht="12" customHeight="1" x14ac:dyDescent="0.15">
      <c r="A27" s="448">
        <f>Simulation!O43</f>
        <v>0.46903098925611886</v>
      </c>
      <c r="B27" s="448">
        <f>Simulation!M43</f>
        <v>454313.47112917603</v>
      </c>
    </row>
    <row r="28" spans="1:2" ht="12" customHeight="1" x14ac:dyDescent="0.15">
      <c r="A28" s="448">
        <f>Simulation!O44</f>
        <v>0.43522554892950138</v>
      </c>
      <c r="B28" s="448">
        <f>Simulation!M44</f>
        <v>407628.87970637117</v>
      </c>
    </row>
    <row r="29" spans="1:2" ht="12" customHeight="1" x14ac:dyDescent="0.15">
      <c r="A29" s="448">
        <f>Simulation!O45</f>
        <v>0.18535654476946117</v>
      </c>
      <c r="B29" s="448">
        <f>Simulation!M45</f>
        <v>423410.82086971821</v>
      </c>
    </row>
    <row r="30" spans="1:2" ht="12" customHeight="1" x14ac:dyDescent="0.15">
      <c r="A30" s="448">
        <f>Simulation!O46</f>
        <v>0.19565735132671147</v>
      </c>
      <c r="B30" s="448">
        <f>Simulation!M46</f>
        <v>485191.84823773592</v>
      </c>
    </row>
    <row r="31" spans="1:2" ht="12" customHeight="1" x14ac:dyDescent="0.15">
      <c r="A31" s="448">
        <f>Simulation!O47</f>
        <v>0.55215984777190852</v>
      </c>
      <c r="B31" s="448">
        <f>Simulation!M47</f>
        <v>539403.11665879237</v>
      </c>
    </row>
    <row r="32" spans="1:2" ht="12" customHeight="1" x14ac:dyDescent="0.15">
      <c r="A32" s="448">
        <f>Simulation!O48</f>
        <v>0.47450037511756227</v>
      </c>
      <c r="B32" s="448">
        <f>Simulation!M48</f>
        <v>425231.53083624982</v>
      </c>
    </row>
    <row r="33" spans="1:2" ht="12" customHeight="1" x14ac:dyDescent="0.15">
      <c r="A33" s="448">
        <f>Simulation!O49</f>
        <v>0.74912752807293126</v>
      </c>
      <c r="B33" s="448">
        <f>Simulation!M49</f>
        <v>456281.3367644219</v>
      </c>
    </row>
    <row r="34" spans="1:2" ht="12" customHeight="1" x14ac:dyDescent="0.15">
      <c r="A34" s="448">
        <f>Simulation!O50</f>
        <v>0.14113114397388316</v>
      </c>
      <c r="B34" s="448">
        <f>Simulation!M50</f>
        <v>333032.94000599475</v>
      </c>
    </row>
    <row r="35" spans="1:2" ht="12" customHeight="1" x14ac:dyDescent="0.15">
      <c r="A35" s="448">
        <f>Simulation!O51</f>
        <v>0.49404638386898192</v>
      </c>
      <c r="B35" s="448">
        <f>Simulation!M51</f>
        <v>431350.97552666039</v>
      </c>
    </row>
    <row r="36" spans="1:2" ht="12" customHeight="1" x14ac:dyDescent="0.15">
      <c r="A36" s="448">
        <f>Simulation!O52</f>
        <v>0.51066894960265352</v>
      </c>
      <c r="B36" s="448">
        <f>Simulation!M52</f>
        <v>476432.48203785019</v>
      </c>
    </row>
    <row r="37" spans="1:2" ht="12" customHeight="1" x14ac:dyDescent="0.15">
      <c r="A37" s="448">
        <f>Simulation!O53</f>
        <v>1.3507300108833498E-2</v>
      </c>
      <c r="B37" s="448">
        <f>Simulation!M53</f>
        <v>450274.5015213287</v>
      </c>
    </row>
    <row r="38" spans="1:2" ht="12" customHeight="1" x14ac:dyDescent="0.15">
      <c r="A38" s="448">
        <f>Simulation!O54</f>
        <v>0.14783456556950236</v>
      </c>
      <c r="B38" s="448">
        <f>Simulation!M54</f>
        <v>378481.74190349987</v>
      </c>
    </row>
    <row r="39" spans="1:2" ht="12" customHeight="1" x14ac:dyDescent="0.15">
      <c r="A39" s="448">
        <f>Simulation!O55</f>
        <v>0.34606203637141242</v>
      </c>
      <c r="B39" s="448">
        <f>Simulation!M55</f>
        <v>460799.29169290647</v>
      </c>
    </row>
    <row r="40" spans="1:2" ht="12" customHeight="1" x14ac:dyDescent="0.15">
      <c r="A40" s="448">
        <f>Simulation!O56</f>
        <v>0.65577588145960197</v>
      </c>
      <c r="B40" s="448">
        <f>Simulation!M56</f>
        <v>487296.69664340117</v>
      </c>
    </row>
    <row r="41" spans="1:2" ht="12" customHeight="1" x14ac:dyDescent="0.15">
      <c r="A41" s="448">
        <f>Simulation!O57</f>
        <v>2.4925245906667115E-2</v>
      </c>
      <c r="B41" s="448">
        <f>Simulation!M57</f>
        <v>385002.25837924005</v>
      </c>
    </row>
    <row r="42" spans="1:2" ht="12" customHeight="1" x14ac:dyDescent="0.15">
      <c r="A42" s="448">
        <f>Simulation!O58</f>
        <v>0.27896739088137057</v>
      </c>
      <c r="B42" s="448">
        <f>Simulation!M58</f>
        <v>421207.00897658698</v>
      </c>
    </row>
    <row r="43" spans="1:2" ht="12" customHeight="1" x14ac:dyDescent="0.15">
      <c r="A43" s="448">
        <f>Simulation!O59</f>
        <v>0.19149650426329368</v>
      </c>
      <c r="B43" s="448">
        <f>Simulation!M59</f>
        <v>403101.07499838667</v>
      </c>
    </row>
    <row r="44" spans="1:2" ht="12" customHeight="1" x14ac:dyDescent="0.15">
      <c r="A44" s="448">
        <f>Simulation!O60</f>
        <v>0.47813854486370122</v>
      </c>
      <c r="B44" s="448">
        <f>Simulation!M60</f>
        <v>470044.11247307702</v>
      </c>
    </row>
    <row r="45" spans="1:2" ht="12" customHeight="1" x14ac:dyDescent="0.15">
      <c r="A45" s="448">
        <f>Simulation!O61</f>
        <v>0.31055206369896382</v>
      </c>
      <c r="B45" s="448">
        <f>Simulation!M61</f>
        <v>488626.66201541957</v>
      </c>
    </row>
    <row r="46" spans="1:2" ht="12" customHeight="1" x14ac:dyDescent="0.15">
      <c r="A46" s="448">
        <f>Simulation!O62</f>
        <v>0.19317482374998329</v>
      </c>
      <c r="B46" s="448">
        <f>Simulation!M62</f>
        <v>390843.14980505139</v>
      </c>
    </row>
    <row r="47" spans="1:2" ht="12" customHeight="1" x14ac:dyDescent="0.15">
      <c r="A47" s="448">
        <f>Simulation!O63</f>
        <v>0.21171480255127717</v>
      </c>
      <c r="B47" s="448">
        <f>Simulation!M63</f>
        <v>396859.95907820982</v>
      </c>
    </row>
    <row r="48" spans="1:2" ht="12" customHeight="1" x14ac:dyDescent="0.15">
      <c r="A48" s="448">
        <f>Simulation!O64</f>
        <v>4.9426256397386403E-2</v>
      </c>
      <c r="B48" s="448">
        <f>Simulation!M64</f>
        <v>420450.63173168764</v>
      </c>
    </row>
    <row r="49" spans="1:2" ht="12" customHeight="1" x14ac:dyDescent="0.15">
      <c r="A49" s="448">
        <f>Simulation!O65</f>
        <v>0.31002607160723472</v>
      </c>
      <c r="B49" s="448">
        <f>Simulation!M65</f>
        <v>407053.81980764843</v>
      </c>
    </row>
    <row r="50" spans="1:2" ht="12" customHeight="1" x14ac:dyDescent="0.15">
      <c r="A50" s="448">
        <f>Simulation!O66</f>
        <v>0.19956519630031178</v>
      </c>
      <c r="B50" s="448">
        <f>Simulation!M66</f>
        <v>367847.19253465917</v>
      </c>
    </row>
    <row r="51" spans="1:2" ht="12" customHeight="1" x14ac:dyDescent="0.15">
      <c r="A51" s="448">
        <f>Simulation!O67</f>
        <v>0.41687167622066967</v>
      </c>
      <c r="B51" s="448">
        <f>Simulation!M67</f>
        <v>460527.34638761531</v>
      </c>
    </row>
    <row r="52" spans="1:2" ht="12" customHeight="1" x14ac:dyDescent="0.15">
      <c r="A52" s="448">
        <f>Simulation!O68</f>
        <v>0.5111121067708948</v>
      </c>
      <c r="B52" s="448">
        <f>Simulation!M68</f>
        <v>446132.24914200103</v>
      </c>
    </row>
    <row r="53" spans="1:2" ht="12" customHeight="1" x14ac:dyDescent="0.15">
      <c r="A53" s="448">
        <f>Simulation!O69</f>
        <v>0.42614978160732386</v>
      </c>
      <c r="B53" s="448">
        <f>Simulation!M69</f>
        <v>493329.33281424589</v>
      </c>
    </row>
    <row r="54" spans="1:2" ht="12" customHeight="1" x14ac:dyDescent="0.15">
      <c r="A54" s="448">
        <f>Simulation!O70</f>
        <v>0.48306972651811897</v>
      </c>
      <c r="B54" s="448">
        <f>Simulation!M70</f>
        <v>387001.8495494168</v>
      </c>
    </row>
    <row r="55" spans="1:2" ht="12" customHeight="1" x14ac:dyDescent="0.15">
      <c r="A55" s="448">
        <f>Simulation!O71</f>
        <v>0.56483121514192947</v>
      </c>
      <c r="B55" s="448">
        <f>Simulation!M71</f>
        <v>509694.47074901441</v>
      </c>
    </row>
    <row r="56" spans="1:2" ht="12" customHeight="1" x14ac:dyDescent="0.15">
      <c r="A56" s="448">
        <f>Simulation!O72</f>
        <v>-0.10813633718489868</v>
      </c>
      <c r="B56" s="448">
        <f>Simulation!M72</f>
        <v>464880.46415573667</v>
      </c>
    </row>
    <row r="57" spans="1:2" ht="12" customHeight="1" x14ac:dyDescent="0.15">
      <c r="A57" s="448">
        <f>Simulation!O73</f>
        <v>0.18757018466667885</v>
      </c>
      <c r="B57" s="448">
        <f>Simulation!M73</f>
        <v>462351.11817767215</v>
      </c>
    </row>
    <row r="58" spans="1:2" ht="12" customHeight="1" x14ac:dyDescent="0.15">
      <c r="A58" s="448">
        <f>Simulation!O74</f>
        <v>0.82879836751749636</v>
      </c>
      <c r="B58" s="448">
        <f>Simulation!M74</f>
        <v>589194.07718574174</v>
      </c>
    </row>
    <row r="59" spans="1:2" ht="12" customHeight="1" x14ac:dyDescent="0.15">
      <c r="A59" s="448">
        <f>Simulation!O75</f>
        <v>0.14451232727531105</v>
      </c>
      <c r="B59" s="448">
        <f>Simulation!M75</f>
        <v>419136.45736573229</v>
      </c>
    </row>
    <row r="60" spans="1:2" ht="12" customHeight="1" x14ac:dyDescent="0.15">
      <c r="A60" s="448">
        <f>Simulation!O76</f>
        <v>0.29897707847291066</v>
      </c>
      <c r="B60" s="448">
        <f>Simulation!M76</f>
        <v>371249.17425876937</v>
      </c>
    </row>
    <row r="61" spans="1:2" ht="12" customHeight="1" x14ac:dyDescent="0.15">
      <c r="A61" s="448">
        <f>Simulation!O77</f>
        <v>0.56946373788138827</v>
      </c>
      <c r="B61" s="448">
        <f>Simulation!M77</f>
        <v>506568.52374295518</v>
      </c>
    </row>
    <row r="62" spans="1:2" ht="12" customHeight="1" x14ac:dyDescent="0.15">
      <c r="A62" s="448">
        <f>Simulation!O78</f>
        <v>0.31204240019385132</v>
      </c>
      <c r="B62" s="448">
        <f>Simulation!M78</f>
        <v>404331.41371471388</v>
      </c>
    </row>
    <row r="63" spans="1:2" ht="12" customHeight="1" x14ac:dyDescent="0.15">
      <c r="A63" s="448">
        <f>Simulation!O79</f>
        <v>0.60228927914572239</v>
      </c>
      <c r="B63" s="448">
        <f>Simulation!M79</f>
        <v>392727.10834736237</v>
      </c>
    </row>
    <row r="64" spans="1:2" ht="12" customHeight="1" x14ac:dyDescent="0.15">
      <c r="A64" s="448">
        <f>Simulation!O80</f>
        <v>0.69315217682809971</v>
      </c>
      <c r="B64" s="448">
        <f>Simulation!M80</f>
        <v>647984.57782830158</v>
      </c>
    </row>
    <row r="65" spans="1:2" ht="12" customHeight="1" x14ac:dyDescent="0.15">
      <c r="A65" s="448">
        <f>Simulation!O81</f>
        <v>0.3476881132945433</v>
      </c>
      <c r="B65" s="448">
        <f>Simulation!M81</f>
        <v>405062.46111061831</v>
      </c>
    </row>
    <row r="66" spans="1:2" ht="12" customHeight="1" x14ac:dyDescent="0.15">
      <c r="A66" s="448">
        <f>Simulation!O82</f>
        <v>0.66299497211134084</v>
      </c>
      <c r="B66" s="448">
        <f>Simulation!M82</f>
        <v>456690.51154931297</v>
      </c>
    </row>
    <row r="67" spans="1:2" ht="12" customHeight="1" x14ac:dyDescent="0.15">
      <c r="A67" s="448">
        <f>Simulation!O83</f>
        <v>0.40537524832369964</v>
      </c>
      <c r="B67" s="448">
        <f>Simulation!M83</f>
        <v>402734.13244234549</v>
      </c>
    </row>
    <row r="68" spans="1:2" ht="12" customHeight="1" x14ac:dyDescent="0.15">
      <c r="A68" s="448">
        <f>Simulation!O84</f>
        <v>5.7564441536146038E-2</v>
      </c>
      <c r="B68" s="448">
        <f>Simulation!M84</f>
        <v>389314.40593205625</v>
      </c>
    </row>
    <row r="69" spans="1:2" ht="12" customHeight="1" x14ac:dyDescent="0.15">
      <c r="A69" s="448">
        <f>Simulation!O85</f>
        <v>0.68920125151372735</v>
      </c>
      <c r="B69" s="448">
        <f>Simulation!M85</f>
        <v>479355.29692660732</v>
      </c>
    </row>
    <row r="70" spans="1:2" ht="12" customHeight="1" x14ac:dyDescent="0.15">
      <c r="A70" s="448">
        <f>Simulation!O86</f>
        <v>0.33136294753440954</v>
      </c>
      <c r="B70" s="448">
        <f>Simulation!M86</f>
        <v>395757.38607464451</v>
      </c>
    </row>
    <row r="71" spans="1:2" ht="12" customHeight="1" x14ac:dyDescent="0.15">
      <c r="A71" s="448">
        <f>Simulation!O87</f>
        <v>0.20817555498386309</v>
      </c>
      <c r="B71" s="448">
        <f>Simulation!M87</f>
        <v>479119.81198722514</v>
      </c>
    </row>
    <row r="72" spans="1:2" ht="12" customHeight="1" x14ac:dyDescent="0.15">
      <c r="A72" s="448">
        <f>Simulation!O88</f>
        <v>0.28501051321582382</v>
      </c>
      <c r="B72" s="448">
        <f>Simulation!M88</f>
        <v>407844.1790237762</v>
      </c>
    </row>
    <row r="73" spans="1:2" ht="12" customHeight="1" x14ac:dyDescent="0.15">
      <c r="A73" s="448">
        <f>Simulation!O89</f>
        <v>5.6062753925933961E-2</v>
      </c>
      <c r="B73" s="448">
        <f>Simulation!M89</f>
        <v>313239.6784251068</v>
      </c>
    </row>
    <row r="74" spans="1:2" ht="12" customHeight="1" x14ac:dyDescent="0.15">
      <c r="A74" s="448">
        <f>Simulation!O90</f>
        <v>0.60289534428480973</v>
      </c>
      <c r="B74" s="448">
        <f>Simulation!M90</f>
        <v>425623.453607517</v>
      </c>
    </row>
    <row r="75" spans="1:2" ht="12" customHeight="1" x14ac:dyDescent="0.15">
      <c r="A75" s="448">
        <f>Simulation!O91</f>
        <v>0.61205964396174251</v>
      </c>
      <c r="B75" s="448">
        <f>Simulation!M91</f>
        <v>435331.19587952446</v>
      </c>
    </row>
    <row r="76" spans="1:2" ht="12" customHeight="1" x14ac:dyDescent="0.15">
      <c r="A76" s="448">
        <f>Simulation!O92</f>
        <v>0.57477802781264975</v>
      </c>
      <c r="B76" s="448">
        <f>Simulation!M92</f>
        <v>485305.41907767666</v>
      </c>
    </row>
    <row r="77" spans="1:2" ht="12" customHeight="1" x14ac:dyDescent="0.15">
      <c r="A77" s="448">
        <f>Simulation!O93</f>
        <v>0.34854126227529747</v>
      </c>
      <c r="B77" s="448">
        <f>Simulation!M93</f>
        <v>455241.7223446776</v>
      </c>
    </row>
    <row r="78" spans="1:2" ht="12" customHeight="1" x14ac:dyDescent="0.15">
      <c r="A78" s="448">
        <f>Simulation!O94</f>
        <v>0.29151663501913294</v>
      </c>
      <c r="B78" s="448">
        <f>Simulation!M94</f>
        <v>347133.75591157633</v>
      </c>
    </row>
    <row r="79" spans="1:2" ht="12" customHeight="1" x14ac:dyDescent="0.15">
      <c r="A79" s="448">
        <f>Simulation!O95</f>
        <v>0.52303753475644754</v>
      </c>
      <c r="B79" s="448">
        <f>Simulation!M95</f>
        <v>574784.70900451904</v>
      </c>
    </row>
    <row r="80" spans="1:2" ht="12" customHeight="1" x14ac:dyDescent="0.15">
      <c r="A80" s="448">
        <f>Simulation!O96</f>
        <v>0.5186124216210457</v>
      </c>
      <c r="B80" s="448">
        <f>Simulation!M96</f>
        <v>393092.29723913025</v>
      </c>
    </row>
    <row r="81" spans="1:2" ht="12" customHeight="1" x14ac:dyDescent="0.15">
      <c r="A81" s="448">
        <f>Simulation!O97</f>
        <v>0.51039404137353861</v>
      </c>
      <c r="B81" s="448">
        <f>Simulation!M97</f>
        <v>474960.24640736741</v>
      </c>
    </row>
    <row r="82" spans="1:2" ht="12" customHeight="1" x14ac:dyDescent="0.15">
      <c r="A82" s="448">
        <f>Simulation!O98</f>
        <v>0.64478864619836873</v>
      </c>
      <c r="B82" s="448">
        <f>Simulation!M98</f>
        <v>413917.78691380838</v>
      </c>
    </row>
    <row r="83" spans="1:2" ht="12" customHeight="1" x14ac:dyDescent="0.15">
      <c r="A83" s="448">
        <f>Simulation!O99</f>
        <v>0.10505404087916004</v>
      </c>
      <c r="B83" s="448">
        <f>Simulation!M99</f>
        <v>357042.61073085747</v>
      </c>
    </row>
    <row r="84" spans="1:2" ht="12" customHeight="1" x14ac:dyDescent="0.15">
      <c r="A84" s="448">
        <f>Simulation!O100</f>
        <v>0.55079116670760886</v>
      </c>
      <c r="B84" s="448">
        <f>Simulation!M100</f>
        <v>458207.1191790204</v>
      </c>
    </row>
    <row r="85" spans="1:2" ht="12" customHeight="1" x14ac:dyDescent="0.15">
      <c r="A85" s="448">
        <f>Simulation!O101</f>
        <v>0.30086896218804693</v>
      </c>
      <c r="B85" s="448">
        <f>Simulation!M101</f>
        <v>425476.01517896226</v>
      </c>
    </row>
    <row r="86" spans="1:2" ht="12" customHeight="1" x14ac:dyDescent="0.15">
      <c r="A86" s="448">
        <f>Simulation!O102</f>
        <v>0.47658983514860465</v>
      </c>
      <c r="B86" s="448">
        <f>Simulation!M102</f>
        <v>373523.99145100266</v>
      </c>
    </row>
    <row r="87" spans="1:2" ht="12" customHeight="1" x14ac:dyDescent="0.15">
      <c r="A87" s="448">
        <f>Simulation!O103</f>
        <v>0.42946323703271228</v>
      </c>
      <c r="B87" s="448">
        <f>Simulation!M103</f>
        <v>379890.84926954564</v>
      </c>
    </row>
    <row r="88" spans="1:2" ht="12" customHeight="1" x14ac:dyDescent="0.15">
      <c r="A88" s="448">
        <f>Simulation!O104</f>
        <v>0.68055652120876253</v>
      </c>
      <c r="B88" s="448">
        <f>Simulation!M104</f>
        <v>447463.60635756952</v>
      </c>
    </row>
    <row r="89" spans="1:2" ht="12" customHeight="1" x14ac:dyDescent="0.15">
      <c r="A89" s="448">
        <f>Simulation!O105</f>
        <v>0.13095162624860324</v>
      </c>
      <c r="B89" s="448">
        <f>Simulation!M105</f>
        <v>332304.58102127496</v>
      </c>
    </row>
    <row r="90" spans="1:2" ht="12" customHeight="1" x14ac:dyDescent="0.15">
      <c r="A90" s="448">
        <f>Simulation!O106</f>
        <v>0.12260744118629363</v>
      </c>
      <c r="B90" s="448">
        <f>Simulation!M106</f>
        <v>449952.60580481461</v>
      </c>
    </row>
    <row r="91" spans="1:2" ht="12" customHeight="1" x14ac:dyDescent="0.15">
      <c r="A91" s="448">
        <f>Simulation!O107</f>
        <v>0.61978105069150002</v>
      </c>
      <c r="B91" s="448">
        <f>Simulation!M107</f>
        <v>460361.5339753587</v>
      </c>
    </row>
    <row r="92" spans="1:2" ht="12" customHeight="1" x14ac:dyDescent="0.15">
      <c r="A92" s="448">
        <f>Simulation!O108</f>
        <v>0.15665627325187259</v>
      </c>
      <c r="B92" s="448">
        <f>Simulation!M108</f>
        <v>409858.60295468499</v>
      </c>
    </row>
    <row r="93" spans="1:2" ht="12" customHeight="1" x14ac:dyDescent="0.15">
      <c r="A93" s="448">
        <f>Simulation!O109</f>
        <v>0.57665401990650089</v>
      </c>
      <c r="B93" s="448">
        <f>Simulation!M109</f>
        <v>400083.72323064244</v>
      </c>
    </row>
    <row r="94" spans="1:2" ht="12" customHeight="1" x14ac:dyDescent="0.15">
      <c r="A94" s="448">
        <f>Simulation!O110</f>
        <v>0.28801578724217647</v>
      </c>
      <c r="B94" s="448">
        <f>Simulation!M110</f>
        <v>457804.71732691175</v>
      </c>
    </row>
    <row r="95" spans="1:2" ht="12" customHeight="1" x14ac:dyDescent="0.15">
      <c r="A95" s="448">
        <f>Simulation!O111</f>
        <v>0.37565014021157306</v>
      </c>
      <c r="B95" s="448">
        <f>Simulation!M111</f>
        <v>410414.90173904086</v>
      </c>
    </row>
    <row r="96" spans="1:2" ht="12" customHeight="1" x14ac:dyDescent="0.15">
      <c r="A96" s="448">
        <f>Simulation!O112</f>
        <v>0.16602252222360425</v>
      </c>
      <c r="B96" s="448">
        <f>Simulation!M112</f>
        <v>408250.82004202716</v>
      </c>
    </row>
    <row r="97" spans="1:2" ht="12" customHeight="1" x14ac:dyDescent="0.15">
      <c r="A97" s="448">
        <f>Simulation!O113</f>
        <v>0.63930157837550983</v>
      </c>
      <c r="B97" s="448">
        <f>Simulation!M113</f>
        <v>448076.44035456324</v>
      </c>
    </row>
    <row r="98" spans="1:2" ht="12" customHeight="1" x14ac:dyDescent="0.15">
      <c r="A98" s="448">
        <f>Simulation!O114</f>
        <v>0.68290357225941056</v>
      </c>
      <c r="B98" s="448">
        <f>Simulation!M114</f>
        <v>429322.99070257496</v>
      </c>
    </row>
    <row r="99" spans="1:2" ht="12" customHeight="1" x14ac:dyDescent="0.15">
      <c r="A99" s="448">
        <f>Simulation!O115</f>
        <v>0.22364257420957934</v>
      </c>
      <c r="B99" s="448">
        <f>Simulation!M115</f>
        <v>476325.02506697725</v>
      </c>
    </row>
    <row r="100" spans="1:2" ht="12" customHeight="1" x14ac:dyDescent="0.15">
      <c r="A100" s="448">
        <f>Simulation!O116</f>
        <v>0.11253022714520666</v>
      </c>
      <c r="B100" s="448">
        <f>Simulation!M116</f>
        <v>390243.87300503254</v>
      </c>
    </row>
    <row r="101" spans="1:2" ht="12" customHeight="1" x14ac:dyDescent="0.15">
      <c r="A101" s="448">
        <f>Simulation!O117</f>
        <v>7.7510679530233606E-2</v>
      </c>
      <c r="B101" s="448">
        <f>Simulation!M117</f>
        <v>408775.25867590419</v>
      </c>
    </row>
    <row r="102" spans="1:2" ht="12" customHeight="1" x14ac:dyDescent="0.15">
      <c r="A102" s="448">
        <f>Simulation!O118</f>
        <v>0.32822872669916547</v>
      </c>
      <c r="B102" s="448">
        <f>Simulation!M118</f>
        <v>519201.74022116442</v>
      </c>
    </row>
    <row r="103" spans="1:2" ht="12" customHeight="1" x14ac:dyDescent="0.15">
      <c r="A103" s="448">
        <f>Simulation!O119</f>
        <v>0.16927595990595456</v>
      </c>
      <c r="B103" s="448">
        <f>Simulation!M119</f>
        <v>414063.97846805642</v>
      </c>
    </row>
    <row r="104" spans="1:2" ht="12" customHeight="1" x14ac:dyDescent="0.15">
      <c r="A104" s="448">
        <f>Simulation!O120</f>
        <v>0.18030389640500655</v>
      </c>
      <c r="B104" s="448">
        <f>Simulation!M120</f>
        <v>404115.00783140515</v>
      </c>
    </row>
    <row r="105" spans="1:2" ht="12" customHeight="1" x14ac:dyDescent="0.15">
      <c r="A105" s="448">
        <f>Simulation!O121</f>
        <v>0.2734136695831646</v>
      </c>
      <c r="B105" s="448">
        <f>Simulation!M121</f>
        <v>527838.34581877035</v>
      </c>
    </row>
    <row r="106" spans="1:2" ht="12" customHeight="1" x14ac:dyDescent="0.15">
      <c r="A106" s="448">
        <f>Simulation!O122</f>
        <v>0.41502303933491236</v>
      </c>
      <c r="B106" s="448">
        <f>Simulation!M122</f>
        <v>487596.01178771124</v>
      </c>
    </row>
    <row r="107" spans="1:2" ht="12" customHeight="1" x14ac:dyDescent="0.15">
      <c r="A107" s="448">
        <f>Simulation!O123</f>
        <v>0.38309474659789133</v>
      </c>
      <c r="B107" s="448">
        <f>Simulation!M123</f>
        <v>436661.32709042117</v>
      </c>
    </row>
    <row r="108" spans="1:2" ht="12" customHeight="1" x14ac:dyDescent="0.15">
      <c r="A108" s="448">
        <f>Simulation!O124</f>
        <v>0.29020606212039435</v>
      </c>
      <c r="B108" s="448">
        <f>Simulation!M124</f>
        <v>413045.56270948076</v>
      </c>
    </row>
    <row r="109" spans="1:2" ht="12" customHeight="1" x14ac:dyDescent="0.15">
      <c r="A109" s="448">
        <f>Simulation!O125</f>
        <v>-0.18574561079903784</v>
      </c>
      <c r="B109" s="448">
        <f>Simulation!M125</f>
        <v>365263.52125621156</v>
      </c>
    </row>
    <row r="110" spans="1:2" ht="12" customHeight="1" x14ac:dyDescent="0.15">
      <c r="A110" s="448">
        <f>Simulation!O126</f>
        <v>0.25251988137894443</v>
      </c>
      <c r="B110" s="448">
        <f>Simulation!M126</f>
        <v>407843.58220031799</v>
      </c>
    </row>
    <row r="111" spans="1:2" ht="12" customHeight="1" x14ac:dyDescent="0.15">
      <c r="A111" s="448">
        <f>Simulation!O127</f>
        <v>0.52064987775028504</v>
      </c>
      <c r="B111" s="448">
        <f>Simulation!M127</f>
        <v>468584.54439509229</v>
      </c>
    </row>
    <row r="112" spans="1:2" ht="12" customHeight="1" x14ac:dyDescent="0.15">
      <c r="A112" s="448">
        <f>Simulation!O128</f>
        <v>-6.825336412194094E-2</v>
      </c>
      <c r="B112" s="448">
        <f>Simulation!M128</f>
        <v>387899.03464893531</v>
      </c>
    </row>
    <row r="113" spans="1:2" ht="12" customHeight="1" x14ac:dyDescent="0.15">
      <c r="A113" s="448">
        <f>Simulation!O129</f>
        <v>0.18329845834051861</v>
      </c>
      <c r="B113" s="448">
        <f>Simulation!M129</f>
        <v>370211.75899529818</v>
      </c>
    </row>
    <row r="114" spans="1:2" ht="12" customHeight="1" x14ac:dyDescent="0.15">
      <c r="A114" s="448">
        <f>Simulation!O130</f>
        <v>0.38887641415980578</v>
      </c>
      <c r="B114" s="448">
        <f>Simulation!M130</f>
        <v>389732.03767175821</v>
      </c>
    </row>
    <row r="115" spans="1:2" ht="12" customHeight="1" x14ac:dyDescent="0.15">
      <c r="A115" s="448">
        <f>Simulation!O131</f>
        <v>0.17019992282330687</v>
      </c>
      <c r="B115" s="448">
        <f>Simulation!M131</f>
        <v>397454.60273514036</v>
      </c>
    </row>
    <row r="116" spans="1:2" ht="12" customHeight="1" x14ac:dyDescent="0.15">
      <c r="A116" s="448">
        <f>Simulation!O132</f>
        <v>0.3692905722793971</v>
      </c>
      <c r="B116" s="448">
        <f>Simulation!M132</f>
        <v>469985.05828114774</v>
      </c>
    </row>
    <row r="117" spans="1:2" ht="12" customHeight="1" x14ac:dyDescent="0.15">
      <c r="A117" s="448">
        <f>Simulation!O133</f>
        <v>0.56359392739703207</v>
      </c>
      <c r="B117" s="448">
        <f>Simulation!M133</f>
        <v>433522.26346361038</v>
      </c>
    </row>
    <row r="118" spans="1:2" ht="12" customHeight="1" x14ac:dyDescent="0.15">
      <c r="A118" s="448">
        <f>Simulation!O134</f>
        <v>0.55813191807986184</v>
      </c>
      <c r="B118" s="448">
        <f>Simulation!M134</f>
        <v>461551.39479713119</v>
      </c>
    </row>
    <row r="119" spans="1:2" ht="12" customHeight="1" x14ac:dyDescent="0.15">
      <c r="A119" s="448">
        <f>Simulation!O135</f>
        <v>0.39428573003087664</v>
      </c>
      <c r="B119" s="448">
        <f>Simulation!M135</f>
        <v>407591.88946046599</v>
      </c>
    </row>
    <row r="120" spans="1:2" ht="12" customHeight="1" x14ac:dyDescent="0.15">
      <c r="A120" s="448">
        <f>Simulation!O136</f>
        <v>0.60196299596617919</v>
      </c>
      <c r="B120" s="448">
        <f>Simulation!M136</f>
        <v>470749.47625933221</v>
      </c>
    </row>
    <row r="121" spans="1:2" ht="12" customHeight="1" x14ac:dyDescent="0.15">
      <c r="A121" s="448">
        <f>Simulation!O137</f>
        <v>0.46846841894340496</v>
      </c>
      <c r="B121" s="448">
        <f>Simulation!M137</f>
        <v>542997.51644194813</v>
      </c>
    </row>
    <row r="122" spans="1:2" ht="12" customHeight="1" x14ac:dyDescent="0.15">
      <c r="A122" s="448">
        <f>Simulation!O138</f>
        <v>0.2923440782200597</v>
      </c>
      <c r="B122" s="448">
        <f>Simulation!M138</f>
        <v>454854.83633763547</v>
      </c>
    </row>
    <row r="123" spans="1:2" ht="12" customHeight="1" x14ac:dyDescent="0.15">
      <c r="A123" s="448">
        <f>Simulation!O139</f>
        <v>0.6954188447706029</v>
      </c>
      <c r="B123" s="448">
        <f>Simulation!M139</f>
        <v>422874.16337155021</v>
      </c>
    </row>
    <row r="124" spans="1:2" ht="12" customHeight="1" x14ac:dyDescent="0.15">
      <c r="A124" s="448">
        <f>Simulation!O140</f>
        <v>0.62274886173073929</v>
      </c>
      <c r="B124" s="448">
        <f>Simulation!M140</f>
        <v>488068.59020643175</v>
      </c>
    </row>
    <row r="125" spans="1:2" ht="12" customHeight="1" x14ac:dyDescent="0.15">
      <c r="A125" s="448">
        <f>Simulation!O141</f>
        <v>0.49922937304988801</v>
      </c>
      <c r="B125" s="448">
        <f>Simulation!M141</f>
        <v>394994.1736884556</v>
      </c>
    </row>
    <row r="126" spans="1:2" ht="12" customHeight="1" x14ac:dyDescent="0.15">
      <c r="A126" s="448">
        <f>Simulation!O142</f>
        <v>0.39641928818447747</v>
      </c>
      <c r="B126" s="448">
        <f>Simulation!M142</f>
        <v>415001.34923208336</v>
      </c>
    </row>
    <row r="127" spans="1:2" ht="12" customHeight="1" x14ac:dyDescent="0.15">
      <c r="A127" s="448">
        <f>Simulation!O143</f>
        <v>0.28982863807140724</v>
      </c>
      <c r="B127" s="448">
        <f>Simulation!M143</f>
        <v>371975.80771537172</v>
      </c>
    </row>
    <row r="128" spans="1:2" ht="12" customHeight="1" x14ac:dyDescent="0.15">
      <c r="A128" s="448">
        <f>Simulation!O144</f>
        <v>0.21026689415984956</v>
      </c>
      <c r="B128" s="448">
        <f>Simulation!M144</f>
        <v>356188.78914565104</v>
      </c>
    </row>
    <row r="129" spans="1:2" ht="12" customHeight="1" x14ac:dyDescent="0.15">
      <c r="A129" s="448">
        <f>Simulation!O145</f>
        <v>0.56715600224811391</v>
      </c>
      <c r="B129" s="448">
        <f>Simulation!M145</f>
        <v>399897.26838985097</v>
      </c>
    </row>
    <row r="130" spans="1:2" ht="12" customHeight="1" x14ac:dyDescent="0.15">
      <c r="A130" s="448">
        <f>Simulation!O146</f>
        <v>0.1746993025164838</v>
      </c>
      <c r="B130" s="448">
        <f>Simulation!M146</f>
        <v>398170.72293633368</v>
      </c>
    </row>
    <row r="131" spans="1:2" ht="12" customHeight="1" x14ac:dyDescent="0.15">
      <c r="A131" s="448">
        <f>Simulation!O147</f>
        <v>0.30831578451906339</v>
      </c>
      <c r="B131" s="448">
        <f>Simulation!M147</f>
        <v>496732.33129520505</v>
      </c>
    </row>
    <row r="132" spans="1:2" ht="12" customHeight="1" x14ac:dyDescent="0.15">
      <c r="A132" s="448">
        <f>Simulation!O148</f>
        <v>0.67576534709813396</v>
      </c>
      <c r="B132" s="448">
        <f>Simulation!M148</f>
        <v>454585.44442772772</v>
      </c>
    </row>
    <row r="133" spans="1:2" ht="12" customHeight="1" x14ac:dyDescent="0.15">
      <c r="A133" s="448">
        <f>Simulation!O149</f>
        <v>0.34896605793022717</v>
      </c>
      <c r="B133" s="448">
        <f>Simulation!M149</f>
        <v>482526.49946225772</v>
      </c>
    </row>
    <row r="134" spans="1:2" ht="12" customHeight="1" x14ac:dyDescent="0.15">
      <c r="A134" s="448">
        <f>Simulation!O150</f>
        <v>0.38067576570250372</v>
      </c>
      <c r="B134" s="448">
        <f>Simulation!M150</f>
        <v>405085.81912916724</v>
      </c>
    </row>
    <row r="135" spans="1:2" ht="12" customHeight="1" x14ac:dyDescent="0.15">
      <c r="A135" s="448">
        <f>Simulation!O151</f>
        <v>0.75565946509734339</v>
      </c>
      <c r="B135" s="448">
        <f>Simulation!M151</f>
        <v>466395.75387971289</v>
      </c>
    </row>
    <row r="136" spans="1:2" ht="12" customHeight="1" x14ac:dyDescent="0.15">
      <c r="A136" s="448">
        <f>Simulation!O152</f>
        <v>0.5096244016146656</v>
      </c>
      <c r="B136" s="448">
        <f>Simulation!M152</f>
        <v>410909.77601684362</v>
      </c>
    </row>
    <row r="137" spans="1:2" ht="12" customHeight="1" x14ac:dyDescent="0.15">
      <c r="A137" s="448">
        <f>Simulation!O153</f>
        <v>0.38739547734561963</v>
      </c>
      <c r="B137" s="448">
        <f>Simulation!M153</f>
        <v>376930.15980449098</v>
      </c>
    </row>
    <row r="138" spans="1:2" ht="12" customHeight="1" x14ac:dyDescent="0.15">
      <c r="A138" s="448">
        <f>Simulation!O154</f>
        <v>0.46562082776432456</v>
      </c>
      <c r="B138" s="448">
        <f>Simulation!M154</f>
        <v>469882.38847597153</v>
      </c>
    </row>
    <row r="139" spans="1:2" ht="12" customHeight="1" x14ac:dyDescent="0.15">
      <c r="A139" s="448">
        <f>Simulation!O155</f>
        <v>0.32703013465703012</v>
      </c>
      <c r="B139" s="448">
        <f>Simulation!M155</f>
        <v>465514.72920949635</v>
      </c>
    </row>
    <row r="140" spans="1:2" ht="12" customHeight="1" x14ac:dyDescent="0.15">
      <c r="A140" s="448">
        <f>Simulation!O156</f>
        <v>-2.748271129460278E-2</v>
      </c>
      <c r="B140" s="448">
        <f>Simulation!M156</f>
        <v>387344.09674468229</v>
      </c>
    </row>
    <row r="141" spans="1:2" ht="12" customHeight="1" x14ac:dyDescent="0.15">
      <c r="A141" s="448">
        <f>Simulation!O157</f>
        <v>0.25014898653350293</v>
      </c>
      <c r="B141" s="448">
        <f>Simulation!M157</f>
        <v>480430.55625250208</v>
      </c>
    </row>
    <row r="142" spans="1:2" ht="12" customHeight="1" x14ac:dyDescent="0.15">
      <c r="A142" s="448">
        <f>Simulation!O158</f>
        <v>0.81279869643306402</v>
      </c>
      <c r="B142" s="448">
        <f>Simulation!M158</f>
        <v>478388.79825634428</v>
      </c>
    </row>
    <row r="143" spans="1:2" ht="12" customHeight="1" x14ac:dyDescent="0.15">
      <c r="A143" s="448">
        <f>Simulation!O159</f>
        <v>3.7494461339536489E-2</v>
      </c>
      <c r="B143" s="448">
        <f>Simulation!M159</f>
        <v>371060.56155004888</v>
      </c>
    </row>
    <row r="144" spans="1:2" ht="12" customHeight="1" x14ac:dyDescent="0.15">
      <c r="A144" s="448">
        <f>Simulation!O160</f>
        <v>-0.11748561179414807</v>
      </c>
      <c r="B144" s="448">
        <f>Simulation!M160</f>
        <v>345526.50516102114</v>
      </c>
    </row>
    <row r="145" spans="1:2" ht="12" customHeight="1" x14ac:dyDescent="0.15">
      <c r="A145" s="448">
        <f>Simulation!O161</f>
        <v>0.61563380707913584</v>
      </c>
      <c r="B145" s="448">
        <f>Simulation!M161</f>
        <v>445513.24313113827</v>
      </c>
    </row>
    <row r="146" spans="1:2" ht="12" customHeight="1" x14ac:dyDescent="0.15">
      <c r="A146" s="448">
        <f>Simulation!O162</f>
        <v>0.52927290922636905</v>
      </c>
      <c r="B146" s="448">
        <f>Simulation!M162</f>
        <v>531422.03797204117</v>
      </c>
    </row>
    <row r="147" spans="1:2" ht="12" customHeight="1" x14ac:dyDescent="0.15">
      <c r="A147" s="448">
        <f>Simulation!O163</f>
        <v>0.49511362369619327</v>
      </c>
      <c r="B147" s="448">
        <f>Simulation!M163</f>
        <v>464380.16243556776</v>
      </c>
    </row>
    <row r="148" spans="1:2" ht="12" customHeight="1" x14ac:dyDescent="0.15">
      <c r="A148" s="448">
        <f>Simulation!O164</f>
        <v>0.80437440971635055</v>
      </c>
      <c r="B148" s="448">
        <f>Simulation!M164</f>
        <v>470192.90402047965</v>
      </c>
    </row>
    <row r="149" spans="1:2" ht="12" customHeight="1" x14ac:dyDescent="0.15">
      <c r="A149" s="448">
        <f>Simulation!O165</f>
        <v>0.32835204305220267</v>
      </c>
      <c r="B149" s="448">
        <f>Simulation!M165</f>
        <v>415975.60535953601</v>
      </c>
    </row>
    <row r="150" spans="1:2" ht="12" customHeight="1" x14ac:dyDescent="0.15">
      <c r="A150" s="448">
        <f>Simulation!O166</f>
        <v>7.5907789911950019E-2</v>
      </c>
      <c r="B150" s="448">
        <f>Simulation!M166</f>
        <v>414545.28107068595</v>
      </c>
    </row>
    <row r="151" spans="1:2" ht="12" customHeight="1" x14ac:dyDescent="0.15">
      <c r="A151" s="448">
        <f>Simulation!O167</f>
        <v>0.68763068166825869</v>
      </c>
      <c r="B151" s="448">
        <f>Simulation!M167</f>
        <v>500248.39929467993</v>
      </c>
    </row>
    <row r="152" spans="1:2" ht="12" customHeight="1" x14ac:dyDescent="0.15">
      <c r="A152" s="448">
        <f>Simulation!O168</f>
        <v>0.43400982187069426</v>
      </c>
      <c r="B152" s="448">
        <f>Simulation!M168</f>
        <v>398942.3406581484</v>
      </c>
    </row>
    <row r="153" spans="1:2" ht="12" customHeight="1" x14ac:dyDescent="0.15">
      <c r="A153" s="448">
        <f>Simulation!O169</f>
        <v>0.14775915847729948</v>
      </c>
      <c r="B153" s="448">
        <f>Simulation!M169</f>
        <v>454309.64197705372</v>
      </c>
    </row>
    <row r="154" spans="1:2" ht="12" customHeight="1" x14ac:dyDescent="0.15">
      <c r="A154" s="448">
        <f>Simulation!O170</f>
        <v>0.40692627901802769</v>
      </c>
      <c r="B154" s="448">
        <f>Simulation!M170</f>
        <v>493844.30158729956</v>
      </c>
    </row>
    <row r="155" spans="1:2" ht="12" customHeight="1" x14ac:dyDescent="0.15">
      <c r="A155" s="448">
        <f>Simulation!O171</f>
        <v>0.35192898127646366</v>
      </c>
      <c r="B155" s="448">
        <f>Simulation!M171</f>
        <v>390560.94812248251</v>
      </c>
    </row>
    <row r="156" spans="1:2" ht="12" customHeight="1" x14ac:dyDescent="0.15">
      <c r="A156" s="448">
        <f>Simulation!O172</f>
        <v>0.35379111716415457</v>
      </c>
      <c r="B156" s="448">
        <f>Simulation!M172</f>
        <v>401115.11328374792</v>
      </c>
    </row>
    <row r="157" spans="1:2" ht="12" customHeight="1" x14ac:dyDescent="0.15">
      <c r="A157" s="448">
        <f>Simulation!O173</f>
        <v>4.2655551044270545E-2</v>
      </c>
      <c r="B157" s="448">
        <f>Simulation!M173</f>
        <v>382107.75281070801</v>
      </c>
    </row>
    <row r="158" spans="1:2" ht="12" customHeight="1" x14ac:dyDescent="0.15">
      <c r="A158" s="448">
        <f>Simulation!O174</f>
        <v>8.9740823031561057E-2</v>
      </c>
      <c r="B158" s="448">
        <f>Simulation!M174</f>
        <v>383643.77723129035</v>
      </c>
    </row>
    <row r="159" spans="1:2" ht="12" customHeight="1" x14ac:dyDescent="0.15">
      <c r="A159" s="448">
        <f>Simulation!O175</f>
        <v>0.5237006072769228</v>
      </c>
      <c r="B159" s="448">
        <f>Simulation!M175</f>
        <v>416588.55280747253</v>
      </c>
    </row>
    <row r="160" spans="1:2" ht="12" customHeight="1" x14ac:dyDescent="0.15">
      <c r="A160" s="448">
        <f>Simulation!O176</f>
        <v>0.6185739756705968</v>
      </c>
      <c r="B160" s="448">
        <f>Simulation!M176</f>
        <v>421147.01526429108</v>
      </c>
    </row>
    <row r="161" spans="1:2" ht="12" customHeight="1" x14ac:dyDescent="0.15">
      <c r="A161" s="448">
        <f>Simulation!O177</f>
        <v>0.55945707532860123</v>
      </c>
      <c r="B161" s="448">
        <f>Simulation!M177</f>
        <v>456351.62333031045</v>
      </c>
    </row>
    <row r="162" spans="1:2" ht="12" customHeight="1" x14ac:dyDescent="0.15">
      <c r="A162" s="448">
        <f>Simulation!O178</f>
        <v>0.65477570244485284</v>
      </c>
      <c r="B162" s="448">
        <f>Simulation!M178</f>
        <v>548415.18801215908</v>
      </c>
    </row>
    <row r="163" spans="1:2" ht="12" customHeight="1" x14ac:dyDescent="0.15">
      <c r="A163" s="448">
        <f>Simulation!O179</f>
        <v>0.78261610167601825</v>
      </c>
      <c r="B163" s="448">
        <f>Simulation!M179</f>
        <v>506922.41881963855</v>
      </c>
    </row>
    <row r="164" spans="1:2" ht="12" customHeight="1" x14ac:dyDescent="0.15">
      <c r="A164" s="448">
        <f>Simulation!O180</f>
        <v>0.62252858834515212</v>
      </c>
      <c r="B164" s="448">
        <f>Simulation!M180</f>
        <v>499196.68209964538</v>
      </c>
    </row>
    <row r="165" spans="1:2" ht="12" customHeight="1" x14ac:dyDescent="0.15">
      <c r="A165" s="448">
        <f>Simulation!O181</f>
        <v>-0.24976893972511993</v>
      </c>
      <c r="B165" s="448">
        <f>Simulation!M181</f>
        <v>387063.10834206676</v>
      </c>
    </row>
    <row r="166" spans="1:2" ht="12" customHeight="1" x14ac:dyDescent="0.15">
      <c r="A166" s="448">
        <f>Simulation!O182</f>
        <v>0.76268037306713388</v>
      </c>
      <c r="B166" s="448">
        <f>Simulation!M182</f>
        <v>496059.62963255728</v>
      </c>
    </row>
    <row r="167" spans="1:2" ht="12" customHeight="1" x14ac:dyDescent="0.15">
      <c r="A167" s="448">
        <f>Simulation!O183</f>
        <v>0.585617176044813</v>
      </c>
      <c r="B167" s="448">
        <f>Simulation!M183</f>
        <v>397031.13969665766</v>
      </c>
    </row>
    <row r="168" spans="1:2" ht="12" customHeight="1" x14ac:dyDescent="0.15">
      <c r="A168" s="448">
        <f>Simulation!O184</f>
        <v>0.21233499563518965</v>
      </c>
      <c r="B168" s="448">
        <f>Simulation!M184</f>
        <v>386282.19513664534</v>
      </c>
    </row>
    <row r="169" spans="1:2" ht="12" customHeight="1" x14ac:dyDescent="0.15">
      <c r="A169" s="448">
        <f>Simulation!O185</f>
        <v>0.38531942669389463</v>
      </c>
      <c r="B169" s="448">
        <f>Simulation!M185</f>
        <v>477260.00050259411</v>
      </c>
    </row>
    <row r="170" spans="1:2" ht="12" customHeight="1" x14ac:dyDescent="0.15">
      <c r="A170" s="448">
        <f>Simulation!O186</f>
        <v>0.71861780646354934</v>
      </c>
      <c r="B170" s="448">
        <f>Simulation!M186</f>
        <v>447886.41160162393</v>
      </c>
    </row>
    <row r="171" spans="1:2" ht="12" customHeight="1" x14ac:dyDescent="0.15">
      <c r="A171" s="448">
        <f>Simulation!O187</f>
        <v>0.76900957412496584</v>
      </c>
      <c r="B171" s="448">
        <f>Simulation!M187</f>
        <v>447104.0669585063</v>
      </c>
    </row>
    <row r="172" spans="1:2" ht="12" customHeight="1" x14ac:dyDescent="0.15">
      <c r="A172" s="448">
        <f>Simulation!O188</f>
        <v>0.72821866446076511</v>
      </c>
      <c r="B172" s="448">
        <f>Simulation!M188</f>
        <v>485721.35778067284</v>
      </c>
    </row>
    <row r="173" spans="1:2" ht="12" customHeight="1" x14ac:dyDescent="0.15">
      <c r="A173" s="448">
        <f>Simulation!O189</f>
        <v>0.6625090911407554</v>
      </c>
      <c r="B173" s="448">
        <f>Simulation!M189</f>
        <v>438389.45142208633</v>
      </c>
    </row>
    <row r="174" spans="1:2" ht="12" customHeight="1" x14ac:dyDescent="0.15">
      <c r="A174" s="448">
        <f>Simulation!O190</f>
        <v>0.36361628494046028</v>
      </c>
      <c r="B174" s="448">
        <f>Simulation!M190</f>
        <v>466687.72565727442</v>
      </c>
    </row>
    <row r="175" spans="1:2" ht="12" customHeight="1" x14ac:dyDescent="0.15">
      <c r="A175" s="448">
        <f>Simulation!O191</f>
        <v>0.17568709066201071</v>
      </c>
      <c r="B175" s="448">
        <f>Simulation!M191</f>
        <v>372762.86982887483</v>
      </c>
    </row>
    <row r="176" spans="1:2" ht="12" customHeight="1" x14ac:dyDescent="0.15">
      <c r="A176" s="448">
        <f>Simulation!O192</f>
        <v>0.39483379859919054</v>
      </c>
      <c r="B176" s="448">
        <f>Simulation!M192</f>
        <v>443377.28210585553</v>
      </c>
    </row>
    <row r="177" spans="1:2" ht="12" customHeight="1" x14ac:dyDescent="0.15">
      <c r="A177" s="448">
        <f>Simulation!O193</f>
        <v>0.55819162125203081</v>
      </c>
      <c r="B177" s="448">
        <f>Simulation!M193</f>
        <v>473691.04604114615</v>
      </c>
    </row>
    <row r="178" spans="1:2" ht="12" customHeight="1" x14ac:dyDescent="0.15">
      <c r="A178" s="448">
        <f>Simulation!O194</f>
        <v>3.8360146764750969E-2</v>
      </c>
      <c r="B178" s="448">
        <f>Simulation!M194</f>
        <v>367889.28216111526</v>
      </c>
    </row>
    <row r="179" spans="1:2" ht="12" customHeight="1" x14ac:dyDescent="0.15">
      <c r="A179" s="448">
        <f>Simulation!O195</f>
        <v>0.80608425940431783</v>
      </c>
      <c r="B179" s="448">
        <f>Simulation!M195</f>
        <v>551130.49882235331</v>
      </c>
    </row>
    <row r="180" spans="1:2" ht="12" customHeight="1" x14ac:dyDescent="0.15">
      <c r="A180" s="448">
        <f>Simulation!O196</f>
        <v>0.41965435930893813</v>
      </c>
      <c r="B180" s="448">
        <f>Simulation!M196</f>
        <v>584379.86356243049</v>
      </c>
    </row>
    <row r="181" spans="1:2" ht="12" customHeight="1" x14ac:dyDescent="0.15">
      <c r="A181" s="448">
        <f>Simulation!O197</f>
        <v>0.21997283641242804</v>
      </c>
      <c r="B181" s="448">
        <f>Simulation!M197</f>
        <v>368308.19050073589</v>
      </c>
    </row>
    <row r="182" spans="1:2" ht="12" customHeight="1" x14ac:dyDescent="0.15">
      <c r="A182" s="448">
        <f>Simulation!O198</f>
        <v>0.2919418936171807</v>
      </c>
      <c r="B182" s="448">
        <f>Simulation!M198</f>
        <v>420661.46679957118</v>
      </c>
    </row>
    <row r="183" spans="1:2" ht="12" customHeight="1" x14ac:dyDescent="0.15">
      <c r="A183" s="448">
        <f>Simulation!O199</f>
        <v>7.2043340251282117E-4</v>
      </c>
      <c r="B183" s="448">
        <f>Simulation!M199</f>
        <v>380923.05844225257</v>
      </c>
    </row>
    <row r="184" spans="1:2" ht="12" customHeight="1" x14ac:dyDescent="0.15">
      <c r="A184" s="448">
        <f>Simulation!O200</f>
        <v>0.67901902926295543</v>
      </c>
      <c r="B184" s="448">
        <f>Simulation!M200</f>
        <v>444232.53471511789</v>
      </c>
    </row>
    <row r="185" spans="1:2" ht="12" customHeight="1" x14ac:dyDescent="0.15">
      <c r="A185" s="448">
        <f>Simulation!O201</f>
        <v>0.29945106179965997</v>
      </c>
      <c r="B185" s="448">
        <f>Simulation!M201</f>
        <v>484983.13527532067</v>
      </c>
    </row>
    <row r="186" spans="1:2" ht="12" customHeight="1" x14ac:dyDescent="0.15">
      <c r="A186" s="448">
        <f>Simulation!O202</f>
        <v>1.0752119244006439</v>
      </c>
      <c r="B186" s="448">
        <f>Simulation!M202</f>
        <v>551423.76560315443</v>
      </c>
    </row>
    <row r="187" spans="1:2" ht="12" customHeight="1" x14ac:dyDescent="0.15">
      <c r="A187" s="448">
        <f>Simulation!O203</f>
        <v>0.41208932807438003</v>
      </c>
      <c r="B187" s="448">
        <f>Simulation!M203</f>
        <v>478252.19175196253</v>
      </c>
    </row>
    <row r="188" spans="1:2" ht="12" customHeight="1" x14ac:dyDescent="0.15">
      <c r="A188" s="448">
        <f>Simulation!O204</f>
        <v>0.6122285681937385</v>
      </c>
      <c r="B188" s="448">
        <f>Simulation!M204</f>
        <v>478872.56156952749</v>
      </c>
    </row>
    <row r="189" spans="1:2" ht="12" customHeight="1" x14ac:dyDescent="0.15">
      <c r="A189" s="448">
        <f>Simulation!O205</f>
        <v>0.16435509833013962</v>
      </c>
      <c r="B189" s="448">
        <f>Simulation!M205</f>
        <v>430899.68676688615</v>
      </c>
    </row>
    <row r="190" spans="1:2" ht="12" customHeight="1" x14ac:dyDescent="0.15">
      <c r="A190" s="448">
        <f>Simulation!O206</f>
        <v>0.21851320594482404</v>
      </c>
      <c r="B190" s="448">
        <f>Simulation!M206</f>
        <v>410295.2524774482</v>
      </c>
    </row>
    <row r="191" spans="1:2" ht="12" customHeight="1" x14ac:dyDescent="0.15">
      <c r="A191" s="448">
        <f>Simulation!O207</f>
        <v>0.36086636296443642</v>
      </c>
      <c r="B191" s="448">
        <f>Simulation!M207</f>
        <v>405769.79081629479</v>
      </c>
    </row>
    <row r="192" spans="1:2" ht="12" customHeight="1" x14ac:dyDescent="0.15">
      <c r="A192" s="448">
        <f>Simulation!O208</f>
        <v>0.60727338192269187</v>
      </c>
      <c r="B192" s="448">
        <f>Simulation!M208</f>
        <v>421910.38293443382</v>
      </c>
    </row>
    <row r="193" spans="1:2" ht="12" customHeight="1" x14ac:dyDescent="0.15">
      <c r="A193" s="448">
        <f>Simulation!O209</f>
        <v>0.54585727019807884</v>
      </c>
      <c r="B193" s="448">
        <f>Simulation!M209</f>
        <v>460195.5537670448</v>
      </c>
    </row>
    <row r="194" spans="1:2" ht="12" customHeight="1" x14ac:dyDescent="0.15">
      <c r="A194" s="448">
        <f>Simulation!O210</f>
        <v>0.61690486225290009</v>
      </c>
      <c r="B194" s="448">
        <f>Simulation!M210</f>
        <v>506431.10715470789</v>
      </c>
    </row>
    <row r="195" spans="1:2" ht="12" customHeight="1" x14ac:dyDescent="0.15">
      <c r="A195" s="448">
        <f>Simulation!O211</f>
        <v>0.35673909961407535</v>
      </c>
      <c r="B195" s="448">
        <f>Simulation!M211</f>
        <v>375895.19847924856</v>
      </c>
    </row>
    <row r="196" spans="1:2" ht="12" customHeight="1" x14ac:dyDescent="0.15">
      <c r="A196" s="448">
        <f>Simulation!O212</f>
        <v>0.91091991424468688</v>
      </c>
      <c r="B196" s="448">
        <f>Simulation!M212</f>
        <v>431680.78889618686</v>
      </c>
    </row>
    <row r="197" spans="1:2" ht="12" customHeight="1" x14ac:dyDescent="0.15">
      <c r="A197" s="448">
        <f>Simulation!O213</f>
        <v>3.5430373312154373E-2</v>
      </c>
      <c r="B197" s="448">
        <f>Simulation!M213</f>
        <v>368476.25212462025</v>
      </c>
    </row>
    <row r="198" spans="1:2" ht="12" customHeight="1" x14ac:dyDescent="0.15">
      <c r="A198" s="448">
        <f>Simulation!O214</f>
        <v>0.38772214047140396</v>
      </c>
      <c r="B198" s="448">
        <f>Simulation!M214</f>
        <v>554295.46170240117</v>
      </c>
    </row>
    <row r="199" spans="1:2" ht="12" customHeight="1" x14ac:dyDescent="0.15">
      <c r="A199" s="448">
        <f>Simulation!O215</f>
        <v>0.21799010609013925</v>
      </c>
      <c r="B199" s="448">
        <f>Simulation!M215</f>
        <v>412923.07185145904</v>
      </c>
    </row>
    <row r="200" spans="1:2" ht="12" customHeight="1" x14ac:dyDescent="0.15">
      <c r="A200" s="448">
        <f>Simulation!O216</f>
        <v>0.67836180379074151</v>
      </c>
      <c r="B200" s="448">
        <f>Simulation!M216</f>
        <v>424088.26969853952</v>
      </c>
    </row>
    <row r="201" spans="1:2" ht="12" customHeight="1" x14ac:dyDescent="0.15">
      <c r="A201" s="448">
        <f>Simulation!O217</f>
        <v>0.74685670935830206</v>
      </c>
      <c r="B201" s="448">
        <f>Simulation!M217</f>
        <v>479906.63944835641</v>
      </c>
    </row>
    <row r="202" spans="1:2" ht="12" customHeight="1" x14ac:dyDescent="0.15">
      <c r="A202" s="448">
        <f>Simulation!O218</f>
        <v>1.6176457214882145E-2</v>
      </c>
      <c r="B202" s="448">
        <f>Simulation!M218</f>
        <v>360206.93921460176</v>
      </c>
    </row>
    <row r="203" spans="1:2" ht="12" customHeight="1" x14ac:dyDescent="0.15">
      <c r="A203" s="448">
        <f>Simulation!O219</f>
        <v>0.55027450575912207</v>
      </c>
      <c r="B203" s="448">
        <f>Simulation!M219</f>
        <v>407137.80713837722</v>
      </c>
    </row>
    <row r="204" spans="1:2" ht="12" customHeight="1" x14ac:dyDescent="0.15">
      <c r="A204" s="448">
        <f>Simulation!O220</f>
        <v>0.49142382026551035</v>
      </c>
      <c r="B204" s="448">
        <f>Simulation!M220</f>
        <v>388076.73842741293</v>
      </c>
    </row>
    <row r="205" spans="1:2" ht="12" customHeight="1" x14ac:dyDescent="0.15">
      <c r="A205" s="448">
        <f>Simulation!O221</f>
        <v>0.16512204293217536</v>
      </c>
      <c r="B205" s="448">
        <f>Simulation!M221</f>
        <v>424777.16765515611</v>
      </c>
    </row>
    <row r="206" spans="1:2" ht="12" customHeight="1" x14ac:dyDescent="0.15">
      <c r="A206" s="448">
        <f>Simulation!O222</f>
        <v>0.69776809105631843</v>
      </c>
      <c r="B206" s="448">
        <f>Simulation!M222</f>
        <v>440388.91429485881</v>
      </c>
    </row>
    <row r="207" spans="1:2" ht="12" customHeight="1" x14ac:dyDescent="0.15">
      <c r="A207" s="448">
        <f>Simulation!O223</f>
        <v>0.1337308731165292</v>
      </c>
      <c r="B207" s="448">
        <f>Simulation!M223</f>
        <v>401770.57356518891</v>
      </c>
    </row>
    <row r="208" spans="1:2" ht="12" customHeight="1" x14ac:dyDescent="0.15">
      <c r="A208" s="448">
        <f>Simulation!O224</f>
        <v>1.2738427477112773</v>
      </c>
      <c r="B208" s="448">
        <f>Simulation!M224</f>
        <v>541456.82001169608</v>
      </c>
    </row>
    <row r="209" spans="1:2" ht="12" customHeight="1" x14ac:dyDescent="0.15">
      <c r="A209" s="448">
        <f>Simulation!O225</f>
        <v>0.37575487917718386</v>
      </c>
      <c r="B209" s="448">
        <f>Simulation!M225</f>
        <v>506802.87430844695</v>
      </c>
    </row>
    <row r="210" spans="1:2" ht="12" customHeight="1" x14ac:dyDescent="0.15">
      <c r="A210" s="448">
        <f>Simulation!O226</f>
        <v>0.49501223484733003</v>
      </c>
      <c r="B210" s="448">
        <f>Simulation!M226</f>
        <v>452316.04392352025</v>
      </c>
    </row>
    <row r="211" spans="1:2" ht="12" customHeight="1" x14ac:dyDescent="0.15">
      <c r="A211" s="448">
        <f>Simulation!O227</f>
        <v>0.49851405079422584</v>
      </c>
      <c r="B211" s="448">
        <f>Simulation!M227</f>
        <v>459899.6833275354</v>
      </c>
    </row>
    <row r="212" spans="1:2" ht="12" customHeight="1" x14ac:dyDescent="0.15">
      <c r="A212" s="448">
        <f>Simulation!O228</f>
        <v>0.40311927607167064</v>
      </c>
      <c r="B212" s="448">
        <f>Simulation!M228</f>
        <v>386308.57509268954</v>
      </c>
    </row>
    <row r="213" spans="1:2" ht="12" customHeight="1" x14ac:dyDescent="0.15">
      <c r="A213" s="448">
        <f>Simulation!O229</f>
        <v>0.45544418269417997</v>
      </c>
      <c r="B213" s="448">
        <f>Simulation!M229</f>
        <v>399049.23440110119</v>
      </c>
    </row>
    <row r="214" spans="1:2" ht="12" customHeight="1" x14ac:dyDescent="0.15">
      <c r="A214" s="448">
        <f>Simulation!O230</f>
        <v>0.38581312802135104</v>
      </c>
      <c r="B214" s="448">
        <f>Simulation!M230</f>
        <v>384283.58653548249</v>
      </c>
    </row>
    <row r="215" spans="1:2" ht="12" customHeight="1" x14ac:dyDescent="0.15">
      <c r="A215" s="448">
        <f>Simulation!O231</f>
        <v>0.66971380228471578</v>
      </c>
      <c r="B215" s="448">
        <f>Simulation!M231</f>
        <v>464893.21269279544</v>
      </c>
    </row>
    <row r="216" spans="1:2" ht="12" customHeight="1" x14ac:dyDescent="0.15">
      <c r="A216" s="448">
        <f>Simulation!O232</f>
        <v>1.1123747368125958</v>
      </c>
      <c r="B216" s="448">
        <f>Simulation!M232</f>
        <v>611598.88768585434</v>
      </c>
    </row>
    <row r="217" spans="1:2" ht="12" customHeight="1" x14ac:dyDescent="0.15">
      <c r="A217" s="448">
        <f>Simulation!O233</f>
        <v>0.63311066689434803</v>
      </c>
      <c r="B217" s="448">
        <f>Simulation!M233</f>
        <v>483786.04871509306</v>
      </c>
    </row>
    <row r="218" spans="1:2" ht="12" customHeight="1" x14ac:dyDescent="0.15">
      <c r="A218" s="448">
        <f>Simulation!O234</f>
        <v>0.10771028906716484</v>
      </c>
      <c r="B218" s="448">
        <f>Simulation!M234</f>
        <v>408150.91743477562</v>
      </c>
    </row>
    <row r="219" spans="1:2" ht="12" customHeight="1" x14ac:dyDescent="0.15">
      <c r="A219" s="448">
        <f>Simulation!O235</f>
        <v>0.34632915932547759</v>
      </c>
      <c r="B219" s="448">
        <f>Simulation!M235</f>
        <v>345569.87372949807</v>
      </c>
    </row>
    <row r="220" spans="1:2" ht="12" customHeight="1" x14ac:dyDescent="0.15">
      <c r="A220" s="448">
        <f>Simulation!O236</f>
        <v>0.25972702951012305</v>
      </c>
      <c r="B220" s="448">
        <f>Simulation!M236</f>
        <v>421173.78364975145</v>
      </c>
    </row>
    <row r="221" spans="1:2" ht="12" customHeight="1" x14ac:dyDescent="0.15">
      <c r="A221" s="448">
        <f>Simulation!O237</f>
        <v>0.63097014491097658</v>
      </c>
      <c r="B221" s="448">
        <f>Simulation!M237</f>
        <v>559502.83937403839</v>
      </c>
    </row>
    <row r="222" spans="1:2" ht="12" customHeight="1" x14ac:dyDescent="0.15">
      <c r="A222" s="448">
        <f>Simulation!O238</f>
        <v>0.68152222372723892</v>
      </c>
      <c r="B222" s="448">
        <f>Simulation!M238</f>
        <v>437632.52494443121</v>
      </c>
    </row>
    <row r="223" spans="1:2" ht="12" customHeight="1" x14ac:dyDescent="0.15">
      <c r="A223" s="448">
        <f>Simulation!O239</f>
        <v>0.65961785397912376</v>
      </c>
      <c r="B223" s="448">
        <f>Simulation!M239</f>
        <v>489057.68999848986</v>
      </c>
    </row>
    <row r="224" spans="1:2" ht="12" customHeight="1" x14ac:dyDescent="0.15">
      <c r="A224" s="448">
        <f>Simulation!O240</f>
        <v>0.54929078783050889</v>
      </c>
      <c r="B224" s="448">
        <f>Simulation!M240</f>
        <v>468957.66177414375</v>
      </c>
    </row>
    <row r="225" spans="1:2" ht="12" customHeight="1" x14ac:dyDescent="0.15">
      <c r="A225" s="448">
        <f>Simulation!O241</f>
        <v>0.75482895974220421</v>
      </c>
      <c r="B225" s="448">
        <f>Simulation!M241</f>
        <v>429173.23960846337</v>
      </c>
    </row>
    <row r="226" spans="1:2" ht="12" customHeight="1" x14ac:dyDescent="0.15">
      <c r="A226" s="448">
        <f>Simulation!O242</f>
        <v>0.65645843923580283</v>
      </c>
      <c r="B226" s="448">
        <f>Simulation!M242</f>
        <v>557045.3667443071</v>
      </c>
    </row>
    <row r="227" spans="1:2" ht="12" customHeight="1" x14ac:dyDescent="0.15">
      <c r="A227" s="448">
        <f>Simulation!O243</f>
        <v>0.94959520440384404</v>
      </c>
      <c r="B227" s="448">
        <f>Simulation!M243</f>
        <v>546990.63248052297</v>
      </c>
    </row>
    <row r="228" spans="1:2" ht="12" customHeight="1" x14ac:dyDescent="0.15">
      <c r="A228" s="448">
        <f>Simulation!O244</f>
        <v>0.20840249755281404</v>
      </c>
      <c r="B228" s="448">
        <f>Simulation!M244</f>
        <v>423440.5007010579</v>
      </c>
    </row>
    <row r="229" spans="1:2" ht="12" customHeight="1" x14ac:dyDescent="0.15">
      <c r="A229" s="448">
        <f>Simulation!O245</f>
        <v>1.1669952040309184E-2</v>
      </c>
      <c r="B229" s="448">
        <f>Simulation!M245</f>
        <v>363429.19583956175</v>
      </c>
    </row>
    <row r="230" spans="1:2" ht="12" customHeight="1" x14ac:dyDescent="0.15">
      <c r="A230" s="448">
        <f>Simulation!O246</f>
        <v>0.49095066244129937</v>
      </c>
      <c r="B230" s="448">
        <f>Simulation!M246</f>
        <v>535446.05944722914</v>
      </c>
    </row>
    <row r="231" spans="1:2" ht="12" customHeight="1" x14ac:dyDescent="0.15">
      <c r="A231" s="448">
        <f>Simulation!O247</f>
        <v>-5.337396283124507E-2</v>
      </c>
      <c r="B231" s="448">
        <f>Simulation!M247</f>
        <v>370681.00685211585</v>
      </c>
    </row>
    <row r="232" spans="1:2" ht="12" customHeight="1" x14ac:dyDescent="0.15">
      <c r="A232" s="448">
        <f>Simulation!O248</f>
        <v>0.7359324522347066</v>
      </c>
      <c r="B232" s="448">
        <f>Simulation!M248</f>
        <v>561317.37195833342</v>
      </c>
    </row>
    <row r="233" spans="1:2" ht="12" customHeight="1" x14ac:dyDescent="0.15">
      <c r="A233" s="448">
        <f>Simulation!O249</f>
        <v>0.36371532066014778</v>
      </c>
      <c r="B233" s="448">
        <f>Simulation!M249</f>
        <v>432079.55305351433</v>
      </c>
    </row>
    <row r="234" spans="1:2" ht="12" customHeight="1" x14ac:dyDescent="0.15">
      <c r="A234" s="448">
        <f>Simulation!O250</f>
        <v>0.4319075632328957</v>
      </c>
      <c r="B234" s="448">
        <f>Simulation!M250</f>
        <v>466756.31105444545</v>
      </c>
    </row>
    <row r="235" spans="1:2" ht="12" customHeight="1" x14ac:dyDescent="0.15">
      <c r="A235" s="448">
        <f>Simulation!O251</f>
        <v>0.62053121146890078</v>
      </c>
      <c r="B235" s="448">
        <f>Simulation!M251</f>
        <v>524818.54208511603</v>
      </c>
    </row>
    <row r="236" spans="1:2" ht="12" customHeight="1" x14ac:dyDescent="0.15">
      <c r="A236" s="448">
        <f>Simulation!O252</f>
        <v>0.4119074289232163</v>
      </c>
      <c r="B236" s="448">
        <f>Simulation!M252</f>
        <v>364820.70220957958</v>
      </c>
    </row>
    <row r="237" spans="1:2" ht="12" customHeight="1" x14ac:dyDescent="0.15">
      <c r="A237" s="448">
        <f>Simulation!O253</f>
        <v>0.50272756858695811</v>
      </c>
      <c r="B237" s="448">
        <f>Simulation!M253</f>
        <v>407401.86847383587</v>
      </c>
    </row>
    <row r="238" spans="1:2" ht="12" customHeight="1" x14ac:dyDescent="0.15">
      <c r="A238" s="448">
        <f>Simulation!O254</f>
        <v>0.92260207828624141</v>
      </c>
      <c r="B238" s="448">
        <f>Simulation!M254</f>
        <v>503474.61535650492</v>
      </c>
    </row>
    <row r="239" spans="1:2" ht="12" customHeight="1" x14ac:dyDescent="0.15">
      <c r="A239" s="448">
        <f>Simulation!O255</f>
        <v>0.42314635446204818</v>
      </c>
      <c r="B239" s="448">
        <f>Simulation!M255</f>
        <v>481397.83413482574</v>
      </c>
    </row>
    <row r="240" spans="1:2" ht="12" customHeight="1" x14ac:dyDescent="0.15">
      <c r="A240" s="448">
        <f>Simulation!O256</f>
        <v>0.49528713214078213</v>
      </c>
      <c r="B240" s="448">
        <f>Simulation!M256</f>
        <v>413907.8826729611</v>
      </c>
    </row>
    <row r="241" spans="1:2" ht="12" customHeight="1" x14ac:dyDescent="0.15">
      <c r="A241" s="448">
        <f>Simulation!O257</f>
        <v>0.30913322403991561</v>
      </c>
      <c r="B241" s="448">
        <f>Simulation!M257</f>
        <v>503202.76869082195</v>
      </c>
    </row>
    <row r="242" spans="1:2" ht="12" customHeight="1" x14ac:dyDescent="0.15">
      <c r="A242" s="448">
        <f>Simulation!O258</f>
        <v>0.85959917468081581</v>
      </c>
      <c r="B242" s="448">
        <f>Simulation!M258</f>
        <v>479752.98460957676</v>
      </c>
    </row>
    <row r="243" spans="1:2" ht="12" customHeight="1" x14ac:dyDescent="0.15">
      <c r="A243" s="448">
        <f>Simulation!O259</f>
        <v>0.96938211418698739</v>
      </c>
      <c r="B243" s="448">
        <f>Simulation!M259</f>
        <v>531177.58677384118</v>
      </c>
    </row>
    <row r="244" spans="1:2" ht="12" customHeight="1" x14ac:dyDescent="0.15">
      <c r="A244" s="448">
        <f>Simulation!O260</f>
        <v>0.44774556316252734</v>
      </c>
      <c r="B244" s="448">
        <f>Simulation!M260</f>
        <v>487337.66532910382</v>
      </c>
    </row>
    <row r="245" spans="1:2" ht="12" customHeight="1" x14ac:dyDescent="0.15">
      <c r="A245" s="448">
        <f>Simulation!O261</f>
        <v>0.21964389948881902</v>
      </c>
      <c r="B245" s="448">
        <f>Simulation!M261</f>
        <v>425321.27542092057</v>
      </c>
    </row>
    <row r="246" spans="1:2" ht="12" customHeight="1" x14ac:dyDescent="0.15">
      <c r="A246" s="448">
        <f>Simulation!O262</f>
        <v>0.40023126216086569</v>
      </c>
      <c r="B246" s="448">
        <f>Simulation!M262</f>
        <v>494941.94867928571</v>
      </c>
    </row>
    <row r="247" spans="1:2" ht="12" customHeight="1" x14ac:dyDescent="0.15">
      <c r="A247" s="448">
        <f>Simulation!O263</f>
        <v>0.71165341313590824</v>
      </c>
      <c r="B247" s="448">
        <f>Simulation!M263</f>
        <v>494049.24382649723</v>
      </c>
    </row>
    <row r="248" spans="1:2" ht="12" customHeight="1" x14ac:dyDescent="0.15">
      <c r="A248" s="448">
        <f>Simulation!O264</f>
        <v>0.5485251830205673</v>
      </c>
      <c r="B248" s="448">
        <f>Simulation!M264</f>
        <v>482838.9386357711</v>
      </c>
    </row>
    <row r="249" spans="1:2" ht="12" customHeight="1" x14ac:dyDescent="0.15">
      <c r="A249" s="448">
        <f>Simulation!O265</f>
        <v>-0.15760821279916204</v>
      </c>
      <c r="B249" s="448">
        <f>Simulation!M265</f>
        <v>404356.73939114949</v>
      </c>
    </row>
    <row r="250" spans="1:2" ht="12" customHeight="1" x14ac:dyDescent="0.15">
      <c r="A250" s="448">
        <f>Simulation!O266</f>
        <v>0.13160972835240514</v>
      </c>
      <c r="B250" s="448">
        <f>Simulation!M266</f>
        <v>433789.56946462067</v>
      </c>
    </row>
    <row r="251" spans="1:2" ht="12" customHeight="1" x14ac:dyDescent="0.15">
      <c r="A251" s="448">
        <f>Simulation!O267</f>
        <v>0.32319195162620762</v>
      </c>
      <c r="B251" s="448">
        <f>Simulation!M267</f>
        <v>379613.1758434677</v>
      </c>
    </row>
    <row r="252" spans="1:2" ht="12" customHeight="1" x14ac:dyDescent="0.15">
      <c r="A252" s="448">
        <f>Simulation!O268</f>
        <v>-2.8862137624782402E-2</v>
      </c>
      <c r="B252" s="448">
        <f>Simulation!M268</f>
        <v>425735.50628883805</v>
      </c>
    </row>
    <row r="253" spans="1:2" ht="12" customHeight="1" x14ac:dyDescent="0.15">
      <c r="A253" s="448">
        <f>Simulation!O269</f>
        <v>0.19752285586133667</v>
      </c>
      <c r="B253" s="448">
        <f>Simulation!M269</f>
        <v>427346.74530653236</v>
      </c>
    </row>
    <row r="254" spans="1:2" ht="12" customHeight="1" x14ac:dyDescent="0.15">
      <c r="A254" s="448">
        <f>Simulation!O270</f>
        <v>0.48690996520445262</v>
      </c>
      <c r="B254" s="448">
        <f>Simulation!M270</f>
        <v>433043.13725262566</v>
      </c>
    </row>
    <row r="255" spans="1:2" ht="12" customHeight="1" x14ac:dyDescent="0.15">
      <c r="A255" s="448">
        <f>Simulation!O271</f>
        <v>0.312234584253412</v>
      </c>
      <c r="B255" s="448">
        <f>Simulation!M271</f>
        <v>395230.50917963911</v>
      </c>
    </row>
    <row r="256" spans="1:2" ht="12" customHeight="1" x14ac:dyDescent="0.15">
      <c r="A256" s="448">
        <f>Simulation!O272</f>
        <v>0.41017088140246827</v>
      </c>
      <c r="B256" s="448">
        <f>Simulation!M272</f>
        <v>407904.96928385901</v>
      </c>
    </row>
    <row r="257" spans="1:2" ht="12" customHeight="1" x14ac:dyDescent="0.15">
      <c r="A257" s="448">
        <f>Simulation!O273</f>
        <v>0.83745438883774037</v>
      </c>
      <c r="B257" s="448">
        <f>Simulation!M273</f>
        <v>448117.94760632911</v>
      </c>
    </row>
    <row r="258" spans="1:2" ht="12" customHeight="1" x14ac:dyDescent="0.15">
      <c r="A258" s="448">
        <f>Simulation!O274</f>
        <v>0.77201341231998932</v>
      </c>
      <c r="B258" s="448">
        <f>Simulation!M274</f>
        <v>390432.81208699627</v>
      </c>
    </row>
    <row r="259" spans="1:2" ht="12" customHeight="1" x14ac:dyDescent="0.15">
      <c r="A259" s="448">
        <f>Simulation!O275</f>
        <v>0.6478319618334798</v>
      </c>
      <c r="B259" s="448">
        <f>Simulation!M275</f>
        <v>468147.2658239883</v>
      </c>
    </row>
    <row r="260" spans="1:2" ht="12" customHeight="1" x14ac:dyDescent="0.15">
      <c r="A260" s="448">
        <f>Simulation!O276</f>
        <v>0.49621043560686262</v>
      </c>
      <c r="B260" s="448">
        <f>Simulation!M276</f>
        <v>480842.13651390106</v>
      </c>
    </row>
    <row r="261" spans="1:2" ht="12" customHeight="1" x14ac:dyDescent="0.15">
      <c r="A261" s="448">
        <f>Simulation!O277</f>
        <v>0.65004475369283021</v>
      </c>
      <c r="B261" s="448">
        <f>Simulation!M277</f>
        <v>561212.85497090558</v>
      </c>
    </row>
    <row r="262" spans="1:2" ht="12" customHeight="1" x14ac:dyDescent="0.15">
      <c r="A262" s="448">
        <f>Simulation!O278</f>
        <v>0.18949416710857259</v>
      </c>
      <c r="B262" s="448">
        <f>Simulation!M278</f>
        <v>462595.70495998848</v>
      </c>
    </row>
    <row r="263" spans="1:2" ht="12" customHeight="1" x14ac:dyDescent="0.15">
      <c r="A263" s="448">
        <f>Simulation!O279</f>
        <v>0.13351300155997547</v>
      </c>
      <c r="B263" s="448">
        <f>Simulation!M279</f>
        <v>373027.5413689937</v>
      </c>
    </row>
    <row r="264" spans="1:2" ht="12" customHeight="1" x14ac:dyDescent="0.15">
      <c r="A264" s="448">
        <f>Simulation!O280</f>
        <v>0.40266374140850303</v>
      </c>
      <c r="B264" s="448">
        <f>Simulation!M280</f>
        <v>416564.22703527118</v>
      </c>
    </row>
    <row r="265" spans="1:2" ht="12" customHeight="1" x14ac:dyDescent="0.15">
      <c r="A265" s="448">
        <f>Simulation!O281</f>
        <v>3.2543923800077756E-2</v>
      </c>
      <c r="B265" s="448">
        <f>Simulation!M281</f>
        <v>585884.08043597348</v>
      </c>
    </row>
    <row r="266" spans="1:2" ht="12" customHeight="1" x14ac:dyDescent="0.15">
      <c r="A266" s="448">
        <f>Simulation!O282</f>
        <v>0.25437421738640076</v>
      </c>
      <c r="B266" s="448">
        <f>Simulation!M282</f>
        <v>372067.43741793773</v>
      </c>
    </row>
    <row r="267" spans="1:2" ht="12" customHeight="1" x14ac:dyDescent="0.15">
      <c r="A267" s="448">
        <f>Simulation!O283</f>
        <v>8.5382745238133051E-2</v>
      </c>
      <c r="B267" s="448">
        <f>Simulation!M283</f>
        <v>471911.58039176709</v>
      </c>
    </row>
    <row r="268" spans="1:2" ht="12" customHeight="1" x14ac:dyDescent="0.15">
      <c r="A268" s="448">
        <f>Simulation!O284</f>
        <v>0.64158400828045092</v>
      </c>
      <c r="B268" s="448">
        <f>Simulation!M284</f>
        <v>421987.6331502673</v>
      </c>
    </row>
    <row r="269" spans="1:2" ht="12" customHeight="1" x14ac:dyDescent="0.15">
      <c r="A269" s="448">
        <f>Simulation!O285</f>
        <v>0.50580538674070241</v>
      </c>
      <c r="B269" s="448">
        <f>Simulation!M285</f>
        <v>478425.16947657219</v>
      </c>
    </row>
    <row r="270" spans="1:2" ht="12" customHeight="1" x14ac:dyDescent="0.15">
      <c r="A270" s="448">
        <f>Simulation!O286</f>
        <v>0.15358853965083386</v>
      </c>
      <c r="B270" s="448">
        <f>Simulation!M286</f>
        <v>497916.91597566538</v>
      </c>
    </row>
    <row r="271" spans="1:2" ht="12" customHeight="1" x14ac:dyDescent="0.15">
      <c r="A271" s="448">
        <f>Simulation!O287</f>
        <v>0.30376994781371036</v>
      </c>
      <c r="B271" s="448">
        <f>Simulation!M287</f>
        <v>365288.62225310667</v>
      </c>
    </row>
    <row r="272" spans="1:2" ht="12" customHeight="1" x14ac:dyDescent="0.15">
      <c r="A272" s="448">
        <f>Simulation!O288</f>
        <v>0.57103801416149613</v>
      </c>
      <c r="B272" s="448">
        <f>Simulation!M288</f>
        <v>443921.95807398658</v>
      </c>
    </row>
    <row r="273" spans="1:2" ht="12" customHeight="1" x14ac:dyDescent="0.15">
      <c r="A273" s="448">
        <f>Simulation!O289</f>
        <v>0.55056735438460747</v>
      </c>
      <c r="B273" s="448">
        <f>Simulation!M289</f>
        <v>455097.90764074872</v>
      </c>
    </row>
    <row r="274" spans="1:2" ht="12" customHeight="1" x14ac:dyDescent="0.15">
      <c r="A274" s="448">
        <f>Simulation!O290</f>
        <v>0.39420974026552402</v>
      </c>
      <c r="B274" s="448">
        <f>Simulation!M290</f>
        <v>485528.28985879291</v>
      </c>
    </row>
    <row r="275" spans="1:2" ht="12" customHeight="1" x14ac:dyDescent="0.15">
      <c r="A275" s="448">
        <f>Simulation!O291</f>
        <v>2.011330252168797E-2</v>
      </c>
      <c r="B275" s="448">
        <f>Simulation!M291</f>
        <v>438510.81548323494</v>
      </c>
    </row>
    <row r="276" spans="1:2" ht="12" customHeight="1" x14ac:dyDescent="0.15">
      <c r="A276" s="448">
        <f>Simulation!O292</f>
        <v>-0.10038803378397088</v>
      </c>
      <c r="B276" s="448">
        <f>Simulation!M292</f>
        <v>406006.06570076587</v>
      </c>
    </row>
    <row r="277" spans="1:2" ht="12" customHeight="1" x14ac:dyDescent="0.15">
      <c r="A277" s="448">
        <f>Simulation!O293</f>
        <v>0.46597033912750074</v>
      </c>
      <c r="B277" s="448">
        <f>Simulation!M293</f>
        <v>407745.95833652123</v>
      </c>
    </row>
    <row r="278" spans="1:2" ht="12" customHeight="1" x14ac:dyDescent="0.15">
      <c r="A278" s="448">
        <f>Simulation!O294</f>
        <v>0.65853936114167633</v>
      </c>
      <c r="B278" s="448">
        <f>Simulation!M294</f>
        <v>391042.44470544549</v>
      </c>
    </row>
    <row r="279" spans="1:2" ht="12" customHeight="1" x14ac:dyDescent="0.15">
      <c r="A279" s="448">
        <f>Simulation!O295</f>
        <v>0.4662458258901494</v>
      </c>
      <c r="B279" s="448">
        <f>Simulation!M295</f>
        <v>480378.99692084291</v>
      </c>
    </row>
    <row r="280" spans="1:2" ht="12" customHeight="1" x14ac:dyDescent="0.15">
      <c r="A280" s="448">
        <f>Simulation!O296</f>
        <v>0.61684946018654641</v>
      </c>
      <c r="B280" s="448">
        <f>Simulation!M296</f>
        <v>488178.02969662414</v>
      </c>
    </row>
    <row r="281" spans="1:2" ht="12" customHeight="1" x14ac:dyDescent="0.15">
      <c r="A281" s="448">
        <f>Simulation!O297</f>
        <v>0.3909179173230517</v>
      </c>
      <c r="B281" s="448">
        <f>Simulation!M297</f>
        <v>462793.08379632724</v>
      </c>
    </row>
    <row r="282" spans="1:2" ht="12" customHeight="1" x14ac:dyDescent="0.15">
      <c r="A282" s="448">
        <f>Simulation!O298</f>
        <v>0.31389930951534728</v>
      </c>
      <c r="B282" s="448">
        <f>Simulation!M298</f>
        <v>413459.66714523296</v>
      </c>
    </row>
    <row r="283" spans="1:2" ht="12" customHeight="1" x14ac:dyDescent="0.15">
      <c r="A283" s="448">
        <f>Simulation!O299</f>
        <v>0.32963341625308384</v>
      </c>
      <c r="B283" s="448">
        <f>Simulation!M299</f>
        <v>428880.36640059884</v>
      </c>
    </row>
    <row r="284" spans="1:2" ht="12" customHeight="1" x14ac:dyDescent="0.15">
      <c r="A284" s="448">
        <f>Simulation!O300</f>
        <v>0.76427835089913221</v>
      </c>
      <c r="B284" s="448">
        <f>Simulation!M300</f>
        <v>524177.09520455613</v>
      </c>
    </row>
    <row r="285" spans="1:2" ht="12" customHeight="1" x14ac:dyDescent="0.15">
      <c r="A285" s="448">
        <f>Simulation!O301</f>
        <v>0.26466110476549387</v>
      </c>
      <c r="B285" s="448">
        <f>Simulation!M301</f>
        <v>556290.79942576785</v>
      </c>
    </row>
    <row r="286" spans="1:2" ht="12" customHeight="1" x14ac:dyDescent="0.15">
      <c r="A286" s="448">
        <f>Simulation!O302</f>
        <v>0.79085214064362241</v>
      </c>
      <c r="B286" s="448">
        <f>Simulation!M302</f>
        <v>440679.52836042515</v>
      </c>
    </row>
    <row r="287" spans="1:2" ht="12" customHeight="1" x14ac:dyDescent="0.15">
      <c r="A287" s="448">
        <f>Simulation!O303</f>
        <v>4.9038775681081059E-2</v>
      </c>
      <c r="B287" s="448">
        <f>Simulation!M303</f>
        <v>386077.76682599395</v>
      </c>
    </row>
    <row r="288" spans="1:2" ht="12" customHeight="1" x14ac:dyDescent="0.15">
      <c r="A288" s="448">
        <f>Simulation!O304</f>
        <v>0.64425653499452196</v>
      </c>
      <c r="B288" s="448">
        <f>Simulation!M304</f>
        <v>543815.68725078902</v>
      </c>
    </row>
    <row r="289" spans="1:2" ht="12" customHeight="1" x14ac:dyDescent="0.15">
      <c r="A289" s="448">
        <f>Simulation!O305</f>
        <v>0.39203390905658342</v>
      </c>
      <c r="B289" s="448">
        <f>Simulation!M305</f>
        <v>512491.41275430372</v>
      </c>
    </row>
    <row r="290" spans="1:2" ht="12" customHeight="1" x14ac:dyDescent="0.15">
      <c r="A290" s="448">
        <f>Simulation!O306</f>
        <v>0.87969233050715667</v>
      </c>
      <c r="B290" s="448">
        <f>Simulation!M306</f>
        <v>649124.75108265865</v>
      </c>
    </row>
    <row r="291" spans="1:2" ht="12" customHeight="1" x14ac:dyDescent="0.15">
      <c r="A291" s="448">
        <f>Simulation!O307</f>
        <v>0.31778519709180508</v>
      </c>
      <c r="B291" s="448">
        <f>Simulation!M307</f>
        <v>449255.15109077544</v>
      </c>
    </row>
    <row r="292" spans="1:2" ht="12" customHeight="1" x14ac:dyDescent="0.15">
      <c r="A292" s="448">
        <f>Simulation!O308</f>
        <v>0.22679173659522656</v>
      </c>
      <c r="B292" s="448">
        <f>Simulation!M308</f>
        <v>365323.21031228761</v>
      </c>
    </row>
    <row r="293" spans="1:2" ht="12" customHeight="1" x14ac:dyDescent="0.15">
      <c r="A293" s="448">
        <f>Simulation!O309</f>
        <v>8.4234767899395768E-2</v>
      </c>
      <c r="B293" s="448">
        <f>Simulation!M309</f>
        <v>473349.13875563786</v>
      </c>
    </row>
    <row r="294" spans="1:2" ht="12" customHeight="1" x14ac:dyDescent="0.15">
      <c r="A294" s="448">
        <f>Simulation!O310</f>
        <v>0.47948306681738684</v>
      </c>
      <c r="B294" s="448">
        <f>Simulation!M310</f>
        <v>488752.89589106303</v>
      </c>
    </row>
    <row r="295" spans="1:2" ht="12" customHeight="1" x14ac:dyDescent="0.15">
      <c r="A295" s="448">
        <f>Simulation!O311</f>
        <v>0.20860758356705356</v>
      </c>
      <c r="B295" s="448">
        <f>Simulation!M311</f>
        <v>445190.71921589941</v>
      </c>
    </row>
    <row r="296" spans="1:2" ht="12" customHeight="1" x14ac:dyDescent="0.15">
      <c r="A296" s="448">
        <f>Simulation!O312</f>
        <v>0.49171191298984507</v>
      </c>
      <c r="B296" s="448">
        <f>Simulation!M312</f>
        <v>427917.37547840748</v>
      </c>
    </row>
    <row r="297" spans="1:2" ht="12" customHeight="1" x14ac:dyDescent="0.15">
      <c r="A297" s="448">
        <f>Simulation!O313</f>
        <v>0.4108713746819026</v>
      </c>
      <c r="B297" s="448">
        <f>Simulation!M313</f>
        <v>466265.20263527706</v>
      </c>
    </row>
    <row r="298" spans="1:2" ht="12" customHeight="1" x14ac:dyDescent="0.15">
      <c r="A298" s="448">
        <f>Simulation!O314</f>
        <v>0.52285778340992151</v>
      </c>
      <c r="B298" s="448">
        <f>Simulation!M314</f>
        <v>529129.31109551026</v>
      </c>
    </row>
    <row r="299" spans="1:2" ht="12" customHeight="1" x14ac:dyDescent="0.15">
      <c r="A299" s="448">
        <f>Simulation!O315</f>
        <v>0.50839814549448414</v>
      </c>
      <c r="B299" s="448">
        <f>Simulation!M315</f>
        <v>434400.29388455953</v>
      </c>
    </row>
    <row r="300" spans="1:2" ht="12" customHeight="1" x14ac:dyDescent="0.15">
      <c r="A300" s="448">
        <f>Simulation!O316</f>
        <v>7.4389755532218604E-2</v>
      </c>
      <c r="B300" s="448">
        <f>Simulation!M316</f>
        <v>430153.12727971707</v>
      </c>
    </row>
    <row r="301" spans="1:2" ht="12" customHeight="1" x14ac:dyDescent="0.15">
      <c r="A301" s="448">
        <f>Simulation!O317</f>
        <v>0.41905249551723589</v>
      </c>
      <c r="B301" s="448">
        <f>Simulation!M317</f>
        <v>483883.8226939434</v>
      </c>
    </row>
    <row r="302" spans="1:2" ht="12" customHeight="1" x14ac:dyDescent="0.15">
      <c r="A302" s="448">
        <f>Simulation!O318</f>
        <v>0.53127963852200333</v>
      </c>
      <c r="B302" s="448">
        <f>Simulation!M318</f>
        <v>515527.81428099488</v>
      </c>
    </row>
    <row r="303" spans="1:2" ht="12" customHeight="1" x14ac:dyDescent="0.15">
      <c r="A303" s="448">
        <f>Simulation!O319</f>
        <v>0.57186952355227616</v>
      </c>
      <c r="B303" s="448">
        <f>Simulation!M319</f>
        <v>459579.73054972128</v>
      </c>
    </row>
    <row r="304" spans="1:2" ht="12" customHeight="1" x14ac:dyDescent="0.15">
      <c r="A304" s="448">
        <f>Simulation!O320</f>
        <v>0.35770444231204657</v>
      </c>
      <c r="B304" s="448">
        <f>Simulation!M320</f>
        <v>509325.57859729184</v>
      </c>
    </row>
    <row r="305" spans="1:2" ht="12" customHeight="1" x14ac:dyDescent="0.15">
      <c r="A305" s="448">
        <f>Simulation!O321</f>
        <v>0.71687637545114002</v>
      </c>
      <c r="B305" s="448">
        <f>Simulation!M321</f>
        <v>442456.27956434275</v>
      </c>
    </row>
    <row r="306" spans="1:2" ht="12" customHeight="1" x14ac:dyDescent="0.15">
      <c r="A306" s="448">
        <f>Simulation!O322</f>
        <v>0.5656140165224226</v>
      </c>
      <c r="B306" s="448">
        <f>Simulation!M322</f>
        <v>553428.38176419295</v>
      </c>
    </row>
    <row r="307" spans="1:2" ht="12" customHeight="1" x14ac:dyDescent="0.15">
      <c r="A307" s="448">
        <f>Simulation!O323</f>
        <v>0.32347275724301428</v>
      </c>
      <c r="B307" s="448">
        <f>Simulation!M323</f>
        <v>393608.60427304759</v>
      </c>
    </row>
    <row r="308" spans="1:2" ht="12" customHeight="1" x14ac:dyDescent="0.15">
      <c r="A308" s="448">
        <f>Simulation!O324</f>
        <v>0.4399861562076488</v>
      </c>
      <c r="B308" s="448">
        <f>Simulation!M324</f>
        <v>403466.6221751679</v>
      </c>
    </row>
    <row r="309" spans="1:2" ht="12" customHeight="1" x14ac:dyDescent="0.15">
      <c r="A309" s="448">
        <f>Simulation!O325</f>
        <v>0.90147428341863689</v>
      </c>
      <c r="B309" s="448">
        <f>Simulation!M325</f>
        <v>521746.05670032569</v>
      </c>
    </row>
    <row r="310" spans="1:2" ht="12" customHeight="1" x14ac:dyDescent="0.15">
      <c r="A310" s="448">
        <f>Simulation!O326</f>
        <v>0.72011969272923348</v>
      </c>
      <c r="B310" s="448">
        <f>Simulation!M326</f>
        <v>545915.8687505495</v>
      </c>
    </row>
    <row r="311" spans="1:2" ht="12" customHeight="1" x14ac:dyDescent="0.15">
      <c r="A311" s="448">
        <f>Simulation!O327</f>
        <v>0.62507874684378661</v>
      </c>
      <c r="B311" s="448">
        <f>Simulation!M327</f>
        <v>523365.92227529373</v>
      </c>
    </row>
    <row r="312" spans="1:2" ht="12" customHeight="1" x14ac:dyDescent="0.15">
      <c r="A312" s="448">
        <f>Simulation!O328</f>
        <v>1.5135826304558453E-2</v>
      </c>
      <c r="B312" s="448">
        <f>Simulation!M328</f>
        <v>363138.99244281382</v>
      </c>
    </row>
    <row r="313" spans="1:2" ht="12" customHeight="1" x14ac:dyDescent="0.15">
      <c r="A313" s="448">
        <f>Simulation!O329</f>
        <v>0.43219470314002129</v>
      </c>
      <c r="B313" s="448">
        <f>Simulation!M329</f>
        <v>452348.23070087866</v>
      </c>
    </row>
    <row r="314" spans="1:2" ht="12" customHeight="1" x14ac:dyDescent="0.15">
      <c r="A314" s="448">
        <f>Simulation!O330</f>
        <v>0.66497367104436145</v>
      </c>
      <c r="B314" s="448">
        <f>Simulation!M330</f>
        <v>394140.4542034039</v>
      </c>
    </row>
    <row r="315" spans="1:2" ht="12" customHeight="1" x14ac:dyDescent="0.15">
      <c r="A315" s="448">
        <f>Simulation!O331</f>
        <v>0.12222143444136568</v>
      </c>
      <c r="B315" s="448">
        <f>Simulation!M331</f>
        <v>408747.04208498041</v>
      </c>
    </row>
    <row r="316" spans="1:2" ht="12" customHeight="1" x14ac:dyDescent="0.15">
      <c r="A316" s="448">
        <f>Simulation!O332</f>
        <v>-3.4456908783694562E-2</v>
      </c>
      <c r="B316" s="448">
        <f>Simulation!M332</f>
        <v>357145.51298652182</v>
      </c>
    </row>
    <row r="317" spans="1:2" ht="12" customHeight="1" x14ac:dyDescent="0.15">
      <c r="A317" s="448">
        <f>Simulation!O333</f>
        <v>0.80051616574505413</v>
      </c>
      <c r="B317" s="448">
        <f>Simulation!M333</f>
        <v>542453.63365151023</v>
      </c>
    </row>
    <row r="318" spans="1:2" ht="12" customHeight="1" x14ac:dyDescent="0.15">
      <c r="A318" s="448">
        <f>Simulation!O334</f>
        <v>4.2851513971967403E-2</v>
      </c>
      <c r="B318" s="448">
        <f>Simulation!M334</f>
        <v>366645.64832539571</v>
      </c>
    </row>
    <row r="319" spans="1:2" ht="12" customHeight="1" x14ac:dyDescent="0.15">
      <c r="A319" s="448">
        <f>Simulation!O335</f>
        <v>0.54146865603568983</v>
      </c>
      <c r="B319" s="448">
        <f>Simulation!M335</f>
        <v>455270.38630481734</v>
      </c>
    </row>
    <row r="320" spans="1:2" ht="12" customHeight="1" x14ac:dyDescent="0.15">
      <c r="A320" s="448">
        <f>Simulation!O336</f>
        <v>0.17752996226484496</v>
      </c>
      <c r="B320" s="448">
        <f>Simulation!M336</f>
        <v>373252.01578536653</v>
      </c>
    </row>
    <row r="321" spans="1:2" ht="12" customHeight="1" x14ac:dyDescent="0.15">
      <c r="A321" s="448">
        <f>Simulation!O337</f>
        <v>0.59669301503521277</v>
      </c>
      <c r="B321" s="448">
        <f>Simulation!M337</f>
        <v>449488.1985721552</v>
      </c>
    </row>
    <row r="322" spans="1:2" ht="12" customHeight="1" x14ac:dyDescent="0.15">
      <c r="A322" s="448">
        <f>Simulation!O338</f>
        <v>1.1709136622021528</v>
      </c>
      <c r="B322" s="448">
        <f>Simulation!M338</f>
        <v>512676.3914752056</v>
      </c>
    </row>
    <row r="323" spans="1:2" ht="12" customHeight="1" x14ac:dyDescent="0.15">
      <c r="A323" s="448">
        <f>Simulation!O339</f>
        <v>0.74617511490458321</v>
      </c>
      <c r="B323" s="448">
        <f>Simulation!M339</f>
        <v>576283.08961381391</v>
      </c>
    </row>
    <row r="324" spans="1:2" ht="12" customHeight="1" x14ac:dyDescent="0.15">
      <c r="A324" s="448">
        <f>Simulation!O340</f>
        <v>0.4907404798592081</v>
      </c>
      <c r="B324" s="448">
        <f>Simulation!M340</f>
        <v>460822.81104725029</v>
      </c>
    </row>
    <row r="325" spans="1:2" ht="12" customHeight="1" x14ac:dyDescent="0.15">
      <c r="A325" s="448">
        <f>Simulation!O341</f>
        <v>0.27747936441846877</v>
      </c>
      <c r="B325" s="448">
        <f>Simulation!M341</f>
        <v>437101.48490257445</v>
      </c>
    </row>
    <row r="326" spans="1:2" ht="12" customHeight="1" x14ac:dyDescent="0.15">
      <c r="A326" s="448">
        <f>Simulation!O342</f>
        <v>0.18387593496246657</v>
      </c>
      <c r="B326" s="448">
        <f>Simulation!M342</f>
        <v>396388.15078821813</v>
      </c>
    </row>
    <row r="327" spans="1:2" ht="12" customHeight="1" x14ac:dyDescent="0.15">
      <c r="A327" s="448">
        <f>Simulation!O343</f>
        <v>5.9942301576232371E-2</v>
      </c>
      <c r="B327" s="448">
        <f>Simulation!M343</f>
        <v>335654.74200908607</v>
      </c>
    </row>
    <row r="328" spans="1:2" ht="12" customHeight="1" x14ac:dyDescent="0.15">
      <c r="A328" s="448">
        <f>Simulation!O344</f>
        <v>0.40261081108522201</v>
      </c>
      <c r="B328" s="448">
        <f>Simulation!M344</f>
        <v>419896.13703449571</v>
      </c>
    </row>
    <row r="329" spans="1:2" ht="12" customHeight="1" x14ac:dyDescent="0.15">
      <c r="A329" s="448">
        <f>Simulation!O345</f>
        <v>0.33054729550833084</v>
      </c>
      <c r="B329" s="448">
        <f>Simulation!M345</f>
        <v>421199.6712048878</v>
      </c>
    </row>
    <row r="330" spans="1:2" ht="12" customHeight="1" x14ac:dyDescent="0.15">
      <c r="A330" s="448">
        <f>Simulation!O346</f>
        <v>9.2696454402598771E-2</v>
      </c>
      <c r="B330" s="448">
        <f>Simulation!M346</f>
        <v>479836.53760578798</v>
      </c>
    </row>
    <row r="331" spans="1:2" ht="12" customHeight="1" x14ac:dyDescent="0.15">
      <c r="A331" s="448">
        <f>Simulation!O347</f>
        <v>0.40796440060027184</v>
      </c>
      <c r="B331" s="448">
        <f>Simulation!M347</f>
        <v>614321.66134652775</v>
      </c>
    </row>
    <row r="332" spans="1:2" ht="12" customHeight="1" x14ac:dyDescent="0.15">
      <c r="A332" s="448">
        <f>Simulation!O348</f>
        <v>0.30148305052409219</v>
      </c>
      <c r="B332" s="448">
        <f>Simulation!M348</f>
        <v>354536.26082634594</v>
      </c>
    </row>
    <row r="333" spans="1:2" ht="12" customHeight="1" x14ac:dyDescent="0.15">
      <c r="A333" s="448">
        <f>Simulation!O349</f>
        <v>0.82530877951269055</v>
      </c>
      <c r="B333" s="448">
        <f>Simulation!M349</f>
        <v>523516.94375238859</v>
      </c>
    </row>
    <row r="334" spans="1:2" ht="12" customHeight="1" x14ac:dyDescent="0.15">
      <c r="A334" s="448">
        <f>Simulation!O350</f>
        <v>0.46811650911621538</v>
      </c>
      <c r="B334" s="448">
        <f>Simulation!M350</f>
        <v>387319.0571734499</v>
      </c>
    </row>
    <row r="335" spans="1:2" ht="12" customHeight="1" x14ac:dyDescent="0.15">
      <c r="A335" s="448">
        <f>Simulation!O351</f>
        <v>0.36502506261111667</v>
      </c>
      <c r="B335" s="448">
        <f>Simulation!M351</f>
        <v>403350.24951291515</v>
      </c>
    </row>
    <row r="336" spans="1:2" ht="12" customHeight="1" x14ac:dyDescent="0.15">
      <c r="A336" s="448">
        <f>Simulation!O352</f>
        <v>0.23216793636366262</v>
      </c>
      <c r="B336" s="448">
        <f>Simulation!M352</f>
        <v>476461.19305489009</v>
      </c>
    </row>
    <row r="337" spans="1:2" ht="12" customHeight="1" x14ac:dyDescent="0.15">
      <c r="A337" s="448">
        <f>Simulation!O353</f>
        <v>0.18554627591845696</v>
      </c>
      <c r="B337" s="448">
        <f>Simulation!M353</f>
        <v>419799.96357214591</v>
      </c>
    </row>
    <row r="338" spans="1:2" ht="12" customHeight="1" x14ac:dyDescent="0.15">
      <c r="A338" s="448">
        <f>Simulation!O354</f>
        <v>0.50931219437386055</v>
      </c>
      <c r="B338" s="448">
        <f>Simulation!M354</f>
        <v>422733.4140896863</v>
      </c>
    </row>
    <row r="339" spans="1:2" ht="12" customHeight="1" x14ac:dyDescent="0.15">
      <c r="A339" s="448">
        <f>Simulation!O355</f>
        <v>0.39540196926976234</v>
      </c>
      <c r="B339" s="448">
        <f>Simulation!M355</f>
        <v>456159.92971130088</v>
      </c>
    </row>
    <row r="340" spans="1:2" ht="12" customHeight="1" x14ac:dyDescent="0.15">
      <c r="A340" s="448">
        <f>Simulation!O356</f>
        <v>0.41800777688795288</v>
      </c>
      <c r="B340" s="448">
        <f>Simulation!M356</f>
        <v>442682.54911904177</v>
      </c>
    </row>
    <row r="341" spans="1:2" ht="12" customHeight="1" x14ac:dyDescent="0.15">
      <c r="A341" s="448">
        <f>Simulation!O357</f>
        <v>0.52003703641597476</v>
      </c>
      <c r="B341" s="448">
        <f>Simulation!M357</f>
        <v>527495.80534886313</v>
      </c>
    </row>
    <row r="342" spans="1:2" ht="12" customHeight="1" x14ac:dyDescent="0.15">
      <c r="A342" s="448">
        <f>Simulation!O358</f>
        <v>0.43565999384934928</v>
      </c>
      <c r="B342" s="448">
        <f>Simulation!M358</f>
        <v>453219.69585182919</v>
      </c>
    </row>
    <row r="343" spans="1:2" ht="12" customHeight="1" x14ac:dyDescent="0.15">
      <c r="A343" s="448">
        <f>Simulation!O359</f>
        <v>0.11985014658362259</v>
      </c>
      <c r="B343" s="448">
        <f>Simulation!M359</f>
        <v>435880.86437671684</v>
      </c>
    </row>
    <row r="344" spans="1:2" ht="12" customHeight="1" x14ac:dyDescent="0.15">
      <c r="A344" s="448">
        <f>Simulation!O360</f>
        <v>0.81391271276890897</v>
      </c>
      <c r="B344" s="448">
        <f>Simulation!M360</f>
        <v>445559.49823128677</v>
      </c>
    </row>
    <row r="345" spans="1:2" ht="12" customHeight="1" x14ac:dyDescent="0.15">
      <c r="A345" s="448">
        <f>Simulation!O361</f>
        <v>0.49162658908457413</v>
      </c>
      <c r="B345" s="448">
        <f>Simulation!M361</f>
        <v>399064.14097017952</v>
      </c>
    </row>
    <row r="346" spans="1:2" ht="12" customHeight="1" x14ac:dyDescent="0.15">
      <c r="A346" s="448">
        <f>Simulation!O362</f>
        <v>0.75915958456640675</v>
      </c>
      <c r="B346" s="448">
        <f>Simulation!M362</f>
        <v>502436.30131207034</v>
      </c>
    </row>
    <row r="347" spans="1:2" ht="12" customHeight="1" x14ac:dyDescent="0.15">
      <c r="A347" s="448">
        <f>Simulation!O363</f>
        <v>0.56585632480078152</v>
      </c>
      <c r="B347" s="448">
        <f>Simulation!M363</f>
        <v>465539.29023702181</v>
      </c>
    </row>
    <row r="348" spans="1:2" ht="12" customHeight="1" x14ac:dyDescent="0.15">
      <c r="A348" s="448">
        <f>Simulation!O364</f>
        <v>0.42274023647459247</v>
      </c>
      <c r="B348" s="448">
        <f>Simulation!M364</f>
        <v>379030.98827609641</v>
      </c>
    </row>
    <row r="349" spans="1:2" ht="12" customHeight="1" x14ac:dyDescent="0.15">
      <c r="A349" s="448">
        <f>Simulation!O365</f>
        <v>0.11255066784674428</v>
      </c>
      <c r="B349" s="448">
        <f>Simulation!M365</f>
        <v>414703.62474217999</v>
      </c>
    </row>
    <row r="350" spans="1:2" ht="12" customHeight="1" x14ac:dyDescent="0.15">
      <c r="A350" s="448">
        <f>Simulation!O366</f>
        <v>0.4303163910581238</v>
      </c>
      <c r="B350" s="448">
        <f>Simulation!M366</f>
        <v>467261.76063076349</v>
      </c>
    </row>
    <row r="351" spans="1:2" ht="12" customHeight="1" x14ac:dyDescent="0.15">
      <c r="A351" s="448">
        <f>Simulation!O367</f>
        <v>0.44531300587383127</v>
      </c>
      <c r="B351" s="448">
        <f>Simulation!M367</f>
        <v>427921.34695318039</v>
      </c>
    </row>
    <row r="352" spans="1:2" ht="12" customHeight="1" x14ac:dyDescent="0.15">
      <c r="A352" s="448">
        <f>Simulation!O368</f>
        <v>0.14791088504170968</v>
      </c>
      <c r="B352" s="448">
        <f>Simulation!M368</f>
        <v>510164.49551299907</v>
      </c>
    </row>
    <row r="353" spans="1:2" ht="12" customHeight="1" x14ac:dyDescent="0.15">
      <c r="A353" s="448">
        <f>Simulation!O369</f>
        <v>0.25047356120790898</v>
      </c>
      <c r="B353" s="448">
        <f>Simulation!M369</f>
        <v>432634.67446151946</v>
      </c>
    </row>
    <row r="354" spans="1:2" ht="12" customHeight="1" x14ac:dyDescent="0.15">
      <c r="A354" s="448">
        <f>Simulation!O370</f>
        <v>0.47286046391476644</v>
      </c>
      <c r="B354" s="448">
        <f>Simulation!M370</f>
        <v>473000.30262225075</v>
      </c>
    </row>
    <row r="355" spans="1:2" ht="12" customHeight="1" x14ac:dyDescent="0.15">
      <c r="A355" s="448">
        <f>Simulation!O371</f>
        <v>0.61132553693929514</v>
      </c>
      <c r="B355" s="448">
        <f>Simulation!M371</f>
        <v>446570.03224755876</v>
      </c>
    </row>
    <row r="356" spans="1:2" ht="12" customHeight="1" x14ac:dyDescent="0.15">
      <c r="A356" s="448">
        <f>Simulation!O372</f>
        <v>0.1403421374578655</v>
      </c>
      <c r="B356" s="448">
        <f>Simulation!M372</f>
        <v>330683.41242814198</v>
      </c>
    </row>
    <row r="357" spans="1:2" ht="12" customHeight="1" x14ac:dyDescent="0.15">
      <c r="A357" s="448">
        <f>Simulation!O373</f>
        <v>0.46322789370460105</v>
      </c>
      <c r="B357" s="448">
        <f>Simulation!M373</f>
        <v>473096.05136237398</v>
      </c>
    </row>
    <row r="358" spans="1:2" ht="12" customHeight="1" x14ac:dyDescent="0.15">
      <c r="A358" s="448">
        <f>Simulation!O374</f>
        <v>0.89551466651095391</v>
      </c>
      <c r="B358" s="448">
        <f>Simulation!M374</f>
        <v>569350.93329705228</v>
      </c>
    </row>
    <row r="359" spans="1:2" ht="12" customHeight="1" x14ac:dyDescent="0.15">
      <c r="A359" s="448">
        <f>Simulation!O375</f>
        <v>0.40275480732137181</v>
      </c>
      <c r="B359" s="448">
        <f>Simulation!M375</f>
        <v>400489.36903721769</v>
      </c>
    </row>
    <row r="360" spans="1:2" ht="12" customHeight="1" x14ac:dyDescent="0.15">
      <c r="A360" s="448">
        <f>Simulation!O376</f>
        <v>0.41099712174197345</v>
      </c>
      <c r="B360" s="448">
        <f>Simulation!M376</f>
        <v>429521.85533614497</v>
      </c>
    </row>
    <row r="361" spans="1:2" ht="12" customHeight="1" x14ac:dyDescent="0.15">
      <c r="A361" s="448">
        <f>Simulation!O377</f>
        <v>0.31328544871455044</v>
      </c>
      <c r="B361" s="448">
        <f>Simulation!M377</f>
        <v>395781.66745784192</v>
      </c>
    </row>
    <row r="362" spans="1:2" ht="12" customHeight="1" x14ac:dyDescent="0.15">
      <c r="A362" s="448">
        <f>Simulation!O378</f>
        <v>0.32566892008296344</v>
      </c>
      <c r="B362" s="448">
        <f>Simulation!M378</f>
        <v>402371.75801895082</v>
      </c>
    </row>
    <row r="363" spans="1:2" ht="12" customHeight="1" x14ac:dyDescent="0.15">
      <c r="A363" s="448">
        <f>Simulation!O379</f>
        <v>0.75814342751925645</v>
      </c>
      <c r="B363" s="448">
        <f>Simulation!M379</f>
        <v>459881.04920526932</v>
      </c>
    </row>
    <row r="364" spans="1:2" ht="12" customHeight="1" x14ac:dyDescent="0.15">
      <c r="A364" s="448">
        <f>Simulation!O380</f>
        <v>0.14630099649943329</v>
      </c>
      <c r="B364" s="448">
        <f>Simulation!M380</f>
        <v>361141.68362958345</v>
      </c>
    </row>
    <row r="365" spans="1:2" ht="12" customHeight="1" x14ac:dyDescent="0.15">
      <c r="A365" s="448">
        <f>Simulation!O381</f>
        <v>0.64954744710578893</v>
      </c>
      <c r="B365" s="448">
        <f>Simulation!M381</f>
        <v>502082.08368078689</v>
      </c>
    </row>
    <row r="366" spans="1:2" ht="12" customHeight="1" x14ac:dyDescent="0.15">
      <c r="A366" s="448">
        <f>Simulation!O382</f>
        <v>0.31170393781517136</v>
      </c>
      <c r="B366" s="448">
        <f>Simulation!M382</f>
        <v>432983.24831369688</v>
      </c>
    </row>
    <row r="367" spans="1:2" ht="12" customHeight="1" x14ac:dyDescent="0.15">
      <c r="A367" s="448">
        <f>Simulation!O383</f>
        <v>0.41163444111111014</v>
      </c>
      <c r="B367" s="448">
        <f>Simulation!M383</f>
        <v>454037.15028035594</v>
      </c>
    </row>
    <row r="368" spans="1:2" ht="12" customHeight="1" x14ac:dyDescent="0.15">
      <c r="A368" s="448">
        <f>Simulation!O384</f>
        <v>0.27343819439955364</v>
      </c>
      <c r="B368" s="448">
        <f>Simulation!M384</f>
        <v>448281.72136673785</v>
      </c>
    </row>
    <row r="369" spans="1:2" ht="12" customHeight="1" x14ac:dyDescent="0.15">
      <c r="A369" s="448">
        <f>Simulation!O385</f>
        <v>0.21814885026807929</v>
      </c>
      <c r="B369" s="448">
        <f>Simulation!M385</f>
        <v>405332.2871847304</v>
      </c>
    </row>
    <row r="370" spans="1:2" ht="12" customHeight="1" x14ac:dyDescent="0.15">
      <c r="A370" s="448">
        <f>Simulation!O386</f>
        <v>0.32201317539679231</v>
      </c>
      <c r="B370" s="448">
        <f>Simulation!M386</f>
        <v>459738.22019929218</v>
      </c>
    </row>
    <row r="371" spans="1:2" ht="12" customHeight="1" x14ac:dyDescent="0.15">
      <c r="A371" s="448">
        <f>Simulation!O387</f>
        <v>5.4191490136670684E-2</v>
      </c>
      <c r="B371" s="448">
        <f>Simulation!M387</f>
        <v>355554.4552285184</v>
      </c>
    </row>
    <row r="372" spans="1:2" ht="12" customHeight="1" x14ac:dyDescent="0.15">
      <c r="A372" s="448">
        <f>Simulation!O388</f>
        <v>0.3415531088414312</v>
      </c>
      <c r="B372" s="448">
        <f>Simulation!M388</f>
        <v>354222.67005219648</v>
      </c>
    </row>
    <row r="373" spans="1:2" ht="12" customHeight="1" x14ac:dyDescent="0.15">
      <c r="A373" s="448">
        <f>Simulation!O389</f>
        <v>0.60875839426176492</v>
      </c>
      <c r="B373" s="448">
        <f>Simulation!M389</f>
        <v>414510.87297126855</v>
      </c>
    </row>
    <row r="374" spans="1:2" ht="12" customHeight="1" x14ac:dyDescent="0.15">
      <c r="A374" s="448">
        <f>Simulation!O390</f>
        <v>0.37519969405018871</v>
      </c>
      <c r="B374" s="448">
        <f>Simulation!M390</f>
        <v>453145.12838355405</v>
      </c>
    </row>
    <row r="375" spans="1:2" ht="12" customHeight="1" x14ac:dyDescent="0.15">
      <c r="A375" s="448">
        <f>Simulation!O391</f>
        <v>9.2778073940247285E-2</v>
      </c>
      <c r="B375" s="448">
        <f>Simulation!M391</f>
        <v>465561.30415255949</v>
      </c>
    </row>
    <row r="376" spans="1:2" ht="12" customHeight="1" x14ac:dyDescent="0.15">
      <c r="A376" s="448">
        <f>Simulation!O392</f>
        <v>0.63240073781119155</v>
      </c>
      <c r="B376" s="448">
        <f>Simulation!M392</f>
        <v>442234.39738619543</v>
      </c>
    </row>
    <row r="377" spans="1:2" ht="12" customHeight="1" x14ac:dyDescent="0.15">
      <c r="A377" s="448">
        <f>Simulation!O393</f>
        <v>0.58318944392565752</v>
      </c>
      <c r="B377" s="448">
        <f>Simulation!M393</f>
        <v>414399.50786608062</v>
      </c>
    </row>
    <row r="378" spans="1:2" ht="12" customHeight="1" x14ac:dyDescent="0.15">
      <c r="A378" s="448">
        <f>Simulation!O394</f>
        <v>0.62880160813534847</v>
      </c>
      <c r="B378" s="448">
        <f>Simulation!M394</f>
        <v>399627.15197031107</v>
      </c>
    </row>
    <row r="379" spans="1:2" ht="12" customHeight="1" x14ac:dyDescent="0.15">
      <c r="A379" s="448">
        <f>Simulation!O395</f>
        <v>0.1499136026904142</v>
      </c>
      <c r="B379" s="448">
        <f>Simulation!M395</f>
        <v>483602.7350773511</v>
      </c>
    </row>
    <row r="380" spans="1:2" ht="12" customHeight="1" x14ac:dyDescent="0.15">
      <c r="A380" s="448">
        <f>Simulation!O396</f>
        <v>0.14971655831536124</v>
      </c>
      <c r="B380" s="448">
        <f>Simulation!M396</f>
        <v>366084.7217388429</v>
      </c>
    </row>
    <row r="381" spans="1:2" ht="12" customHeight="1" x14ac:dyDescent="0.15">
      <c r="A381" s="448">
        <f>Simulation!O397</f>
        <v>0.95780546916779707</v>
      </c>
      <c r="B381" s="448">
        <f>Simulation!M397</f>
        <v>478438.18720781535</v>
      </c>
    </row>
    <row r="382" spans="1:2" ht="12" customHeight="1" x14ac:dyDescent="0.15">
      <c r="A382" s="448">
        <f>Simulation!O398</f>
        <v>0.21771526249580608</v>
      </c>
      <c r="B382" s="448">
        <f>Simulation!M398</f>
        <v>416137.89166698576</v>
      </c>
    </row>
    <row r="383" spans="1:2" ht="12" customHeight="1" x14ac:dyDescent="0.15">
      <c r="A383" s="448">
        <f>Simulation!O399</f>
        <v>0.46621988800558523</v>
      </c>
      <c r="B383" s="448">
        <f>Simulation!M399</f>
        <v>404157.67487487383</v>
      </c>
    </row>
    <row r="384" spans="1:2" ht="12" customHeight="1" x14ac:dyDescent="0.15">
      <c r="A384" s="448">
        <f>Simulation!O400</f>
        <v>-0.31561289777383061</v>
      </c>
      <c r="B384" s="448">
        <f>Simulation!M400</f>
        <v>339236.599481021</v>
      </c>
    </row>
    <row r="385" spans="1:2" ht="12" customHeight="1" x14ac:dyDescent="0.15">
      <c r="A385" s="448">
        <f>Simulation!O401</f>
        <v>7.1164442259791016E-2</v>
      </c>
      <c r="B385" s="448">
        <f>Simulation!M401</f>
        <v>420998.25408104446</v>
      </c>
    </row>
    <row r="386" spans="1:2" ht="12" customHeight="1" x14ac:dyDescent="0.15">
      <c r="A386" s="448">
        <f>Simulation!O402</f>
        <v>0.36309505063396763</v>
      </c>
      <c r="B386" s="448">
        <f>Simulation!M402</f>
        <v>404119.17305802257</v>
      </c>
    </row>
    <row r="387" spans="1:2" ht="12" customHeight="1" x14ac:dyDescent="0.15">
      <c r="A387" s="448">
        <f>Simulation!O403</f>
        <v>0.75491421738652065</v>
      </c>
      <c r="B387" s="448">
        <f>Simulation!M403</f>
        <v>472353.41057036561</v>
      </c>
    </row>
    <row r="388" spans="1:2" ht="12" customHeight="1" x14ac:dyDescent="0.15">
      <c r="A388" s="448">
        <f>Simulation!O404</f>
        <v>0.22297289888674143</v>
      </c>
      <c r="B388" s="448">
        <f>Simulation!M404</f>
        <v>365878.92722141801</v>
      </c>
    </row>
    <row r="389" spans="1:2" ht="12" customHeight="1" x14ac:dyDescent="0.15">
      <c r="A389" s="448">
        <f>Simulation!O405</f>
        <v>0.20885556351179302</v>
      </c>
      <c r="B389" s="448">
        <f>Simulation!M405</f>
        <v>505046.8123645329</v>
      </c>
    </row>
    <row r="390" spans="1:2" ht="12" customHeight="1" x14ac:dyDescent="0.15">
      <c r="A390" s="448">
        <f>Simulation!O406</f>
        <v>0.20500800608759695</v>
      </c>
      <c r="B390" s="448">
        <f>Simulation!M406</f>
        <v>478133.11213315767</v>
      </c>
    </row>
    <row r="391" spans="1:2" ht="12" customHeight="1" x14ac:dyDescent="0.15">
      <c r="A391" s="448">
        <f>Simulation!O407</f>
        <v>0.65772007959551027</v>
      </c>
      <c r="B391" s="448">
        <f>Simulation!M407</f>
        <v>434120.79237017961</v>
      </c>
    </row>
    <row r="392" spans="1:2" ht="12" customHeight="1" x14ac:dyDescent="0.15">
      <c r="A392" s="448">
        <f>Simulation!O408</f>
        <v>0.10575153751898325</v>
      </c>
      <c r="B392" s="448">
        <f>Simulation!M408</f>
        <v>372130.31980216142</v>
      </c>
    </row>
    <row r="393" spans="1:2" ht="12" customHeight="1" x14ac:dyDescent="0.15">
      <c r="A393" s="448">
        <f>Simulation!O409</f>
        <v>0.44746676704339805</v>
      </c>
      <c r="B393" s="448">
        <f>Simulation!M409</f>
        <v>484166.66665267473</v>
      </c>
    </row>
    <row r="394" spans="1:2" ht="12" customHeight="1" x14ac:dyDescent="0.15">
      <c r="A394" s="448">
        <f>Simulation!O410</f>
        <v>0.23868509922131498</v>
      </c>
      <c r="B394" s="448">
        <f>Simulation!M410</f>
        <v>402191.27267579979</v>
      </c>
    </row>
    <row r="395" spans="1:2" ht="12" customHeight="1" x14ac:dyDescent="0.15">
      <c r="A395" s="448">
        <f>Simulation!O411</f>
        <v>0.32575335631675184</v>
      </c>
      <c r="B395" s="448">
        <f>Simulation!M411</f>
        <v>402968.65872497531</v>
      </c>
    </row>
    <row r="396" spans="1:2" ht="12" customHeight="1" x14ac:dyDescent="0.15">
      <c r="A396" s="448">
        <f>Simulation!O412</f>
        <v>0.21980481163957544</v>
      </c>
      <c r="B396" s="448">
        <f>Simulation!M412</f>
        <v>354730.74762292649</v>
      </c>
    </row>
    <row r="397" spans="1:2" ht="12" customHeight="1" x14ac:dyDescent="0.15">
      <c r="A397" s="448">
        <f>Simulation!O413</f>
        <v>0.27279333687878737</v>
      </c>
      <c r="B397" s="448">
        <f>Simulation!M413</f>
        <v>518890.51277940022</v>
      </c>
    </row>
    <row r="398" spans="1:2" ht="12" customHeight="1" x14ac:dyDescent="0.15">
      <c r="A398" s="448">
        <f>Simulation!O414</f>
        <v>0.40641006415195813</v>
      </c>
      <c r="B398" s="448">
        <f>Simulation!M414</f>
        <v>417262.28167768277</v>
      </c>
    </row>
    <row r="399" spans="1:2" ht="12" customHeight="1" x14ac:dyDescent="0.15">
      <c r="A399" s="448">
        <f>Simulation!O415</f>
        <v>0.35109407459998065</v>
      </c>
      <c r="B399" s="448">
        <f>Simulation!M415</f>
        <v>470459.77249385003</v>
      </c>
    </row>
    <row r="400" spans="1:2" ht="12" customHeight="1" x14ac:dyDescent="0.15">
      <c r="A400" s="448">
        <f>Simulation!O416</f>
        <v>0.54813077311518166</v>
      </c>
      <c r="B400" s="448">
        <f>Simulation!M416</f>
        <v>372538.20049858902</v>
      </c>
    </row>
    <row r="401" spans="1:2" ht="12" customHeight="1" x14ac:dyDescent="0.15">
      <c r="A401" s="448">
        <f>Simulation!O417</f>
        <v>-0.11877155794052596</v>
      </c>
      <c r="B401" s="448">
        <f>Simulation!M417</f>
        <v>352340.02376242937</v>
      </c>
    </row>
    <row r="402" spans="1:2" ht="12" customHeight="1" x14ac:dyDescent="0.15">
      <c r="A402" s="448">
        <f>Simulation!O418</f>
        <v>0.46523903961987001</v>
      </c>
      <c r="B402" s="448">
        <f>Simulation!M418</f>
        <v>450432.68310750223</v>
      </c>
    </row>
    <row r="403" spans="1:2" ht="12" customHeight="1" x14ac:dyDescent="0.15">
      <c r="A403" s="448">
        <f>Simulation!O419</f>
        <v>-0.15027319754833801</v>
      </c>
      <c r="B403" s="448">
        <f>Simulation!M419</f>
        <v>404926.78179024206</v>
      </c>
    </row>
    <row r="404" spans="1:2" ht="12" customHeight="1" x14ac:dyDescent="0.15">
      <c r="A404" s="448">
        <f>Simulation!O420</f>
        <v>-0.11376347899009343</v>
      </c>
      <c r="B404" s="448">
        <f>Simulation!M420</f>
        <v>422059.65701012569</v>
      </c>
    </row>
    <row r="405" spans="1:2" ht="12" customHeight="1" x14ac:dyDescent="0.15">
      <c r="A405" s="448">
        <f>Simulation!O421</f>
        <v>0.4252996202154522</v>
      </c>
      <c r="B405" s="448">
        <f>Simulation!M421</f>
        <v>398955.30924771418</v>
      </c>
    </row>
    <row r="406" spans="1:2" ht="12" customHeight="1" x14ac:dyDescent="0.15">
      <c r="A406" s="448">
        <f>Simulation!O422</f>
        <v>0.58399235417136208</v>
      </c>
      <c r="B406" s="448">
        <f>Simulation!M422</f>
        <v>509032.69218185788</v>
      </c>
    </row>
    <row r="407" spans="1:2" ht="12" customHeight="1" x14ac:dyDescent="0.15">
      <c r="A407" s="448">
        <f>Simulation!O423</f>
        <v>7.0702761104932677E-2</v>
      </c>
      <c r="B407" s="448">
        <f>Simulation!M423</f>
        <v>456722.30874741339</v>
      </c>
    </row>
    <row r="408" spans="1:2" ht="12" customHeight="1" x14ac:dyDescent="0.15">
      <c r="A408" s="448">
        <f>Simulation!O424</f>
        <v>0.83632394421980694</v>
      </c>
      <c r="B408" s="448">
        <f>Simulation!M424</f>
        <v>527524.02700277278</v>
      </c>
    </row>
    <row r="409" spans="1:2" ht="12" customHeight="1" x14ac:dyDescent="0.15">
      <c r="A409" s="448">
        <f>Simulation!O425</f>
        <v>0.96209656654175024</v>
      </c>
      <c r="B409" s="448">
        <f>Simulation!M425</f>
        <v>610725.48488170584</v>
      </c>
    </row>
    <row r="410" spans="1:2" ht="12" customHeight="1" x14ac:dyDescent="0.15">
      <c r="A410" s="448">
        <f>Simulation!O426</f>
        <v>0.36651722366114869</v>
      </c>
      <c r="B410" s="448">
        <f>Simulation!M426</f>
        <v>530894.31805124693</v>
      </c>
    </row>
    <row r="411" spans="1:2" ht="12" customHeight="1" x14ac:dyDescent="0.15">
      <c r="A411" s="448">
        <f>Simulation!O427</f>
        <v>0.20910557121001982</v>
      </c>
      <c r="B411" s="448">
        <f>Simulation!M427</f>
        <v>521032.9029644808</v>
      </c>
    </row>
    <row r="412" spans="1:2" ht="12" customHeight="1" x14ac:dyDescent="0.15">
      <c r="A412" s="448">
        <f>Simulation!O428</f>
        <v>0.71159887782667575</v>
      </c>
      <c r="B412" s="448">
        <f>Simulation!M428</f>
        <v>582077.89858025603</v>
      </c>
    </row>
    <row r="413" spans="1:2" ht="12" customHeight="1" x14ac:dyDescent="0.15">
      <c r="A413" s="448">
        <f>Simulation!O429</f>
        <v>9.1660247418106966E-2</v>
      </c>
      <c r="B413" s="448">
        <f>Simulation!M429</f>
        <v>403311.70094901853</v>
      </c>
    </row>
    <row r="414" spans="1:2" ht="12" customHeight="1" x14ac:dyDescent="0.15">
      <c r="A414" s="448">
        <f>Simulation!O430</f>
        <v>-0.11985014506105895</v>
      </c>
      <c r="B414" s="448">
        <f>Simulation!M430</f>
        <v>357864.21984359674</v>
      </c>
    </row>
    <row r="415" spans="1:2" ht="12" customHeight="1" x14ac:dyDescent="0.15">
      <c r="A415" s="448">
        <f>Simulation!O431</f>
        <v>1.1413544269768785</v>
      </c>
      <c r="B415" s="448">
        <f>Simulation!M431</f>
        <v>496677.43569458771</v>
      </c>
    </row>
    <row r="416" spans="1:2" ht="12" customHeight="1" x14ac:dyDescent="0.15">
      <c r="A416" s="448">
        <f>Simulation!O432</f>
        <v>0.39544168935485491</v>
      </c>
      <c r="B416" s="448">
        <f>Simulation!M432</f>
        <v>367273.87850522087</v>
      </c>
    </row>
    <row r="417" spans="1:2" ht="12" customHeight="1" x14ac:dyDescent="0.15">
      <c r="A417" s="448">
        <f>Simulation!O433</f>
        <v>0.54399204259557088</v>
      </c>
      <c r="B417" s="448">
        <f>Simulation!M433</f>
        <v>456926.26867157011</v>
      </c>
    </row>
    <row r="418" spans="1:2" ht="12" customHeight="1" x14ac:dyDescent="0.15">
      <c r="A418" s="448">
        <f>Simulation!O434</f>
        <v>4.4879530983377158E-2</v>
      </c>
      <c r="B418" s="448">
        <f>Simulation!M434</f>
        <v>390684.06584610266</v>
      </c>
    </row>
    <row r="419" spans="1:2" ht="12" customHeight="1" x14ac:dyDescent="0.15">
      <c r="A419" s="448">
        <f>Simulation!O435</f>
        <v>0.69819387431578361</v>
      </c>
      <c r="B419" s="448">
        <f>Simulation!M435</f>
        <v>422296.93955691042</v>
      </c>
    </row>
    <row r="420" spans="1:2" ht="12" customHeight="1" x14ac:dyDescent="0.15">
      <c r="A420" s="448">
        <f>Simulation!O436</f>
        <v>0.44378971818204738</v>
      </c>
      <c r="B420" s="448">
        <f>Simulation!M436</f>
        <v>435081.78032196581</v>
      </c>
    </row>
    <row r="421" spans="1:2" ht="12" customHeight="1" x14ac:dyDescent="0.15">
      <c r="A421" s="448">
        <f>Simulation!O437</f>
        <v>1.5600068909490172E-2</v>
      </c>
      <c r="B421" s="448">
        <f>Simulation!M437</f>
        <v>448827.4879126423</v>
      </c>
    </row>
    <row r="422" spans="1:2" ht="12" customHeight="1" x14ac:dyDescent="0.15">
      <c r="A422" s="448">
        <f>Simulation!O438</f>
        <v>0.60668640053478917</v>
      </c>
      <c r="B422" s="448">
        <f>Simulation!M438</f>
        <v>425000.91382379894</v>
      </c>
    </row>
    <row r="423" spans="1:2" ht="12" customHeight="1" x14ac:dyDescent="0.15">
      <c r="A423" s="448">
        <f>Simulation!O439</f>
        <v>0.49345866776552327</v>
      </c>
      <c r="B423" s="448">
        <f>Simulation!M439</f>
        <v>423007.17853943794</v>
      </c>
    </row>
    <row r="424" spans="1:2" ht="12" customHeight="1" x14ac:dyDescent="0.15">
      <c r="A424" s="448">
        <f>Simulation!O440</f>
        <v>0.27505273024268595</v>
      </c>
      <c r="B424" s="448">
        <f>Simulation!M440</f>
        <v>407883.93987306918</v>
      </c>
    </row>
    <row r="425" spans="1:2" ht="12" customHeight="1" x14ac:dyDescent="0.15">
      <c r="A425" s="448">
        <f>Simulation!O441</f>
        <v>0.51020018697224101</v>
      </c>
      <c r="B425" s="448">
        <f>Simulation!M441</f>
        <v>462406.8809727006</v>
      </c>
    </row>
    <row r="426" spans="1:2" ht="12" customHeight="1" x14ac:dyDescent="0.15">
      <c r="A426" s="448">
        <f>Simulation!O442</f>
        <v>0.32824523421937246</v>
      </c>
      <c r="B426" s="448">
        <f>Simulation!M442</f>
        <v>430684.11967819586</v>
      </c>
    </row>
    <row r="427" spans="1:2" ht="12" customHeight="1" x14ac:dyDescent="0.15">
      <c r="A427" s="448">
        <f>Simulation!O443</f>
        <v>0.57599297147712125</v>
      </c>
      <c r="B427" s="448">
        <f>Simulation!M443</f>
        <v>431351.07261726813</v>
      </c>
    </row>
    <row r="428" spans="1:2" ht="12" customHeight="1" x14ac:dyDescent="0.15">
      <c r="A428" s="448">
        <f>Simulation!O444</f>
        <v>-4.9238745268991746E-2</v>
      </c>
      <c r="B428" s="448">
        <f>Simulation!M444</f>
        <v>362463.73282428336</v>
      </c>
    </row>
    <row r="429" spans="1:2" ht="12" customHeight="1" x14ac:dyDescent="0.15">
      <c r="A429" s="448">
        <f>Simulation!O445</f>
        <v>0.92172384371630645</v>
      </c>
      <c r="B429" s="448">
        <f>Simulation!M445</f>
        <v>431249.25437537598</v>
      </c>
    </row>
    <row r="430" spans="1:2" ht="12" customHeight="1" x14ac:dyDescent="0.15">
      <c r="A430" s="448">
        <f>Simulation!O446</f>
        <v>0.22926590285433157</v>
      </c>
      <c r="B430" s="448">
        <f>Simulation!M446</f>
        <v>369681.3977962567</v>
      </c>
    </row>
    <row r="431" spans="1:2" ht="12" customHeight="1" x14ac:dyDescent="0.15">
      <c r="A431" s="448">
        <f>Simulation!O447</f>
        <v>0.35235729297915852</v>
      </c>
      <c r="B431" s="448">
        <f>Simulation!M447</f>
        <v>507313.71459223708</v>
      </c>
    </row>
    <row r="432" spans="1:2" ht="12" customHeight="1" x14ac:dyDescent="0.15">
      <c r="A432" s="448">
        <f>Simulation!O448</f>
        <v>0.38659854547555605</v>
      </c>
      <c r="B432" s="448">
        <f>Simulation!M448</f>
        <v>505237.78229140496</v>
      </c>
    </row>
    <row r="433" spans="1:2" ht="12" customHeight="1" x14ac:dyDescent="0.15">
      <c r="A433" s="448">
        <f>Simulation!O449</f>
        <v>-0.10010206170004832</v>
      </c>
      <c r="B433" s="448">
        <f>Simulation!M449</f>
        <v>371173.79142642498</v>
      </c>
    </row>
    <row r="434" spans="1:2" ht="12" customHeight="1" x14ac:dyDescent="0.15">
      <c r="A434" s="448">
        <f>Simulation!O450</f>
        <v>0.38805699276834416</v>
      </c>
      <c r="B434" s="448">
        <f>Simulation!M450</f>
        <v>408964.65668645728</v>
      </c>
    </row>
    <row r="435" spans="1:2" ht="12" customHeight="1" x14ac:dyDescent="0.15">
      <c r="A435" s="448">
        <f>Simulation!O451</f>
        <v>8.4837860085873018E-2</v>
      </c>
      <c r="B435" s="448">
        <f>Simulation!M451</f>
        <v>441744.70772383339</v>
      </c>
    </row>
    <row r="436" spans="1:2" ht="12" customHeight="1" x14ac:dyDescent="0.15">
      <c r="A436" s="448">
        <f>Simulation!O452</f>
        <v>0.29265774876879425</v>
      </c>
      <c r="B436" s="448">
        <f>Simulation!M452</f>
        <v>357160.07801033661</v>
      </c>
    </row>
    <row r="437" spans="1:2" ht="12" customHeight="1" x14ac:dyDescent="0.15">
      <c r="A437" s="448">
        <f>Simulation!O453</f>
        <v>1.0892740136397516</v>
      </c>
      <c r="B437" s="448">
        <f>Simulation!M453</f>
        <v>535085.00127535081</v>
      </c>
    </row>
    <row r="438" spans="1:2" ht="12" customHeight="1" x14ac:dyDescent="0.15">
      <c r="A438" s="448">
        <f>Simulation!O454</f>
        <v>0.50851992299010407</v>
      </c>
      <c r="B438" s="448">
        <f>Simulation!M454</f>
        <v>408582.68019119219</v>
      </c>
    </row>
    <row r="439" spans="1:2" ht="12" customHeight="1" x14ac:dyDescent="0.15">
      <c r="A439" s="448">
        <f>Simulation!O455</f>
        <v>0.71824010099203806</v>
      </c>
      <c r="B439" s="448">
        <f>Simulation!M455</f>
        <v>537043.43437207188</v>
      </c>
    </row>
    <row r="440" spans="1:2" ht="12" customHeight="1" x14ac:dyDescent="0.15">
      <c r="A440" s="448">
        <f>Simulation!O456</f>
        <v>0.40793350474718792</v>
      </c>
      <c r="B440" s="448">
        <f>Simulation!M456</f>
        <v>406990.15482814366</v>
      </c>
    </row>
    <row r="441" spans="1:2" ht="12" customHeight="1" x14ac:dyDescent="0.15">
      <c r="A441" s="448">
        <f>Simulation!O457</f>
        <v>8.5774410300845982E-2</v>
      </c>
      <c r="B441" s="448">
        <f>Simulation!M457</f>
        <v>385623.24881458213</v>
      </c>
    </row>
    <row r="442" spans="1:2" ht="12" customHeight="1" x14ac:dyDescent="0.15">
      <c r="A442" s="448">
        <f>Simulation!O458</f>
        <v>-8.7580544298544893E-2</v>
      </c>
      <c r="B442" s="448">
        <f>Simulation!M458</f>
        <v>433397.13943829644</v>
      </c>
    </row>
    <row r="443" spans="1:2" ht="12" customHeight="1" x14ac:dyDescent="0.15">
      <c r="A443" s="448">
        <f>Simulation!O459</f>
        <v>0.45820480578600975</v>
      </c>
      <c r="B443" s="448">
        <f>Simulation!M459</f>
        <v>407021.88667579833</v>
      </c>
    </row>
    <row r="444" spans="1:2" ht="12" customHeight="1" x14ac:dyDescent="0.15">
      <c r="A444" s="448">
        <f>Simulation!O460</f>
        <v>0.53187436892788309</v>
      </c>
      <c r="B444" s="448">
        <f>Simulation!M460</f>
        <v>422843.31016881333</v>
      </c>
    </row>
    <row r="445" spans="1:2" ht="12" customHeight="1" x14ac:dyDescent="0.15">
      <c r="A445" s="448">
        <f>Simulation!O461</f>
        <v>0.66303552302789059</v>
      </c>
      <c r="B445" s="448">
        <f>Simulation!M461</f>
        <v>563620.22019145463</v>
      </c>
    </row>
    <row r="446" spans="1:2" ht="12" customHeight="1" x14ac:dyDescent="0.15">
      <c r="A446" s="448">
        <f>Simulation!O462</f>
        <v>-0.13411439293867122</v>
      </c>
      <c r="B446" s="448">
        <f>Simulation!M462</f>
        <v>396798.2016287772</v>
      </c>
    </row>
    <row r="447" spans="1:2" ht="12" customHeight="1" x14ac:dyDescent="0.15">
      <c r="A447" s="448">
        <f>Simulation!O463</f>
        <v>0.76554336638100606</v>
      </c>
      <c r="B447" s="448">
        <f>Simulation!M463</f>
        <v>443531.48188415624</v>
      </c>
    </row>
    <row r="448" spans="1:2" ht="12" customHeight="1" x14ac:dyDescent="0.15">
      <c r="A448" s="448">
        <f>Simulation!O464</f>
        <v>0.69663461051463682</v>
      </c>
      <c r="B448" s="448">
        <f>Simulation!M464</f>
        <v>483386.83381891978</v>
      </c>
    </row>
    <row r="449" spans="1:2" ht="12" customHeight="1" x14ac:dyDescent="0.15">
      <c r="A449" s="448">
        <f>Simulation!O465</f>
        <v>0.48727201990386027</v>
      </c>
      <c r="B449" s="448">
        <f>Simulation!M465</f>
        <v>496296.7205542333</v>
      </c>
    </row>
    <row r="450" spans="1:2" ht="12" customHeight="1" x14ac:dyDescent="0.15">
      <c r="A450" s="448">
        <f>Simulation!O466</f>
        <v>0.41844022644167711</v>
      </c>
      <c r="B450" s="448">
        <f>Simulation!M466</f>
        <v>523416.23094796855</v>
      </c>
    </row>
    <row r="451" spans="1:2" ht="12" customHeight="1" x14ac:dyDescent="0.15">
      <c r="A451" s="448">
        <f>Simulation!O467</f>
        <v>0.6225925710181337</v>
      </c>
      <c r="B451" s="448">
        <f>Simulation!M467</f>
        <v>502006.59063414589</v>
      </c>
    </row>
    <row r="452" spans="1:2" ht="12" customHeight="1" x14ac:dyDescent="0.15">
      <c r="A452" s="448">
        <f>Simulation!O468</f>
        <v>0.42359400639510536</v>
      </c>
      <c r="B452" s="448">
        <f>Simulation!M468</f>
        <v>417744.21336364571</v>
      </c>
    </row>
    <row r="453" spans="1:2" ht="12" customHeight="1" x14ac:dyDescent="0.15">
      <c r="A453" s="448">
        <f>Simulation!O469</f>
        <v>0.36761074445233799</v>
      </c>
      <c r="B453" s="448">
        <f>Simulation!M469</f>
        <v>369412.96625238133</v>
      </c>
    </row>
    <row r="454" spans="1:2" ht="12" customHeight="1" x14ac:dyDescent="0.15">
      <c r="A454" s="448">
        <f>Simulation!O470</f>
        <v>0.34253651803418483</v>
      </c>
      <c r="B454" s="448">
        <f>Simulation!M470</f>
        <v>482096.79232704767</v>
      </c>
    </row>
    <row r="455" spans="1:2" ht="12" customHeight="1" x14ac:dyDescent="0.15">
      <c r="A455" s="448">
        <f>Simulation!O471</f>
        <v>0.44589508692785973</v>
      </c>
      <c r="B455" s="448">
        <f>Simulation!M471</f>
        <v>393013.74134310207</v>
      </c>
    </row>
    <row r="456" spans="1:2" ht="12" customHeight="1" x14ac:dyDescent="0.15">
      <c r="A456" s="448">
        <f>Simulation!O472</f>
        <v>0.40173598233914953</v>
      </c>
      <c r="B456" s="448">
        <f>Simulation!M472</f>
        <v>364009.15820193663</v>
      </c>
    </row>
    <row r="457" spans="1:2" ht="12" customHeight="1" x14ac:dyDescent="0.15">
      <c r="A457" s="448">
        <f>Simulation!O473</f>
        <v>0.38917813281787295</v>
      </c>
      <c r="B457" s="448">
        <f>Simulation!M473</f>
        <v>435502.77362275042</v>
      </c>
    </row>
    <row r="458" spans="1:2" ht="12" customHeight="1" x14ac:dyDescent="0.15">
      <c r="A458" s="448">
        <f>Simulation!O474</f>
        <v>0.44300793168969888</v>
      </c>
      <c r="B458" s="448">
        <f>Simulation!M474</f>
        <v>508149.95917562884</v>
      </c>
    </row>
    <row r="459" spans="1:2" ht="12" customHeight="1" x14ac:dyDescent="0.15">
      <c r="A459" s="448">
        <f>Simulation!O475</f>
        <v>4.2825513331590237E-2</v>
      </c>
      <c r="B459" s="448">
        <f>Simulation!M475</f>
        <v>437579.97525631328</v>
      </c>
    </row>
    <row r="460" spans="1:2" ht="12" customHeight="1" x14ac:dyDescent="0.15">
      <c r="A460" s="448">
        <f>Simulation!O476</f>
        <v>0.60328288066321001</v>
      </c>
      <c r="B460" s="448">
        <f>Simulation!M476</f>
        <v>567388.41765712015</v>
      </c>
    </row>
    <row r="461" spans="1:2" ht="12" customHeight="1" x14ac:dyDescent="0.15">
      <c r="A461" s="448">
        <f>Simulation!O477</f>
        <v>4.3705737906527986E-2</v>
      </c>
      <c r="B461" s="448">
        <f>Simulation!M477</f>
        <v>356293.7840200793</v>
      </c>
    </row>
    <row r="462" spans="1:2" ht="12" customHeight="1" x14ac:dyDescent="0.15">
      <c r="A462" s="448">
        <f>Simulation!O478</f>
        <v>0.19833001684126961</v>
      </c>
      <c r="B462" s="448">
        <f>Simulation!M478</f>
        <v>449775.75218843372</v>
      </c>
    </row>
    <row r="463" spans="1:2" ht="12" customHeight="1" x14ac:dyDescent="0.15">
      <c r="A463" s="448">
        <f>Simulation!O479</f>
        <v>0.6240200483181364</v>
      </c>
      <c r="B463" s="448">
        <f>Simulation!M479</f>
        <v>519566.46310915216</v>
      </c>
    </row>
    <row r="464" spans="1:2" ht="12" customHeight="1" x14ac:dyDescent="0.15">
      <c r="A464" s="448">
        <f>Simulation!O480</f>
        <v>0.64933740270186346</v>
      </c>
      <c r="B464" s="448">
        <f>Simulation!M480</f>
        <v>527598.34296821849</v>
      </c>
    </row>
    <row r="465" spans="1:2" ht="12" customHeight="1" x14ac:dyDescent="0.15">
      <c r="A465" s="448">
        <f>Simulation!O481</f>
        <v>0.8323188845474685</v>
      </c>
      <c r="B465" s="448">
        <f>Simulation!M481</f>
        <v>501296.7743357186</v>
      </c>
    </row>
    <row r="466" spans="1:2" ht="12" customHeight="1" x14ac:dyDescent="0.15">
      <c r="A466" s="448">
        <f>Simulation!O482</f>
        <v>0.42389106569524593</v>
      </c>
      <c r="B466" s="448">
        <f>Simulation!M482</f>
        <v>418106.01254838565</v>
      </c>
    </row>
    <row r="467" spans="1:2" ht="12" customHeight="1" x14ac:dyDescent="0.15">
      <c r="A467" s="448">
        <f>Simulation!O483</f>
        <v>0.8924299608298536</v>
      </c>
      <c r="B467" s="448">
        <f>Simulation!M483</f>
        <v>467389.99929067935</v>
      </c>
    </row>
    <row r="468" spans="1:2" ht="12" customHeight="1" x14ac:dyDescent="0.15">
      <c r="A468" s="448">
        <f>Simulation!O484</f>
        <v>9.9901161387603299E-3</v>
      </c>
      <c r="B468" s="448">
        <f>Simulation!M484</f>
        <v>441446.39246985235</v>
      </c>
    </row>
    <row r="469" spans="1:2" ht="12" customHeight="1" x14ac:dyDescent="0.15">
      <c r="A469" s="448">
        <f>Simulation!O485</f>
        <v>0.21902525021991259</v>
      </c>
      <c r="B469" s="448">
        <f>Simulation!M485</f>
        <v>453000.73342866503</v>
      </c>
    </row>
    <row r="470" spans="1:2" ht="12" customHeight="1" x14ac:dyDescent="0.15">
      <c r="A470" s="448">
        <f>Simulation!O486</f>
        <v>4.9234566451467732E-2</v>
      </c>
      <c r="B470" s="448">
        <f>Simulation!M486</f>
        <v>397576.26682192343</v>
      </c>
    </row>
    <row r="471" spans="1:2" ht="12" customHeight="1" x14ac:dyDescent="0.15">
      <c r="A471" s="448">
        <f>Simulation!O487</f>
        <v>0.26998845205247957</v>
      </c>
      <c r="B471" s="448">
        <f>Simulation!M487</f>
        <v>427013.89273854566</v>
      </c>
    </row>
    <row r="472" spans="1:2" ht="12" customHeight="1" x14ac:dyDescent="0.15">
      <c r="A472" s="448">
        <f>Simulation!O488</f>
        <v>0.99870257403617391</v>
      </c>
      <c r="B472" s="448">
        <f>Simulation!M488</f>
        <v>570287.5174618084</v>
      </c>
    </row>
    <row r="473" spans="1:2" ht="12" customHeight="1" x14ac:dyDescent="0.15">
      <c r="A473" s="448">
        <f>Simulation!O489</f>
        <v>0.17344163387744915</v>
      </c>
      <c r="B473" s="448">
        <f>Simulation!M489</f>
        <v>371725.40834740858</v>
      </c>
    </row>
    <row r="474" spans="1:2" ht="12" customHeight="1" x14ac:dyDescent="0.15">
      <c r="A474" s="448">
        <f>Simulation!O490</f>
        <v>0.32802797558520913</v>
      </c>
      <c r="B474" s="448">
        <f>Simulation!M490</f>
        <v>477439.07587353513</v>
      </c>
    </row>
    <row r="475" spans="1:2" ht="12" customHeight="1" x14ac:dyDescent="0.15">
      <c r="A475" s="448">
        <f>Simulation!O491</f>
        <v>0.17284676222321016</v>
      </c>
      <c r="B475" s="448">
        <f>Simulation!M491</f>
        <v>489255.03338293207</v>
      </c>
    </row>
    <row r="476" spans="1:2" ht="12" customHeight="1" x14ac:dyDescent="0.15">
      <c r="A476" s="448">
        <f>Simulation!O492</f>
        <v>0.68615384807970914</v>
      </c>
      <c r="B476" s="448">
        <f>Simulation!M492</f>
        <v>411862.16249913804</v>
      </c>
    </row>
    <row r="477" spans="1:2" ht="12" customHeight="1" x14ac:dyDescent="0.15">
      <c r="A477" s="448">
        <f>Simulation!O493</f>
        <v>0.47327296833042221</v>
      </c>
      <c r="B477" s="448">
        <f>Simulation!M493</f>
        <v>419913.34042438504</v>
      </c>
    </row>
    <row r="478" spans="1:2" ht="12" customHeight="1" x14ac:dyDescent="0.15">
      <c r="A478" s="448">
        <f>Simulation!O494</f>
        <v>0.80947049999253995</v>
      </c>
      <c r="B478" s="448">
        <f>Simulation!M494</f>
        <v>500580.69356340647</v>
      </c>
    </row>
    <row r="479" spans="1:2" ht="12" customHeight="1" x14ac:dyDescent="0.15">
      <c r="A479" s="448">
        <f>Simulation!O495</f>
        <v>0.51516175398574049</v>
      </c>
      <c r="B479" s="448">
        <f>Simulation!M495</f>
        <v>373621.67062689899</v>
      </c>
    </row>
    <row r="480" spans="1:2" ht="12" customHeight="1" x14ac:dyDescent="0.15">
      <c r="A480" s="448">
        <f>Simulation!O496</f>
        <v>0.14059232996537308</v>
      </c>
      <c r="B480" s="448">
        <f>Simulation!M496</f>
        <v>403909.77264670201</v>
      </c>
    </row>
    <row r="481" spans="1:2" ht="12" customHeight="1" x14ac:dyDescent="0.15">
      <c r="A481" s="448">
        <f>Simulation!O497</f>
        <v>0.13484684250562462</v>
      </c>
      <c r="B481" s="448">
        <f>Simulation!M497</f>
        <v>372612.52093324863</v>
      </c>
    </row>
    <row r="482" spans="1:2" ht="12" customHeight="1" x14ac:dyDescent="0.15">
      <c r="A482" s="448">
        <f>Simulation!O498</f>
        <v>0.13275735462494698</v>
      </c>
      <c r="B482" s="448">
        <f>Simulation!M498</f>
        <v>372229.08618410904</v>
      </c>
    </row>
    <row r="483" spans="1:2" ht="12" customHeight="1" x14ac:dyDescent="0.15">
      <c r="A483" s="448">
        <f>Simulation!O499</f>
        <v>0.40283573684170282</v>
      </c>
      <c r="B483" s="448">
        <f>Simulation!M499</f>
        <v>363026.88751511171</v>
      </c>
    </row>
    <row r="484" spans="1:2" ht="12" customHeight="1" x14ac:dyDescent="0.15">
      <c r="A484" s="448">
        <f>Simulation!O500</f>
        <v>7.032046667580838E-2</v>
      </c>
      <c r="B484" s="448">
        <f>Simulation!M500</f>
        <v>393222.57212633139</v>
      </c>
    </row>
    <row r="485" spans="1:2" ht="12" customHeight="1" x14ac:dyDescent="0.15">
      <c r="A485" s="448">
        <f>Simulation!O501</f>
        <v>0.57262125904654093</v>
      </c>
      <c r="B485" s="448">
        <f>Simulation!M501</f>
        <v>455357.47379013384</v>
      </c>
    </row>
    <row r="486" spans="1:2" ht="12" customHeight="1" x14ac:dyDescent="0.15">
      <c r="A486" s="448">
        <f>Simulation!O502</f>
        <v>0.468417668347195</v>
      </c>
      <c r="B486" s="448">
        <f>Simulation!M502</f>
        <v>433158.98163023108</v>
      </c>
    </row>
    <row r="487" spans="1:2" ht="12" customHeight="1" x14ac:dyDescent="0.15">
      <c r="A487" s="448">
        <f>Simulation!O503</f>
        <v>0.5791489011957387</v>
      </c>
      <c r="B487" s="448">
        <f>Simulation!M503</f>
        <v>433870.4407314813</v>
      </c>
    </row>
    <row r="488" spans="1:2" ht="12" customHeight="1" x14ac:dyDescent="0.15">
      <c r="A488" s="448">
        <f>Simulation!O504</f>
        <v>0.37642293429906992</v>
      </c>
      <c r="B488" s="448">
        <f>Simulation!M504</f>
        <v>438404.95518949913</v>
      </c>
    </row>
    <row r="489" spans="1:2" ht="12" customHeight="1" x14ac:dyDescent="0.15">
      <c r="A489" s="448">
        <f>Simulation!O505</f>
        <v>0.61186535243175033</v>
      </c>
      <c r="B489" s="448">
        <f>Simulation!M505</f>
        <v>455467.33322019852</v>
      </c>
    </row>
    <row r="490" spans="1:2" ht="12" customHeight="1" x14ac:dyDescent="0.15">
      <c r="A490" s="448">
        <f>Simulation!O506</f>
        <v>0.41799059876406019</v>
      </c>
      <c r="B490" s="448">
        <f>Simulation!M506</f>
        <v>519149.91901722632</v>
      </c>
    </row>
    <row r="491" spans="1:2" ht="12" customHeight="1" x14ac:dyDescent="0.15">
      <c r="A491" s="448">
        <f>Simulation!O507</f>
        <v>0.13659703250690702</v>
      </c>
      <c r="B491" s="448">
        <f>Simulation!M507</f>
        <v>332867.16246503865</v>
      </c>
    </row>
    <row r="492" spans="1:2" ht="12" customHeight="1" x14ac:dyDescent="0.15">
      <c r="A492" s="448">
        <f>Simulation!O508</f>
        <v>0.58070439893720005</v>
      </c>
      <c r="B492" s="448">
        <f>Simulation!M508</f>
        <v>466840.10079885239</v>
      </c>
    </row>
    <row r="493" spans="1:2" ht="12" customHeight="1" x14ac:dyDescent="0.15">
      <c r="A493" s="448">
        <f>Simulation!O509</f>
        <v>0.71960547248701356</v>
      </c>
      <c r="B493" s="448">
        <f>Simulation!M509</f>
        <v>492023.38866543071</v>
      </c>
    </row>
    <row r="494" spans="1:2" ht="12" customHeight="1" x14ac:dyDescent="0.15">
      <c r="A494" s="448">
        <f>Simulation!O510</f>
        <v>0.27840018709864678</v>
      </c>
      <c r="B494" s="448">
        <f>Simulation!M510</f>
        <v>423537.1089719109</v>
      </c>
    </row>
    <row r="495" spans="1:2" ht="12" customHeight="1" x14ac:dyDescent="0.15">
      <c r="A495" s="448">
        <f>Simulation!O511</f>
        <v>1.1491977034843615E-2</v>
      </c>
      <c r="B495" s="448">
        <f>Simulation!M511</f>
        <v>418295.97622741939</v>
      </c>
    </row>
    <row r="496" spans="1:2" ht="12" customHeight="1" x14ac:dyDescent="0.15">
      <c r="A496" s="448">
        <f>Simulation!O512</f>
        <v>0.18714108817448194</v>
      </c>
      <c r="B496" s="448">
        <f>Simulation!M512</f>
        <v>399978.82475732442</v>
      </c>
    </row>
    <row r="497" spans="1:2" ht="12" customHeight="1" x14ac:dyDescent="0.15">
      <c r="A497" s="448">
        <f>Simulation!O513</f>
        <v>0.41517817777976873</v>
      </c>
      <c r="B497" s="448">
        <f>Simulation!M513</f>
        <v>427458.94710724789</v>
      </c>
    </row>
    <row r="498" spans="1:2" ht="12" customHeight="1" x14ac:dyDescent="0.15">
      <c r="A498" s="448">
        <f>Simulation!O514</f>
        <v>0.46327609803008674</v>
      </c>
      <c r="B498" s="448">
        <f>Simulation!M514</f>
        <v>492101.74060122797</v>
      </c>
    </row>
    <row r="499" spans="1:2" ht="12" customHeight="1" x14ac:dyDescent="0.15">
      <c r="A499" s="448">
        <f>Simulation!O515</f>
        <v>0.71724931915780554</v>
      </c>
      <c r="B499" s="448">
        <f>Simulation!M515</f>
        <v>447386.11602649261</v>
      </c>
    </row>
    <row r="500" spans="1:2" ht="12" customHeight="1" x14ac:dyDescent="0.15">
      <c r="A500" s="448">
        <f>Simulation!O516</f>
        <v>0.41149777708107793</v>
      </c>
      <c r="B500" s="448">
        <f>Simulation!M516</f>
        <v>503349.17634709249</v>
      </c>
    </row>
    <row r="501" spans="1:2" ht="12" customHeight="1" x14ac:dyDescent="0.15">
      <c r="A501" s="448">
        <f>Simulation!O517</f>
        <v>0.29418432733166577</v>
      </c>
      <c r="B501" s="448">
        <f>Simulation!M517</f>
        <v>479747.04367042193</v>
      </c>
    </row>
    <row r="502" spans="1:2" ht="12" customHeight="1" x14ac:dyDescent="0.15">
      <c r="A502" s="448">
        <f>Simulation!O518</f>
        <v>0.59470267388918652</v>
      </c>
      <c r="B502" s="448">
        <f>Simulation!M518</f>
        <v>524690.31372923218</v>
      </c>
    </row>
    <row r="503" spans="1:2" ht="12" customHeight="1" x14ac:dyDescent="0.15">
      <c r="A503" s="448">
        <f>Simulation!O519</f>
        <v>0.66896537282370305</v>
      </c>
      <c r="B503" s="448">
        <f>Simulation!M519</f>
        <v>494253.32244396635</v>
      </c>
    </row>
    <row r="504" spans="1:2" ht="12" customHeight="1" x14ac:dyDescent="0.15">
      <c r="A504" s="448">
        <f>Simulation!O520</f>
        <v>2.3279384291318372E-2</v>
      </c>
      <c r="B504" s="448">
        <f>Simulation!M520</f>
        <v>453505.70103434578</v>
      </c>
    </row>
    <row r="505" spans="1:2" ht="12" customHeight="1" x14ac:dyDescent="0.15">
      <c r="A505" s="448">
        <f>Simulation!O521</f>
        <v>0.6021360477399913</v>
      </c>
      <c r="B505" s="448">
        <f>Simulation!M521</f>
        <v>462832.67933474225</v>
      </c>
    </row>
    <row r="506" spans="1:2" ht="12" customHeight="1" x14ac:dyDescent="0.15">
      <c r="A506" s="448">
        <f>Simulation!O522</f>
        <v>0.41081135529856194</v>
      </c>
      <c r="B506" s="448">
        <f>Simulation!M522</f>
        <v>429292.48440207198</v>
      </c>
    </row>
    <row r="507" spans="1:2" ht="12" customHeight="1" x14ac:dyDescent="0.15">
      <c r="A507" s="448">
        <f>Simulation!O523</f>
        <v>-0.28693726410033005</v>
      </c>
      <c r="B507" s="448">
        <f>Simulation!M523</f>
        <v>356456.38888310897</v>
      </c>
    </row>
    <row r="508" spans="1:2" ht="12" customHeight="1" x14ac:dyDescent="0.15">
      <c r="A508" s="448">
        <f>Simulation!O524</f>
        <v>0.11967965323447949</v>
      </c>
      <c r="B508" s="448">
        <f>Simulation!M524</f>
        <v>438369.2551192317</v>
      </c>
    </row>
    <row r="509" spans="1:2" ht="12" customHeight="1" x14ac:dyDescent="0.15">
      <c r="A509" s="448">
        <f>Simulation!O525</f>
        <v>6.4555099853822462E-2</v>
      </c>
      <c r="B509" s="448">
        <f>Simulation!M525</f>
        <v>449341.52500848699</v>
      </c>
    </row>
    <row r="510" spans="1:2" ht="12" customHeight="1" x14ac:dyDescent="0.15">
      <c r="A510" s="448">
        <f>Simulation!O526</f>
        <v>1.0219606747614576</v>
      </c>
      <c r="B510" s="448">
        <f>Simulation!M526</f>
        <v>466072.59912107396</v>
      </c>
    </row>
    <row r="511" spans="1:2" ht="12" customHeight="1" x14ac:dyDescent="0.15">
      <c r="A511" s="448">
        <f>Simulation!O527</f>
        <v>0.9761941979472839</v>
      </c>
      <c r="B511" s="448">
        <f>Simulation!M527</f>
        <v>521443.99938393087</v>
      </c>
    </row>
    <row r="512" spans="1:2" ht="12" customHeight="1" x14ac:dyDescent="0.15">
      <c r="A512" s="448">
        <f>Simulation!O528</f>
        <v>0.7763667180473488</v>
      </c>
      <c r="B512" s="448">
        <f>Simulation!M528</f>
        <v>476840.51328193187</v>
      </c>
    </row>
    <row r="513" spans="1:2" ht="12" customHeight="1" x14ac:dyDescent="0.15">
      <c r="A513" s="448">
        <f>Simulation!O529</f>
        <v>0.77049705725244477</v>
      </c>
      <c r="B513" s="448">
        <f>Simulation!M529</f>
        <v>574144.67324945028</v>
      </c>
    </row>
    <row r="514" spans="1:2" ht="12" customHeight="1" x14ac:dyDescent="0.15">
      <c r="A514" s="448">
        <f>Simulation!O530</f>
        <v>0.6951161189308479</v>
      </c>
      <c r="B514" s="448">
        <f>Simulation!M530</f>
        <v>514117.05247475812</v>
      </c>
    </row>
    <row r="515" spans="1:2" ht="12" customHeight="1" x14ac:dyDescent="0.15">
      <c r="A515" s="448">
        <f>Simulation!O531</f>
        <v>0.77940381900126132</v>
      </c>
      <c r="B515" s="448">
        <f>Simulation!M531</f>
        <v>540291.38958604704</v>
      </c>
    </row>
    <row r="516" spans="1:2" ht="12" customHeight="1" x14ac:dyDescent="0.15">
      <c r="A516" s="448">
        <f>Simulation!O532</f>
        <v>0.71254695875129515</v>
      </c>
      <c r="B516" s="448">
        <f>Simulation!M532</f>
        <v>444241.84662000701</v>
      </c>
    </row>
    <row r="517" spans="1:2" ht="12" customHeight="1" x14ac:dyDescent="0.15">
      <c r="A517" s="448">
        <f>Simulation!O533</f>
        <v>0.56007552814329387</v>
      </c>
      <c r="B517" s="448">
        <f>Simulation!M533</f>
        <v>596565.11704915634</v>
      </c>
    </row>
    <row r="518" spans="1:2" ht="12" customHeight="1" x14ac:dyDescent="0.15">
      <c r="A518" s="448">
        <f>Simulation!O534</f>
        <v>0.44754711220119026</v>
      </c>
      <c r="B518" s="448">
        <f>Simulation!M534</f>
        <v>484547.66356204136</v>
      </c>
    </row>
    <row r="519" spans="1:2" ht="12" customHeight="1" x14ac:dyDescent="0.15">
      <c r="A519" s="448">
        <f>Simulation!O535</f>
        <v>0.59061023269725954</v>
      </c>
      <c r="B519" s="448">
        <f>Simulation!M535</f>
        <v>390026.04061859113</v>
      </c>
    </row>
    <row r="520" spans="1:2" ht="12" customHeight="1" x14ac:dyDescent="0.15">
      <c r="A520" s="448">
        <f>Simulation!O536</f>
        <v>0.59407953004195946</v>
      </c>
      <c r="B520" s="448">
        <f>Simulation!M536</f>
        <v>432827.46786015836</v>
      </c>
    </row>
    <row r="521" spans="1:2" ht="12" customHeight="1" x14ac:dyDescent="0.15">
      <c r="A521" s="448">
        <f>Simulation!O537</f>
        <v>1.3216692299979016E-2</v>
      </c>
      <c r="B521" s="448">
        <f>Simulation!M537</f>
        <v>350208.14011131716</v>
      </c>
    </row>
    <row r="522" spans="1:2" ht="12" customHeight="1" x14ac:dyDescent="0.15">
      <c r="A522" s="448">
        <f>Simulation!O538</f>
        <v>0.89672511756912865</v>
      </c>
      <c r="B522" s="448">
        <f>Simulation!M538</f>
        <v>471799.31297088583</v>
      </c>
    </row>
    <row r="523" spans="1:2" ht="12" customHeight="1" x14ac:dyDescent="0.15">
      <c r="A523" s="448">
        <f>Simulation!O539</f>
        <v>0.32891407352078761</v>
      </c>
      <c r="B523" s="448">
        <f>Simulation!M539</f>
        <v>349088.70859832538</v>
      </c>
    </row>
    <row r="524" spans="1:2" ht="12" customHeight="1" x14ac:dyDescent="0.15">
      <c r="A524" s="448">
        <f>Simulation!O540</f>
        <v>0.35149064042355205</v>
      </c>
      <c r="B524" s="448">
        <f>Simulation!M540</f>
        <v>424210.43583551992</v>
      </c>
    </row>
    <row r="525" spans="1:2" ht="12" customHeight="1" x14ac:dyDescent="0.15">
      <c r="A525" s="448">
        <f>Simulation!O541</f>
        <v>0.74888988723799654</v>
      </c>
      <c r="B525" s="448">
        <f>Simulation!M541</f>
        <v>486626.97558363376</v>
      </c>
    </row>
    <row r="526" spans="1:2" ht="12" customHeight="1" x14ac:dyDescent="0.15">
      <c r="A526" s="448">
        <f>Simulation!O542</f>
        <v>0.55246904429378674</v>
      </c>
      <c r="B526" s="448">
        <f>Simulation!M542</f>
        <v>556285.42960667936</v>
      </c>
    </row>
    <row r="527" spans="1:2" ht="12" customHeight="1" x14ac:dyDescent="0.15">
      <c r="A527" s="448">
        <f>Simulation!O543</f>
        <v>0.44975187755599721</v>
      </c>
      <c r="B527" s="448">
        <f>Simulation!M543</f>
        <v>416286.10197664093</v>
      </c>
    </row>
    <row r="528" spans="1:2" ht="12" customHeight="1" x14ac:dyDescent="0.15">
      <c r="A528" s="448">
        <f>Simulation!O544</f>
        <v>0.38403750115765733</v>
      </c>
      <c r="B528" s="448">
        <f>Simulation!M544</f>
        <v>459674.36750392086</v>
      </c>
    </row>
    <row r="529" spans="1:2" ht="12" customHeight="1" x14ac:dyDescent="0.15">
      <c r="A529" s="448">
        <f>Simulation!O545</f>
        <v>0.2387800251481762</v>
      </c>
      <c r="B529" s="448">
        <f>Simulation!M545</f>
        <v>507992.86065912596</v>
      </c>
    </row>
    <row r="530" spans="1:2" ht="12" customHeight="1" x14ac:dyDescent="0.15">
      <c r="A530" s="448">
        <f>Simulation!O546</f>
        <v>-1.984068405738082E-2</v>
      </c>
      <c r="B530" s="448">
        <f>Simulation!M546</f>
        <v>299457.11835075787</v>
      </c>
    </row>
    <row r="531" spans="1:2" ht="12" customHeight="1" x14ac:dyDescent="0.15">
      <c r="A531" s="448">
        <f>Simulation!O547</f>
        <v>0.1216804782575327</v>
      </c>
      <c r="B531" s="448">
        <f>Simulation!M547</f>
        <v>539155.75311817648</v>
      </c>
    </row>
    <row r="532" spans="1:2" ht="12" customHeight="1" x14ac:dyDescent="0.15">
      <c r="A532" s="448">
        <f>Simulation!O548</f>
        <v>0.31923800628134336</v>
      </c>
      <c r="B532" s="448">
        <f>Simulation!M548</f>
        <v>529278.90840866184</v>
      </c>
    </row>
    <row r="533" spans="1:2" ht="12" customHeight="1" x14ac:dyDescent="0.15">
      <c r="A533" s="448">
        <f>Simulation!O549</f>
        <v>0.21185337505733459</v>
      </c>
      <c r="B533" s="448">
        <f>Simulation!M549</f>
        <v>366904.26941448724</v>
      </c>
    </row>
    <row r="534" spans="1:2" ht="12" customHeight="1" x14ac:dyDescent="0.15">
      <c r="A534" s="448">
        <f>Simulation!O550</f>
        <v>0.3438077389375076</v>
      </c>
      <c r="B534" s="448">
        <f>Simulation!M550</f>
        <v>427222.54721550172</v>
      </c>
    </row>
    <row r="535" spans="1:2" ht="12" customHeight="1" x14ac:dyDescent="0.15">
      <c r="A535" s="448">
        <f>Simulation!O551</f>
        <v>0.35708624176478043</v>
      </c>
      <c r="B535" s="448">
        <f>Simulation!M551</f>
        <v>444163.14038406045</v>
      </c>
    </row>
    <row r="536" spans="1:2" ht="12" customHeight="1" x14ac:dyDescent="0.15">
      <c r="A536" s="448">
        <f>Simulation!O552</f>
        <v>0.6377138038335064</v>
      </c>
      <c r="B536" s="448">
        <f>Simulation!M552</f>
        <v>485184.00366443011</v>
      </c>
    </row>
    <row r="537" spans="1:2" ht="12" customHeight="1" x14ac:dyDescent="0.15">
      <c r="A537" s="448">
        <f>Simulation!O553</f>
        <v>0.61473074362407765</v>
      </c>
      <c r="B537" s="448">
        <f>Simulation!M553</f>
        <v>457449.74750713288</v>
      </c>
    </row>
    <row r="538" spans="1:2" ht="12" customHeight="1" x14ac:dyDescent="0.15">
      <c r="A538" s="448">
        <f>Simulation!O554</f>
        <v>0.23624962444923314</v>
      </c>
      <c r="B538" s="448">
        <f>Simulation!M554</f>
        <v>352799.16701831587</v>
      </c>
    </row>
    <row r="539" spans="1:2" ht="12" customHeight="1" x14ac:dyDescent="0.15">
      <c r="A539" s="448">
        <f>Simulation!O555</f>
        <v>0.98676963337145596</v>
      </c>
      <c r="B539" s="448">
        <f>Simulation!M555</f>
        <v>538654.62973886658</v>
      </c>
    </row>
    <row r="540" spans="1:2" ht="12" customHeight="1" x14ac:dyDescent="0.15">
      <c r="A540" s="448">
        <f>Simulation!O556</f>
        <v>0.24886180247162493</v>
      </c>
      <c r="B540" s="448">
        <f>Simulation!M556</f>
        <v>484595.62038850039</v>
      </c>
    </row>
    <row r="541" spans="1:2" ht="12" customHeight="1" x14ac:dyDescent="0.15">
      <c r="A541" s="448">
        <f>Simulation!O557</f>
        <v>0.30998095137750248</v>
      </c>
      <c r="B541" s="448">
        <f>Simulation!M557</f>
        <v>438259.32520700485</v>
      </c>
    </row>
    <row r="542" spans="1:2" ht="12" customHeight="1" x14ac:dyDescent="0.15">
      <c r="A542" s="448">
        <f>Simulation!O558</f>
        <v>0.61996424316953513</v>
      </c>
      <c r="B542" s="448">
        <f>Simulation!M558</f>
        <v>443704.28563678334</v>
      </c>
    </row>
    <row r="543" spans="1:2" ht="12" customHeight="1" x14ac:dyDescent="0.15">
      <c r="A543" s="448">
        <f>Simulation!O559</f>
        <v>0.94505514866055673</v>
      </c>
      <c r="B543" s="448">
        <f>Simulation!M559</f>
        <v>552548.75229047646</v>
      </c>
    </row>
    <row r="544" spans="1:2" ht="12" customHeight="1" x14ac:dyDescent="0.15">
      <c r="A544" s="448">
        <f>Simulation!O560</f>
        <v>0.39957014538479552</v>
      </c>
      <c r="B544" s="448">
        <f>Simulation!M560</f>
        <v>537261.8447271788</v>
      </c>
    </row>
    <row r="545" spans="1:2" ht="12" customHeight="1" x14ac:dyDescent="0.15">
      <c r="A545" s="448">
        <f>Simulation!O561</f>
        <v>0.69479120738323097</v>
      </c>
      <c r="B545" s="448">
        <f>Simulation!M561</f>
        <v>382966.18636926718</v>
      </c>
    </row>
    <row r="546" spans="1:2" ht="12" customHeight="1" x14ac:dyDescent="0.15">
      <c r="A546" s="448">
        <f>Simulation!O562</f>
        <v>0.20067681336214083</v>
      </c>
      <c r="B546" s="448">
        <f>Simulation!M562</f>
        <v>454709.1121370279</v>
      </c>
    </row>
    <row r="547" spans="1:2" ht="12" customHeight="1" x14ac:dyDescent="0.15">
      <c r="A547" s="448">
        <f>Simulation!O563</f>
        <v>0.6375388019704018</v>
      </c>
      <c r="B547" s="448">
        <f>Simulation!M563</f>
        <v>497655.86679557781</v>
      </c>
    </row>
    <row r="548" spans="1:2" ht="12" customHeight="1" x14ac:dyDescent="0.15">
      <c r="A548" s="448">
        <f>Simulation!O564</f>
        <v>0.75456199635113297</v>
      </c>
      <c r="B548" s="448">
        <f>Simulation!M564</f>
        <v>530495.00441636611</v>
      </c>
    </row>
    <row r="549" spans="1:2" ht="12" customHeight="1" x14ac:dyDescent="0.15">
      <c r="A549" s="448">
        <f>Simulation!O565</f>
        <v>0.71622065330463824</v>
      </c>
      <c r="B549" s="448">
        <f>Simulation!M565</f>
        <v>554359.78717832279</v>
      </c>
    </row>
    <row r="550" spans="1:2" ht="12" customHeight="1" x14ac:dyDescent="0.15">
      <c r="A550" s="448">
        <f>Simulation!O566</f>
        <v>0.16974837151458466</v>
      </c>
      <c r="B550" s="448">
        <f>Simulation!M566</f>
        <v>418392.30276239919</v>
      </c>
    </row>
    <row r="551" spans="1:2" ht="12" customHeight="1" x14ac:dyDescent="0.15">
      <c r="A551" s="448">
        <f>Simulation!O567</f>
        <v>0.59879010346617978</v>
      </c>
      <c r="B551" s="448">
        <f>Simulation!M567</f>
        <v>574829.95532095793</v>
      </c>
    </row>
    <row r="552" spans="1:2" ht="12" customHeight="1" x14ac:dyDescent="0.15">
      <c r="A552" s="448">
        <f>Simulation!O568</f>
        <v>0.33374036614574765</v>
      </c>
      <c r="B552" s="448">
        <f>Simulation!M568</f>
        <v>352199.0348543406</v>
      </c>
    </row>
    <row r="553" spans="1:2" ht="12" customHeight="1" x14ac:dyDescent="0.15">
      <c r="A553" s="448">
        <f>Simulation!O569</f>
        <v>1.2137519671901793</v>
      </c>
      <c r="B553" s="448">
        <f>Simulation!M569</f>
        <v>644888.52833615988</v>
      </c>
    </row>
    <row r="554" spans="1:2" ht="12" customHeight="1" x14ac:dyDescent="0.15">
      <c r="A554" s="448">
        <f>Simulation!O570</f>
        <v>2.9532945764035645E-2</v>
      </c>
      <c r="B554" s="448">
        <f>Simulation!M570</f>
        <v>385925.27304865385</v>
      </c>
    </row>
    <row r="555" spans="1:2" ht="12" customHeight="1" x14ac:dyDescent="0.15">
      <c r="A555" s="448">
        <f>Simulation!O571</f>
        <v>0.10326755353022987</v>
      </c>
      <c r="B555" s="448">
        <f>Simulation!M571</f>
        <v>418226.94903238397</v>
      </c>
    </row>
    <row r="556" spans="1:2" ht="12" customHeight="1" x14ac:dyDescent="0.15">
      <c r="A556" s="448">
        <f>Simulation!O572</f>
        <v>0.8969341686707295</v>
      </c>
      <c r="B556" s="448">
        <f>Simulation!M572</f>
        <v>550826.3231658712</v>
      </c>
    </row>
    <row r="557" spans="1:2" ht="12" customHeight="1" x14ac:dyDescent="0.15">
      <c r="A557" s="448">
        <f>Simulation!O573</f>
        <v>0.53957880067843567</v>
      </c>
      <c r="B557" s="448">
        <f>Simulation!M573</f>
        <v>531685.07137984922</v>
      </c>
    </row>
    <row r="558" spans="1:2" ht="12" customHeight="1" x14ac:dyDescent="0.15">
      <c r="A558" s="448">
        <f>Simulation!O574</f>
        <v>0.58971008034237604</v>
      </c>
      <c r="B558" s="448">
        <f>Simulation!M574</f>
        <v>559551.1451274429</v>
      </c>
    </row>
    <row r="559" spans="1:2" ht="12" customHeight="1" x14ac:dyDescent="0.15">
      <c r="A559" s="448">
        <f>Simulation!O575</f>
        <v>0.17963561455372345</v>
      </c>
      <c r="B559" s="448">
        <f>Simulation!M575</f>
        <v>430950.33326343296</v>
      </c>
    </row>
    <row r="560" spans="1:2" ht="12" customHeight="1" x14ac:dyDescent="0.15">
      <c r="A560" s="448">
        <f>Simulation!O576</f>
        <v>0.47106576387282262</v>
      </c>
      <c r="B560" s="448">
        <f>Simulation!M576</f>
        <v>417354.05393643718</v>
      </c>
    </row>
    <row r="561" spans="1:2" ht="12" customHeight="1" x14ac:dyDescent="0.15">
      <c r="A561" s="448">
        <f>Simulation!O577</f>
        <v>0.49427995918527268</v>
      </c>
      <c r="B561" s="448">
        <f>Simulation!M577</f>
        <v>457323.69224989734</v>
      </c>
    </row>
    <row r="562" spans="1:2" ht="12" customHeight="1" x14ac:dyDescent="0.15">
      <c r="A562" s="448">
        <f>Simulation!O578</f>
        <v>0.47001861919805688</v>
      </c>
      <c r="B562" s="448">
        <f>Simulation!M578</f>
        <v>449102.83420754661</v>
      </c>
    </row>
    <row r="563" spans="1:2" ht="12" customHeight="1" x14ac:dyDescent="0.15">
      <c r="A563" s="448">
        <f>Simulation!O579</f>
        <v>0.68058125141404657</v>
      </c>
      <c r="B563" s="448">
        <f>Simulation!M579</f>
        <v>487851.88467282505</v>
      </c>
    </row>
    <row r="564" spans="1:2" ht="12" customHeight="1" x14ac:dyDescent="0.15">
      <c r="A564" s="448">
        <f>Simulation!O580</f>
        <v>0.70406419959767597</v>
      </c>
      <c r="B564" s="448">
        <f>Simulation!M580</f>
        <v>609036.88146786392</v>
      </c>
    </row>
    <row r="565" spans="1:2" ht="12" customHeight="1" x14ac:dyDescent="0.15">
      <c r="A565" s="448">
        <f>Simulation!O581</f>
        <v>0.2277940489688155</v>
      </c>
      <c r="B565" s="448">
        <f>Simulation!M581</f>
        <v>437512.28244432097</v>
      </c>
    </row>
    <row r="566" spans="1:2" ht="12" customHeight="1" x14ac:dyDescent="0.15">
      <c r="A566" s="448">
        <f>Simulation!O582</f>
        <v>0.69105501464573127</v>
      </c>
      <c r="B566" s="448">
        <f>Simulation!M582</f>
        <v>462099.29533714883</v>
      </c>
    </row>
    <row r="567" spans="1:2" ht="12" customHeight="1" x14ac:dyDescent="0.15">
      <c r="A567" s="448">
        <f>Simulation!O583</f>
        <v>0.44256583524104887</v>
      </c>
      <c r="B567" s="448">
        <f>Simulation!M583</f>
        <v>446154.8293885981</v>
      </c>
    </row>
    <row r="568" spans="1:2" ht="12" customHeight="1" x14ac:dyDescent="0.15">
      <c r="A568" s="448">
        <f>Simulation!O584</f>
        <v>0.80283616687581416</v>
      </c>
      <c r="B568" s="448">
        <f>Simulation!M584</f>
        <v>568653.61902215658</v>
      </c>
    </row>
    <row r="569" spans="1:2" ht="12" customHeight="1" x14ac:dyDescent="0.15">
      <c r="A569" s="448">
        <f>Simulation!O585</f>
        <v>0.53325489925734493</v>
      </c>
      <c r="B569" s="448">
        <f>Simulation!M585</f>
        <v>391395.0944809154</v>
      </c>
    </row>
    <row r="570" spans="1:2" ht="12" customHeight="1" x14ac:dyDescent="0.15">
      <c r="A570" s="448">
        <f>Simulation!O586</f>
        <v>0.33965210207586516</v>
      </c>
      <c r="B570" s="448">
        <f>Simulation!M586</f>
        <v>520352.09186197643</v>
      </c>
    </row>
    <row r="571" spans="1:2" ht="12" customHeight="1" x14ac:dyDescent="0.15">
      <c r="A571" s="448">
        <f>Simulation!O587</f>
        <v>0.96458965219277659</v>
      </c>
      <c r="B571" s="448">
        <f>Simulation!M587</f>
        <v>535664.33697746939</v>
      </c>
    </row>
    <row r="572" spans="1:2" ht="12" customHeight="1" x14ac:dyDescent="0.15">
      <c r="A572" s="448">
        <f>Simulation!O588</f>
        <v>0.30325630884998844</v>
      </c>
      <c r="B572" s="448">
        <f>Simulation!M588</f>
        <v>447708.79501152184</v>
      </c>
    </row>
    <row r="573" spans="1:2" ht="12" customHeight="1" x14ac:dyDescent="0.15">
      <c r="A573" s="448">
        <f>Simulation!O589</f>
        <v>0.25034193790188786</v>
      </c>
      <c r="B573" s="448">
        <f>Simulation!M589</f>
        <v>529493.74647542252</v>
      </c>
    </row>
    <row r="574" spans="1:2" ht="12" customHeight="1" x14ac:dyDescent="0.15">
      <c r="A574" s="448">
        <f>Simulation!O590</f>
        <v>0.91792259859268155</v>
      </c>
      <c r="B574" s="448">
        <f>Simulation!M590</f>
        <v>547873.19160919823</v>
      </c>
    </row>
    <row r="575" spans="1:2" ht="12" customHeight="1" x14ac:dyDescent="0.15">
      <c r="A575" s="448">
        <f>Simulation!O591</f>
        <v>0.44802464094231498</v>
      </c>
      <c r="B575" s="448">
        <f>Simulation!M591</f>
        <v>384288.38737139868</v>
      </c>
    </row>
    <row r="576" spans="1:2" ht="12" customHeight="1" x14ac:dyDescent="0.15">
      <c r="A576" s="448">
        <f>Simulation!O592</f>
        <v>0.60262861430263115</v>
      </c>
      <c r="B576" s="448">
        <f>Simulation!M592</f>
        <v>409236.48040867085</v>
      </c>
    </row>
    <row r="577" spans="1:2" ht="12" customHeight="1" x14ac:dyDescent="0.15">
      <c r="A577" s="448">
        <f>Simulation!O593</f>
        <v>0.67033523446514476</v>
      </c>
      <c r="B577" s="448">
        <f>Simulation!M593</f>
        <v>490893.06142370054</v>
      </c>
    </row>
    <row r="578" spans="1:2" ht="12" customHeight="1" x14ac:dyDescent="0.15">
      <c r="A578" s="448">
        <f>Simulation!O594</f>
        <v>0.3640302965657285</v>
      </c>
      <c r="B578" s="448">
        <f>Simulation!M594</f>
        <v>393186.1406476585</v>
      </c>
    </row>
    <row r="579" spans="1:2" ht="12" customHeight="1" x14ac:dyDescent="0.15">
      <c r="A579" s="448">
        <f>Simulation!O595</f>
        <v>0.39157131129106371</v>
      </c>
      <c r="B579" s="448">
        <f>Simulation!M595</f>
        <v>393469.76663315733</v>
      </c>
    </row>
    <row r="580" spans="1:2" ht="12" customHeight="1" x14ac:dyDescent="0.15">
      <c r="A580" s="448">
        <f>Simulation!O596</f>
        <v>0.30715345927719007</v>
      </c>
      <c r="B580" s="448">
        <f>Simulation!M596</f>
        <v>435803.88739496132</v>
      </c>
    </row>
    <row r="581" spans="1:2" ht="12" customHeight="1" x14ac:dyDescent="0.15">
      <c r="A581" s="448">
        <f>Simulation!O597</f>
        <v>0.68084993043652942</v>
      </c>
      <c r="B581" s="448">
        <f>Simulation!M597</f>
        <v>452408.00208519801</v>
      </c>
    </row>
    <row r="582" spans="1:2" ht="12" customHeight="1" x14ac:dyDescent="0.15">
      <c r="A582" s="448">
        <f>Simulation!O598</f>
        <v>0.28493377101279238</v>
      </c>
      <c r="B582" s="448">
        <f>Simulation!M598</f>
        <v>471821.37409925711</v>
      </c>
    </row>
    <row r="583" spans="1:2" ht="12" customHeight="1" x14ac:dyDescent="0.15">
      <c r="A583" s="448">
        <f>Simulation!O599</f>
        <v>0.25543900647608364</v>
      </c>
      <c r="B583" s="448">
        <f>Simulation!M599</f>
        <v>442280.5013580168</v>
      </c>
    </row>
    <row r="584" spans="1:2" ht="12" customHeight="1" x14ac:dyDescent="0.15">
      <c r="A584" s="448">
        <f>Simulation!O600</f>
        <v>6.4740306628856104E-2</v>
      </c>
      <c r="B584" s="448">
        <f>Simulation!M600</f>
        <v>368663.48212612333</v>
      </c>
    </row>
    <row r="585" spans="1:2" ht="12" customHeight="1" x14ac:dyDescent="0.15">
      <c r="A585" s="448">
        <f>Simulation!O601</f>
        <v>0.61069335552660187</v>
      </c>
      <c r="B585" s="448">
        <f>Simulation!M601</f>
        <v>424342.88780952897</v>
      </c>
    </row>
    <row r="586" spans="1:2" ht="12" customHeight="1" x14ac:dyDescent="0.15">
      <c r="A586" s="448">
        <f>Simulation!O602</f>
        <v>0.31993213149741662</v>
      </c>
      <c r="B586" s="448">
        <f>Simulation!M602</f>
        <v>452986.09684432915</v>
      </c>
    </row>
    <row r="587" spans="1:2" ht="12" customHeight="1" x14ac:dyDescent="0.15">
      <c r="A587" s="448">
        <f>Simulation!O603</f>
        <v>0.11757030906139709</v>
      </c>
      <c r="B587" s="448">
        <f>Simulation!M603</f>
        <v>411590.9580234412</v>
      </c>
    </row>
    <row r="588" spans="1:2" ht="12" customHeight="1" x14ac:dyDescent="0.15">
      <c r="A588" s="448">
        <f>Simulation!O604</f>
        <v>0.70813930849025608</v>
      </c>
      <c r="B588" s="448">
        <f>Simulation!M604</f>
        <v>591321.89138459391</v>
      </c>
    </row>
    <row r="589" spans="1:2" ht="12" customHeight="1" x14ac:dyDescent="0.15">
      <c r="A589" s="448">
        <f>Simulation!O605</f>
        <v>0.54481605797768218</v>
      </c>
      <c r="B589" s="448">
        <f>Simulation!M605</f>
        <v>484289.97012525145</v>
      </c>
    </row>
    <row r="590" spans="1:2" ht="12" customHeight="1" x14ac:dyDescent="0.15">
      <c r="A590" s="448">
        <f>Simulation!O606</f>
        <v>0.358036528635155</v>
      </c>
      <c r="B590" s="448">
        <f>Simulation!M606</f>
        <v>338261.61010225193</v>
      </c>
    </row>
    <row r="591" spans="1:2" ht="12" customHeight="1" x14ac:dyDescent="0.15">
      <c r="A591" s="448">
        <f>Simulation!O607</f>
        <v>8.7944831176767657E-2</v>
      </c>
      <c r="B591" s="448">
        <f>Simulation!M607</f>
        <v>410177.54581068177</v>
      </c>
    </row>
    <row r="592" spans="1:2" ht="12" customHeight="1" x14ac:dyDescent="0.15">
      <c r="A592" s="448">
        <f>Simulation!O608</f>
        <v>0.61072104889124246</v>
      </c>
      <c r="B592" s="448">
        <f>Simulation!M608</f>
        <v>418707.84479962621</v>
      </c>
    </row>
    <row r="593" spans="1:2" ht="12" customHeight="1" x14ac:dyDescent="0.15">
      <c r="A593" s="448">
        <f>Simulation!O609</f>
        <v>-0.13542282648708737</v>
      </c>
      <c r="B593" s="448">
        <f>Simulation!M609</f>
        <v>432560.82207146852</v>
      </c>
    </row>
    <row r="594" spans="1:2" ht="12" customHeight="1" x14ac:dyDescent="0.15">
      <c r="A594" s="448">
        <f>Simulation!O610</f>
        <v>0.35812722156114418</v>
      </c>
      <c r="B594" s="448">
        <f>Simulation!M610</f>
        <v>508949.6474591326</v>
      </c>
    </row>
    <row r="595" spans="1:2" ht="12" customHeight="1" x14ac:dyDescent="0.15">
      <c r="A595" s="448">
        <f>Simulation!O611</f>
        <v>0.5746158705600477</v>
      </c>
      <c r="B595" s="448">
        <f>Simulation!M611</f>
        <v>481264.38088506437</v>
      </c>
    </row>
    <row r="596" spans="1:2" ht="12" customHeight="1" x14ac:dyDescent="0.15">
      <c r="A596" s="448">
        <f>Simulation!O612</f>
        <v>0.4535946648988407</v>
      </c>
      <c r="B596" s="448">
        <f>Simulation!M612</f>
        <v>440435.83947862935</v>
      </c>
    </row>
    <row r="597" spans="1:2" ht="12" customHeight="1" x14ac:dyDescent="0.15">
      <c r="A597" s="448">
        <f>Simulation!O613</f>
        <v>0.20238728734708866</v>
      </c>
      <c r="B597" s="448">
        <f>Simulation!M613</f>
        <v>451819.23307591962</v>
      </c>
    </row>
    <row r="598" spans="1:2" ht="12" customHeight="1" x14ac:dyDescent="0.15">
      <c r="A598" s="448">
        <f>Simulation!O614</f>
        <v>0.11437133161617474</v>
      </c>
      <c r="B598" s="448">
        <f>Simulation!M614</f>
        <v>399694.87237802648</v>
      </c>
    </row>
    <row r="599" spans="1:2" ht="12" customHeight="1" x14ac:dyDescent="0.15">
      <c r="A599" s="448">
        <f>Simulation!O615</f>
        <v>0.36154756913015396</v>
      </c>
      <c r="B599" s="448">
        <f>Simulation!M615</f>
        <v>447070.21892033319</v>
      </c>
    </row>
    <row r="600" spans="1:2" ht="12" customHeight="1" x14ac:dyDescent="0.15">
      <c r="A600" s="448">
        <f>Simulation!O616</f>
        <v>0.65730061020329877</v>
      </c>
      <c r="B600" s="448">
        <f>Simulation!M616</f>
        <v>544767.69001730601</v>
      </c>
    </row>
    <row r="601" spans="1:2" ht="12" customHeight="1" x14ac:dyDescent="0.15">
      <c r="A601" s="448">
        <f>Simulation!O617</f>
        <v>0.54152410861918243</v>
      </c>
      <c r="B601" s="448">
        <f>Simulation!M617</f>
        <v>505546.41522963974</v>
      </c>
    </row>
    <row r="602" spans="1:2" ht="12" customHeight="1" x14ac:dyDescent="0.15">
      <c r="A602" s="448">
        <f>Simulation!O618</f>
        <v>0.58796228107147464</v>
      </c>
      <c r="B602" s="448">
        <f>Simulation!M618</f>
        <v>489350.93425413442</v>
      </c>
    </row>
    <row r="603" spans="1:2" ht="12" customHeight="1" x14ac:dyDescent="0.15">
      <c r="A603" s="448">
        <f>Simulation!O619</f>
        <v>0.66215599070832409</v>
      </c>
      <c r="B603" s="448">
        <f>Simulation!M619</f>
        <v>503845.81899918767</v>
      </c>
    </row>
    <row r="604" spans="1:2" ht="12" customHeight="1" x14ac:dyDescent="0.15">
      <c r="A604" s="448">
        <f>Simulation!O620</f>
        <v>0.48933348156166367</v>
      </c>
      <c r="B604" s="448">
        <f>Simulation!M620</f>
        <v>459293.32468080742</v>
      </c>
    </row>
    <row r="605" spans="1:2" ht="12" customHeight="1" x14ac:dyDescent="0.15">
      <c r="A605" s="448">
        <f>Simulation!O621</f>
        <v>0.28136791751534096</v>
      </c>
      <c r="B605" s="448">
        <f>Simulation!M621</f>
        <v>361437.07214225543</v>
      </c>
    </row>
    <row r="606" spans="1:2" ht="12" customHeight="1" x14ac:dyDescent="0.15">
      <c r="A606" s="448">
        <f>Simulation!O622</f>
        <v>0.21726018866612362</v>
      </c>
      <c r="B606" s="448">
        <f>Simulation!M622</f>
        <v>438224.7083241911</v>
      </c>
    </row>
    <row r="607" spans="1:2" ht="12" customHeight="1" x14ac:dyDescent="0.15">
      <c r="A607" s="448">
        <f>Simulation!O623</f>
        <v>0.7139792382728225</v>
      </c>
      <c r="B607" s="448">
        <f>Simulation!M623</f>
        <v>519609.46253409976</v>
      </c>
    </row>
    <row r="608" spans="1:2" ht="12" customHeight="1" x14ac:dyDescent="0.15">
      <c r="A608" s="448">
        <f>Simulation!O624</f>
        <v>6.8645884204744156E-2</v>
      </c>
      <c r="B608" s="448">
        <f>Simulation!M624</f>
        <v>400691.23296964774</v>
      </c>
    </row>
    <row r="609" spans="1:2" ht="12" customHeight="1" x14ac:dyDescent="0.15">
      <c r="A609" s="448">
        <f>Simulation!O625</f>
        <v>0.37628204824529776</v>
      </c>
      <c r="B609" s="448">
        <f>Simulation!M625</f>
        <v>397697.22840632242</v>
      </c>
    </row>
    <row r="610" spans="1:2" ht="12" customHeight="1" x14ac:dyDescent="0.15">
      <c r="A610" s="448">
        <f>Simulation!O626</f>
        <v>0.40072795058870758</v>
      </c>
      <c r="B610" s="448">
        <f>Simulation!M626</f>
        <v>547458.72352256649</v>
      </c>
    </row>
    <row r="611" spans="1:2" ht="12" customHeight="1" x14ac:dyDescent="0.15">
      <c r="A611" s="448">
        <f>Simulation!O627</f>
        <v>0.43697584378777687</v>
      </c>
      <c r="B611" s="448">
        <f>Simulation!M627</f>
        <v>426236.6618827784</v>
      </c>
    </row>
    <row r="612" spans="1:2" ht="12" customHeight="1" x14ac:dyDescent="0.15">
      <c r="A612" s="448">
        <f>Simulation!O628</f>
        <v>0.52215297085080259</v>
      </c>
      <c r="B612" s="448">
        <f>Simulation!M628</f>
        <v>417861.56437309459</v>
      </c>
    </row>
    <row r="613" spans="1:2" ht="12" customHeight="1" x14ac:dyDescent="0.15">
      <c r="A613" s="448">
        <f>Simulation!O629</f>
        <v>0.71908142217788251</v>
      </c>
      <c r="B613" s="448">
        <f>Simulation!M629</f>
        <v>500129.07238399447</v>
      </c>
    </row>
    <row r="614" spans="1:2" ht="12" customHeight="1" x14ac:dyDescent="0.15">
      <c r="A614" s="448">
        <f>Simulation!O630</f>
        <v>0.59894551053863943</v>
      </c>
      <c r="B614" s="448">
        <f>Simulation!M630</f>
        <v>472060.04726626445</v>
      </c>
    </row>
    <row r="615" spans="1:2" ht="12" customHeight="1" x14ac:dyDescent="0.15">
      <c r="A615" s="448">
        <f>Simulation!O631</f>
        <v>-1.2215888949431708E-3</v>
      </c>
      <c r="B615" s="448">
        <f>Simulation!M631</f>
        <v>389040.11916884989</v>
      </c>
    </row>
    <row r="616" spans="1:2" ht="12" customHeight="1" x14ac:dyDescent="0.15">
      <c r="A616" s="448">
        <f>Simulation!O632</f>
        <v>0.55148321192071226</v>
      </c>
      <c r="B616" s="448">
        <f>Simulation!M632</f>
        <v>426039.30889583408</v>
      </c>
    </row>
    <row r="617" spans="1:2" ht="12" customHeight="1" x14ac:dyDescent="0.15">
      <c r="A617" s="448">
        <f>Simulation!O633</f>
        <v>1.0603128369110628</v>
      </c>
      <c r="B617" s="448">
        <f>Simulation!M633</f>
        <v>471138.91420270735</v>
      </c>
    </row>
    <row r="618" spans="1:2" ht="12" customHeight="1" x14ac:dyDescent="0.15">
      <c r="A618" s="448">
        <f>Simulation!O634</f>
        <v>0.79213522826104521</v>
      </c>
      <c r="B618" s="448">
        <f>Simulation!M634</f>
        <v>596117.65092930023</v>
      </c>
    </row>
    <row r="619" spans="1:2" ht="12" customHeight="1" x14ac:dyDescent="0.15">
      <c r="A619" s="448">
        <f>Simulation!O635</f>
        <v>0.28846720042607465</v>
      </c>
      <c r="B619" s="448">
        <f>Simulation!M635</f>
        <v>359024.72150148038</v>
      </c>
    </row>
    <row r="620" spans="1:2" ht="12" customHeight="1" x14ac:dyDescent="0.15">
      <c r="A620" s="448">
        <f>Simulation!O636</f>
        <v>0.47818432187547399</v>
      </c>
      <c r="B620" s="448">
        <f>Simulation!M636</f>
        <v>449513.91159710195</v>
      </c>
    </row>
    <row r="621" spans="1:2" ht="12" customHeight="1" x14ac:dyDescent="0.15">
      <c r="A621" s="448">
        <f>Simulation!O637</f>
        <v>0.29395415512437628</v>
      </c>
      <c r="B621" s="448">
        <f>Simulation!M637</f>
        <v>423861.75632025959</v>
      </c>
    </row>
    <row r="622" spans="1:2" ht="12" customHeight="1" x14ac:dyDescent="0.15">
      <c r="A622" s="448">
        <f>Simulation!O638</f>
        <v>0.4981998043728697</v>
      </c>
      <c r="B622" s="448">
        <f>Simulation!M638</f>
        <v>373808.00387242506</v>
      </c>
    </row>
    <row r="623" spans="1:2" ht="12" customHeight="1" x14ac:dyDescent="0.15">
      <c r="A623" s="448">
        <f>Simulation!O639</f>
        <v>0.83563850845891352</v>
      </c>
      <c r="B623" s="448">
        <f>Simulation!M639</f>
        <v>459614.53545076028</v>
      </c>
    </row>
    <row r="624" spans="1:2" ht="12" customHeight="1" x14ac:dyDescent="0.15">
      <c r="A624" s="448">
        <f>Simulation!O640</f>
        <v>0.8347715994807392</v>
      </c>
      <c r="B624" s="448">
        <f>Simulation!M640</f>
        <v>514478.26439978159</v>
      </c>
    </row>
    <row r="625" spans="1:2" ht="12" customHeight="1" x14ac:dyDescent="0.15">
      <c r="A625" s="448">
        <f>Simulation!O641</f>
        <v>0.45401775190968552</v>
      </c>
      <c r="B625" s="448">
        <f>Simulation!M641</f>
        <v>379890.02315807447</v>
      </c>
    </row>
    <row r="626" spans="1:2" ht="12" customHeight="1" x14ac:dyDescent="0.15">
      <c r="A626" s="448">
        <f>Simulation!O642</f>
        <v>8.634055311452471E-2</v>
      </c>
      <c r="B626" s="448">
        <f>Simulation!M642</f>
        <v>369828.59767415322</v>
      </c>
    </row>
    <row r="627" spans="1:2" ht="12" customHeight="1" x14ac:dyDescent="0.15">
      <c r="A627" s="448">
        <f>Simulation!O643</f>
        <v>0.27394175206196669</v>
      </c>
      <c r="B627" s="448">
        <f>Simulation!M643</f>
        <v>406584.43743027933</v>
      </c>
    </row>
    <row r="628" spans="1:2" ht="12" customHeight="1" x14ac:dyDescent="0.15">
      <c r="A628" s="448">
        <f>Simulation!O644</f>
        <v>8.0722999983765753E-2</v>
      </c>
      <c r="B628" s="448">
        <f>Simulation!M644</f>
        <v>350564.43036321795</v>
      </c>
    </row>
    <row r="629" spans="1:2" ht="12" customHeight="1" x14ac:dyDescent="0.15">
      <c r="A629" s="448">
        <f>Simulation!O645</f>
        <v>0.17622750532996356</v>
      </c>
      <c r="B629" s="448">
        <f>Simulation!M645</f>
        <v>448740.51157236926</v>
      </c>
    </row>
    <row r="630" spans="1:2" ht="12" customHeight="1" x14ac:dyDescent="0.15">
      <c r="A630" s="448">
        <f>Simulation!O646</f>
        <v>0.8118184460609319</v>
      </c>
      <c r="B630" s="448">
        <f>Simulation!M646</f>
        <v>602723.43186962942</v>
      </c>
    </row>
    <row r="631" spans="1:2" ht="12" customHeight="1" x14ac:dyDescent="0.15">
      <c r="A631" s="448">
        <f>Simulation!O647</f>
        <v>0.39804296213897183</v>
      </c>
      <c r="B631" s="448">
        <f>Simulation!M647</f>
        <v>457447.38164354971</v>
      </c>
    </row>
    <row r="632" spans="1:2" ht="12" customHeight="1" x14ac:dyDescent="0.15">
      <c r="A632" s="448">
        <f>Simulation!O648</f>
        <v>0.42398660683365019</v>
      </c>
      <c r="B632" s="448">
        <f>Simulation!M648</f>
        <v>503377.64936419576</v>
      </c>
    </row>
    <row r="633" spans="1:2" ht="12" customHeight="1" x14ac:dyDescent="0.15">
      <c r="A633" s="448">
        <f>Simulation!O649</f>
        <v>0.22666570019876331</v>
      </c>
      <c r="B633" s="448">
        <f>Simulation!M649</f>
        <v>446619.63685775676</v>
      </c>
    </row>
    <row r="634" spans="1:2" ht="12" customHeight="1" x14ac:dyDescent="0.15">
      <c r="A634" s="448">
        <f>Simulation!O650</f>
        <v>0.3944166784860994</v>
      </c>
      <c r="B634" s="448">
        <f>Simulation!M650</f>
        <v>388364.24248692376</v>
      </c>
    </row>
    <row r="635" spans="1:2" ht="12" customHeight="1" x14ac:dyDescent="0.15">
      <c r="A635" s="448">
        <f>Simulation!O651</f>
        <v>0.40656651862094284</v>
      </c>
      <c r="B635" s="448">
        <f>Simulation!M651</f>
        <v>566590.60799624515</v>
      </c>
    </row>
    <row r="636" spans="1:2" ht="12" customHeight="1" x14ac:dyDescent="0.15">
      <c r="A636" s="448">
        <f>Simulation!O652</f>
        <v>-0.27732720339586026</v>
      </c>
      <c r="B636" s="448">
        <f>Simulation!M652</f>
        <v>417222.28713740653</v>
      </c>
    </row>
    <row r="637" spans="1:2" ht="12" customHeight="1" x14ac:dyDescent="0.15">
      <c r="A637" s="448">
        <f>Simulation!O653</f>
        <v>0.73536755962878853</v>
      </c>
      <c r="B637" s="448">
        <f>Simulation!M653</f>
        <v>499968.97220027359</v>
      </c>
    </row>
    <row r="638" spans="1:2" ht="12" customHeight="1" x14ac:dyDescent="0.15">
      <c r="A638" s="448">
        <f>Simulation!O654</f>
        <v>0.52946847216871173</v>
      </c>
      <c r="B638" s="448">
        <f>Simulation!M654</f>
        <v>428654.55882804393</v>
      </c>
    </row>
    <row r="639" spans="1:2" ht="12" customHeight="1" x14ac:dyDescent="0.15">
      <c r="A639" s="448">
        <f>Simulation!O655</f>
        <v>0.57079670284380368</v>
      </c>
      <c r="B639" s="448">
        <f>Simulation!M655</f>
        <v>434660.94274775387</v>
      </c>
    </row>
    <row r="640" spans="1:2" ht="12" customHeight="1" x14ac:dyDescent="0.15">
      <c r="A640" s="448">
        <f>Simulation!O656</f>
        <v>0.47706991198432336</v>
      </c>
      <c r="B640" s="448">
        <f>Simulation!M656</f>
        <v>453177.87641069078</v>
      </c>
    </row>
    <row r="641" spans="1:2" ht="12" customHeight="1" x14ac:dyDescent="0.15">
      <c r="A641" s="448">
        <f>Simulation!O657</f>
        <v>0.32131652408631473</v>
      </c>
      <c r="B641" s="448">
        <f>Simulation!M657</f>
        <v>392539.4356019682</v>
      </c>
    </row>
    <row r="642" spans="1:2" ht="12" customHeight="1" x14ac:dyDescent="0.15">
      <c r="A642" s="448">
        <f>Simulation!O658</f>
        <v>-5.0518151102576514E-2</v>
      </c>
      <c r="B642" s="448">
        <f>Simulation!M658</f>
        <v>377676.18807919353</v>
      </c>
    </row>
    <row r="643" spans="1:2" ht="12" customHeight="1" x14ac:dyDescent="0.15">
      <c r="A643" s="448">
        <f>Simulation!O659</f>
        <v>0.64004838146182452</v>
      </c>
      <c r="B643" s="448">
        <f>Simulation!M659</f>
        <v>520700.67596752924</v>
      </c>
    </row>
    <row r="644" spans="1:2" ht="12" customHeight="1" x14ac:dyDescent="0.15">
      <c r="A644" s="448">
        <f>Simulation!O660</f>
        <v>5.6478932798508463E-2</v>
      </c>
      <c r="B644" s="448">
        <f>Simulation!M660</f>
        <v>416394.43551874167</v>
      </c>
    </row>
    <row r="645" spans="1:2" ht="12" customHeight="1" x14ac:dyDescent="0.15">
      <c r="A645" s="448">
        <f>Simulation!O661</f>
        <v>-0.14783927046150502</v>
      </c>
      <c r="B645" s="448">
        <f>Simulation!M661</f>
        <v>310724.44134967192</v>
      </c>
    </row>
    <row r="646" spans="1:2" ht="12" customHeight="1" x14ac:dyDescent="0.15">
      <c r="A646" s="448">
        <f>Simulation!O662</f>
        <v>0.48886644091623355</v>
      </c>
      <c r="B646" s="448">
        <f>Simulation!M662</f>
        <v>422656.24631256179</v>
      </c>
    </row>
    <row r="647" spans="1:2" ht="12" customHeight="1" x14ac:dyDescent="0.15">
      <c r="A647" s="448">
        <f>Simulation!O663</f>
        <v>0.5907428902121703</v>
      </c>
      <c r="B647" s="448">
        <f>Simulation!M663</f>
        <v>426408.77079451666</v>
      </c>
    </row>
    <row r="648" spans="1:2" ht="12" customHeight="1" x14ac:dyDescent="0.15">
      <c r="A648" s="448">
        <f>Simulation!O664</f>
        <v>0.69010240798106515</v>
      </c>
      <c r="B648" s="448">
        <f>Simulation!M664</f>
        <v>445207.99456868228</v>
      </c>
    </row>
    <row r="649" spans="1:2" ht="12" customHeight="1" x14ac:dyDescent="0.15">
      <c r="A649" s="448">
        <f>Simulation!O665</f>
        <v>0.21986221797556205</v>
      </c>
      <c r="B649" s="448">
        <f>Simulation!M665</f>
        <v>461575.11692473141</v>
      </c>
    </row>
    <row r="650" spans="1:2" ht="12" customHeight="1" x14ac:dyDescent="0.15">
      <c r="A650" s="448">
        <f>Simulation!O666</f>
        <v>0.5409808434110932</v>
      </c>
      <c r="B650" s="448">
        <f>Simulation!M666</f>
        <v>445393.94443744153</v>
      </c>
    </row>
    <row r="651" spans="1:2" ht="12" customHeight="1" x14ac:dyDescent="0.15">
      <c r="A651" s="448">
        <f>Simulation!O667</f>
        <v>0.66609866828646824</v>
      </c>
      <c r="B651" s="448">
        <f>Simulation!M667</f>
        <v>440301.10304368543</v>
      </c>
    </row>
    <row r="652" spans="1:2" ht="12" customHeight="1" x14ac:dyDescent="0.15">
      <c r="A652" s="448">
        <f>Simulation!O668</f>
        <v>1.1586346042734341E-2</v>
      </c>
      <c r="B652" s="448">
        <f>Simulation!M668</f>
        <v>412853.92541941605</v>
      </c>
    </row>
    <row r="653" spans="1:2" ht="12" customHeight="1" x14ac:dyDescent="0.15">
      <c r="A653" s="448">
        <f>Simulation!O669</f>
        <v>0.6485414474607647</v>
      </c>
      <c r="B653" s="448">
        <f>Simulation!M669</f>
        <v>490758.45604326297</v>
      </c>
    </row>
    <row r="654" spans="1:2" ht="12" customHeight="1" x14ac:dyDescent="0.15">
      <c r="A654" s="448">
        <f>Simulation!O670</f>
        <v>0.28892692035956502</v>
      </c>
      <c r="B654" s="448">
        <f>Simulation!M670</f>
        <v>467675.37434293318</v>
      </c>
    </row>
    <row r="655" spans="1:2" ht="12" customHeight="1" x14ac:dyDescent="0.15">
      <c r="A655" s="448">
        <f>Simulation!O671</f>
        <v>0.31377820769967268</v>
      </c>
      <c r="B655" s="448">
        <f>Simulation!M671</f>
        <v>339661.69163979357</v>
      </c>
    </row>
    <row r="656" spans="1:2" ht="12" customHeight="1" x14ac:dyDescent="0.15">
      <c r="A656" s="448">
        <f>Simulation!O672</f>
        <v>0.13544335714824163</v>
      </c>
      <c r="B656" s="448">
        <f>Simulation!M672</f>
        <v>345036.78271288145</v>
      </c>
    </row>
    <row r="657" spans="1:2" ht="12" customHeight="1" x14ac:dyDescent="0.15">
      <c r="A657" s="448">
        <f>Simulation!O673</f>
        <v>0.58112866888777459</v>
      </c>
      <c r="B657" s="448">
        <f>Simulation!M673</f>
        <v>431549.15571933798</v>
      </c>
    </row>
    <row r="658" spans="1:2" ht="12" customHeight="1" x14ac:dyDescent="0.15">
      <c r="A658" s="448">
        <f>Simulation!O674</f>
        <v>0.37035313467127962</v>
      </c>
      <c r="B658" s="448">
        <f>Simulation!M674</f>
        <v>561405.78673753759</v>
      </c>
    </row>
    <row r="659" spans="1:2" ht="12" customHeight="1" x14ac:dyDescent="0.15">
      <c r="A659" s="448">
        <f>Simulation!O675</f>
        <v>0.71036759324369947</v>
      </c>
      <c r="B659" s="448">
        <f>Simulation!M675</f>
        <v>498542.13108659931</v>
      </c>
    </row>
    <row r="660" spans="1:2" ht="12" customHeight="1" x14ac:dyDescent="0.15">
      <c r="A660" s="448">
        <f>Simulation!O676</f>
        <v>0.65456499317762162</v>
      </c>
      <c r="B660" s="448">
        <f>Simulation!M676</f>
        <v>404138.63625244808</v>
      </c>
    </row>
    <row r="661" spans="1:2" ht="12" customHeight="1" x14ac:dyDescent="0.15">
      <c r="A661" s="448">
        <f>Simulation!O677</f>
        <v>0.44006018762408416</v>
      </c>
      <c r="B661" s="448">
        <f>Simulation!M677</f>
        <v>486044.69371042406</v>
      </c>
    </row>
    <row r="662" spans="1:2" ht="12" customHeight="1" x14ac:dyDescent="0.15">
      <c r="A662" s="448">
        <f>Simulation!O678</f>
        <v>0.46764296474918643</v>
      </c>
      <c r="B662" s="448">
        <f>Simulation!M678</f>
        <v>448177.65286647185</v>
      </c>
    </row>
    <row r="663" spans="1:2" ht="12" customHeight="1" x14ac:dyDescent="0.15">
      <c r="A663" s="448">
        <f>Simulation!O679</f>
        <v>0.66985054241748032</v>
      </c>
      <c r="B663" s="448">
        <f>Simulation!M679</f>
        <v>527883.32400329667</v>
      </c>
    </row>
    <row r="664" spans="1:2" ht="12" customHeight="1" x14ac:dyDescent="0.15">
      <c r="A664" s="448">
        <f>Simulation!O680</f>
        <v>0.38867264279978997</v>
      </c>
      <c r="B664" s="448">
        <f>Simulation!M680</f>
        <v>438343.3776856371</v>
      </c>
    </row>
    <row r="665" spans="1:2" ht="12" customHeight="1" x14ac:dyDescent="0.15">
      <c r="A665" s="448">
        <f>Simulation!O681</f>
        <v>0.24764444811561415</v>
      </c>
      <c r="B665" s="448">
        <f>Simulation!M681</f>
        <v>404361.82568890194</v>
      </c>
    </row>
    <row r="666" spans="1:2" ht="12" customHeight="1" x14ac:dyDescent="0.15">
      <c r="A666" s="448">
        <f>Simulation!O682</f>
        <v>0.46594130717688009</v>
      </c>
      <c r="B666" s="448">
        <f>Simulation!M682</f>
        <v>380403.7006404266</v>
      </c>
    </row>
    <row r="667" spans="1:2" ht="12" customHeight="1" x14ac:dyDescent="0.15">
      <c r="A667" s="448">
        <f>Simulation!O683</f>
        <v>0.52261412236781757</v>
      </c>
      <c r="B667" s="448">
        <f>Simulation!M683</f>
        <v>537692.23318664404</v>
      </c>
    </row>
    <row r="668" spans="1:2" ht="12" customHeight="1" x14ac:dyDescent="0.15">
      <c r="A668" s="448">
        <f>Simulation!O684</f>
        <v>2.6947806062233237E-2</v>
      </c>
      <c r="B668" s="448">
        <f>Simulation!M684</f>
        <v>451527.01609186269</v>
      </c>
    </row>
    <row r="669" spans="1:2" ht="12" customHeight="1" x14ac:dyDescent="0.15">
      <c r="A669" s="448">
        <f>Simulation!O685</f>
        <v>0.18098118151727527</v>
      </c>
      <c r="B669" s="448">
        <f>Simulation!M685</f>
        <v>493171.33477891976</v>
      </c>
    </row>
    <row r="670" spans="1:2" ht="12" customHeight="1" x14ac:dyDescent="0.15">
      <c r="A670" s="448">
        <f>Simulation!O686</f>
        <v>-8.6268450251726136E-2</v>
      </c>
      <c r="B670" s="448">
        <f>Simulation!M686</f>
        <v>406224.51997937291</v>
      </c>
    </row>
    <row r="671" spans="1:2" ht="12" customHeight="1" x14ac:dyDescent="0.15">
      <c r="A671" s="448">
        <f>Simulation!O687</f>
        <v>0.59568712606580432</v>
      </c>
      <c r="B671" s="448">
        <f>Simulation!M687</f>
        <v>517191.13508274785</v>
      </c>
    </row>
    <row r="672" spans="1:2" ht="12" customHeight="1" x14ac:dyDescent="0.15">
      <c r="A672" s="448">
        <f>Simulation!O688</f>
        <v>0.27281850347407843</v>
      </c>
      <c r="B672" s="448">
        <f>Simulation!M688</f>
        <v>456939.26965046331</v>
      </c>
    </row>
    <row r="673" spans="1:2" ht="12" customHeight="1" x14ac:dyDescent="0.15">
      <c r="A673" s="448">
        <f>Simulation!O689</f>
        <v>0.4912270271280732</v>
      </c>
      <c r="B673" s="448">
        <f>Simulation!M689</f>
        <v>451584.81990505045</v>
      </c>
    </row>
    <row r="674" spans="1:2" ht="12" customHeight="1" x14ac:dyDescent="0.15">
      <c r="A674" s="448">
        <f>Simulation!O690</f>
        <v>0.30958429022740486</v>
      </c>
      <c r="B674" s="448">
        <f>Simulation!M690</f>
        <v>425614.69408348919</v>
      </c>
    </row>
    <row r="675" spans="1:2" ht="12" customHeight="1" x14ac:dyDescent="0.15">
      <c r="A675" s="448">
        <f>Simulation!O691</f>
        <v>8.7887136176737268E-2</v>
      </c>
      <c r="B675" s="448">
        <f>Simulation!M691</f>
        <v>409381.48659751803</v>
      </c>
    </row>
    <row r="676" spans="1:2" ht="12" customHeight="1" x14ac:dyDescent="0.15">
      <c r="A676" s="448">
        <f>Simulation!O692</f>
        <v>-0.13949378912342558</v>
      </c>
      <c r="B676" s="448">
        <f>Simulation!M692</f>
        <v>400606.98690616176</v>
      </c>
    </row>
    <row r="677" spans="1:2" ht="12" customHeight="1" x14ac:dyDescent="0.15">
      <c r="A677" s="448">
        <f>Simulation!O693</f>
        <v>0.35086066721637188</v>
      </c>
      <c r="B677" s="448">
        <f>Simulation!M693</f>
        <v>504633.23968097987</v>
      </c>
    </row>
    <row r="678" spans="1:2" ht="12" customHeight="1" x14ac:dyDescent="0.15">
      <c r="A678" s="448">
        <f>Simulation!O694</f>
        <v>0.42599220070277699</v>
      </c>
      <c r="B678" s="448">
        <f>Simulation!M694</f>
        <v>338955.34167350183</v>
      </c>
    </row>
    <row r="679" spans="1:2" ht="12" customHeight="1" x14ac:dyDescent="0.15">
      <c r="A679" s="448">
        <f>Simulation!O695</f>
        <v>0.26822810655859097</v>
      </c>
      <c r="B679" s="448">
        <f>Simulation!M695</f>
        <v>484637.25763627107</v>
      </c>
    </row>
    <row r="680" spans="1:2" ht="12" customHeight="1" x14ac:dyDescent="0.15">
      <c r="A680" s="448">
        <f>Simulation!O696</f>
        <v>0.1709206277805797</v>
      </c>
      <c r="B680" s="448">
        <f>Simulation!M696</f>
        <v>437037.80673381203</v>
      </c>
    </row>
    <row r="681" spans="1:2" ht="12" customHeight="1" x14ac:dyDescent="0.15">
      <c r="A681" s="448">
        <f>Simulation!O697</f>
        <v>0.27318050123186888</v>
      </c>
      <c r="B681" s="448">
        <f>Simulation!M697</f>
        <v>541535.96510470554</v>
      </c>
    </row>
    <row r="682" spans="1:2" ht="12" customHeight="1" x14ac:dyDescent="0.15">
      <c r="A682" s="448">
        <f>Simulation!O698</f>
        <v>0.66852385526234404</v>
      </c>
      <c r="B682" s="448">
        <f>Simulation!M698</f>
        <v>465672.80037483491</v>
      </c>
    </row>
    <row r="683" spans="1:2" ht="12" customHeight="1" x14ac:dyDescent="0.15">
      <c r="A683" s="448">
        <f>Simulation!O699</f>
        <v>0.82050369944870516</v>
      </c>
      <c r="B683" s="448">
        <f>Simulation!M699</f>
        <v>543114.10497324588</v>
      </c>
    </row>
    <row r="684" spans="1:2" ht="12" customHeight="1" x14ac:dyDescent="0.15">
      <c r="A684" s="448">
        <f>Simulation!O700</f>
        <v>0.36754931710128735</v>
      </c>
      <c r="B684" s="448">
        <f>Simulation!M700</f>
        <v>420871.41141859558</v>
      </c>
    </row>
    <row r="685" spans="1:2" ht="12" customHeight="1" x14ac:dyDescent="0.15">
      <c r="A685" s="448">
        <f>Simulation!O701</f>
        <v>0.4937604982088577</v>
      </c>
      <c r="B685" s="448">
        <f>Simulation!M701</f>
        <v>427565.65884489415</v>
      </c>
    </row>
    <row r="686" spans="1:2" ht="12" customHeight="1" x14ac:dyDescent="0.15">
      <c r="A686" s="448">
        <f>Simulation!O702</f>
        <v>0.52610831757800236</v>
      </c>
      <c r="B686" s="448">
        <f>Simulation!M702</f>
        <v>514793.66765516455</v>
      </c>
    </row>
    <row r="687" spans="1:2" ht="12" customHeight="1" x14ac:dyDescent="0.15">
      <c r="A687" s="448">
        <f>Simulation!O703</f>
        <v>0.43550713786216066</v>
      </c>
      <c r="B687" s="448">
        <f>Simulation!M703</f>
        <v>407121.38114831515</v>
      </c>
    </row>
    <row r="688" spans="1:2" ht="12" customHeight="1" x14ac:dyDescent="0.15">
      <c r="A688" s="448">
        <f>Simulation!O704</f>
        <v>0.31636341263592849</v>
      </c>
      <c r="B688" s="448">
        <f>Simulation!M704</f>
        <v>442235.00552756927</v>
      </c>
    </row>
    <row r="689" spans="1:2" ht="12" customHeight="1" x14ac:dyDescent="0.15">
      <c r="A689" s="448">
        <f>Simulation!O705</f>
        <v>0.52805339523102246</v>
      </c>
      <c r="B689" s="448">
        <f>Simulation!M705</f>
        <v>454689.50677729584</v>
      </c>
    </row>
    <row r="690" spans="1:2" ht="12" customHeight="1" x14ac:dyDescent="0.15">
      <c r="A690" s="448">
        <f>Simulation!O706</f>
        <v>0.44288298668508475</v>
      </c>
      <c r="B690" s="448">
        <f>Simulation!M706</f>
        <v>399571.71303748328</v>
      </c>
    </row>
    <row r="691" spans="1:2" ht="12" customHeight="1" x14ac:dyDescent="0.15">
      <c r="A691" s="448">
        <f>Simulation!O707</f>
        <v>0.48339925757232471</v>
      </c>
      <c r="B691" s="448">
        <f>Simulation!M707</f>
        <v>545543.62692261022</v>
      </c>
    </row>
    <row r="692" spans="1:2" ht="12" customHeight="1" x14ac:dyDescent="0.15">
      <c r="A692" s="448">
        <f>Simulation!O708</f>
        <v>0.60826660047354064</v>
      </c>
      <c r="B692" s="448">
        <f>Simulation!M708</f>
        <v>541476.44630734844</v>
      </c>
    </row>
    <row r="693" spans="1:2" ht="12" customHeight="1" x14ac:dyDescent="0.15">
      <c r="A693" s="448">
        <f>Simulation!O709</f>
        <v>0.26152146490713868</v>
      </c>
      <c r="B693" s="448">
        <f>Simulation!M709</f>
        <v>334011.18737598497</v>
      </c>
    </row>
    <row r="694" spans="1:2" ht="12" customHeight="1" x14ac:dyDescent="0.15">
      <c r="A694" s="448">
        <f>Simulation!O710</f>
        <v>-5.7950846406130907E-2</v>
      </c>
      <c r="B694" s="448">
        <f>Simulation!M710</f>
        <v>330626.69848893466</v>
      </c>
    </row>
    <row r="695" spans="1:2" ht="12" customHeight="1" x14ac:dyDescent="0.15">
      <c r="A695" s="448">
        <f>Simulation!O711</f>
        <v>0.12374142740886374</v>
      </c>
      <c r="B695" s="448">
        <f>Simulation!M711</f>
        <v>371702.6748693015</v>
      </c>
    </row>
    <row r="696" spans="1:2" ht="12" customHeight="1" x14ac:dyDescent="0.15">
      <c r="A696" s="448">
        <f>Simulation!O712</f>
        <v>0.44172383691534645</v>
      </c>
      <c r="B696" s="448">
        <f>Simulation!M712</f>
        <v>494978.54588978284</v>
      </c>
    </row>
    <row r="697" spans="1:2" ht="12" customHeight="1" x14ac:dyDescent="0.15">
      <c r="A697" s="448">
        <f>Simulation!O713</f>
        <v>0.39299589600130291</v>
      </c>
      <c r="B697" s="448">
        <f>Simulation!M713</f>
        <v>472966.5580799178</v>
      </c>
    </row>
    <row r="698" spans="1:2" ht="12" customHeight="1" x14ac:dyDescent="0.15">
      <c r="A698" s="448">
        <f>Simulation!O714</f>
        <v>0.38250011784980131</v>
      </c>
      <c r="B698" s="448">
        <f>Simulation!M714</f>
        <v>428060.63059533585</v>
      </c>
    </row>
    <row r="699" spans="1:2" ht="12" customHeight="1" x14ac:dyDescent="0.15">
      <c r="A699" s="448">
        <f>Simulation!O715</f>
        <v>0.1951857193771982</v>
      </c>
      <c r="B699" s="448">
        <f>Simulation!M715</f>
        <v>516085.53027969366</v>
      </c>
    </row>
    <row r="700" spans="1:2" ht="12" customHeight="1" x14ac:dyDescent="0.15">
      <c r="A700" s="448">
        <f>Simulation!O716</f>
        <v>0.55582935937867006</v>
      </c>
      <c r="B700" s="448">
        <f>Simulation!M716</f>
        <v>443818.82898663846</v>
      </c>
    </row>
    <row r="701" spans="1:2" ht="12" customHeight="1" x14ac:dyDescent="0.15">
      <c r="A701" s="448">
        <f>Simulation!O717</f>
        <v>-2.2218822336799171E-3</v>
      </c>
      <c r="B701" s="448">
        <f>Simulation!M717</f>
        <v>419455.55169589887</v>
      </c>
    </row>
    <row r="702" spans="1:2" ht="12" customHeight="1" x14ac:dyDescent="0.15">
      <c r="A702" s="448">
        <f>Simulation!O718</f>
        <v>0.20056427060261206</v>
      </c>
      <c r="B702" s="448">
        <f>Simulation!M718</f>
        <v>407929.91118773492</v>
      </c>
    </row>
    <row r="703" spans="1:2" ht="12" customHeight="1" x14ac:dyDescent="0.15">
      <c r="A703" s="448">
        <f>Simulation!O719</f>
        <v>0.98532152023633346</v>
      </c>
      <c r="B703" s="448">
        <f>Simulation!M719</f>
        <v>436851.90583904408</v>
      </c>
    </row>
    <row r="704" spans="1:2" ht="12" customHeight="1" x14ac:dyDescent="0.15">
      <c r="A704" s="448">
        <f>Simulation!O720</f>
        <v>5.0554006733498635E-2</v>
      </c>
      <c r="B704" s="448">
        <f>Simulation!M720</f>
        <v>384501.35161445662</v>
      </c>
    </row>
    <row r="705" spans="1:2" ht="12" customHeight="1" x14ac:dyDescent="0.15">
      <c r="A705" s="448">
        <f>Simulation!O721</f>
        <v>0.75172274671185746</v>
      </c>
      <c r="B705" s="448">
        <f>Simulation!M721</f>
        <v>519014.45090985665</v>
      </c>
    </row>
    <row r="706" spans="1:2" ht="12" customHeight="1" x14ac:dyDescent="0.15">
      <c r="A706" s="448">
        <f>Simulation!O722</f>
        <v>0.23531173057165056</v>
      </c>
      <c r="B706" s="448">
        <f>Simulation!M722</f>
        <v>395448.63624521915</v>
      </c>
    </row>
    <row r="707" spans="1:2" ht="12" customHeight="1" x14ac:dyDescent="0.15">
      <c r="A707" s="448">
        <f>Simulation!O723</f>
        <v>0.46558110173909562</v>
      </c>
      <c r="B707" s="448">
        <f>Simulation!M723</f>
        <v>489715.4443378998</v>
      </c>
    </row>
    <row r="708" spans="1:2" ht="12" customHeight="1" x14ac:dyDescent="0.15">
      <c r="A708" s="448">
        <f>Simulation!O724</f>
        <v>0.71813724698964743</v>
      </c>
      <c r="B708" s="448">
        <f>Simulation!M724</f>
        <v>555927.47543540073</v>
      </c>
    </row>
    <row r="709" spans="1:2" ht="12" customHeight="1" x14ac:dyDescent="0.15">
      <c r="A709" s="448">
        <f>Simulation!O725</f>
        <v>0.58245294362412858</v>
      </c>
      <c r="B709" s="448">
        <f>Simulation!M725</f>
        <v>495472.16515538108</v>
      </c>
    </row>
    <row r="710" spans="1:2" ht="12" customHeight="1" x14ac:dyDescent="0.15">
      <c r="A710" s="448">
        <f>Simulation!O726</f>
        <v>0.55011885013730377</v>
      </c>
      <c r="B710" s="448">
        <f>Simulation!M726</f>
        <v>407300.59978820983</v>
      </c>
    </row>
    <row r="711" spans="1:2" ht="12" customHeight="1" x14ac:dyDescent="0.15">
      <c r="A711" s="448">
        <f>Simulation!O727</f>
        <v>0.57267663046272332</v>
      </c>
      <c r="B711" s="448">
        <f>Simulation!M727</f>
        <v>479729.36526284216</v>
      </c>
    </row>
    <row r="712" spans="1:2" ht="12" customHeight="1" x14ac:dyDescent="0.15">
      <c r="A712" s="448">
        <f>Simulation!O728</f>
        <v>0.99621273096329488</v>
      </c>
      <c r="B712" s="448">
        <f>Simulation!M728</f>
        <v>643880.02964831144</v>
      </c>
    </row>
    <row r="713" spans="1:2" ht="12" customHeight="1" x14ac:dyDescent="0.15">
      <c r="A713" s="448">
        <f>Simulation!O729</f>
        <v>0.24481849606469996</v>
      </c>
      <c r="B713" s="448">
        <f>Simulation!M729</f>
        <v>395660.28144286748</v>
      </c>
    </row>
    <row r="714" spans="1:2" ht="12" customHeight="1" x14ac:dyDescent="0.15">
      <c r="A714" s="448">
        <f>Simulation!O730</f>
        <v>0.50284989395035629</v>
      </c>
      <c r="B714" s="448">
        <f>Simulation!M730</f>
        <v>443012.38226202317</v>
      </c>
    </row>
    <row r="715" spans="1:2" ht="12" customHeight="1" x14ac:dyDescent="0.15">
      <c r="A715" s="448">
        <f>Simulation!O731</f>
        <v>0.63802595680074825</v>
      </c>
      <c r="B715" s="448">
        <f>Simulation!M731</f>
        <v>402487.40149927809</v>
      </c>
    </row>
    <row r="716" spans="1:2" ht="12" customHeight="1" x14ac:dyDescent="0.15">
      <c r="A716" s="448">
        <f>Simulation!O732</f>
        <v>0.2822755964426733</v>
      </c>
      <c r="B716" s="448">
        <f>Simulation!M732</f>
        <v>332903.97501717671</v>
      </c>
    </row>
    <row r="717" spans="1:2" ht="12" customHeight="1" x14ac:dyDescent="0.15">
      <c r="A717" s="448">
        <f>Simulation!O733</f>
        <v>0.35668362716829716</v>
      </c>
      <c r="B717" s="448">
        <f>Simulation!M733</f>
        <v>408056.30682826543</v>
      </c>
    </row>
    <row r="718" spans="1:2" ht="12" customHeight="1" x14ac:dyDescent="0.15">
      <c r="A718" s="448">
        <f>Simulation!O734</f>
        <v>0.23632096331878749</v>
      </c>
      <c r="B718" s="448">
        <f>Simulation!M734</f>
        <v>426326.54966343363</v>
      </c>
    </row>
    <row r="719" spans="1:2" ht="12" customHeight="1" x14ac:dyDescent="0.15">
      <c r="A719" s="448">
        <f>Simulation!O735</f>
        <v>0.29375883325958885</v>
      </c>
      <c r="B719" s="448">
        <f>Simulation!M735</f>
        <v>497236.47265299107</v>
      </c>
    </row>
    <row r="720" spans="1:2" ht="12" customHeight="1" x14ac:dyDescent="0.15">
      <c r="A720" s="448">
        <f>Simulation!O736</f>
        <v>0.29048421826747228</v>
      </c>
      <c r="B720" s="448">
        <f>Simulation!M736</f>
        <v>484791.83865674213</v>
      </c>
    </row>
    <row r="721" spans="1:2" ht="12" customHeight="1" x14ac:dyDescent="0.15">
      <c r="A721" s="448">
        <f>Simulation!O737</f>
        <v>0.65328793448546607</v>
      </c>
      <c r="B721" s="448">
        <f>Simulation!M737</f>
        <v>457890.61001858499</v>
      </c>
    </row>
    <row r="722" spans="1:2" ht="12" customHeight="1" x14ac:dyDescent="0.15">
      <c r="A722" s="448">
        <f>Simulation!O738</f>
        <v>0.40597234855308129</v>
      </c>
      <c r="B722" s="448">
        <f>Simulation!M738</f>
        <v>485467.48424396024</v>
      </c>
    </row>
    <row r="723" spans="1:2" ht="12" customHeight="1" x14ac:dyDescent="0.15">
      <c r="A723" s="448">
        <f>Simulation!O739</f>
        <v>0.34675205181837132</v>
      </c>
      <c r="B723" s="448">
        <f>Simulation!M739</f>
        <v>505618.014807434</v>
      </c>
    </row>
    <row r="724" spans="1:2" ht="12" customHeight="1" x14ac:dyDescent="0.15">
      <c r="A724" s="448">
        <f>Simulation!O740</f>
        <v>0.30813224036437603</v>
      </c>
      <c r="B724" s="448">
        <f>Simulation!M740</f>
        <v>523490.9164474539</v>
      </c>
    </row>
    <row r="725" spans="1:2" ht="12" customHeight="1" x14ac:dyDescent="0.15">
      <c r="A725" s="448">
        <f>Simulation!O741</f>
        <v>0.73655669539345192</v>
      </c>
      <c r="B725" s="448">
        <f>Simulation!M741</f>
        <v>415395.0522012093</v>
      </c>
    </row>
    <row r="726" spans="1:2" ht="12" customHeight="1" x14ac:dyDescent="0.15">
      <c r="A726" s="448">
        <f>Simulation!O742</f>
        <v>0.57823360821893122</v>
      </c>
      <c r="B726" s="448">
        <f>Simulation!M742</f>
        <v>466856.41108286526</v>
      </c>
    </row>
    <row r="727" spans="1:2" ht="12" customHeight="1" x14ac:dyDescent="0.15">
      <c r="A727" s="448">
        <f>Simulation!O743</f>
        <v>0.59859023213868734</v>
      </c>
      <c r="B727" s="448">
        <f>Simulation!M743</f>
        <v>381404.01122039527</v>
      </c>
    </row>
    <row r="728" spans="1:2" ht="12" customHeight="1" x14ac:dyDescent="0.15">
      <c r="A728" s="448">
        <f>Simulation!O744</f>
        <v>0.13487873738548428</v>
      </c>
      <c r="B728" s="448">
        <f>Simulation!M744</f>
        <v>378909.01529850217</v>
      </c>
    </row>
    <row r="729" spans="1:2" ht="12" customHeight="1" x14ac:dyDescent="0.15">
      <c r="A729" s="448">
        <f>Simulation!O745</f>
        <v>0.29546269644972556</v>
      </c>
      <c r="B729" s="448">
        <f>Simulation!M745</f>
        <v>470028.29167838348</v>
      </c>
    </row>
    <row r="730" spans="1:2" ht="12" customHeight="1" x14ac:dyDescent="0.15">
      <c r="A730" s="448">
        <f>Simulation!O746</f>
        <v>0.32603090146156388</v>
      </c>
      <c r="B730" s="448">
        <f>Simulation!M746</f>
        <v>379226.30923201481</v>
      </c>
    </row>
    <row r="731" spans="1:2" ht="12" customHeight="1" x14ac:dyDescent="0.15">
      <c r="A731" s="448">
        <f>Simulation!O747</f>
        <v>0.33757978500179053</v>
      </c>
      <c r="B731" s="448">
        <f>Simulation!M747</f>
        <v>477022.92414193554</v>
      </c>
    </row>
    <row r="732" spans="1:2" ht="12" customHeight="1" x14ac:dyDescent="0.15">
      <c r="A732" s="448">
        <f>Simulation!O748</f>
        <v>0.74820937362561923</v>
      </c>
      <c r="B732" s="448">
        <f>Simulation!M748</f>
        <v>440812.72781015805</v>
      </c>
    </row>
    <row r="733" spans="1:2" ht="12" customHeight="1" x14ac:dyDescent="0.15">
      <c r="A733" s="448">
        <f>Simulation!O749</f>
        <v>0.27764838011900927</v>
      </c>
      <c r="B733" s="448">
        <f>Simulation!M749</f>
        <v>369631.39033968147</v>
      </c>
    </row>
    <row r="734" spans="1:2" ht="12" customHeight="1" x14ac:dyDescent="0.15">
      <c r="A734" s="448">
        <f>Simulation!O750</f>
        <v>0.35867423814722743</v>
      </c>
      <c r="B734" s="448">
        <f>Simulation!M750</f>
        <v>480629.19215332437</v>
      </c>
    </row>
    <row r="735" spans="1:2" ht="12" customHeight="1" x14ac:dyDescent="0.15">
      <c r="A735" s="448">
        <f>Simulation!O751</f>
        <v>0.90084622092110322</v>
      </c>
      <c r="B735" s="448">
        <f>Simulation!M751</f>
        <v>481062.6915413253</v>
      </c>
    </row>
    <row r="736" spans="1:2" ht="12" customHeight="1" x14ac:dyDescent="0.15">
      <c r="A736" s="448">
        <f>Simulation!O752</f>
        <v>0.46704041484285819</v>
      </c>
      <c r="B736" s="448">
        <f>Simulation!M752</f>
        <v>478074.68410931184</v>
      </c>
    </row>
    <row r="737" spans="1:2" ht="12" customHeight="1" x14ac:dyDescent="0.15">
      <c r="A737" s="448">
        <f>Simulation!O753</f>
        <v>0.47223006942307366</v>
      </c>
      <c r="B737" s="448">
        <f>Simulation!M753</f>
        <v>450023.6995701018</v>
      </c>
    </row>
    <row r="738" spans="1:2" ht="12" customHeight="1" x14ac:dyDescent="0.15">
      <c r="A738" s="448">
        <f>Simulation!O754</f>
        <v>0.24224092443670298</v>
      </c>
      <c r="B738" s="448">
        <f>Simulation!M754</f>
        <v>374356.09164883551</v>
      </c>
    </row>
    <row r="739" spans="1:2" ht="12" customHeight="1" x14ac:dyDescent="0.15">
      <c r="A739" s="448">
        <f>Simulation!O755</f>
        <v>0.56643682077984669</v>
      </c>
      <c r="B739" s="448">
        <f>Simulation!M755</f>
        <v>491404.50055529899</v>
      </c>
    </row>
    <row r="740" spans="1:2" ht="12" customHeight="1" x14ac:dyDescent="0.15">
      <c r="A740" s="448">
        <f>Simulation!O756</f>
        <v>0.6501128157173075</v>
      </c>
      <c r="B740" s="448">
        <f>Simulation!M756</f>
        <v>528098.15336529678</v>
      </c>
    </row>
    <row r="741" spans="1:2" ht="12" customHeight="1" x14ac:dyDescent="0.15">
      <c r="A741" s="448">
        <f>Simulation!O757</f>
        <v>2.8870589879516739E-2</v>
      </c>
      <c r="B741" s="448">
        <f>Simulation!M757</f>
        <v>403901.22364222899</v>
      </c>
    </row>
    <row r="742" spans="1:2" ht="12" customHeight="1" x14ac:dyDescent="0.15">
      <c r="A742" s="448">
        <f>Simulation!O758</f>
        <v>0.76969947633951641</v>
      </c>
      <c r="B742" s="448">
        <f>Simulation!M758</f>
        <v>588176.42035321449</v>
      </c>
    </row>
    <row r="743" spans="1:2" ht="12" customHeight="1" x14ac:dyDescent="0.15">
      <c r="A743" s="448">
        <f>Simulation!O759</f>
        <v>0.57063187400635673</v>
      </c>
      <c r="B743" s="448">
        <f>Simulation!M759</f>
        <v>507757.80439705926</v>
      </c>
    </row>
    <row r="744" spans="1:2" ht="12" customHeight="1" x14ac:dyDescent="0.15">
      <c r="A744" s="448">
        <f>Simulation!O760</f>
        <v>0.11486655317725303</v>
      </c>
      <c r="B744" s="448">
        <f>Simulation!M760</f>
        <v>463252.17609982879</v>
      </c>
    </row>
    <row r="745" spans="1:2" ht="12" customHeight="1" x14ac:dyDescent="0.15">
      <c r="A745" s="448">
        <f>Simulation!O761</f>
        <v>8.0632391019975991E-2</v>
      </c>
      <c r="B745" s="448">
        <f>Simulation!M761</f>
        <v>405504.85467816528</v>
      </c>
    </row>
    <row r="746" spans="1:2" ht="12" customHeight="1" x14ac:dyDescent="0.15">
      <c r="A746" s="448">
        <f>Simulation!O762</f>
        <v>0.75062794741999239</v>
      </c>
      <c r="B746" s="448">
        <f>Simulation!M762</f>
        <v>544013.78435852251</v>
      </c>
    </row>
    <row r="747" spans="1:2" ht="12" customHeight="1" x14ac:dyDescent="0.15">
      <c r="A747" s="448">
        <f>Simulation!O763</f>
        <v>0.56982995508582368</v>
      </c>
      <c r="B747" s="448">
        <f>Simulation!M763</f>
        <v>439366.26651486009</v>
      </c>
    </row>
    <row r="748" spans="1:2" ht="12" customHeight="1" x14ac:dyDescent="0.15">
      <c r="A748" s="448">
        <f>Simulation!O764</f>
        <v>0.50786888259262364</v>
      </c>
      <c r="B748" s="448">
        <f>Simulation!M764</f>
        <v>403597.11847245164</v>
      </c>
    </row>
    <row r="749" spans="1:2" ht="12" customHeight="1" x14ac:dyDescent="0.15">
      <c r="A749" s="448">
        <f>Simulation!O765</f>
        <v>0.6138635487105133</v>
      </c>
      <c r="B749" s="448">
        <f>Simulation!M765</f>
        <v>432141.24486606871</v>
      </c>
    </row>
    <row r="750" spans="1:2" ht="12" customHeight="1" x14ac:dyDescent="0.15">
      <c r="A750" s="448">
        <f>Simulation!O766</f>
        <v>0.20220383189265778</v>
      </c>
      <c r="B750" s="448">
        <f>Simulation!M766</f>
        <v>364326.90224867815</v>
      </c>
    </row>
    <row r="751" spans="1:2" ht="12" customHeight="1" x14ac:dyDescent="0.15">
      <c r="A751" s="448">
        <f>Simulation!O767</f>
        <v>0.20431422794655862</v>
      </c>
      <c r="B751" s="448">
        <f>Simulation!M767</f>
        <v>435324.73208668741</v>
      </c>
    </row>
    <row r="752" spans="1:2" ht="12" customHeight="1" x14ac:dyDescent="0.15">
      <c r="A752" s="448">
        <f>Simulation!O768</f>
        <v>0.73696948216531677</v>
      </c>
      <c r="B752" s="448">
        <f>Simulation!M768</f>
        <v>411828.78804256534</v>
      </c>
    </row>
    <row r="753" spans="1:2" ht="12" customHeight="1" x14ac:dyDescent="0.15">
      <c r="A753" s="448">
        <f>Simulation!O769</f>
        <v>9.2340885490351798E-2</v>
      </c>
      <c r="B753" s="448">
        <f>Simulation!M769</f>
        <v>420080.19342818973</v>
      </c>
    </row>
    <row r="754" spans="1:2" ht="12" customHeight="1" x14ac:dyDescent="0.15">
      <c r="A754" s="448">
        <f>Simulation!O770</f>
        <v>0.4472866760915486</v>
      </c>
      <c r="B754" s="448">
        <f>Simulation!M770</f>
        <v>467394.78670867835</v>
      </c>
    </row>
    <row r="755" spans="1:2" ht="12" customHeight="1" x14ac:dyDescent="0.15">
      <c r="A755" s="448">
        <f>Simulation!O771</f>
        <v>0.27945175133812716</v>
      </c>
      <c r="B755" s="448">
        <f>Simulation!M771</f>
        <v>417670.77444715216</v>
      </c>
    </row>
    <row r="756" spans="1:2" ht="12" customHeight="1" x14ac:dyDescent="0.15">
      <c r="A756" s="448">
        <f>Simulation!O772</f>
        <v>0.10316106713738771</v>
      </c>
      <c r="B756" s="448">
        <f>Simulation!M772</f>
        <v>335965.71248471353</v>
      </c>
    </row>
    <row r="757" spans="1:2" ht="12" customHeight="1" x14ac:dyDescent="0.15">
      <c r="A757" s="448">
        <f>Simulation!O773</f>
        <v>0.21735451505970316</v>
      </c>
      <c r="B757" s="448">
        <f>Simulation!M773</f>
        <v>392900.96214924287</v>
      </c>
    </row>
    <row r="758" spans="1:2" ht="12" customHeight="1" x14ac:dyDescent="0.15">
      <c r="A758" s="448">
        <f>Simulation!O774</f>
        <v>0.61389567494380337</v>
      </c>
      <c r="B758" s="448">
        <f>Simulation!M774</f>
        <v>493673.44591408188</v>
      </c>
    </row>
    <row r="759" spans="1:2" ht="12" customHeight="1" x14ac:dyDescent="0.15">
      <c r="A759" s="448">
        <f>Simulation!O775</f>
        <v>-3.0101002103594787E-2</v>
      </c>
      <c r="B759" s="448">
        <f>Simulation!M775</f>
        <v>434783.31473393715</v>
      </c>
    </row>
    <row r="760" spans="1:2" ht="12" customHeight="1" x14ac:dyDescent="0.15">
      <c r="A760" s="448">
        <f>Simulation!O776</f>
        <v>-9.7222764405865636E-2</v>
      </c>
      <c r="B760" s="448">
        <f>Simulation!M776</f>
        <v>353185.88449196692</v>
      </c>
    </row>
    <row r="761" spans="1:2" ht="12" customHeight="1" x14ac:dyDescent="0.15">
      <c r="A761" s="448">
        <f>Simulation!O777</f>
        <v>0.28497853559162944</v>
      </c>
      <c r="B761" s="448">
        <f>Simulation!M777</f>
        <v>379693.29932993778</v>
      </c>
    </row>
    <row r="762" spans="1:2" ht="12" customHeight="1" x14ac:dyDescent="0.15">
      <c r="A762" s="448">
        <f>Simulation!O778</f>
        <v>0.26212848895673635</v>
      </c>
      <c r="B762" s="448">
        <f>Simulation!M778</f>
        <v>423181.04324275348</v>
      </c>
    </row>
    <row r="763" spans="1:2" ht="12" customHeight="1" x14ac:dyDescent="0.15">
      <c r="A763" s="448">
        <f>Simulation!O779</f>
        <v>0.36177320394440882</v>
      </c>
      <c r="B763" s="448">
        <f>Simulation!M779</f>
        <v>363288.19111998734</v>
      </c>
    </row>
    <row r="764" spans="1:2" ht="12" customHeight="1" x14ac:dyDescent="0.15">
      <c r="A764" s="448">
        <f>Simulation!O780</f>
        <v>0.39640050072309574</v>
      </c>
      <c r="B764" s="448">
        <f>Simulation!M780</f>
        <v>401442.62550675264</v>
      </c>
    </row>
    <row r="765" spans="1:2" ht="12" customHeight="1" x14ac:dyDescent="0.15">
      <c r="A765" s="448">
        <f>Simulation!O781</f>
        <v>0.33714197126219791</v>
      </c>
      <c r="B765" s="448">
        <f>Simulation!M781</f>
        <v>473299.24870478286</v>
      </c>
    </row>
    <row r="766" spans="1:2" ht="12" customHeight="1" x14ac:dyDescent="0.15">
      <c r="A766" s="448">
        <f>Simulation!O782</f>
        <v>0.1144744796272863</v>
      </c>
      <c r="B766" s="448">
        <f>Simulation!M782</f>
        <v>525193.15206048859</v>
      </c>
    </row>
    <row r="767" spans="1:2" ht="12" customHeight="1" x14ac:dyDescent="0.15">
      <c r="A767" s="448">
        <f>Simulation!O783</f>
        <v>0.41385795901915667</v>
      </c>
      <c r="B767" s="448">
        <f>Simulation!M783</f>
        <v>478348.44030559011</v>
      </c>
    </row>
    <row r="768" spans="1:2" ht="12" customHeight="1" x14ac:dyDescent="0.15">
      <c r="A768" s="448">
        <f>Simulation!O784</f>
        <v>0.17793674207132426</v>
      </c>
      <c r="B768" s="448">
        <f>Simulation!M784</f>
        <v>521565.67313518503</v>
      </c>
    </row>
    <row r="769" spans="1:2" ht="12" customHeight="1" x14ac:dyDescent="0.15">
      <c r="A769" s="448">
        <f>Simulation!O785</f>
        <v>0.42388108845239314</v>
      </c>
      <c r="B769" s="448">
        <f>Simulation!M785</f>
        <v>501402.11800311465</v>
      </c>
    </row>
    <row r="770" spans="1:2" ht="12" customHeight="1" x14ac:dyDescent="0.15">
      <c r="A770" s="448">
        <f>Simulation!O786</f>
        <v>0.25649386114165607</v>
      </c>
      <c r="B770" s="448">
        <f>Simulation!M786</f>
        <v>445528.11705019919</v>
      </c>
    </row>
    <row r="771" spans="1:2" ht="12" customHeight="1" x14ac:dyDescent="0.15">
      <c r="A771" s="448">
        <f>Simulation!O787</f>
        <v>3.9064190745559557E-2</v>
      </c>
      <c r="B771" s="448">
        <f>Simulation!M787</f>
        <v>392480.29053004971</v>
      </c>
    </row>
    <row r="772" spans="1:2" ht="12" customHeight="1" x14ac:dyDescent="0.15">
      <c r="A772" s="448">
        <f>Simulation!O788</f>
        <v>0.66150973718887229</v>
      </c>
      <c r="B772" s="448">
        <f>Simulation!M788</f>
        <v>529915.71821469918</v>
      </c>
    </row>
    <row r="773" spans="1:2" ht="12" customHeight="1" x14ac:dyDescent="0.15">
      <c r="A773" s="448">
        <f>Simulation!O789</f>
        <v>0.52497041789726806</v>
      </c>
      <c r="B773" s="448">
        <f>Simulation!M789</f>
        <v>540679.12333338521</v>
      </c>
    </row>
    <row r="774" spans="1:2" ht="12" customHeight="1" x14ac:dyDescent="0.15">
      <c r="A774" s="448">
        <f>Simulation!O790</f>
        <v>0.74064815008408624</v>
      </c>
      <c r="B774" s="448">
        <f>Simulation!M790</f>
        <v>442726.52598037833</v>
      </c>
    </row>
    <row r="775" spans="1:2" ht="12" customHeight="1" x14ac:dyDescent="0.15">
      <c r="A775" s="448">
        <f>Simulation!O791</f>
        <v>-0.10601898017378053</v>
      </c>
      <c r="B775" s="448">
        <f>Simulation!M791</f>
        <v>484369.12935952039</v>
      </c>
    </row>
    <row r="776" spans="1:2" ht="12" customHeight="1" x14ac:dyDescent="0.15">
      <c r="A776" s="448">
        <f>Simulation!O792</f>
        <v>0.24967304183541028</v>
      </c>
      <c r="B776" s="448">
        <f>Simulation!M792</f>
        <v>408370.84258930432</v>
      </c>
    </row>
    <row r="777" spans="1:2" ht="12" customHeight="1" x14ac:dyDescent="0.15">
      <c r="A777" s="448">
        <f>Simulation!O793</f>
        <v>-3.3198057849087359E-2</v>
      </c>
      <c r="B777" s="448">
        <f>Simulation!M793</f>
        <v>370611.44477819744</v>
      </c>
    </row>
    <row r="778" spans="1:2" ht="12" customHeight="1" x14ac:dyDescent="0.15">
      <c r="A778" s="448">
        <f>Simulation!O794</f>
        <v>0.2571665460357575</v>
      </c>
      <c r="B778" s="448">
        <f>Simulation!M794</f>
        <v>460518.00023041922</v>
      </c>
    </row>
    <row r="779" spans="1:2" ht="12" customHeight="1" x14ac:dyDescent="0.15">
      <c r="A779" s="448">
        <f>Simulation!O795</f>
        <v>1.1943510969060527</v>
      </c>
      <c r="B779" s="448">
        <f>Simulation!M795</f>
        <v>615702.63450030505</v>
      </c>
    </row>
    <row r="780" spans="1:2" ht="12" customHeight="1" x14ac:dyDescent="0.15">
      <c r="A780" s="448">
        <f>Simulation!O796</f>
        <v>2.8649651196686943E-2</v>
      </c>
      <c r="B780" s="448">
        <f>Simulation!M796</f>
        <v>485950.21866530029</v>
      </c>
    </row>
    <row r="781" spans="1:2" ht="12" customHeight="1" x14ac:dyDescent="0.15">
      <c r="A781" s="448">
        <f>Simulation!O797</f>
        <v>-3.3639340886986169E-3</v>
      </c>
      <c r="B781" s="448">
        <f>Simulation!M797</f>
        <v>337596.59874005476</v>
      </c>
    </row>
    <row r="782" spans="1:2" ht="12" customHeight="1" x14ac:dyDescent="0.15">
      <c r="A782" s="448">
        <f>Simulation!O798</f>
        <v>0.57843969051153477</v>
      </c>
      <c r="B782" s="448">
        <f>Simulation!M798</f>
        <v>385794.70056544227</v>
      </c>
    </row>
    <row r="783" spans="1:2" ht="12" customHeight="1" x14ac:dyDescent="0.15">
      <c r="A783" s="448">
        <f>Simulation!O799</f>
        <v>0.29507579923779437</v>
      </c>
      <c r="B783" s="448">
        <f>Simulation!M799</f>
        <v>432227.0681176621</v>
      </c>
    </row>
    <row r="784" spans="1:2" ht="12" customHeight="1" x14ac:dyDescent="0.15">
      <c r="A784" s="448">
        <f>Simulation!O800</f>
        <v>0.16103716456098094</v>
      </c>
      <c r="B784" s="448">
        <f>Simulation!M800</f>
        <v>334451.41051933798</v>
      </c>
    </row>
    <row r="785" spans="1:2" ht="12" customHeight="1" x14ac:dyDescent="0.15">
      <c r="A785" s="448">
        <f>Simulation!O801</f>
        <v>0.37707039669406095</v>
      </c>
      <c r="B785" s="448">
        <f>Simulation!M801</f>
        <v>429820.59175580885</v>
      </c>
    </row>
    <row r="786" spans="1:2" ht="12" customHeight="1" x14ac:dyDescent="0.15">
      <c r="A786" s="448">
        <f>Simulation!O802</f>
        <v>0.36543565785577981</v>
      </c>
      <c r="B786" s="448">
        <f>Simulation!M802</f>
        <v>471581.60789172049</v>
      </c>
    </row>
    <row r="787" spans="1:2" ht="12" customHeight="1" x14ac:dyDescent="0.15">
      <c r="A787" s="448">
        <f>Simulation!O803</f>
        <v>0.55971853922968795</v>
      </c>
      <c r="B787" s="448">
        <f>Simulation!M803</f>
        <v>403595.54547735723</v>
      </c>
    </row>
    <row r="788" spans="1:2" ht="12" customHeight="1" x14ac:dyDescent="0.15">
      <c r="A788" s="448">
        <f>Simulation!O804</f>
        <v>0.35150077965744986</v>
      </c>
      <c r="B788" s="448">
        <f>Simulation!M804</f>
        <v>448068.21830226463</v>
      </c>
    </row>
    <row r="789" spans="1:2" ht="12" customHeight="1" x14ac:dyDescent="0.15">
      <c r="A789" s="448">
        <f>Simulation!O805</f>
        <v>0.34907265706035062</v>
      </c>
      <c r="B789" s="448">
        <f>Simulation!M805</f>
        <v>327140.87348876626</v>
      </c>
    </row>
    <row r="790" spans="1:2" ht="12" customHeight="1" x14ac:dyDescent="0.15">
      <c r="A790" s="448">
        <f>Simulation!O806</f>
        <v>0.68037058969938591</v>
      </c>
      <c r="B790" s="448">
        <f>Simulation!M806</f>
        <v>480343.87097532768</v>
      </c>
    </row>
    <row r="791" spans="1:2" ht="12" customHeight="1" x14ac:dyDescent="0.15">
      <c r="A791" s="448">
        <f>Simulation!O807</f>
        <v>0.36038400986912267</v>
      </c>
      <c r="B791" s="448">
        <f>Simulation!M807</f>
        <v>420444.27174069063</v>
      </c>
    </row>
    <row r="792" spans="1:2" ht="12" customHeight="1" x14ac:dyDescent="0.15">
      <c r="A792" s="448">
        <f>Simulation!O808</f>
        <v>0.15128286358907062</v>
      </c>
      <c r="B792" s="448">
        <f>Simulation!M808</f>
        <v>386918.28128514963</v>
      </c>
    </row>
    <row r="793" spans="1:2" ht="12" customHeight="1" x14ac:dyDescent="0.15">
      <c r="A793" s="448">
        <f>Simulation!O809</f>
        <v>-3.2229287813927421E-3</v>
      </c>
      <c r="B793" s="448">
        <f>Simulation!M809</f>
        <v>343955.2638181689</v>
      </c>
    </row>
    <row r="794" spans="1:2" ht="12" customHeight="1" x14ac:dyDescent="0.15">
      <c r="A794" s="448">
        <f>Simulation!O810</f>
        <v>0.43531230394881337</v>
      </c>
      <c r="B794" s="448">
        <f>Simulation!M810</f>
        <v>452134.40853187558</v>
      </c>
    </row>
    <row r="795" spans="1:2" ht="12" customHeight="1" x14ac:dyDescent="0.15">
      <c r="A795" s="448">
        <f>Simulation!O811</f>
        <v>0.51881508626848261</v>
      </c>
      <c r="B795" s="448">
        <f>Simulation!M811</f>
        <v>466753.7095963246</v>
      </c>
    </row>
    <row r="796" spans="1:2" ht="12" customHeight="1" x14ac:dyDescent="0.15">
      <c r="A796" s="448">
        <f>Simulation!O812</f>
        <v>0.12839611487894542</v>
      </c>
      <c r="B796" s="448">
        <f>Simulation!M812</f>
        <v>427417.63553289697</v>
      </c>
    </row>
    <row r="797" spans="1:2" ht="12" customHeight="1" x14ac:dyDescent="0.15">
      <c r="A797" s="448">
        <f>Simulation!O813</f>
        <v>0.2721758172189741</v>
      </c>
      <c r="B797" s="448">
        <f>Simulation!M813</f>
        <v>447305.93275544723</v>
      </c>
    </row>
    <row r="798" spans="1:2" ht="12" customHeight="1" x14ac:dyDescent="0.15">
      <c r="A798" s="448">
        <f>Simulation!O814</f>
        <v>0.44572468883841454</v>
      </c>
      <c r="B798" s="448">
        <f>Simulation!M814</f>
        <v>411680.99466388888</v>
      </c>
    </row>
    <row r="799" spans="1:2" ht="12" customHeight="1" x14ac:dyDescent="0.15">
      <c r="A799" s="448">
        <f>Simulation!O815</f>
        <v>0.2559414514552496</v>
      </c>
      <c r="B799" s="448">
        <f>Simulation!M815</f>
        <v>434293.54449856386</v>
      </c>
    </row>
    <row r="800" spans="1:2" ht="12" customHeight="1" x14ac:dyDescent="0.15">
      <c r="A800" s="448">
        <f>Simulation!O816</f>
        <v>0.65049117276734325</v>
      </c>
      <c r="B800" s="448">
        <f>Simulation!M816</f>
        <v>458370.73993413773</v>
      </c>
    </row>
    <row r="801" spans="1:2" ht="12" customHeight="1" x14ac:dyDescent="0.15">
      <c r="A801" s="448">
        <f>Simulation!O817</f>
        <v>0.51807888844033423</v>
      </c>
      <c r="B801" s="448">
        <f>Simulation!M817</f>
        <v>438247.97490726993</v>
      </c>
    </row>
    <row r="802" spans="1:2" ht="12" customHeight="1" x14ac:dyDescent="0.15">
      <c r="A802" s="448">
        <f>Simulation!O818</f>
        <v>0.24229084475389584</v>
      </c>
      <c r="B802" s="448">
        <f>Simulation!M818</f>
        <v>394702.25922600232</v>
      </c>
    </row>
    <row r="803" spans="1:2" ht="12" customHeight="1" x14ac:dyDescent="0.15">
      <c r="A803" s="448">
        <f>Simulation!O819</f>
        <v>0.51865800584084321</v>
      </c>
      <c r="B803" s="448">
        <f>Simulation!M819</f>
        <v>458211.85241027863</v>
      </c>
    </row>
    <row r="804" spans="1:2" ht="12" customHeight="1" x14ac:dyDescent="0.15">
      <c r="A804" s="448">
        <f>Simulation!O820</f>
        <v>1.0126968084415635</v>
      </c>
      <c r="B804" s="448">
        <f>Simulation!M820</f>
        <v>521105.01171198289</v>
      </c>
    </row>
    <row r="805" spans="1:2" ht="12" customHeight="1" x14ac:dyDescent="0.15">
      <c r="A805" s="448">
        <f>Simulation!O821</f>
        <v>0.6146624392231872</v>
      </c>
      <c r="B805" s="448">
        <f>Simulation!M821</f>
        <v>528096.8970312695</v>
      </c>
    </row>
    <row r="806" spans="1:2" ht="12" customHeight="1" x14ac:dyDescent="0.15">
      <c r="A806" s="448">
        <f>Simulation!O822</f>
        <v>0.50564917335268023</v>
      </c>
      <c r="B806" s="448">
        <f>Simulation!M822</f>
        <v>487730.67549200571</v>
      </c>
    </row>
    <row r="807" spans="1:2" ht="12" customHeight="1" x14ac:dyDescent="0.15">
      <c r="A807" s="448">
        <f>Simulation!O823</f>
        <v>-0.29237859390523546</v>
      </c>
      <c r="B807" s="448">
        <f>Simulation!M823</f>
        <v>392630.88047261361</v>
      </c>
    </row>
    <row r="808" spans="1:2" ht="12" customHeight="1" x14ac:dyDescent="0.15">
      <c r="A808" s="448">
        <f>Simulation!O824</f>
        <v>0.38874227105885462</v>
      </c>
      <c r="B808" s="448">
        <f>Simulation!M824</f>
        <v>448488.93530315754</v>
      </c>
    </row>
    <row r="809" spans="1:2" ht="12" customHeight="1" x14ac:dyDescent="0.15">
      <c r="A809" s="448">
        <f>Simulation!O825</f>
        <v>0.65915621130471314</v>
      </c>
      <c r="B809" s="448">
        <f>Simulation!M825</f>
        <v>501023.39565338602</v>
      </c>
    </row>
    <row r="810" spans="1:2" ht="12" customHeight="1" x14ac:dyDescent="0.15">
      <c r="A810" s="448">
        <f>Simulation!O826</f>
        <v>0.59939104929099507</v>
      </c>
      <c r="B810" s="448">
        <f>Simulation!M826</f>
        <v>454811.10800579051</v>
      </c>
    </row>
    <row r="811" spans="1:2" ht="12" customHeight="1" x14ac:dyDescent="0.15">
      <c r="A811" s="448">
        <f>Simulation!O827</f>
        <v>0.5888059414414446</v>
      </c>
      <c r="B811" s="448">
        <f>Simulation!M827</f>
        <v>516617.10356120812</v>
      </c>
    </row>
    <row r="812" spans="1:2" ht="12" customHeight="1" x14ac:dyDescent="0.15">
      <c r="A812" s="448">
        <f>Simulation!O828</f>
        <v>0.25579301395674348</v>
      </c>
      <c r="B812" s="448">
        <f>Simulation!M828</f>
        <v>386867.194375308</v>
      </c>
    </row>
    <row r="813" spans="1:2" ht="12" customHeight="1" x14ac:dyDescent="0.15">
      <c r="A813" s="448">
        <f>Simulation!O829</f>
        <v>0.57148525620025215</v>
      </c>
      <c r="B813" s="448">
        <f>Simulation!M829</f>
        <v>474420.56968933169</v>
      </c>
    </row>
    <row r="814" spans="1:2" ht="12" customHeight="1" x14ac:dyDescent="0.15">
      <c r="A814" s="448">
        <f>Simulation!O830</f>
        <v>0.14171714539670477</v>
      </c>
      <c r="B814" s="448">
        <f>Simulation!M830</f>
        <v>355831.70601857302</v>
      </c>
    </row>
    <row r="815" spans="1:2" ht="12" customHeight="1" x14ac:dyDescent="0.15">
      <c r="A815" s="448">
        <f>Simulation!O831</f>
        <v>-0.12832325021087287</v>
      </c>
      <c r="B815" s="448">
        <f>Simulation!M831</f>
        <v>397226.41761088552</v>
      </c>
    </row>
    <row r="816" spans="1:2" ht="12" customHeight="1" x14ac:dyDescent="0.15">
      <c r="A816" s="448">
        <f>Simulation!O832</f>
        <v>1.135283033201695E-2</v>
      </c>
      <c r="B816" s="448">
        <f>Simulation!M832</f>
        <v>378885.23820608103</v>
      </c>
    </row>
    <row r="817" spans="1:2" ht="12" customHeight="1" x14ac:dyDescent="0.15">
      <c r="A817" s="448">
        <f>Simulation!O833</f>
        <v>0.42113700833845091</v>
      </c>
      <c r="B817" s="448">
        <f>Simulation!M833</f>
        <v>380516.48137168074</v>
      </c>
    </row>
    <row r="818" spans="1:2" ht="12" customHeight="1" x14ac:dyDescent="0.15">
      <c r="A818" s="448">
        <f>Simulation!O834</f>
        <v>0.30674559797486234</v>
      </c>
      <c r="B818" s="448">
        <f>Simulation!M834</f>
        <v>474103.17390023475</v>
      </c>
    </row>
    <row r="819" spans="1:2" ht="12" customHeight="1" x14ac:dyDescent="0.15">
      <c r="A819" s="448">
        <f>Simulation!O835</f>
        <v>0.24921300000884772</v>
      </c>
      <c r="B819" s="448">
        <f>Simulation!M835</f>
        <v>490449.7879330276</v>
      </c>
    </row>
    <row r="820" spans="1:2" ht="12" customHeight="1" x14ac:dyDescent="0.15">
      <c r="A820" s="448">
        <f>Simulation!O836</f>
        <v>0.53029192997929009</v>
      </c>
      <c r="B820" s="448">
        <f>Simulation!M836</f>
        <v>434487.25006286852</v>
      </c>
    </row>
    <row r="821" spans="1:2" ht="12" customHeight="1" x14ac:dyDescent="0.15">
      <c r="A821" s="448">
        <f>Simulation!O837</f>
        <v>0.44011176740801528</v>
      </c>
      <c r="B821" s="448">
        <f>Simulation!M837</f>
        <v>520356.87938061578</v>
      </c>
    </row>
    <row r="822" spans="1:2" ht="12" customHeight="1" x14ac:dyDescent="0.15">
      <c r="A822" s="448">
        <f>Simulation!O838</f>
        <v>0.10739312735402562</v>
      </c>
      <c r="B822" s="448">
        <f>Simulation!M838</f>
        <v>485204.23149567755</v>
      </c>
    </row>
    <row r="823" spans="1:2" ht="12" customHeight="1" x14ac:dyDescent="0.15">
      <c r="A823" s="448">
        <f>Simulation!O839</f>
        <v>0.74937285013258559</v>
      </c>
      <c r="B823" s="448">
        <f>Simulation!M839</f>
        <v>419510.17771201977</v>
      </c>
    </row>
    <row r="824" spans="1:2" ht="12" customHeight="1" x14ac:dyDescent="0.15">
      <c r="A824" s="448">
        <f>Simulation!O840</f>
        <v>0.19380712448009474</v>
      </c>
      <c r="B824" s="448">
        <f>Simulation!M840</f>
        <v>426358.90238276869</v>
      </c>
    </row>
    <row r="825" spans="1:2" ht="12" customHeight="1" x14ac:dyDescent="0.15">
      <c r="A825" s="448">
        <f>Simulation!O841</f>
        <v>0.44714837323837209</v>
      </c>
      <c r="B825" s="448">
        <f>Simulation!M841</f>
        <v>475762.61236877227</v>
      </c>
    </row>
    <row r="826" spans="1:2" ht="12" customHeight="1" x14ac:dyDescent="0.15">
      <c r="A826" s="448">
        <f>Simulation!O842</f>
        <v>0.57551221103423567</v>
      </c>
      <c r="B826" s="448">
        <f>Simulation!M842</f>
        <v>443718.00615103624</v>
      </c>
    </row>
    <row r="827" spans="1:2" ht="12" customHeight="1" x14ac:dyDescent="0.15">
      <c r="A827" s="448">
        <f>Simulation!O843</f>
        <v>0.48707293346581171</v>
      </c>
      <c r="B827" s="448">
        <f>Simulation!M843</f>
        <v>477358.31653054507</v>
      </c>
    </row>
    <row r="828" spans="1:2" ht="12" customHeight="1" x14ac:dyDescent="0.15">
      <c r="A828" s="448">
        <f>Simulation!O844</f>
        <v>0.26942626536731673</v>
      </c>
      <c r="B828" s="448">
        <f>Simulation!M844</f>
        <v>426023.02349020145</v>
      </c>
    </row>
    <row r="829" spans="1:2" ht="12" customHeight="1" x14ac:dyDescent="0.15">
      <c r="A829" s="448">
        <f>Simulation!O845</f>
        <v>0.33358037473598889</v>
      </c>
      <c r="B829" s="448">
        <f>Simulation!M845</f>
        <v>408919.52839319</v>
      </c>
    </row>
    <row r="830" spans="1:2" ht="12" customHeight="1" x14ac:dyDescent="0.15">
      <c r="A830" s="448">
        <f>Simulation!O846</f>
        <v>-0.17952843335329671</v>
      </c>
      <c r="B830" s="448">
        <f>Simulation!M846</f>
        <v>398630.30705085985</v>
      </c>
    </row>
    <row r="831" spans="1:2" ht="12" customHeight="1" x14ac:dyDescent="0.15">
      <c r="A831" s="448">
        <f>Simulation!O847</f>
        <v>0.26347650000035916</v>
      </c>
      <c r="B831" s="448">
        <f>Simulation!M847</f>
        <v>438355.0171395893</v>
      </c>
    </row>
    <row r="832" spans="1:2" ht="12" customHeight="1" x14ac:dyDescent="0.15">
      <c r="A832" s="448">
        <f>Simulation!O848</f>
        <v>0.36328653579188508</v>
      </c>
      <c r="B832" s="448">
        <f>Simulation!M848</f>
        <v>405582.45796075545</v>
      </c>
    </row>
    <row r="833" spans="1:2" ht="12" customHeight="1" x14ac:dyDescent="0.15">
      <c r="A833" s="448">
        <f>Simulation!O849</f>
        <v>0.58909689770452234</v>
      </c>
      <c r="B833" s="448">
        <f>Simulation!M849</f>
        <v>422798.23066180962</v>
      </c>
    </row>
    <row r="834" spans="1:2" ht="12" customHeight="1" x14ac:dyDescent="0.15">
      <c r="A834" s="448">
        <f>Simulation!O850</f>
        <v>0.49258011383351441</v>
      </c>
      <c r="B834" s="448">
        <f>Simulation!M850</f>
        <v>428684.88304181496</v>
      </c>
    </row>
    <row r="835" spans="1:2" ht="12" customHeight="1" x14ac:dyDescent="0.15">
      <c r="A835" s="448">
        <f>Simulation!O851</f>
        <v>0.4307752901534827</v>
      </c>
      <c r="B835" s="448">
        <f>Simulation!M851</f>
        <v>433495.12920066511</v>
      </c>
    </row>
    <row r="836" spans="1:2" ht="12" customHeight="1" x14ac:dyDescent="0.15">
      <c r="A836" s="448">
        <f>Simulation!O852</f>
        <v>0.26752364492785707</v>
      </c>
      <c r="B836" s="448">
        <f>Simulation!M852</f>
        <v>512806.85472847545</v>
      </c>
    </row>
    <row r="837" spans="1:2" ht="12" customHeight="1" x14ac:dyDescent="0.15">
      <c r="A837" s="448">
        <f>Simulation!O853</f>
        <v>0.84206488333851448</v>
      </c>
      <c r="B837" s="448">
        <f>Simulation!M853</f>
        <v>529635.16202791035</v>
      </c>
    </row>
    <row r="838" spans="1:2" ht="12" customHeight="1" x14ac:dyDescent="0.15">
      <c r="A838" s="448">
        <f>Simulation!O854</f>
        <v>0.18226054414355186</v>
      </c>
      <c r="B838" s="448">
        <f>Simulation!M854</f>
        <v>363636.53988969303</v>
      </c>
    </row>
    <row r="839" spans="1:2" ht="12" customHeight="1" x14ac:dyDescent="0.15">
      <c r="A839" s="448">
        <f>Simulation!O855</f>
        <v>0.5294657403993055</v>
      </c>
      <c r="B839" s="448">
        <f>Simulation!M855</f>
        <v>440815.31815632444</v>
      </c>
    </row>
    <row r="840" spans="1:2" ht="12" customHeight="1" x14ac:dyDescent="0.15">
      <c r="A840" s="448">
        <f>Simulation!O856</f>
        <v>0.59286059693538196</v>
      </c>
      <c r="B840" s="448">
        <f>Simulation!M856</f>
        <v>526530.75207503478</v>
      </c>
    </row>
    <row r="841" spans="1:2" ht="12" customHeight="1" x14ac:dyDescent="0.15">
      <c r="A841" s="448">
        <f>Simulation!O857</f>
        <v>0.26876379731735112</v>
      </c>
      <c r="B841" s="448">
        <f>Simulation!M857</f>
        <v>508984.08354286011</v>
      </c>
    </row>
    <row r="842" spans="1:2" ht="12" customHeight="1" x14ac:dyDescent="0.15">
      <c r="A842" s="448">
        <f>Simulation!O858</f>
        <v>1.4296062753013161</v>
      </c>
      <c r="B842" s="448">
        <f>Simulation!M858</f>
        <v>609206.6502355187</v>
      </c>
    </row>
    <row r="843" spans="1:2" ht="12" customHeight="1" x14ac:dyDescent="0.15">
      <c r="A843" s="448">
        <f>Simulation!O859</f>
        <v>0.78431541152799467</v>
      </c>
      <c r="B843" s="448">
        <f>Simulation!M859</f>
        <v>386656.93318418792</v>
      </c>
    </row>
    <row r="844" spans="1:2" ht="12" customHeight="1" x14ac:dyDescent="0.15">
      <c r="A844" s="448">
        <f>Simulation!O860</f>
        <v>0.6833135953692806</v>
      </c>
      <c r="B844" s="448">
        <f>Simulation!M860</f>
        <v>416701.24609415454</v>
      </c>
    </row>
    <row r="845" spans="1:2" ht="12" customHeight="1" x14ac:dyDescent="0.15">
      <c r="A845" s="448">
        <f>Simulation!O861</f>
        <v>0.48644203537781827</v>
      </c>
      <c r="B845" s="448">
        <f>Simulation!M861</f>
        <v>471171.04000281537</v>
      </c>
    </row>
    <row r="846" spans="1:2" ht="12" customHeight="1" x14ac:dyDescent="0.15">
      <c r="A846" s="448">
        <f>Simulation!O862</f>
        <v>0.40683760588109275</v>
      </c>
      <c r="B846" s="448">
        <f>Simulation!M862</f>
        <v>428026.69022537069</v>
      </c>
    </row>
    <row r="847" spans="1:2" ht="12" customHeight="1" x14ac:dyDescent="0.15">
      <c r="A847" s="448">
        <f>Simulation!O863</f>
        <v>0.67235880516281021</v>
      </c>
      <c r="B847" s="448">
        <f>Simulation!M863</f>
        <v>429093.91414266691</v>
      </c>
    </row>
    <row r="848" spans="1:2" ht="12" customHeight="1" x14ac:dyDescent="0.15">
      <c r="A848" s="448">
        <f>Simulation!O864</f>
        <v>0.59442534464845842</v>
      </c>
      <c r="B848" s="448">
        <f>Simulation!M864</f>
        <v>430210.83884301572</v>
      </c>
    </row>
    <row r="849" spans="1:2" ht="12" customHeight="1" x14ac:dyDescent="0.15">
      <c r="A849" s="448">
        <f>Simulation!O865</f>
        <v>0.5867124612995247</v>
      </c>
      <c r="B849" s="448">
        <f>Simulation!M865</f>
        <v>454713.57938278618</v>
      </c>
    </row>
    <row r="850" spans="1:2" ht="12" customHeight="1" x14ac:dyDescent="0.15">
      <c r="A850" s="448">
        <f>Simulation!O866</f>
        <v>0.54357614231590423</v>
      </c>
      <c r="B850" s="448">
        <f>Simulation!M866</f>
        <v>506629.30626194377</v>
      </c>
    </row>
    <row r="851" spans="1:2" ht="12" customHeight="1" x14ac:dyDescent="0.15">
      <c r="A851" s="448">
        <f>Simulation!O867</f>
        <v>0.44414282142650507</v>
      </c>
      <c r="B851" s="448">
        <f>Simulation!M867</f>
        <v>429077.06595437875</v>
      </c>
    </row>
    <row r="852" spans="1:2" ht="12" customHeight="1" x14ac:dyDescent="0.15">
      <c r="A852" s="448">
        <f>Simulation!O868</f>
        <v>0.291881892152831</v>
      </c>
      <c r="B852" s="448">
        <f>Simulation!M868</f>
        <v>488738.5276000154</v>
      </c>
    </row>
    <row r="853" spans="1:2" ht="12" customHeight="1" x14ac:dyDescent="0.15">
      <c r="A853" s="448">
        <f>Simulation!O869</f>
        <v>0.49456250048083139</v>
      </c>
      <c r="B853" s="448">
        <f>Simulation!M869</f>
        <v>381132.24499903468</v>
      </c>
    </row>
    <row r="854" spans="1:2" ht="12" customHeight="1" x14ac:dyDescent="0.15">
      <c r="A854" s="448">
        <f>Simulation!O870</f>
        <v>0.42370871004076704</v>
      </c>
      <c r="B854" s="448">
        <f>Simulation!M870</f>
        <v>391359.0336677928</v>
      </c>
    </row>
    <row r="855" spans="1:2" ht="12" customHeight="1" x14ac:dyDescent="0.15">
      <c r="A855" s="448">
        <f>Simulation!O871</f>
        <v>0.38379168338888903</v>
      </c>
      <c r="B855" s="448">
        <f>Simulation!M871</f>
        <v>381736.01917332539</v>
      </c>
    </row>
    <row r="856" spans="1:2" ht="12" customHeight="1" x14ac:dyDescent="0.15">
      <c r="A856" s="448">
        <f>Simulation!O872</f>
        <v>0.55034728010094458</v>
      </c>
      <c r="B856" s="448">
        <f>Simulation!M872</f>
        <v>416261.28505839413</v>
      </c>
    </row>
    <row r="857" spans="1:2" ht="12" customHeight="1" x14ac:dyDescent="0.15">
      <c r="A857" s="448">
        <f>Simulation!O873</f>
        <v>0.6039156542941968</v>
      </c>
      <c r="B857" s="448">
        <f>Simulation!M873</f>
        <v>491273.65897118591</v>
      </c>
    </row>
    <row r="858" spans="1:2" ht="12" customHeight="1" x14ac:dyDescent="0.15">
      <c r="A858" s="448">
        <f>Simulation!O874</f>
        <v>0.92577809252665855</v>
      </c>
      <c r="B858" s="448">
        <f>Simulation!M874</f>
        <v>454238.65070833935</v>
      </c>
    </row>
    <row r="859" spans="1:2" ht="12" customHeight="1" x14ac:dyDescent="0.15">
      <c r="A859" s="448">
        <f>Simulation!O875</f>
        <v>-9.6625571221335527E-2</v>
      </c>
      <c r="B859" s="448">
        <f>Simulation!M875</f>
        <v>396177.71454647882</v>
      </c>
    </row>
    <row r="860" spans="1:2" ht="12" customHeight="1" x14ac:dyDescent="0.15">
      <c r="A860" s="448">
        <f>Simulation!O876</f>
        <v>0.68381461794458787</v>
      </c>
      <c r="B860" s="448">
        <f>Simulation!M876</f>
        <v>484182.86663344211</v>
      </c>
    </row>
    <row r="861" spans="1:2" ht="12" customHeight="1" x14ac:dyDescent="0.15">
      <c r="A861" s="448">
        <f>Simulation!O877</f>
        <v>-5.318430334632307E-3</v>
      </c>
      <c r="B861" s="448">
        <f>Simulation!M877</f>
        <v>447643.43396953994</v>
      </c>
    </row>
    <row r="862" spans="1:2" ht="12" customHeight="1" x14ac:dyDescent="0.15">
      <c r="A862" s="448">
        <f>Simulation!O878</f>
        <v>0.41168221962903062</v>
      </c>
      <c r="B862" s="448">
        <f>Simulation!M878</f>
        <v>382946.64612012223</v>
      </c>
    </row>
    <row r="863" spans="1:2" ht="12" customHeight="1" x14ac:dyDescent="0.15">
      <c r="A863" s="448">
        <f>Simulation!O879</f>
        <v>0.65185978271355394</v>
      </c>
      <c r="B863" s="448">
        <f>Simulation!M879</f>
        <v>475165.48087916197</v>
      </c>
    </row>
    <row r="864" spans="1:2" ht="12" customHeight="1" x14ac:dyDescent="0.15">
      <c r="A864" s="448">
        <f>Simulation!O880</f>
        <v>0.39419860175790955</v>
      </c>
      <c r="B864" s="448">
        <f>Simulation!M880</f>
        <v>436426.22616487846</v>
      </c>
    </row>
    <row r="865" spans="1:2" ht="12" customHeight="1" x14ac:dyDescent="0.15">
      <c r="A865" s="448">
        <f>Simulation!O881</f>
        <v>0.53299946448891511</v>
      </c>
      <c r="B865" s="448">
        <f>Simulation!M881</f>
        <v>442228.24720110802</v>
      </c>
    </row>
    <row r="866" spans="1:2" ht="12" customHeight="1" x14ac:dyDescent="0.15">
      <c r="A866" s="448">
        <f>Simulation!O882</f>
        <v>0.82607029295599288</v>
      </c>
      <c r="B866" s="448">
        <f>Simulation!M882</f>
        <v>453027.46548322466</v>
      </c>
    </row>
    <row r="867" spans="1:2" ht="12" customHeight="1" x14ac:dyDescent="0.15">
      <c r="A867" s="448">
        <f>Simulation!O883</f>
        <v>0.24582592753156529</v>
      </c>
      <c r="B867" s="448">
        <f>Simulation!M883</f>
        <v>422706.46787454345</v>
      </c>
    </row>
    <row r="868" spans="1:2" ht="12" customHeight="1" x14ac:dyDescent="0.15">
      <c r="A868" s="448">
        <f>Simulation!O884</f>
        <v>0.39097846117404167</v>
      </c>
      <c r="B868" s="448">
        <f>Simulation!M884</f>
        <v>450156.03361575084</v>
      </c>
    </row>
    <row r="869" spans="1:2" ht="12" customHeight="1" x14ac:dyDescent="0.15">
      <c r="A869" s="448">
        <f>Simulation!O885</f>
        <v>0.10193925251877678</v>
      </c>
      <c r="B869" s="448">
        <f>Simulation!M885</f>
        <v>420357.49158552568</v>
      </c>
    </row>
    <row r="870" spans="1:2" ht="12" customHeight="1" x14ac:dyDescent="0.15">
      <c r="A870" s="448">
        <f>Simulation!O886</f>
        <v>0.76173157662083302</v>
      </c>
      <c r="B870" s="448">
        <f>Simulation!M886</f>
        <v>663205.27098885796</v>
      </c>
    </row>
    <row r="871" spans="1:2" ht="12" customHeight="1" x14ac:dyDescent="0.15">
      <c r="A871" s="448">
        <f>Simulation!O887</f>
        <v>0.50580530319476802</v>
      </c>
      <c r="B871" s="448">
        <f>Simulation!M887</f>
        <v>435779.06223809789</v>
      </c>
    </row>
    <row r="872" spans="1:2" ht="12" customHeight="1" x14ac:dyDescent="0.15">
      <c r="A872" s="448">
        <f>Simulation!O888</f>
        <v>0.48226984039341136</v>
      </c>
      <c r="B872" s="448">
        <f>Simulation!M888</f>
        <v>457827.25318816374</v>
      </c>
    </row>
    <row r="873" spans="1:2" ht="12" customHeight="1" x14ac:dyDescent="0.15">
      <c r="A873" s="448">
        <f>Simulation!O889</f>
        <v>0.75237604603495511</v>
      </c>
      <c r="B873" s="448">
        <f>Simulation!M889</f>
        <v>494759.46460585116</v>
      </c>
    </row>
    <row r="874" spans="1:2" ht="12" customHeight="1" x14ac:dyDescent="0.15">
      <c r="A874" s="448">
        <f>Simulation!O890</f>
        <v>0.24915483232686109</v>
      </c>
      <c r="B874" s="448">
        <f>Simulation!M890</f>
        <v>470111.85522134113</v>
      </c>
    </row>
    <row r="875" spans="1:2" ht="12" customHeight="1" x14ac:dyDescent="0.15">
      <c r="A875" s="448">
        <f>Simulation!O891</f>
        <v>0.27386818663405621</v>
      </c>
      <c r="B875" s="448">
        <f>Simulation!M891</f>
        <v>432595.35648501967</v>
      </c>
    </row>
    <row r="876" spans="1:2" ht="12" customHeight="1" x14ac:dyDescent="0.15">
      <c r="A876" s="448">
        <f>Simulation!O892</f>
        <v>-0.16017364050847149</v>
      </c>
      <c r="B876" s="448">
        <f>Simulation!M892</f>
        <v>401207.31259854592</v>
      </c>
    </row>
    <row r="877" spans="1:2" ht="12" customHeight="1" x14ac:dyDescent="0.15">
      <c r="A877" s="448">
        <f>Simulation!O893</f>
        <v>0.51318207142233829</v>
      </c>
      <c r="B877" s="448">
        <f>Simulation!M893</f>
        <v>458190.68021403835</v>
      </c>
    </row>
    <row r="878" spans="1:2" ht="12" customHeight="1" x14ac:dyDescent="0.15">
      <c r="A878" s="448">
        <f>Simulation!O894</f>
        <v>0.12851860854024633</v>
      </c>
      <c r="B878" s="448">
        <f>Simulation!M894</f>
        <v>465989.95195384312</v>
      </c>
    </row>
    <row r="879" spans="1:2" ht="12" customHeight="1" x14ac:dyDescent="0.15">
      <c r="A879" s="448">
        <f>Simulation!O895</f>
        <v>0.27695049053836573</v>
      </c>
      <c r="B879" s="448">
        <f>Simulation!M895</f>
        <v>363427.41885058896</v>
      </c>
    </row>
    <row r="880" spans="1:2" ht="12" customHeight="1" x14ac:dyDescent="0.15">
      <c r="A880" s="448">
        <f>Simulation!O896</f>
        <v>0.79244349516354706</v>
      </c>
      <c r="B880" s="448">
        <f>Simulation!M896</f>
        <v>538849.26162592717</v>
      </c>
    </row>
    <row r="881" spans="1:2" ht="12" customHeight="1" x14ac:dyDescent="0.15">
      <c r="A881" s="448">
        <f>Simulation!O897</f>
        <v>-8.8917538193264534E-2</v>
      </c>
      <c r="B881" s="448">
        <f>Simulation!M897</f>
        <v>376884.92128804675</v>
      </c>
    </row>
    <row r="882" spans="1:2" ht="12" customHeight="1" x14ac:dyDescent="0.15">
      <c r="A882" s="448">
        <f>Simulation!O898</f>
        <v>0.23432629541602878</v>
      </c>
      <c r="B882" s="448">
        <f>Simulation!M898</f>
        <v>436327.91000175878</v>
      </c>
    </row>
    <row r="883" spans="1:2" ht="12" customHeight="1" x14ac:dyDescent="0.15">
      <c r="A883" s="448">
        <f>Simulation!O899</f>
        <v>0.17206985844848344</v>
      </c>
      <c r="B883" s="448">
        <f>Simulation!M899</f>
        <v>381741.26409361942</v>
      </c>
    </row>
    <row r="884" spans="1:2" ht="12" customHeight="1" x14ac:dyDescent="0.15">
      <c r="A884" s="448">
        <f>Simulation!O900</f>
        <v>0.37670821048342251</v>
      </c>
      <c r="B884" s="448">
        <f>Simulation!M900</f>
        <v>474011.70857807406</v>
      </c>
    </row>
    <row r="885" spans="1:2" ht="12" customHeight="1" x14ac:dyDescent="0.15">
      <c r="A885" s="448">
        <f>Simulation!O901</f>
        <v>0.78479684194204613</v>
      </c>
      <c r="B885" s="448">
        <f>Simulation!M901</f>
        <v>534538.10058727907</v>
      </c>
    </row>
    <row r="886" spans="1:2" ht="12" customHeight="1" x14ac:dyDescent="0.15">
      <c r="A886" s="448">
        <f>Simulation!O902</f>
        <v>0.85854709080320335</v>
      </c>
      <c r="B886" s="448">
        <f>Simulation!M902</f>
        <v>473158.15708959126</v>
      </c>
    </row>
    <row r="887" spans="1:2" ht="12" customHeight="1" x14ac:dyDescent="0.15">
      <c r="A887" s="448">
        <f>Simulation!O903</f>
        <v>0.39485409959214879</v>
      </c>
      <c r="B887" s="448">
        <f>Simulation!M903</f>
        <v>551339.96614791604</v>
      </c>
    </row>
    <row r="888" spans="1:2" ht="12" customHeight="1" x14ac:dyDescent="0.15">
      <c r="A888" s="448">
        <f>Simulation!O904</f>
        <v>0.15964731074135319</v>
      </c>
      <c r="B888" s="448">
        <f>Simulation!M904</f>
        <v>376091.86629739945</v>
      </c>
    </row>
    <row r="889" spans="1:2" ht="12" customHeight="1" x14ac:dyDescent="0.15">
      <c r="A889" s="448">
        <f>Simulation!O905</f>
        <v>0.62831808422595747</v>
      </c>
      <c r="B889" s="448">
        <f>Simulation!M905</f>
        <v>469252.36971875466</v>
      </c>
    </row>
    <row r="890" spans="1:2" ht="12" customHeight="1" x14ac:dyDescent="0.15">
      <c r="A890" s="448">
        <f>Simulation!O906</f>
        <v>0.20988170558340213</v>
      </c>
      <c r="B890" s="448">
        <f>Simulation!M906</f>
        <v>423680.18133831618</v>
      </c>
    </row>
    <row r="891" spans="1:2" ht="12" customHeight="1" x14ac:dyDescent="0.15">
      <c r="A891" s="448">
        <f>Simulation!O907</f>
        <v>-1.9481245319991292E-2</v>
      </c>
      <c r="B891" s="448">
        <f>Simulation!M907</f>
        <v>391156.83251025679</v>
      </c>
    </row>
    <row r="892" spans="1:2" ht="12" customHeight="1" x14ac:dyDescent="0.15">
      <c r="A892" s="448">
        <f>Simulation!O908</f>
        <v>-0.17869007794554426</v>
      </c>
      <c r="B892" s="448">
        <f>Simulation!M908</f>
        <v>398320.98609294533</v>
      </c>
    </row>
    <row r="893" spans="1:2" ht="12" customHeight="1" x14ac:dyDescent="0.15">
      <c r="A893" s="448">
        <f>Simulation!O909</f>
        <v>0.5372215318926794</v>
      </c>
      <c r="B893" s="448">
        <f>Simulation!M909</f>
        <v>438971.14264517202</v>
      </c>
    </row>
    <row r="894" spans="1:2" ht="12" customHeight="1" x14ac:dyDescent="0.15">
      <c r="A894" s="448">
        <f>Simulation!O910</f>
        <v>0.81162959058023265</v>
      </c>
      <c r="B894" s="448">
        <f>Simulation!M910</f>
        <v>567208.55332182464</v>
      </c>
    </row>
    <row r="895" spans="1:2" ht="12" customHeight="1" x14ac:dyDescent="0.15">
      <c r="A895" s="448">
        <f>Simulation!O911</f>
        <v>0.2784284417131766</v>
      </c>
      <c r="B895" s="448">
        <f>Simulation!M911</f>
        <v>426904.39403322944</v>
      </c>
    </row>
    <row r="896" spans="1:2" ht="12" customHeight="1" x14ac:dyDescent="0.15">
      <c r="A896" s="448">
        <f>Simulation!O912</f>
        <v>0.35022264779844736</v>
      </c>
      <c r="B896" s="448">
        <f>Simulation!M912</f>
        <v>551604.76159359759</v>
      </c>
    </row>
    <row r="897" spans="1:2" ht="12" customHeight="1" x14ac:dyDescent="0.15">
      <c r="A897" s="448">
        <f>Simulation!O913</f>
        <v>0.45733714575123496</v>
      </c>
      <c r="B897" s="448">
        <f>Simulation!M913</f>
        <v>495803.05823732633</v>
      </c>
    </row>
    <row r="898" spans="1:2" ht="12" customHeight="1" x14ac:dyDescent="0.15">
      <c r="A898" s="448">
        <f>Simulation!O914</f>
        <v>0.62603178258554615</v>
      </c>
      <c r="B898" s="448">
        <f>Simulation!M914</f>
        <v>521450.81777374528</v>
      </c>
    </row>
    <row r="899" spans="1:2" ht="12" customHeight="1" x14ac:dyDescent="0.15">
      <c r="A899" s="448">
        <f>Simulation!O915</f>
        <v>0.2317474091329712</v>
      </c>
      <c r="B899" s="448">
        <f>Simulation!M915</f>
        <v>397757.03754989395</v>
      </c>
    </row>
    <row r="900" spans="1:2" ht="12" customHeight="1" x14ac:dyDescent="0.15">
      <c r="A900" s="448">
        <f>Simulation!O916</f>
        <v>1.2051965583589661</v>
      </c>
      <c r="B900" s="448">
        <f>Simulation!M916</f>
        <v>517576.22829654254</v>
      </c>
    </row>
    <row r="901" spans="1:2" ht="12" customHeight="1" x14ac:dyDescent="0.15">
      <c r="A901" s="448">
        <f>Simulation!O917</f>
        <v>0.41113686894749213</v>
      </c>
      <c r="B901" s="448">
        <f>Simulation!M917</f>
        <v>549107.82290385885</v>
      </c>
    </row>
    <row r="902" spans="1:2" ht="12" customHeight="1" x14ac:dyDescent="0.15">
      <c r="A902" s="448">
        <f>Simulation!O918</f>
        <v>0.60666107870308528</v>
      </c>
      <c r="B902" s="448">
        <f>Simulation!M918</f>
        <v>374060.93199096527</v>
      </c>
    </row>
    <row r="903" spans="1:2" ht="12" customHeight="1" x14ac:dyDescent="0.15">
      <c r="A903" s="448">
        <f>Simulation!O919</f>
        <v>0.72846320974707623</v>
      </c>
      <c r="B903" s="448">
        <f>Simulation!M919</f>
        <v>567286.90575305605</v>
      </c>
    </row>
    <row r="904" spans="1:2" ht="12" customHeight="1" x14ac:dyDescent="0.15">
      <c r="A904" s="448">
        <f>Simulation!O920</f>
        <v>0.7390131535780684</v>
      </c>
      <c r="B904" s="448">
        <f>Simulation!M920</f>
        <v>481033.69645834545</v>
      </c>
    </row>
    <row r="905" spans="1:2" ht="12" customHeight="1" x14ac:dyDescent="0.15">
      <c r="A905" s="448">
        <f>Simulation!O921</f>
        <v>0.60596088682146942</v>
      </c>
      <c r="B905" s="448">
        <f>Simulation!M921</f>
        <v>519624.83577801724</v>
      </c>
    </row>
    <row r="906" spans="1:2" ht="12" customHeight="1" x14ac:dyDescent="0.15">
      <c r="A906" s="448">
        <f>Simulation!O922</f>
        <v>0.38455846702549001</v>
      </c>
      <c r="B906" s="448">
        <f>Simulation!M922</f>
        <v>429878.28098146361</v>
      </c>
    </row>
    <row r="907" spans="1:2" ht="12" customHeight="1" x14ac:dyDescent="0.15">
      <c r="A907" s="448">
        <f>Simulation!O923</f>
        <v>0.68879907160246745</v>
      </c>
      <c r="B907" s="448">
        <f>Simulation!M923</f>
        <v>456055.52740596648</v>
      </c>
    </row>
    <row r="908" spans="1:2" ht="12" customHeight="1" x14ac:dyDescent="0.15">
      <c r="A908" s="448">
        <f>Simulation!O924</f>
        <v>0.53097699558630707</v>
      </c>
      <c r="B908" s="448">
        <f>Simulation!M924</f>
        <v>431850.50088632223</v>
      </c>
    </row>
    <row r="909" spans="1:2" ht="12" customHeight="1" x14ac:dyDescent="0.15">
      <c r="A909" s="448">
        <f>Simulation!O925</f>
        <v>0.30103533043003683</v>
      </c>
      <c r="B909" s="448">
        <f>Simulation!M925</f>
        <v>364001.77186702751</v>
      </c>
    </row>
    <row r="910" spans="1:2" ht="12" customHeight="1" x14ac:dyDescent="0.15">
      <c r="A910" s="448">
        <f>Simulation!O926</f>
        <v>0.38807270567195884</v>
      </c>
      <c r="B910" s="448">
        <f>Simulation!M926</f>
        <v>375713.36827443313</v>
      </c>
    </row>
    <row r="911" spans="1:2" ht="12" customHeight="1" x14ac:dyDescent="0.15">
      <c r="A911" s="448">
        <f>Simulation!O927</f>
        <v>4.9078827525005586E-2</v>
      </c>
      <c r="B911" s="448">
        <f>Simulation!M927</f>
        <v>401602.76032186492</v>
      </c>
    </row>
    <row r="912" spans="1:2" ht="12" customHeight="1" x14ac:dyDescent="0.15">
      <c r="A912" s="448">
        <f>Simulation!O928</f>
        <v>0.60997062817078618</v>
      </c>
      <c r="B912" s="448">
        <f>Simulation!M928</f>
        <v>503325.31371618854</v>
      </c>
    </row>
    <row r="913" spans="1:2" ht="12" customHeight="1" x14ac:dyDescent="0.15">
      <c r="A913" s="448">
        <f>Simulation!O929</f>
        <v>0.71616084483433706</v>
      </c>
      <c r="B913" s="448">
        <f>Simulation!M929</f>
        <v>439229.00594605488</v>
      </c>
    </row>
    <row r="914" spans="1:2" ht="12" customHeight="1" x14ac:dyDescent="0.15">
      <c r="A914" s="448">
        <f>Simulation!O930</f>
        <v>0.83842041636422104</v>
      </c>
      <c r="B914" s="448">
        <f>Simulation!M930</f>
        <v>446014.63085940585</v>
      </c>
    </row>
    <row r="915" spans="1:2" ht="12" customHeight="1" x14ac:dyDescent="0.15">
      <c r="A915" s="448">
        <f>Simulation!O931</f>
        <v>0.50154800274030409</v>
      </c>
      <c r="B915" s="448">
        <f>Simulation!M931</f>
        <v>530516.14524231316</v>
      </c>
    </row>
    <row r="916" spans="1:2" ht="12" customHeight="1" x14ac:dyDescent="0.15">
      <c r="A916" s="448">
        <f>Simulation!O932</f>
        <v>0.71122295302357252</v>
      </c>
      <c r="B916" s="448">
        <f>Simulation!M932</f>
        <v>467701.51830573933</v>
      </c>
    </row>
    <row r="917" spans="1:2" ht="12" customHeight="1" x14ac:dyDescent="0.15">
      <c r="A917" s="448">
        <f>Simulation!O933</f>
        <v>0.43994508590441583</v>
      </c>
      <c r="B917" s="448">
        <f>Simulation!M933</f>
        <v>390250.76244339801</v>
      </c>
    </row>
    <row r="918" spans="1:2" ht="12" customHeight="1" x14ac:dyDescent="0.15">
      <c r="A918" s="448">
        <f>Simulation!O934</f>
        <v>0.58083505038748973</v>
      </c>
      <c r="B918" s="448">
        <f>Simulation!M934</f>
        <v>477159.88416639599</v>
      </c>
    </row>
    <row r="919" spans="1:2" ht="12" customHeight="1" x14ac:dyDescent="0.15">
      <c r="A919" s="448">
        <f>Simulation!O935</f>
        <v>0.83356462266806952</v>
      </c>
      <c r="B919" s="448">
        <f>Simulation!M935</f>
        <v>504851.36370966479</v>
      </c>
    </row>
    <row r="920" spans="1:2" ht="12" customHeight="1" x14ac:dyDescent="0.15">
      <c r="A920" s="448">
        <f>Simulation!O936</f>
        <v>0.12850272615414271</v>
      </c>
      <c r="B920" s="448">
        <f>Simulation!M936</f>
        <v>464308.68291263201</v>
      </c>
    </row>
    <row r="921" spans="1:2" ht="12" customHeight="1" x14ac:dyDescent="0.15">
      <c r="A921" s="448">
        <f>Simulation!O937</f>
        <v>0.71429105452571973</v>
      </c>
      <c r="B921" s="448">
        <f>Simulation!M937</f>
        <v>567910.74165676383</v>
      </c>
    </row>
    <row r="922" spans="1:2" ht="12" customHeight="1" x14ac:dyDescent="0.15">
      <c r="A922" s="448">
        <f>Simulation!O938</f>
        <v>0.67327871446608434</v>
      </c>
      <c r="B922" s="448">
        <f>Simulation!M938</f>
        <v>525537.78980015963</v>
      </c>
    </row>
    <row r="923" spans="1:2" ht="12" customHeight="1" x14ac:dyDescent="0.15">
      <c r="A923" s="448">
        <f>Simulation!O939</f>
        <v>0.70926147839709919</v>
      </c>
      <c r="B923" s="448">
        <f>Simulation!M939</f>
        <v>478209.63382649102</v>
      </c>
    </row>
    <row r="924" spans="1:2" ht="12" customHeight="1" x14ac:dyDescent="0.15">
      <c r="A924" s="448">
        <f>Simulation!O940</f>
        <v>0.51516068301534901</v>
      </c>
      <c r="B924" s="448">
        <f>Simulation!M940</f>
        <v>386290.27470293973</v>
      </c>
    </row>
    <row r="925" spans="1:2" ht="12" customHeight="1" x14ac:dyDescent="0.15">
      <c r="A925" s="448">
        <f>Simulation!O941</f>
        <v>0.53237760505945309</v>
      </c>
      <c r="B925" s="448">
        <f>Simulation!M941</f>
        <v>464213.64882002852</v>
      </c>
    </row>
    <row r="926" spans="1:2" ht="12" customHeight="1" x14ac:dyDescent="0.15">
      <c r="A926" s="448">
        <f>Simulation!O942</f>
        <v>0.20059876549673739</v>
      </c>
      <c r="B926" s="448">
        <f>Simulation!M942</f>
        <v>416706.28314118693</v>
      </c>
    </row>
    <row r="927" spans="1:2" ht="12" customHeight="1" x14ac:dyDescent="0.15">
      <c r="A927" s="448">
        <f>Simulation!O943</f>
        <v>0.26798206575650241</v>
      </c>
      <c r="B927" s="448">
        <f>Simulation!M943</f>
        <v>474980.80786626477</v>
      </c>
    </row>
    <row r="928" spans="1:2" ht="12" customHeight="1" x14ac:dyDescent="0.15">
      <c r="A928" s="448">
        <f>Simulation!O944</f>
        <v>0.80730207532125187</v>
      </c>
      <c r="B928" s="448">
        <f>Simulation!M944</f>
        <v>470925.49547186564</v>
      </c>
    </row>
    <row r="929" spans="1:2" ht="12" customHeight="1" x14ac:dyDescent="0.15">
      <c r="A929" s="448">
        <f>Simulation!O945</f>
        <v>0.61287584139267892</v>
      </c>
      <c r="B929" s="448">
        <f>Simulation!M945</f>
        <v>401207.58137625281</v>
      </c>
    </row>
    <row r="930" spans="1:2" ht="12" customHeight="1" x14ac:dyDescent="0.15">
      <c r="A930" s="448">
        <f>Simulation!O946</f>
        <v>0.25796683156554145</v>
      </c>
      <c r="B930" s="448">
        <f>Simulation!M946</f>
        <v>484518.38519444759</v>
      </c>
    </row>
    <row r="931" spans="1:2" ht="12" customHeight="1" x14ac:dyDescent="0.15">
      <c r="A931" s="448">
        <f>Simulation!O947</f>
        <v>0.41958202298658387</v>
      </c>
      <c r="B931" s="448">
        <f>Simulation!M947</f>
        <v>455726.65385859221</v>
      </c>
    </row>
    <row r="932" spans="1:2" ht="12" customHeight="1" x14ac:dyDescent="0.15">
      <c r="A932" s="448">
        <f>Simulation!O948</f>
        <v>0.44761157391256079</v>
      </c>
      <c r="B932" s="448">
        <f>Simulation!M948</f>
        <v>553706.23044171208</v>
      </c>
    </row>
    <row r="933" spans="1:2" ht="12" customHeight="1" x14ac:dyDescent="0.15">
      <c r="A933" s="448">
        <f>Simulation!O949</f>
        <v>0.50172399255285294</v>
      </c>
      <c r="B933" s="448">
        <f>Simulation!M949</f>
        <v>480230.10654370795</v>
      </c>
    </row>
    <row r="934" spans="1:2" ht="12" customHeight="1" x14ac:dyDescent="0.15">
      <c r="A934" s="448">
        <f>Simulation!O950</f>
        <v>0.32501660359933782</v>
      </c>
      <c r="B934" s="448">
        <f>Simulation!M950</f>
        <v>400250.63264203316</v>
      </c>
    </row>
    <row r="935" spans="1:2" ht="12" customHeight="1" x14ac:dyDescent="0.15">
      <c r="A935" s="448">
        <f>Simulation!O951</f>
        <v>0.48343314066140697</v>
      </c>
      <c r="B935" s="448">
        <f>Simulation!M951</f>
        <v>492613.61513701489</v>
      </c>
    </row>
    <row r="936" spans="1:2" ht="12" customHeight="1" x14ac:dyDescent="0.15">
      <c r="A936" s="448">
        <f>Simulation!O952</f>
        <v>0.3734590236239006</v>
      </c>
      <c r="B936" s="448">
        <f>Simulation!M952</f>
        <v>471903.20321143232</v>
      </c>
    </row>
    <row r="937" spans="1:2" ht="12" customHeight="1" x14ac:dyDescent="0.15">
      <c r="A937" s="448">
        <f>Simulation!O953</f>
        <v>0.27702088225075716</v>
      </c>
      <c r="B937" s="448">
        <f>Simulation!M953</f>
        <v>459486.38190675841</v>
      </c>
    </row>
    <row r="938" spans="1:2" ht="12" customHeight="1" x14ac:dyDescent="0.15">
      <c r="A938" s="448">
        <f>Simulation!O954</f>
        <v>-6.3797979528354531E-2</v>
      </c>
      <c r="B938" s="448">
        <f>Simulation!M954</f>
        <v>411161.83133862703</v>
      </c>
    </row>
    <row r="939" spans="1:2" ht="12" customHeight="1" x14ac:dyDescent="0.15">
      <c r="A939" s="448">
        <f>Simulation!O955</f>
        <v>0.7244120905484579</v>
      </c>
      <c r="B939" s="448">
        <f>Simulation!M955</f>
        <v>447782.82302560873</v>
      </c>
    </row>
    <row r="940" spans="1:2" ht="12" customHeight="1" x14ac:dyDescent="0.15">
      <c r="A940" s="448">
        <f>Simulation!O956</f>
        <v>0.29063971881288442</v>
      </c>
      <c r="B940" s="448">
        <f>Simulation!M956</f>
        <v>411949.31993980915</v>
      </c>
    </row>
    <row r="941" spans="1:2" ht="12" customHeight="1" x14ac:dyDescent="0.15">
      <c r="A941" s="448">
        <f>Simulation!O957</f>
        <v>6.4546450027448188E-2</v>
      </c>
      <c r="B941" s="448">
        <f>Simulation!M957</f>
        <v>410884.6901321449</v>
      </c>
    </row>
    <row r="942" spans="1:2" ht="12" customHeight="1" x14ac:dyDescent="0.15">
      <c r="A942" s="448">
        <f>Simulation!O958</f>
        <v>0.31914760059307312</v>
      </c>
      <c r="B942" s="448">
        <f>Simulation!M958</f>
        <v>445012.68792437186</v>
      </c>
    </row>
    <row r="943" spans="1:2" ht="12" customHeight="1" x14ac:dyDescent="0.15">
      <c r="A943" s="448">
        <f>Simulation!O959</f>
        <v>9.0068985588644512E-2</v>
      </c>
      <c r="B943" s="448">
        <f>Simulation!M959</f>
        <v>434268.62563404848</v>
      </c>
    </row>
    <row r="944" spans="1:2" ht="12" customHeight="1" x14ac:dyDescent="0.15">
      <c r="A944" s="448">
        <f>Simulation!O960</f>
        <v>0.4461772383743674</v>
      </c>
      <c r="B944" s="448">
        <f>Simulation!M960</f>
        <v>454978.55193679832</v>
      </c>
    </row>
    <row r="945" spans="1:2" ht="12" customHeight="1" x14ac:dyDescent="0.15">
      <c r="A945" s="448">
        <f>Simulation!O961</f>
        <v>0.76954647282647293</v>
      </c>
      <c r="B945" s="448">
        <f>Simulation!M961</f>
        <v>540786.29732941953</v>
      </c>
    </row>
    <row r="946" spans="1:2" ht="12" customHeight="1" x14ac:dyDescent="0.15">
      <c r="A946" s="448">
        <f>Simulation!O962</f>
        <v>4.852633266282913E-2</v>
      </c>
      <c r="B946" s="448">
        <f>Simulation!M962</f>
        <v>350823.72173872718</v>
      </c>
    </row>
    <row r="947" spans="1:2" ht="12" customHeight="1" x14ac:dyDescent="0.15">
      <c r="A947" s="448">
        <f>Simulation!O963</f>
        <v>0.87333689962747796</v>
      </c>
      <c r="B947" s="448">
        <f>Simulation!M963</f>
        <v>465209.92377372034</v>
      </c>
    </row>
    <row r="948" spans="1:2" ht="12" customHeight="1" x14ac:dyDescent="0.15">
      <c r="A948" s="448">
        <f>Simulation!O964</f>
        <v>0.45240941258535594</v>
      </c>
      <c r="B948" s="448">
        <f>Simulation!M964</f>
        <v>378570.3227516989</v>
      </c>
    </row>
    <row r="949" spans="1:2" ht="12" customHeight="1" x14ac:dyDescent="0.15">
      <c r="A949" s="448">
        <f>Simulation!O965</f>
        <v>0.57729260011448713</v>
      </c>
      <c r="B949" s="448">
        <f>Simulation!M965</f>
        <v>501372.68263365014</v>
      </c>
    </row>
    <row r="950" spans="1:2" ht="12" customHeight="1" x14ac:dyDescent="0.15">
      <c r="A950" s="448">
        <f>Simulation!O966</f>
        <v>0.46227175891428995</v>
      </c>
      <c r="B950" s="448">
        <f>Simulation!M966</f>
        <v>470552.87975462707</v>
      </c>
    </row>
    <row r="951" spans="1:2" ht="12" customHeight="1" x14ac:dyDescent="0.15">
      <c r="A951" s="448">
        <f>Simulation!O967</f>
        <v>2.7216359667684209E-2</v>
      </c>
      <c r="B951" s="448">
        <f>Simulation!M967</f>
        <v>385982.69783402025</v>
      </c>
    </row>
    <row r="952" spans="1:2" ht="12" customHeight="1" x14ac:dyDescent="0.15">
      <c r="A952" s="448">
        <f>Simulation!O968</f>
        <v>0.62724521360204699</v>
      </c>
      <c r="B952" s="448">
        <f>Simulation!M968</f>
        <v>433288.73772745632</v>
      </c>
    </row>
    <row r="953" spans="1:2" ht="12" customHeight="1" x14ac:dyDescent="0.15">
      <c r="A953" s="448">
        <f>Simulation!O969</f>
        <v>0.68593428535616097</v>
      </c>
      <c r="B953" s="448">
        <f>Simulation!M969</f>
        <v>576849.76772517944</v>
      </c>
    </row>
    <row r="954" spans="1:2" ht="12" customHeight="1" x14ac:dyDescent="0.15">
      <c r="A954" s="448">
        <f>Simulation!O970</f>
        <v>0.21957678637931766</v>
      </c>
      <c r="B954" s="448">
        <f>Simulation!M970</f>
        <v>446736.44476510969</v>
      </c>
    </row>
    <row r="955" spans="1:2" ht="12" customHeight="1" x14ac:dyDescent="0.15">
      <c r="A955" s="448">
        <f>Simulation!O971</f>
        <v>3.6812186203830422E-2</v>
      </c>
      <c r="B955" s="448">
        <f>Simulation!M971</f>
        <v>365449.6825244652</v>
      </c>
    </row>
    <row r="956" spans="1:2" ht="12" customHeight="1" x14ac:dyDescent="0.15">
      <c r="A956" s="448">
        <f>Simulation!O972</f>
        <v>0.65452832834260599</v>
      </c>
      <c r="B956" s="448">
        <f>Simulation!M972</f>
        <v>512319.159135264</v>
      </c>
    </row>
    <row r="957" spans="1:2" ht="12" customHeight="1" x14ac:dyDescent="0.15">
      <c r="A957" s="448">
        <f>Simulation!O973</f>
        <v>0.40042156703423837</v>
      </c>
      <c r="B957" s="448">
        <f>Simulation!M973</f>
        <v>420385.55920483847</v>
      </c>
    </row>
    <row r="958" spans="1:2" ht="12" customHeight="1" x14ac:dyDescent="0.15">
      <c r="A958" s="448">
        <f>Simulation!O974</f>
        <v>0.37053434447713562</v>
      </c>
      <c r="B958" s="448">
        <f>Simulation!M974</f>
        <v>524485.60173393087</v>
      </c>
    </row>
    <row r="959" spans="1:2" ht="12" customHeight="1" x14ac:dyDescent="0.15">
      <c r="A959" s="448">
        <f>Simulation!O975</f>
        <v>0.6092895121315669</v>
      </c>
      <c r="B959" s="448">
        <f>Simulation!M975</f>
        <v>535665.02763746947</v>
      </c>
    </row>
    <row r="960" spans="1:2" ht="12" customHeight="1" x14ac:dyDescent="0.15">
      <c r="A960" s="448">
        <f>Simulation!O976</f>
        <v>0.74335041114692757</v>
      </c>
      <c r="B960" s="448">
        <f>Simulation!M976</f>
        <v>524671.34463681991</v>
      </c>
    </row>
    <row r="961" spans="1:2" ht="12" customHeight="1" x14ac:dyDescent="0.15">
      <c r="A961" s="448">
        <f>Simulation!O977</f>
        <v>0.44460738106880937</v>
      </c>
      <c r="B961" s="448">
        <f>Simulation!M977</f>
        <v>422618.45843582472</v>
      </c>
    </row>
    <row r="962" spans="1:2" ht="12" customHeight="1" x14ac:dyDescent="0.15">
      <c r="A962" s="448">
        <f>Simulation!O978</f>
        <v>0.17427820234931124</v>
      </c>
      <c r="B962" s="448">
        <f>Simulation!M978</f>
        <v>449082.69954441336</v>
      </c>
    </row>
    <row r="963" spans="1:2" ht="12" customHeight="1" x14ac:dyDescent="0.15">
      <c r="A963" s="448">
        <f>Simulation!O979</f>
        <v>0.50483508416340417</v>
      </c>
      <c r="B963" s="448">
        <f>Simulation!M979</f>
        <v>446316.16642494348</v>
      </c>
    </row>
    <row r="964" spans="1:2" ht="12" customHeight="1" x14ac:dyDescent="0.15">
      <c r="A964" s="448">
        <f>Simulation!O980</f>
        <v>0.57346001353695719</v>
      </c>
      <c r="B964" s="448">
        <f>Simulation!M980</f>
        <v>464745.05245121097</v>
      </c>
    </row>
    <row r="965" spans="1:2" ht="12" customHeight="1" x14ac:dyDescent="0.15">
      <c r="A965" s="448">
        <f>Simulation!O981</f>
        <v>0.42996708301866171</v>
      </c>
      <c r="B965" s="448">
        <f>Simulation!M981</f>
        <v>418964.97749696299</v>
      </c>
    </row>
    <row r="966" spans="1:2" ht="12" customHeight="1" x14ac:dyDescent="0.15">
      <c r="A966" s="448">
        <f>Simulation!O982</f>
        <v>0.52549667507607878</v>
      </c>
      <c r="B966" s="448">
        <f>Simulation!M982</f>
        <v>444793.18867010501</v>
      </c>
    </row>
    <row r="967" spans="1:2" ht="12" customHeight="1" x14ac:dyDescent="0.15">
      <c r="A967" s="448">
        <f>Simulation!O983</f>
        <v>0.78023369580790369</v>
      </c>
      <c r="B967" s="448">
        <f>Simulation!M983</f>
        <v>451920.44072536612</v>
      </c>
    </row>
    <row r="968" spans="1:2" ht="12" customHeight="1" x14ac:dyDescent="0.15">
      <c r="A968" s="448">
        <f>Simulation!O984</f>
        <v>0.17411694271208278</v>
      </c>
      <c r="B968" s="448">
        <f>Simulation!M984</f>
        <v>472298.15861811925</v>
      </c>
    </row>
    <row r="969" spans="1:2" ht="12" customHeight="1" x14ac:dyDescent="0.15">
      <c r="A969" s="448">
        <f>Simulation!O985</f>
        <v>0.37385189552590026</v>
      </c>
      <c r="B969" s="448">
        <f>Simulation!M985</f>
        <v>406995.28412963951</v>
      </c>
    </row>
    <row r="970" spans="1:2" ht="12" customHeight="1" x14ac:dyDescent="0.15">
      <c r="A970" s="448">
        <f>Simulation!O986</f>
        <v>0.48990506244998633</v>
      </c>
      <c r="B970" s="448">
        <f>Simulation!M986</f>
        <v>430958.1604426236</v>
      </c>
    </row>
    <row r="971" spans="1:2" ht="12" customHeight="1" x14ac:dyDescent="0.15">
      <c r="A971" s="448">
        <f>Simulation!O987</f>
        <v>0.27126323336270097</v>
      </c>
      <c r="B971" s="448">
        <f>Simulation!M987</f>
        <v>439086.74365923647</v>
      </c>
    </row>
    <row r="972" spans="1:2" ht="12" customHeight="1" x14ac:dyDescent="0.15">
      <c r="A972" s="448">
        <f>Simulation!O988</f>
        <v>0.16963920132589827</v>
      </c>
      <c r="B972" s="448">
        <f>Simulation!M988</f>
        <v>363693.88027259824</v>
      </c>
    </row>
    <row r="973" spans="1:2" ht="12" customHeight="1" x14ac:dyDescent="0.15">
      <c r="A973" s="448">
        <f>Simulation!O989</f>
        <v>4.993554969402636E-2</v>
      </c>
      <c r="B973" s="448">
        <f>Simulation!M989</f>
        <v>438031.67142913264</v>
      </c>
    </row>
    <row r="974" spans="1:2" ht="12" customHeight="1" x14ac:dyDescent="0.15">
      <c r="A974" s="448">
        <f>Simulation!O990</f>
        <v>0.34881786996889685</v>
      </c>
      <c r="B974" s="448">
        <f>Simulation!M990</f>
        <v>410392.79811002791</v>
      </c>
    </row>
    <row r="975" spans="1:2" ht="12" customHeight="1" x14ac:dyDescent="0.15">
      <c r="A975" s="448">
        <f>Simulation!O991</f>
        <v>0.26582903096608046</v>
      </c>
      <c r="B975" s="448">
        <f>Simulation!M991</f>
        <v>393834.29539869016</v>
      </c>
    </row>
    <row r="976" spans="1:2" ht="12" customHeight="1" x14ac:dyDescent="0.15">
      <c r="A976" s="448">
        <f>Simulation!O992</f>
        <v>0.479185640826713</v>
      </c>
      <c r="B976" s="448">
        <f>Simulation!M992</f>
        <v>482760.79294848989</v>
      </c>
    </row>
    <row r="977" spans="1:2" ht="12" customHeight="1" x14ac:dyDescent="0.15">
      <c r="A977" s="448">
        <f>Simulation!O993</f>
        <v>0.443951270823157</v>
      </c>
      <c r="B977" s="448">
        <f>Simulation!M993</f>
        <v>428803.45845305384</v>
      </c>
    </row>
    <row r="978" spans="1:2" ht="12" customHeight="1" x14ac:dyDescent="0.15">
      <c r="A978" s="448">
        <f>Simulation!O994</f>
        <v>0.56398407430854425</v>
      </c>
      <c r="B978" s="448">
        <f>Simulation!M994</f>
        <v>501930.23443398136</v>
      </c>
    </row>
    <row r="979" spans="1:2" ht="12" customHeight="1" x14ac:dyDescent="0.15">
      <c r="A979" s="448">
        <f>Simulation!O995</f>
        <v>0.49052018908323269</v>
      </c>
      <c r="B979" s="448">
        <f>Simulation!M995</f>
        <v>395929.1847791496</v>
      </c>
    </row>
    <row r="980" spans="1:2" ht="12" customHeight="1" x14ac:dyDescent="0.15">
      <c r="A980" s="448">
        <f>Simulation!O996</f>
        <v>0.55235024471600536</v>
      </c>
      <c r="B980" s="448">
        <f>Simulation!M996</f>
        <v>421947.93936128402</v>
      </c>
    </row>
    <row r="981" spans="1:2" ht="12" customHeight="1" x14ac:dyDescent="0.15">
      <c r="A981" s="448">
        <f>Simulation!O997</f>
        <v>0.29064633385674554</v>
      </c>
      <c r="B981" s="448">
        <f>Simulation!M997</f>
        <v>445395.36029765155</v>
      </c>
    </row>
    <row r="982" spans="1:2" ht="12" customHeight="1" x14ac:dyDescent="0.15">
      <c r="A982" s="448">
        <f>Simulation!O998</f>
        <v>0.67211207671111239</v>
      </c>
      <c r="B982" s="448">
        <f>Simulation!M998</f>
        <v>458259.94421874976</v>
      </c>
    </row>
    <row r="983" spans="1:2" ht="12" customHeight="1" x14ac:dyDescent="0.15">
      <c r="A983" s="448">
        <f>Simulation!O999</f>
        <v>0.36953645852888473</v>
      </c>
      <c r="B983" s="448">
        <f>Simulation!M999</f>
        <v>529337.34731218999</v>
      </c>
    </row>
    <row r="984" spans="1:2" ht="12" customHeight="1" x14ac:dyDescent="0.15">
      <c r="A984" s="448">
        <f>Simulation!O1000</f>
        <v>0.34100917096495209</v>
      </c>
      <c r="B984" s="448">
        <f>Simulation!M1000</f>
        <v>429413.76518831425</v>
      </c>
    </row>
    <row r="985" spans="1:2" ht="12" customHeight="1" x14ac:dyDescent="0.15">
      <c r="A985" s="448">
        <f>Simulation!O1001</f>
        <v>0.46180188295139146</v>
      </c>
      <c r="B985" s="448">
        <f>Simulation!M1001</f>
        <v>462002.17897287291</v>
      </c>
    </row>
    <row r="986" spans="1:2" ht="12" customHeight="1" x14ac:dyDescent="0.15">
      <c r="A986" s="448">
        <f>Simulation!O1002</f>
        <v>0.23585566886273268</v>
      </c>
      <c r="B986" s="448">
        <f>Simulation!M1002</f>
        <v>386146.51897236408</v>
      </c>
    </row>
    <row r="987" spans="1:2" ht="12" customHeight="1" x14ac:dyDescent="0.15">
      <c r="A987" s="448">
        <f>Simulation!O1003</f>
        <v>8.5618809302845378E-2</v>
      </c>
      <c r="B987" s="448">
        <f>Simulation!M1003</f>
        <v>363534.394277082</v>
      </c>
    </row>
    <row r="988" spans="1:2" ht="12" customHeight="1" x14ac:dyDescent="0.15">
      <c r="A988" s="448">
        <f>Simulation!O1004</f>
        <v>0.6081604285161033</v>
      </c>
      <c r="B988" s="448">
        <f>Simulation!M1004</f>
        <v>507132.44279750326</v>
      </c>
    </row>
    <row r="989" spans="1:2" ht="12" customHeight="1" x14ac:dyDescent="0.15">
      <c r="A989" s="448">
        <f>Simulation!O1005</f>
        <v>0.27997771311793507</v>
      </c>
      <c r="B989" s="448">
        <f>Simulation!M1005</f>
        <v>399236.98584404367</v>
      </c>
    </row>
    <row r="990" spans="1:2" ht="12" customHeight="1" x14ac:dyDescent="0.15">
      <c r="A990" s="448">
        <f>Simulation!O1006</f>
        <v>0.5151921693933792</v>
      </c>
      <c r="B990" s="448">
        <f>Simulation!M1006</f>
        <v>431613.9598433841</v>
      </c>
    </row>
    <row r="991" spans="1:2" ht="12" customHeight="1" x14ac:dyDescent="0.15">
      <c r="A991" s="448">
        <f>Simulation!O1007</f>
        <v>0.14735526426419066</v>
      </c>
      <c r="B991" s="448">
        <f>Simulation!M1007</f>
        <v>437292.01784630888</v>
      </c>
    </row>
    <row r="992" spans="1:2" ht="12" customHeight="1" x14ac:dyDescent="0.15">
      <c r="A992" s="448">
        <f>Simulation!O1008</f>
        <v>0.64428261682229859</v>
      </c>
      <c r="B992" s="448">
        <f>Simulation!M1008</f>
        <v>446960.16591976315</v>
      </c>
    </row>
    <row r="993" spans="1:2" ht="12" customHeight="1" x14ac:dyDescent="0.15">
      <c r="A993" s="448">
        <f>Simulation!O1009</f>
        <v>0.62108420430761724</v>
      </c>
      <c r="B993" s="448">
        <f>Simulation!M1009</f>
        <v>416660.89392998256</v>
      </c>
    </row>
    <row r="994" spans="1:2" ht="12" customHeight="1" x14ac:dyDescent="0.15">
      <c r="A994" s="448">
        <f>Simulation!O1010</f>
        <v>0.8068656621973298</v>
      </c>
      <c r="B994" s="448">
        <f>Simulation!M1010</f>
        <v>479998.94754041568</v>
      </c>
    </row>
    <row r="995" spans="1:2" ht="12" customHeight="1" x14ac:dyDescent="0.15">
      <c r="A995" s="448">
        <f>Simulation!O1011</f>
        <v>0.2221736909061871</v>
      </c>
      <c r="B995" s="448">
        <f>Simulation!M1011</f>
        <v>385950.77227914351</v>
      </c>
    </row>
    <row r="996" spans="1:2" ht="12" customHeight="1" x14ac:dyDescent="0.15">
      <c r="A996" s="448">
        <f>Simulation!O1012</f>
        <v>0.49895334196732</v>
      </c>
      <c r="B996" s="448">
        <f>Simulation!M1012</f>
        <v>452131.37712251511</v>
      </c>
    </row>
    <row r="997" spans="1:2" ht="12" customHeight="1" x14ac:dyDescent="0.15">
      <c r="A997" s="448">
        <f>Simulation!O1013</f>
        <v>0.35039985949469443</v>
      </c>
      <c r="B997" s="448">
        <f>Simulation!M1013</f>
        <v>454636.85927140096</v>
      </c>
    </row>
    <row r="998" spans="1:2" ht="12" customHeight="1" x14ac:dyDescent="0.15">
      <c r="A998" s="448">
        <f>Simulation!O1014</f>
        <v>0.56199274397809429</v>
      </c>
      <c r="B998" s="448">
        <f>Simulation!M1014</f>
        <v>575803.93321868416</v>
      </c>
    </row>
    <row r="999" spans="1:2" ht="12" customHeight="1" x14ac:dyDescent="0.15">
      <c r="A999" s="448">
        <f>Simulation!O1015</f>
        <v>0.80375294369541672</v>
      </c>
      <c r="B999" s="448">
        <f>Simulation!M1015</f>
        <v>421681.9454253146</v>
      </c>
    </row>
    <row r="1000" spans="1:2" ht="12" customHeight="1" x14ac:dyDescent="0.15">
      <c r="A1000" s="448">
        <f>Simulation!O1016</f>
        <v>0.15825689149333311</v>
      </c>
      <c r="B1000" s="448">
        <f>Simulation!M1016</f>
        <v>466651.48387823644</v>
      </c>
    </row>
    <row r="1001" spans="1:2" ht="12" customHeight="1" x14ac:dyDescent="0.15">
      <c r="A1001" s="448">
        <f>Simulation!O1017</f>
        <v>0.38755459410696869</v>
      </c>
      <c r="B1001" s="448">
        <f>Simulation!M1017</f>
        <v>416464.16509364505</v>
      </c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42"/>
  <sheetViews>
    <sheetView zoomScale="61" zoomScaleNormal="61" workbookViewId="0">
      <selection activeCell="AA28" sqref="AA28"/>
    </sheetView>
  </sheetViews>
  <sheetFormatPr baseColWidth="10" defaultColWidth="8.83203125" defaultRowHeight="13" x14ac:dyDescent="0.15"/>
  <cols>
    <col min="1" max="1" width="13.33203125" style="448" customWidth="1"/>
    <col min="2" max="2" width="23.6640625" style="448" customWidth="1"/>
    <col min="3" max="4" width="8.83203125" style="429" customWidth="1"/>
    <col min="5" max="16384" width="8.83203125" style="429"/>
  </cols>
  <sheetData>
    <row r="1" spans="1:2" ht="12" customHeight="1" x14ac:dyDescent="0.15">
      <c r="A1" s="450" t="s">
        <v>732</v>
      </c>
      <c r="B1" s="450" t="s">
        <v>733</v>
      </c>
    </row>
    <row r="2" spans="1:2" ht="12" customHeight="1" x14ac:dyDescent="0.15">
      <c r="A2" s="448">
        <v>0</v>
      </c>
      <c r="B2" s="448">
        <f>SUMPRODUCT((A2*Simulation!$O$18:$O$1017-Simulation!$M$18:$M$1017&gt;0)*1)/COUNTA(Simulation!$D$18:$D$1017)</f>
        <v>0</v>
      </c>
    </row>
    <row r="3" spans="1:2" ht="12" customHeight="1" x14ac:dyDescent="0.15">
      <c r="A3" s="448">
        <v>50000</v>
      </c>
      <c r="B3" s="448">
        <f>SUMPRODUCT((A3*Simulation!$O$18:$O$1017-Simulation!$M$18:$M$1017&gt;0)*1)/COUNTA(Simulation!$D$18:$D$1017)</f>
        <v>0</v>
      </c>
    </row>
    <row r="4" spans="1:2" ht="12" customHeight="1" x14ac:dyDescent="0.15">
      <c r="A4" s="448">
        <v>100000</v>
      </c>
      <c r="B4" s="448">
        <f>SUMPRODUCT((A4*Simulation!$O$18:$O$1017-Simulation!$M$18:$M$1017&gt;0)*1)/COUNTA(Simulation!$D$18:$D$1017)</f>
        <v>0</v>
      </c>
    </row>
    <row r="5" spans="1:2" ht="12" customHeight="1" x14ac:dyDescent="0.15">
      <c r="A5" s="448">
        <v>150000</v>
      </c>
      <c r="B5" s="448">
        <f>SUMPRODUCT((A5*Simulation!$O$18:$O$1017-Simulation!$M$18:$M$1017&gt;0)*1)/COUNTA(Simulation!$D$18:$D$1017)</f>
        <v>0</v>
      </c>
    </row>
    <row r="6" spans="1:2" ht="12" customHeight="1" x14ac:dyDescent="0.15">
      <c r="A6" s="448">
        <v>200000</v>
      </c>
      <c r="B6" s="448">
        <f>SUMPRODUCT((A6*Simulation!$O$18:$O$1017-Simulation!$M$18:$M$1017&gt;0)*1)/COUNTA(Simulation!$D$18:$D$1017)</f>
        <v>0</v>
      </c>
    </row>
    <row r="7" spans="1:2" ht="12" customHeight="1" x14ac:dyDescent="0.15">
      <c r="A7" s="448">
        <v>250000</v>
      </c>
      <c r="B7" s="448">
        <f>SUMPRODUCT((A7*Simulation!$O$18:$O$1017-Simulation!$M$18:$M$1017&gt;0)*1)/COUNTA(Simulation!$D$18:$D$1017)</f>
        <v>0</v>
      </c>
    </row>
    <row r="8" spans="1:2" ht="12" customHeight="1" x14ac:dyDescent="0.15">
      <c r="A8" s="448">
        <v>300000</v>
      </c>
      <c r="B8" s="448">
        <f>SUMPRODUCT((A8*Simulation!$O$18:$O$1017-Simulation!$M$18:$M$1017&gt;0)*1)/COUNTA(Simulation!$D$18:$D$1017)</f>
        <v>0</v>
      </c>
    </row>
    <row r="9" spans="1:2" ht="12" customHeight="1" x14ac:dyDescent="0.15">
      <c r="A9" s="448">
        <v>350000</v>
      </c>
      <c r="B9" s="448">
        <f>SUMPRODUCT((A9*Simulation!$O$18:$O$1017-Simulation!$M$18:$M$1017&gt;0)*1)/COUNTA(Simulation!$D$18:$D$1017)</f>
        <v>0</v>
      </c>
    </row>
    <row r="10" spans="1:2" ht="12" customHeight="1" x14ac:dyDescent="0.15">
      <c r="A10" s="448">
        <v>400000</v>
      </c>
      <c r="B10" s="448">
        <f>SUMPRODUCT((A10*Simulation!$O$18:$O$1017-Simulation!$M$18:$M$1017&gt;0)*1)/COUNTA(Simulation!$D$18:$D$1017)</f>
        <v>0</v>
      </c>
    </row>
    <row r="11" spans="1:2" ht="12" customHeight="1" x14ac:dyDescent="0.15">
      <c r="A11" s="448">
        <v>450000</v>
      </c>
      <c r="B11" s="448">
        <f>SUMPRODUCT((A11*Simulation!$O$18:$O$1017-Simulation!$M$18:$M$1017&gt;0)*1)/COUNTA(Simulation!$D$18:$D$1017)</f>
        <v>7.0000000000000001E-3</v>
      </c>
    </row>
    <row r="12" spans="1:2" ht="12" customHeight="1" x14ac:dyDescent="0.15">
      <c r="A12" s="448">
        <v>500000</v>
      </c>
      <c r="B12" s="448">
        <f>SUMPRODUCT((A12*Simulation!$O$18:$O$1017-Simulation!$M$18:$M$1017&gt;0)*1)/COUNTA(Simulation!$D$18:$D$1017)</f>
        <v>1.4E-2</v>
      </c>
    </row>
    <row r="13" spans="1:2" ht="12" customHeight="1" x14ac:dyDescent="0.15">
      <c r="A13" s="448">
        <v>550000</v>
      </c>
      <c r="B13" s="448">
        <f>SUMPRODUCT((A13*Simulation!$O$18:$O$1017-Simulation!$M$18:$M$1017&gt;0)*1)/COUNTA(Simulation!$D$18:$D$1017)</f>
        <v>3.3000000000000002E-2</v>
      </c>
    </row>
    <row r="14" spans="1:2" ht="12" customHeight="1" x14ac:dyDescent="0.15">
      <c r="A14" s="448">
        <v>600000</v>
      </c>
      <c r="B14" s="448">
        <f>SUMPRODUCT((A14*Simulation!$O$18:$O$1017-Simulation!$M$18:$M$1017&gt;0)*1)/COUNTA(Simulation!$D$18:$D$1017)</f>
        <v>5.8999999999999997E-2</v>
      </c>
    </row>
    <row r="15" spans="1:2" ht="12" customHeight="1" x14ac:dyDescent="0.15">
      <c r="A15" s="448">
        <v>650000</v>
      </c>
      <c r="B15" s="448">
        <f>SUMPRODUCT((A15*Simulation!$O$18:$O$1017-Simulation!$M$18:$M$1017&gt;0)*1)/COUNTA(Simulation!$D$18:$D$1017)</f>
        <v>0.10100000000000001</v>
      </c>
    </row>
    <row r="16" spans="1:2" ht="12" customHeight="1" x14ac:dyDescent="0.15">
      <c r="A16" s="448">
        <v>700000</v>
      </c>
      <c r="B16" s="448">
        <f>SUMPRODUCT((A16*Simulation!$O$18:$O$1017-Simulation!$M$18:$M$1017&gt;0)*1)/COUNTA(Simulation!$D$18:$D$1017)</f>
        <v>0.155</v>
      </c>
    </row>
    <row r="17" spans="1:2" ht="12" customHeight="1" x14ac:dyDescent="0.15">
      <c r="A17" s="448">
        <v>750000</v>
      </c>
      <c r="B17" s="448">
        <f>SUMPRODUCT((A17*Simulation!$O$18:$O$1017-Simulation!$M$18:$M$1017&gt;0)*1)/COUNTA(Simulation!$D$18:$D$1017)</f>
        <v>0.20799999999999999</v>
      </c>
    </row>
    <row r="18" spans="1:2" ht="12" customHeight="1" x14ac:dyDescent="0.15">
      <c r="A18" s="448">
        <v>800000</v>
      </c>
      <c r="B18" s="448">
        <f>SUMPRODUCT((A18*Simulation!$O$18:$O$1017-Simulation!$M$18:$M$1017&gt;0)*1)/COUNTA(Simulation!$D$18:$D$1017)</f>
        <v>0.25800000000000001</v>
      </c>
    </row>
    <row r="19" spans="1:2" ht="12" customHeight="1" x14ac:dyDescent="0.15">
      <c r="A19" s="448">
        <v>850000</v>
      </c>
      <c r="B19" s="448">
        <f>SUMPRODUCT((A19*Simulation!$O$18:$O$1017-Simulation!$M$18:$M$1017&gt;0)*1)/COUNTA(Simulation!$D$18:$D$1017)</f>
        <v>0.32200000000000001</v>
      </c>
    </row>
    <row r="20" spans="1:2" ht="12" customHeight="1" x14ac:dyDescent="0.15">
      <c r="A20" s="448">
        <v>900000</v>
      </c>
      <c r="B20" s="448">
        <f>SUMPRODUCT((A20*Simulation!$O$18:$O$1017-Simulation!$M$18:$M$1017&gt;0)*1)/COUNTA(Simulation!$D$18:$D$1017)</f>
        <v>0.378</v>
      </c>
    </row>
    <row r="21" spans="1:2" ht="12" customHeight="1" x14ac:dyDescent="0.15">
      <c r="A21" s="448">
        <v>950000</v>
      </c>
      <c r="B21" s="448">
        <f>SUMPRODUCT((A21*Simulation!$O$18:$O$1017-Simulation!$M$18:$M$1017&gt;0)*1)/COUNTA(Simulation!$D$18:$D$1017)</f>
        <v>0.41899999999999998</v>
      </c>
    </row>
    <row r="22" spans="1:2" ht="12" customHeight="1" x14ac:dyDescent="0.15">
      <c r="A22" s="448">
        <v>1000000</v>
      </c>
      <c r="B22" s="448">
        <f>SUMPRODUCT((A22*Simulation!$O$18:$O$1017-Simulation!$M$18:$M$1017&gt;0)*1)/COUNTA(Simulation!$D$18:$D$1017)</f>
        <v>0.45700000000000002</v>
      </c>
    </row>
    <row r="23" spans="1:2" ht="12" customHeight="1" x14ac:dyDescent="0.15">
      <c r="A23" s="448">
        <v>1050000</v>
      </c>
      <c r="B23" s="448">
        <f>SUMPRODUCT((A23*Simulation!$O$18:$O$1017-Simulation!$M$18:$M$1017&gt;0)*1)/COUNTA(Simulation!$D$18:$D$1017)</f>
        <v>0.497</v>
      </c>
    </row>
    <row r="24" spans="1:2" ht="12" customHeight="1" x14ac:dyDescent="0.15">
      <c r="A24" s="448">
        <v>1100000</v>
      </c>
      <c r="B24" s="448">
        <f>SUMPRODUCT((A24*Simulation!$O$18:$O$1017-Simulation!$M$18:$M$1017&gt;0)*1)/COUNTA(Simulation!$D$18:$D$1017)</f>
        <v>0.52600000000000002</v>
      </c>
    </row>
    <row r="25" spans="1:2" ht="12" customHeight="1" x14ac:dyDescent="0.15">
      <c r="A25" s="448">
        <v>1150000</v>
      </c>
      <c r="B25" s="448">
        <f>SUMPRODUCT((A25*Simulation!$O$18:$O$1017-Simulation!$M$18:$M$1017&gt;0)*1)/COUNTA(Simulation!$D$18:$D$1017)</f>
        <v>0.55100000000000005</v>
      </c>
    </row>
    <row r="26" spans="1:2" ht="12" customHeight="1" x14ac:dyDescent="0.15">
      <c r="A26" s="448">
        <v>1200000</v>
      </c>
      <c r="B26" s="448">
        <f>SUMPRODUCT((A26*Simulation!$O$18:$O$1017-Simulation!$M$18:$M$1017&gt;0)*1)/COUNTA(Simulation!$D$18:$D$1017)</f>
        <v>0.57799999999999996</v>
      </c>
    </row>
    <row r="27" spans="1:2" ht="12" customHeight="1" x14ac:dyDescent="0.15">
      <c r="A27" s="448">
        <v>1250000</v>
      </c>
      <c r="B27" s="448">
        <f>SUMPRODUCT((A27*Simulation!$O$18:$O$1017-Simulation!$M$18:$M$1017&gt;0)*1)/COUNTA(Simulation!$D$18:$D$1017)</f>
        <v>0.60299999999999998</v>
      </c>
    </row>
    <row r="28" spans="1:2" ht="12" customHeight="1" x14ac:dyDescent="0.15">
      <c r="A28" s="448">
        <v>1300000</v>
      </c>
      <c r="B28" s="448">
        <f>SUMPRODUCT((A28*Simulation!$O$18:$O$1017-Simulation!$M$18:$M$1017&gt;0)*1)/COUNTA(Simulation!$D$18:$D$1017)</f>
        <v>0.621</v>
      </c>
    </row>
    <row r="29" spans="1:2" ht="12" customHeight="1" x14ac:dyDescent="0.15">
      <c r="A29" s="448">
        <v>1350000</v>
      </c>
      <c r="B29" s="448">
        <f>SUMPRODUCT((A29*Simulation!$O$18:$O$1017-Simulation!$M$18:$M$1017&gt;0)*1)/COUNTA(Simulation!$D$18:$D$1017)</f>
        <v>0.63700000000000001</v>
      </c>
    </row>
    <row r="30" spans="1:2" ht="12" customHeight="1" x14ac:dyDescent="0.15">
      <c r="A30" s="448">
        <v>1400000</v>
      </c>
      <c r="B30" s="448">
        <f>SUMPRODUCT((A30*Simulation!$O$18:$O$1017-Simulation!$M$18:$M$1017&gt;0)*1)/COUNTA(Simulation!$D$18:$D$1017)</f>
        <v>0.64600000000000002</v>
      </c>
    </row>
    <row r="31" spans="1:2" ht="12" customHeight="1" x14ac:dyDescent="0.15">
      <c r="A31" s="448">
        <v>1450000</v>
      </c>
      <c r="B31" s="448">
        <f>SUMPRODUCT((A31*Simulation!$O$18:$O$1017-Simulation!$M$18:$M$1017&gt;0)*1)/COUNTA(Simulation!$D$18:$D$1017)</f>
        <v>0.67200000000000004</v>
      </c>
    </row>
    <row r="32" spans="1:2" ht="12" customHeight="1" x14ac:dyDescent="0.15">
      <c r="A32" s="448">
        <v>1500000</v>
      </c>
      <c r="B32" s="448">
        <f>SUMPRODUCT((A32*Simulation!$O$18:$O$1017-Simulation!$M$18:$M$1017&gt;0)*1)/COUNTA(Simulation!$D$18:$D$1017)</f>
        <v>0.68300000000000005</v>
      </c>
    </row>
    <row r="33" spans="1:2" ht="12" customHeight="1" x14ac:dyDescent="0.15">
      <c r="A33" s="448">
        <v>1550000</v>
      </c>
      <c r="B33" s="448">
        <f>SUMPRODUCT((A33*Simulation!$O$18:$O$1017-Simulation!$M$18:$M$1017&gt;0)*1)/COUNTA(Simulation!$D$18:$D$1017)</f>
        <v>0.69299999999999995</v>
      </c>
    </row>
    <row r="34" spans="1:2" ht="12" customHeight="1" x14ac:dyDescent="0.15">
      <c r="A34" s="448">
        <v>1600000</v>
      </c>
      <c r="B34" s="448">
        <f>SUMPRODUCT((A34*Simulation!$O$18:$O$1017-Simulation!$M$18:$M$1017&gt;0)*1)/COUNTA(Simulation!$D$18:$D$1017)</f>
        <v>0.70299999999999996</v>
      </c>
    </row>
    <row r="35" spans="1:2" ht="12" customHeight="1" x14ac:dyDescent="0.15">
      <c r="A35" s="448">
        <v>1650000</v>
      </c>
      <c r="B35" s="448">
        <f>SUMPRODUCT((A35*Simulation!$O$18:$O$1017-Simulation!$M$18:$M$1017&gt;0)*1)/COUNTA(Simulation!$D$18:$D$1017)</f>
        <v>0.72399999999999998</v>
      </c>
    </row>
    <row r="36" spans="1:2" ht="12" customHeight="1" x14ac:dyDescent="0.15">
      <c r="A36" s="448">
        <v>1700000</v>
      </c>
      <c r="B36" s="448">
        <f>SUMPRODUCT((A36*Simulation!$O$18:$O$1017-Simulation!$M$18:$M$1017&gt;0)*1)/COUNTA(Simulation!$D$18:$D$1017)</f>
        <v>0.73799999999999999</v>
      </c>
    </row>
    <row r="37" spans="1:2" ht="12" customHeight="1" x14ac:dyDescent="0.15">
      <c r="A37" s="448">
        <v>1750000</v>
      </c>
      <c r="B37" s="448">
        <f>SUMPRODUCT((A37*Simulation!$O$18:$O$1017-Simulation!$M$18:$M$1017&gt;0)*1)/COUNTA(Simulation!$D$18:$D$1017)</f>
        <v>0.745</v>
      </c>
    </row>
    <row r="38" spans="1:2" ht="12" customHeight="1" x14ac:dyDescent="0.15">
      <c r="A38" s="448">
        <v>1800000</v>
      </c>
      <c r="B38" s="448">
        <f>SUMPRODUCT((A38*Simulation!$O$18:$O$1017-Simulation!$M$18:$M$1017&gt;0)*1)/COUNTA(Simulation!$D$18:$D$1017)</f>
        <v>0.747</v>
      </c>
    </row>
    <row r="39" spans="1:2" ht="12" customHeight="1" x14ac:dyDescent="0.15">
      <c r="A39" s="448">
        <v>1850000</v>
      </c>
      <c r="B39" s="448">
        <f>SUMPRODUCT((A39*Simulation!$O$18:$O$1017-Simulation!$M$18:$M$1017&gt;0)*1)/COUNTA(Simulation!$D$18:$D$1017)</f>
        <v>0.753</v>
      </c>
    </row>
    <row r="40" spans="1:2" ht="12" customHeight="1" x14ac:dyDescent="0.15">
      <c r="A40" s="448">
        <v>1900000</v>
      </c>
      <c r="B40" s="448">
        <f>SUMPRODUCT((A40*Simulation!$O$18:$O$1017-Simulation!$M$18:$M$1017&gt;0)*1)/COUNTA(Simulation!$D$18:$D$1017)</f>
        <v>0.76200000000000001</v>
      </c>
    </row>
    <row r="41" spans="1:2" ht="12" customHeight="1" x14ac:dyDescent="0.15">
      <c r="A41" s="448">
        <v>1950000</v>
      </c>
      <c r="B41" s="448">
        <f>SUMPRODUCT((A41*Simulation!$O$18:$O$1017-Simulation!$M$18:$M$1017&gt;0)*1)/COUNTA(Simulation!$D$18:$D$1017)</f>
        <v>0.77</v>
      </c>
    </row>
    <row r="42" spans="1:2" ht="12" customHeight="1" x14ac:dyDescent="0.15">
      <c r="A42" s="448">
        <v>2000000</v>
      </c>
      <c r="B42" s="448">
        <f>SUMPRODUCT((A42*Simulation!$O$18:$O$1017-Simulation!$M$18:$M$1017&gt;0)*1)/COUNTA(Simulation!$D$18:$D$1017)</f>
        <v>0.77400000000000002</v>
      </c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1"/>
  <sheetViews>
    <sheetView tabSelected="1" zoomScale="42" zoomScaleNormal="54" workbookViewId="0">
      <selection activeCell="P19" sqref="P19"/>
    </sheetView>
  </sheetViews>
  <sheetFormatPr baseColWidth="10" defaultColWidth="8.6640625" defaultRowHeight="13" x14ac:dyDescent="0.15"/>
  <cols>
    <col min="1" max="1" width="31.5" customWidth="1"/>
    <col min="2" max="9" width="12" customWidth="1"/>
    <col min="10" max="10" width="194.6640625" customWidth="1"/>
  </cols>
  <sheetData>
    <row r="1" spans="1:10" ht="24" customHeight="1" x14ac:dyDescent="0.15">
      <c r="A1" s="516" t="s">
        <v>45</v>
      </c>
      <c r="B1" s="517"/>
      <c r="C1" s="517"/>
      <c r="D1" s="517"/>
      <c r="E1" s="517"/>
      <c r="F1" s="517"/>
      <c r="G1" s="517"/>
      <c r="H1" s="517"/>
      <c r="I1" s="517"/>
      <c r="J1" s="2"/>
    </row>
    <row r="2" spans="1:10" ht="15.75" customHeight="1" x14ac:dyDescent="0.15">
      <c r="A2" s="28" t="s">
        <v>46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12" customHeight="1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</row>
    <row r="4" spans="1:10" ht="15.75" customHeight="1" x14ac:dyDescent="0.15">
      <c r="A4" s="66"/>
      <c r="B4" s="66"/>
      <c r="C4" s="66"/>
      <c r="D4" s="66"/>
      <c r="E4" s="66"/>
      <c r="F4" s="66"/>
      <c r="G4" s="66"/>
      <c r="H4" s="66"/>
      <c r="I4" s="66"/>
      <c r="J4" s="66"/>
    </row>
    <row r="5" spans="1:10" ht="15.75" customHeight="1" x14ac:dyDescent="0.15">
      <c r="A5" s="66"/>
      <c r="B5" s="66"/>
      <c r="C5" s="66"/>
      <c r="D5" s="66"/>
      <c r="E5" s="66"/>
      <c r="F5" s="66"/>
      <c r="G5" s="66"/>
      <c r="H5" s="66"/>
      <c r="I5" s="66"/>
      <c r="J5" s="66"/>
    </row>
    <row r="6" spans="1:10" ht="15.75" customHeight="1" x14ac:dyDescent="0.15">
      <c r="A6" s="66"/>
      <c r="B6" s="66"/>
      <c r="C6" s="66"/>
      <c r="D6" s="66"/>
      <c r="E6" s="66"/>
      <c r="F6" s="66"/>
      <c r="G6" s="66"/>
      <c r="H6" s="66"/>
      <c r="I6" s="66"/>
      <c r="J6" s="66"/>
    </row>
    <row r="7" spans="1:10" ht="15.75" customHeight="1" x14ac:dyDescent="0.15">
      <c r="A7" s="66"/>
      <c r="B7" s="66"/>
      <c r="C7" s="66"/>
      <c r="D7" s="66"/>
      <c r="E7" s="66"/>
      <c r="F7" s="66"/>
      <c r="G7" s="66"/>
      <c r="H7" s="66"/>
      <c r="I7" s="66"/>
      <c r="J7" s="66"/>
    </row>
    <row r="8" spans="1:10" ht="15.75" customHeight="1" x14ac:dyDescent="0.15">
      <c r="A8" s="66"/>
      <c r="B8" s="66"/>
      <c r="C8" s="66"/>
      <c r="D8" s="66"/>
      <c r="E8" s="66"/>
      <c r="F8" s="66"/>
      <c r="G8" s="66"/>
      <c r="H8" s="66"/>
      <c r="I8" s="66"/>
      <c r="J8" s="66"/>
    </row>
    <row r="9" spans="1:10" ht="15.75" customHeight="1" x14ac:dyDescent="0.15">
      <c r="A9" s="66"/>
      <c r="B9" s="66"/>
      <c r="C9" s="66"/>
      <c r="D9" s="66"/>
      <c r="E9" s="66"/>
      <c r="F9" s="66"/>
      <c r="G9" s="66"/>
      <c r="H9" s="66"/>
      <c r="I9" s="66"/>
      <c r="J9" s="66"/>
    </row>
    <row r="10" spans="1:10" ht="15.75" customHeight="1" x14ac:dyDescent="0.15">
      <c r="A10" s="66"/>
      <c r="B10" s="66"/>
      <c r="C10" s="66"/>
      <c r="D10" s="66"/>
      <c r="E10" s="66"/>
      <c r="F10" s="66"/>
      <c r="G10" s="66"/>
      <c r="H10" s="66"/>
      <c r="I10" s="66"/>
      <c r="J10" s="66"/>
    </row>
    <row r="11" spans="1:10" ht="15.75" customHeight="1" x14ac:dyDescent="0.15">
      <c r="A11" s="66"/>
      <c r="B11" s="66"/>
      <c r="C11" s="66"/>
      <c r="D11" s="66"/>
      <c r="E11" s="66"/>
      <c r="F11" s="66"/>
      <c r="G11" s="66"/>
      <c r="H11" s="66"/>
      <c r="I11" s="66"/>
      <c r="J11" s="66"/>
    </row>
    <row r="12" spans="1:10" ht="15.75" customHeight="1" x14ac:dyDescent="0.15">
      <c r="A12" s="66"/>
      <c r="B12" s="66"/>
      <c r="C12" s="66"/>
      <c r="D12" s="66"/>
      <c r="E12" s="66"/>
      <c r="F12" s="66"/>
      <c r="G12" s="66"/>
      <c r="H12" s="66"/>
      <c r="I12" s="66"/>
      <c r="J12" s="66"/>
    </row>
    <row r="13" spans="1:10" ht="15.75" customHeight="1" x14ac:dyDescent="0.15">
      <c r="A13" s="66"/>
      <c r="B13" s="66"/>
      <c r="C13" s="66"/>
      <c r="D13" s="66"/>
      <c r="E13" s="66"/>
      <c r="F13" s="66"/>
      <c r="G13" s="66"/>
      <c r="H13" s="66"/>
      <c r="I13" s="66"/>
      <c r="J13" s="66"/>
    </row>
    <row r="14" spans="1:10" ht="15.75" customHeight="1" x14ac:dyDescent="0.15">
      <c r="A14" s="66"/>
      <c r="B14" s="66"/>
      <c r="C14" s="66"/>
      <c r="D14" s="66"/>
      <c r="E14" s="66"/>
      <c r="F14" s="66"/>
      <c r="G14" s="66"/>
      <c r="H14" s="66"/>
      <c r="I14" s="66"/>
      <c r="J14" s="66"/>
    </row>
    <row r="15" spans="1:10" ht="15.75" customHeight="1" x14ac:dyDescent="0.15">
      <c r="A15" s="66"/>
      <c r="B15" s="66"/>
      <c r="C15" s="66"/>
      <c r="D15" s="66"/>
      <c r="E15" s="66"/>
      <c r="F15" s="66"/>
      <c r="G15" s="66"/>
      <c r="H15" s="66"/>
      <c r="I15" s="66"/>
      <c r="J15" s="66"/>
    </row>
    <row r="16" spans="1:10" ht="15.75" customHeight="1" x14ac:dyDescent="0.15">
      <c r="A16" s="66"/>
      <c r="B16" s="66"/>
      <c r="C16" s="66"/>
      <c r="D16" s="66"/>
      <c r="E16" s="66"/>
      <c r="F16" s="66"/>
      <c r="G16" s="66"/>
      <c r="H16" s="66"/>
      <c r="I16" s="66"/>
      <c r="J16" s="66"/>
    </row>
    <row r="17" spans="1:10" ht="15.75" customHeight="1" x14ac:dyDescent="0.15">
      <c r="A17" s="66"/>
      <c r="B17" s="66"/>
      <c r="C17" s="66"/>
      <c r="D17" s="66"/>
      <c r="E17" s="66"/>
      <c r="F17" s="66"/>
      <c r="G17" s="66"/>
      <c r="H17" s="66"/>
      <c r="I17" s="66"/>
      <c r="J17" s="66"/>
    </row>
    <row r="18" spans="1:10" ht="15.75" customHeight="1" x14ac:dyDescent="0.15">
      <c r="A18" s="66"/>
      <c r="B18" s="66"/>
      <c r="C18" s="66"/>
      <c r="D18" s="66"/>
      <c r="E18" s="66"/>
      <c r="F18" s="66"/>
      <c r="G18" s="66"/>
      <c r="H18" s="66"/>
      <c r="I18" s="66"/>
      <c r="J18" s="66"/>
    </row>
    <row r="19" spans="1:10" ht="15.75" customHeight="1" x14ac:dyDescent="0.15">
      <c r="A19" s="66"/>
      <c r="B19" s="66"/>
      <c r="C19" s="66"/>
      <c r="D19" s="66"/>
      <c r="E19" s="66"/>
      <c r="F19" s="66"/>
      <c r="G19" s="66"/>
      <c r="H19" s="66"/>
      <c r="I19" s="66"/>
      <c r="J19" s="66"/>
    </row>
    <row r="20" spans="1:10" ht="15.75" customHeight="1" x14ac:dyDescent="0.15">
      <c r="A20" s="66"/>
      <c r="B20" s="66"/>
      <c r="C20" s="66"/>
      <c r="D20" s="66"/>
      <c r="E20" s="66"/>
      <c r="F20" s="66"/>
      <c r="G20" s="66"/>
      <c r="H20" s="66"/>
      <c r="I20" s="66"/>
      <c r="J20" s="66"/>
    </row>
    <row r="21" spans="1:10" ht="15.75" customHeight="1" x14ac:dyDescent="0.15">
      <c r="A21" s="66"/>
      <c r="B21" s="66"/>
      <c r="C21" s="66"/>
      <c r="D21" s="66"/>
      <c r="E21" s="66"/>
      <c r="F21" s="66"/>
      <c r="G21" s="66"/>
      <c r="H21" s="66"/>
      <c r="I21" s="66"/>
      <c r="J21" s="66"/>
    </row>
    <row r="22" spans="1:10" ht="15.75" customHeight="1" x14ac:dyDescent="0.15">
      <c r="A22" s="66"/>
      <c r="B22" s="28" t="s">
        <v>47</v>
      </c>
      <c r="C22" s="66"/>
      <c r="D22" s="66"/>
      <c r="E22" s="66"/>
      <c r="F22" s="66"/>
      <c r="G22" s="66"/>
      <c r="H22" s="66"/>
      <c r="I22" s="66"/>
      <c r="J22" s="66"/>
    </row>
    <row r="23" spans="1:10" ht="15.75" customHeight="1" x14ac:dyDescent="0.15">
      <c r="A23" s="66"/>
      <c r="B23" s="66"/>
      <c r="C23" s="66"/>
      <c r="D23" s="66"/>
      <c r="E23" s="66"/>
      <c r="F23" s="66"/>
      <c r="G23" s="66"/>
      <c r="H23" s="66"/>
      <c r="I23" s="66"/>
      <c r="J23" s="66"/>
    </row>
    <row r="24" spans="1:10" ht="15.75" customHeight="1" x14ac:dyDescent="0.15">
      <c r="A24" s="66"/>
      <c r="B24" s="66"/>
      <c r="C24" s="66"/>
      <c r="D24" s="66"/>
      <c r="E24" s="66"/>
      <c r="F24" s="66"/>
      <c r="G24" s="66"/>
      <c r="H24" s="66"/>
      <c r="I24" s="66"/>
      <c r="J24" s="66"/>
    </row>
    <row r="25" spans="1:10" ht="12" customHeight="1" x14ac:dyDescent="0.15">
      <c r="A25" s="67"/>
      <c r="B25" s="67"/>
      <c r="C25" s="67"/>
      <c r="D25" s="67"/>
      <c r="E25" s="67"/>
      <c r="F25" s="67"/>
      <c r="G25" s="67"/>
      <c r="H25" s="67"/>
      <c r="I25" s="67"/>
      <c r="J25" s="67"/>
    </row>
    <row r="26" spans="1:10" ht="15" customHeight="1" x14ac:dyDescent="0.2">
      <c r="A26" s="68" t="s">
        <v>48</v>
      </c>
      <c r="B26" s="68"/>
      <c r="C26" s="68"/>
      <c r="D26" s="68"/>
      <c r="E26" s="68"/>
      <c r="F26" s="68"/>
      <c r="G26" s="68"/>
      <c r="H26" s="68"/>
      <c r="I26" s="68"/>
      <c r="J26" s="68"/>
    </row>
    <row r="27" spans="1:10" ht="49.5" customHeight="1" x14ac:dyDescent="0.15">
      <c r="A27" s="30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</row>
    <row r="28" spans="1:10" ht="49.5" customHeight="1" x14ac:dyDescent="0.15">
      <c r="A28" s="30" t="s">
        <v>51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</row>
    <row r="29" spans="1:10" ht="49.5" customHeight="1" x14ac:dyDescent="0.15">
      <c r="A29" s="30" t="s">
        <v>53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</row>
    <row r="30" spans="1:10" ht="49.5" customHeight="1" x14ac:dyDescent="0.15">
      <c r="A30" s="30" t="s">
        <v>40</v>
      </c>
      <c r="B30" s="14" t="s">
        <v>55</v>
      </c>
      <c r="C30" s="14"/>
      <c r="D30" s="14"/>
      <c r="E30" s="14"/>
      <c r="F30" s="14"/>
      <c r="G30" s="14"/>
      <c r="H30" s="14"/>
      <c r="I30" s="14"/>
      <c r="J30" s="14"/>
    </row>
    <row r="31" spans="1:10" ht="12" customHeight="1" x14ac:dyDescent="0.15">
      <c r="A31" s="67"/>
      <c r="B31" s="67"/>
      <c r="C31" s="67"/>
      <c r="D31" s="67"/>
      <c r="E31" s="67"/>
      <c r="F31" s="67"/>
      <c r="G31" s="67"/>
      <c r="H31" s="67"/>
      <c r="I31" s="67"/>
      <c r="J31" s="67"/>
    </row>
    <row r="32" spans="1:10" ht="15" customHeight="1" x14ac:dyDescent="0.2">
      <c r="A32" s="68" t="s">
        <v>56</v>
      </c>
      <c r="B32" s="68"/>
      <c r="C32" s="68"/>
      <c r="D32" s="68"/>
      <c r="E32" s="68"/>
      <c r="F32" s="68"/>
      <c r="G32" s="68"/>
      <c r="H32" s="68"/>
      <c r="I32" s="68"/>
      <c r="J32" s="68"/>
    </row>
    <row r="33" spans="1:10" ht="54.75" customHeight="1" x14ac:dyDescent="0.15">
      <c r="A33" s="30" t="s">
        <v>57</v>
      </c>
      <c r="B33" s="14" t="s">
        <v>58</v>
      </c>
      <c r="C33" s="14"/>
      <c r="D33" s="30"/>
      <c r="E33" s="30"/>
      <c r="F33" s="30"/>
      <c r="G33" s="30"/>
      <c r="H33" s="30"/>
      <c r="I33" s="30"/>
      <c r="J33" s="30"/>
    </row>
    <row r="34" spans="1:10" ht="54.75" customHeight="1" x14ac:dyDescent="0.15">
      <c r="A34" s="30" t="s">
        <v>59</v>
      </c>
      <c r="B34" s="14" t="s">
        <v>60</v>
      </c>
      <c r="C34" s="14"/>
      <c r="D34" s="30"/>
      <c r="E34" s="30"/>
      <c r="F34" s="30"/>
      <c r="G34" s="30"/>
      <c r="H34" s="30"/>
      <c r="I34" s="30"/>
      <c r="J34" s="30"/>
    </row>
    <row r="35" spans="1:10" ht="54.75" customHeight="1" x14ac:dyDescent="0.15">
      <c r="A35" s="30" t="s">
        <v>61</v>
      </c>
      <c r="B35" s="14" t="s">
        <v>62</v>
      </c>
      <c r="C35" s="14"/>
      <c r="D35" s="30"/>
      <c r="E35" s="30"/>
      <c r="F35" s="30"/>
      <c r="G35" s="30"/>
      <c r="H35" s="30"/>
      <c r="I35" s="30"/>
      <c r="J35" s="30"/>
    </row>
    <row r="36" spans="1:10" ht="54.75" customHeight="1" x14ac:dyDescent="0.15">
      <c r="A36" s="30" t="s">
        <v>63</v>
      </c>
      <c r="B36" s="14" t="s">
        <v>64</v>
      </c>
      <c r="C36" s="14"/>
      <c r="D36" s="30"/>
      <c r="E36" s="30"/>
      <c r="F36" s="30"/>
      <c r="G36" s="30"/>
      <c r="H36" s="30"/>
      <c r="I36" s="30"/>
      <c r="J36" s="30"/>
    </row>
    <row r="37" spans="1:10" ht="54.75" customHeight="1" x14ac:dyDescent="0.15">
      <c r="A37" s="30" t="s">
        <v>65</v>
      </c>
      <c r="B37" s="14" t="s">
        <v>66</v>
      </c>
      <c r="C37" s="14"/>
      <c r="D37" s="30"/>
      <c r="E37" s="30"/>
      <c r="F37" s="30"/>
      <c r="G37" s="30"/>
      <c r="H37" s="30"/>
      <c r="I37" s="30"/>
      <c r="J37" s="30"/>
    </row>
    <row r="38" spans="1:10" ht="54.75" customHeight="1" x14ac:dyDescent="0.15">
      <c r="A38" s="30" t="s">
        <v>27</v>
      </c>
      <c r="B38" s="14" t="s">
        <v>67</v>
      </c>
      <c r="C38" s="14"/>
      <c r="D38" s="30"/>
      <c r="E38" s="30"/>
      <c r="F38" s="30"/>
      <c r="G38" s="30"/>
      <c r="H38" s="30"/>
      <c r="I38" s="30"/>
      <c r="J38" s="30"/>
    </row>
    <row r="39" spans="1:10" ht="54.75" customHeight="1" x14ac:dyDescent="0.15">
      <c r="A39" s="30" t="s">
        <v>68</v>
      </c>
      <c r="B39" s="14" t="s">
        <v>69</v>
      </c>
      <c r="C39" s="14"/>
      <c r="D39" s="30"/>
      <c r="E39" s="30"/>
      <c r="F39" s="30"/>
      <c r="G39" s="30"/>
      <c r="H39" s="30"/>
      <c r="I39" s="30"/>
      <c r="J39" s="30"/>
    </row>
    <row r="40" spans="1:10" ht="54.75" customHeight="1" x14ac:dyDescent="0.15">
      <c r="A40" s="30" t="s">
        <v>70</v>
      </c>
      <c r="B40" s="14" t="s">
        <v>71</v>
      </c>
      <c r="C40" s="14"/>
      <c r="D40" s="30"/>
      <c r="E40" s="30"/>
      <c r="F40" s="30"/>
      <c r="G40" s="30"/>
      <c r="H40" s="30"/>
      <c r="I40" s="30"/>
      <c r="J40" s="30"/>
    </row>
    <row r="41" spans="1:10" ht="12" customHeight="1" x14ac:dyDescent="0.15">
      <c r="A41" s="67"/>
      <c r="B41" s="67"/>
      <c r="C41" s="67"/>
      <c r="D41" s="67"/>
      <c r="E41" s="67"/>
      <c r="F41" s="67"/>
      <c r="G41" s="67"/>
      <c r="H41" s="67"/>
      <c r="I41" s="67"/>
      <c r="J41" s="67"/>
    </row>
    <row r="42" spans="1:10" ht="12" customHeight="1" x14ac:dyDescent="0.15">
      <c r="A42" s="67"/>
      <c r="B42" s="67"/>
      <c r="C42" s="67"/>
      <c r="D42" s="67"/>
      <c r="E42" s="67"/>
      <c r="F42" s="67"/>
      <c r="G42" s="67"/>
      <c r="H42" s="67"/>
      <c r="I42" s="67"/>
      <c r="J42" s="67"/>
    </row>
    <row r="43" spans="1:10" ht="12" customHeight="1" x14ac:dyDescent="0.15">
      <c r="A43" s="67"/>
      <c r="B43" s="67"/>
      <c r="C43" s="67"/>
      <c r="D43" s="67"/>
      <c r="E43" s="67"/>
      <c r="F43" s="67"/>
      <c r="G43" s="67"/>
      <c r="H43" s="67"/>
      <c r="I43" s="67"/>
      <c r="J43" s="67"/>
    </row>
    <row r="44" spans="1:10" ht="12" customHeight="1" x14ac:dyDescent="0.15">
      <c r="A44" s="67"/>
      <c r="B44" s="67"/>
      <c r="C44" s="67"/>
      <c r="D44" s="67"/>
      <c r="E44" s="67"/>
      <c r="F44" s="67"/>
      <c r="G44" s="67"/>
      <c r="H44" s="67"/>
      <c r="I44" s="67"/>
      <c r="J44" s="67"/>
    </row>
    <row r="45" spans="1:10" ht="12" customHeight="1" x14ac:dyDescent="0.15">
      <c r="A45" s="67"/>
      <c r="B45" s="67"/>
      <c r="C45" s="67"/>
      <c r="D45" s="67"/>
      <c r="E45" s="67"/>
      <c r="F45" s="67"/>
      <c r="G45" s="67"/>
      <c r="H45" s="67"/>
      <c r="I45" s="67"/>
      <c r="J45" s="67"/>
    </row>
    <row r="46" spans="1:10" ht="12" customHeight="1" x14ac:dyDescent="0.15">
      <c r="A46" s="67"/>
      <c r="B46" s="67"/>
      <c r="C46" s="67"/>
      <c r="D46" s="67"/>
      <c r="E46" s="67"/>
      <c r="F46" s="67"/>
      <c r="G46" s="67"/>
      <c r="H46" s="67"/>
      <c r="I46" s="67"/>
      <c r="J46" s="67"/>
    </row>
    <row r="47" spans="1:10" ht="12" customHeight="1" x14ac:dyDescent="0.15">
      <c r="A47" s="67"/>
      <c r="B47" s="67"/>
      <c r="C47" s="67"/>
      <c r="D47" s="67"/>
      <c r="E47" s="67"/>
      <c r="F47" s="67"/>
      <c r="G47" s="67"/>
      <c r="H47" s="67"/>
      <c r="I47" s="67"/>
      <c r="J47" s="67"/>
    </row>
    <row r="48" spans="1:10" ht="12" customHeight="1" x14ac:dyDescent="0.15">
      <c r="A48" s="67"/>
      <c r="B48" s="67"/>
      <c r="C48" s="67"/>
      <c r="D48" s="67"/>
      <c r="E48" s="67"/>
      <c r="F48" s="67"/>
      <c r="G48" s="67"/>
      <c r="H48" s="67"/>
      <c r="I48" s="67"/>
      <c r="J48" s="67"/>
    </row>
    <row r="49" spans="1:10" ht="12" customHeight="1" x14ac:dyDescent="0.15">
      <c r="A49" s="67"/>
      <c r="B49" s="67"/>
      <c r="C49" s="67"/>
      <c r="D49" s="67"/>
      <c r="E49" s="67"/>
      <c r="F49" s="67"/>
      <c r="G49" s="67"/>
      <c r="H49" s="67"/>
      <c r="I49" s="67"/>
      <c r="J49" s="67"/>
    </row>
    <row r="50" spans="1:10" ht="12" customHeight="1" x14ac:dyDescent="0.15">
      <c r="A50" s="67"/>
      <c r="B50" s="67"/>
      <c r="C50" s="67"/>
      <c r="D50" s="67"/>
      <c r="E50" s="67"/>
      <c r="F50" s="67"/>
      <c r="G50" s="67"/>
      <c r="H50" s="67"/>
      <c r="I50" s="67"/>
      <c r="J50" s="67"/>
    </row>
    <row r="51" spans="1:10" ht="12" customHeight="1" x14ac:dyDescent="0.15">
      <c r="A51" s="67"/>
      <c r="B51" s="67"/>
      <c r="C51" s="67"/>
      <c r="D51" s="67"/>
      <c r="E51" s="67"/>
      <c r="F51" s="67"/>
      <c r="G51" s="67"/>
      <c r="H51" s="67"/>
      <c r="I51" s="67"/>
      <c r="J51" s="67"/>
    </row>
    <row r="52" spans="1:10" ht="12" customHeight="1" x14ac:dyDescent="0.15">
      <c r="A52" s="67"/>
      <c r="B52" s="67"/>
      <c r="C52" s="67"/>
      <c r="D52" s="67"/>
      <c r="E52" s="67"/>
      <c r="F52" s="67"/>
      <c r="G52" s="67"/>
      <c r="H52" s="67"/>
      <c r="I52" s="67"/>
      <c r="J52" s="67"/>
    </row>
    <row r="53" spans="1:10" ht="12" customHeight="1" x14ac:dyDescent="0.15">
      <c r="A53" s="67"/>
      <c r="B53" s="67"/>
      <c r="C53" s="67"/>
      <c r="D53" s="67"/>
      <c r="E53" s="67"/>
      <c r="F53" s="67"/>
      <c r="G53" s="67"/>
      <c r="H53" s="67"/>
      <c r="I53" s="67"/>
      <c r="J53" s="67"/>
    </row>
    <row r="54" spans="1:10" ht="12" customHeight="1" x14ac:dyDescent="0.15">
      <c r="A54" s="67"/>
      <c r="B54" s="67"/>
      <c r="C54" s="67"/>
      <c r="D54" s="67"/>
      <c r="E54" s="67"/>
      <c r="F54" s="67"/>
      <c r="G54" s="67"/>
      <c r="H54" s="67"/>
      <c r="I54" s="67"/>
      <c r="J54" s="67"/>
    </row>
    <row r="55" spans="1:10" ht="12" customHeight="1" x14ac:dyDescent="0.15">
      <c r="A55" s="67"/>
      <c r="B55" s="67"/>
      <c r="C55" s="67"/>
      <c r="D55" s="67"/>
      <c r="E55" s="67"/>
      <c r="F55" s="67"/>
      <c r="G55" s="67"/>
      <c r="H55" s="67"/>
      <c r="I55" s="67"/>
      <c r="J55" s="67"/>
    </row>
    <row r="56" spans="1:10" ht="12" customHeight="1" x14ac:dyDescent="0.15">
      <c r="A56" s="67"/>
      <c r="B56" s="67"/>
      <c r="C56" s="67"/>
      <c r="D56" s="67"/>
      <c r="E56" s="67"/>
      <c r="F56" s="67"/>
      <c r="G56" s="67"/>
      <c r="H56" s="67"/>
      <c r="I56" s="67"/>
      <c r="J56" s="67"/>
    </row>
    <row r="57" spans="1:10" ht="12" customHeight="1" x14ac:dyDescent="0.15">
      <c r="A57" s="67"/>
      <c r="B57" s="67"/>
      <c r="C57" s="67"/>
      <c r="D57" s="67"/>
      <c r="E57" s="67"/>
      <c r="F57" s="67"/>
      <c r="G57" s="67"/>
      <c r="H57" s="67"/>
      <c r="I57" s="67"/>
      <c r="J57" s="67"/>
    </row>
    <row r="58" spans="1:10" ht="12" customHeight="1" x14ac:dyDescent="0.15">
      <c r="A58" s="67"/>
      <c r="B58" s="67"/>
      <c r="C58" s="67"/>
      <c r="D58" s="67"/>
      <c r="E58" s="67"/>
      <c r="F58" s="67"/>
      <c r="G58" s="67"/>
      <c r="H58" s="67"/>
      <c r="I58" s="67"/>
      <c r="J58" s="67"/>
    </row>
    <row r="59" spans="1:10" ht="12" customHeight="1" x14ac:dyDescent="0.15">
      <c r="A59" s="67"/>
      <c r="B59" s="67"/>
      <c r="C59" s="67"/>
      <c r="D59" s="67"/>
      <c r="E59" s="67"/>
      <c r="F59" s="67"/>
      <c r="G59" s="67"/>
      <c r="H59" s="67"/>
      <c r="I59" s="67"/>
      <c r="J59" s="67"/>
    </row>
    <row r="60" spans="1:10" ht="12" customHeight="1" x14ac:dyDescent="0.15">
      <c r="A60" s="67"/>
      <c r="B60" s="67"/>
      <c r="C60" s="67"/>
      <c r="D60" s="67"/>
      <c r="E60" s="67"/>
      <c r="F60" s="67"/>
      <c r="G60" s="67"/>
      <c r="H60" s="67"/>
      <c r="I60" s="67"/>
      <c r="J60" s="67"/>
    </row>
    <row r="61" spans="1:10" ht="12" customHeight="1" x14ac:dyDescent="0.15">
      <c r="A61" s="67"/>
      <c r="B61" s="67"/>
      <c r="C61" s="67"/>
      <c r="D61" s="67"/>
      <c r="E61" s="67"/>
      <c r="F61" s="67"/>
      <c r="G61" s="67"/>
      <c r="H61" s="67"/>
      <c r="I61" s="67"/>
      <c r="J61" s="67"/>
    </row>
    <row r="62" spans="1:10" ht="12" customHeight="1" x14ac:dyDescent="0.15">
      <c r="A62" s="67"/>
      <c r="B62" s="67"/>
      <c r="C62" s="67"/>
      <c r="D62" s="67"/>
      <c r="E62" s="67"/>
      <c r="F62" s="67"/>
      <c r="G62" s="67"/>
      <c r="H62" s="67"/>
      <c r="I62" s="67"/>
      <c r="J62" s="67"/>
    </row>
    <row r="63" spans="1:10" ht="12" customHeight="1" x14ac:dyDescent="0.15">
      <c r="A63" s="67"/>
      <c r="B63" s="67"/>
      <c r="C63" s="67"/>
      <c r="D63" s="67"/>
      <c r="E63" s="67"/>
      <c r="F63" s="67"/>
      <c r="G63" s="67"/>
      <c r="H63" s="67"/>
      <c r="I63" s="67"/>
      <c r="J63" s="67"/>
    </row>
    <row r="64" spans="1:10" ht="12" customHeight="1" x14ac:dyDescent="0.15">
      <c r="A64" s="67"/>
      <c r="B64" s="67"/>
      <c r="C64" s="67"/>
      <c r="D64" s="67"/>
      <c r="E64" s="67"/>
      <c r="F64" s="67"/>
      <c r="G64" s="67"/>
      <c r="H64" s="67"/>
      <c r="I64" s="67"/>
      <c r="J64" s="67"/>
    </row>
    <row r="65" spans="1:10" ht="12" customHeight="1" x14ac:dyDescent="0.15">
      <c r="A65" s="67"/>
      <c r="B65" s="67"/>
      <c r="C65" s="67"/>
      <c r="D65" s="67"/>
      <c r="E65" s="67"/>
      <c r="F65" s="67"/>
      <c r="G65" s="67"/>
      <c r="H65" s="67"/>
      <c r="I65" s="67"/>
      <c r="J65" s="67"/>
    </row>
    <row r="66" spans="1:10" ht="12" customHeight="1" x14ac:dyDescent="0.15">
      <c r="A66" s="67"/>
      <c r="B66" s="67"/>
      <c r="C66" s="67"/>
      <c r="D66" s="67"/>
      <c r="E66" s="67"/>
      <c r="F66" s="67"/>
      <c r="G66" s="67"/>
      <c r="H66" s="67"/>
      <c r="I66" s="67"/>
      <c r="J66" s="67"/>
    </row>
    <row r="67" spans="1:10" ht="12" customHeight="1" x14ac:dyDescent="0.15">
      <c r="A67" s="67"/>
      <c r="B67" s="67"/>
      <c r="C67" s="67"/>
      <c r="D67" s="67"/>
      <c r="E67" s="67"/>
      <c r="F67" s="67"/>
      <c r="G67" s="67"/>
      <c r="H67" s="67"/>
      <c r="I67" s="67"/>
      <c r="J67" s="67"/>
    </row>
    <row r="68" spans="1:10" ht="12" customHeight="1" x14ac:dyDescent="0.15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ht="12" customHeight="1" x14ac:dyDescent="0.15">
      <c r="A69" s="67"/>
      <c r="B69" s="67"/>
      <c r="C69" s="67"/>
      <c r="D69" s="67"/>
      <c r="E69" s="67"/>
      <c r="F69" s="67"/>
      <c r="G69" s="67"/>
      <c r="H69" s="67"/>
      <c r="I69" s="67"/>
      <c r="J69" s="67"/>
    </row>
    <row r="70" spans="1:10" ht="12" customHeight="1" x14ac:dyDescent="0.15">
      <c r="A70" s="67"/>
      <c r="B70" s="67"/>
      <c r="C70" s="67"/>
      <c r="D70" s="67"/>
      <c r="E70" s="67"/>
      <c r="F70" s="67"/>
      <c r="G70" s="67"/>
      <c r="H70" s="67"/>
      <c r="I70" s="67"/>
      <c r="J70" s="67"/>
    </row>
    <row r="71" spans="1:10" ht="12" customHeight="1" x14ac:dyDescent="0.15">
      <c r="A71" s="67"/>
      <c r="B71" s="67"/>
      <c r="C71" s="67"/>
      <c r="D71" s="67"/>
      <c r="E71" s="67"/>
      <c r="F71" s="67"/>
      <c r="G71" s="67"/>
      <c r="H71" s="67"/>
      <c r="I71" s="67"/>
      <c r="J71" s="67"/>
    </row>
    <row r="72" spans="1:10" ht="12" customHeight="1" x14ac:dyDescent="0.15">
      <c r="A72" s="67"/>
      <c r="B72" s="67"/>
      <c r="C72" s="67"/>
      <c r="D72" s="67"/>
      <c r="E72" s="67"/>
      <c r="F72" s="67"/>
      <c r="G72" s="67"/>
      <c r="H72" s="67"/>
      <c r="I72" s="67"/>
      <c r="J72" s="67"/>
    </row>
    <row r="73" spans="1:10" ht="12" customHeight="1" x14ac:dyDescent="0.15">
      <c r="A73" s="67"/>
      <c r="B73" s="67"/>
      <c r="C73" s="67"/>
      <c r="D73" s="67"/>
      <c r="E73" s="67"/>
      <c r="F73" s="67"/>
      <c r="G73" s="67"/>
      <c r="H73" s="67"/>
      <c r="I73" s="67"/>
      <c r="J73" s="67"/>
    </row>
    <row r="74" spans="1:10" ht="12" customHeight="1" x14ac:dyDescent="0.15">
      <c r="A74" s="67"/>
      <c r="B74" s="67"/>
      <c r="C74" s="67"/>
      <c r="D74" s="67"/>
      <c r="E74" s="67"/>
      <c r="F74" s="67"/>
      <c r="G74" s="67"/>
      <c r="H74" s="67"/>
      <c r="I74" s="67"/>
      <c r="J74" s="67"/>
    </row>
    <row r="75" spans="1:10" ht="12" customHeight="1" x14ac:dyDescent="0.15">
      <c r="A75" s="67"/>
      <c r="B75" s="67"/>
      <c r="C75" s="67"/>
      <c r="D75" s="67"/>
      <c r="E75" s="67"/>
      <c r="F75" s="67"/>
      <c r="G75" s="67"/>
      <c r="H75" s="67"/>
      <c r="I75" s="67"/>
      <c r="J75" s="67"/>
    </row>
    <row r="76" spans="1:10" ht="12" customHeight="1" x14ac:dyDescent="0.15">
      <c r="A76" s="67"/>
      <c r="B76" s="67"/>
      <c r="C76" s="67"/>
      <c r="D76" s="67"/>
      <c r="E76" s="67"/>
      <c r="F76" s="67"/>
      <c r="G76" s="67"/>
      <c r="H76" s="67"/>
      <c r="I76" s="67"/>
      <c r="J76" s="67"/>
    </row>
    <row r="77" spans="1:10" ht="12" customHeight="1" x14ac:dyDescent="0.15">
      <c r="A77" s="67"/>
      <c r="B77" s="67"/>
      <c r="C77" s="67"/>
      <c r="D77" s="67"/>
      <c r="E77" s="67"/>
      <c r="F77" s="67"/>
      <c r="G77" s="67"/>
      <c r="H77" s="67"/>
      <c r="I77" s="67"/>
      <c r="J77" s="67"/>
    </row>
    <row r="78" spans="1:10" ht="12" customHeight="1" x14ac:dyDescent="0.15">
      <c r="A78" s="67"/>
      <c r="B78" s="67"/>
      <c r="C78" s="67"/>
      <c r="D78" s="67"/>
      <c r="E78" s="67"/>
      <c r="F78" s="67"/>
      <c r="G78" s="67"/>
      <c r="H78" s="67"/>
      <c r="I78" s="67"/>
      <c r="J78" s="67"/>
    </row>
    <row r="79" spans="1:10" ht="12" customHeight="1" x14ac:dyDescent="0.15">
      <c r="A79" s="67"/>
      <c r="B79" s="67"/>
      <c r="C79" s="67"/>
      <c r="D79" s="67"/>
      <c r="E79" s="67"/>
      <c r="F79" s="67"/>
      <c r="G79" s="67"/>
      <c r="H79" s="67"/>
      <c r="I79" s="67"/>
      <c r="J79" s="67"/>
    </row>
    <row r="80" spans="1:10" ht="12" customHeight="1" x14ac:dyDescent="0.15">
      <c r="A80" s="67"/>
      <c r="B80" s="67"/>
      <c r="C80" s="67"/>
      <c r="D80" s="67"/>
      <c r="E80" s="67"/>
      <c r="F80" s="67"/>
      <c r="G80" s="67"/>
      <c r="H80" s="67"/>
      <c r="I80" s="67"/>
      <c r="J80" s="67"/>
    </row>
    <row r="81" spans="1:10" ht="12" customHeight="1" x14ac:dyDescent="0.15">
      <c r="A81" s="67"/>
      <c r="B81" s="67"/>
      <c r="C81" s="67"/>
      <c r="D81" s="67"/>
      <c r="E81" s="67"/>
      <c r="F81" s="67"/>
      <c r="G81" s="67"/>
      <c r="H81" s="67"/>
      <c r="I81" s="67"/>
      <c r="J81" s="67"/>
    </row>
    <row r="82" spans="1:10" ht="12" customHeight="1" x14ac:dyDescent="0.15">
      <c r="A82" s="67"/>
      <c r="B82" s="67"/>
      <c r="C82" s="67"/>
      <c r="D82" s="67"/>
      <c r="E82" s="67"/>
      <c r="F82" s="67"/>
      <c r="G82" s="67"/>
      <c r="H82" s="67"/>
      <c r="I82" s="67"/>
      <c r="J82" s="67"/>
    </row>
    <row r="83" spans="1:10" ht="12" customHeight="1" x14ac:dyDescent="0.15">
      <c r="A83" s="67"/>
      <c r="B83" s="67"/>
      <c r="C83" s="67"/>
      <c r="D83" s="67"/>
      <c r="E83" s="67"/>
      <c r="F83" s="67"/>
      <c r="G83" s="67"/>
      <c r="H83" s="67"/>
      <c r="I83" s="67"/>
      <c r="J83" s="67"/>
    </row>
    <row r="84" spans="1:10" ht="12" customHeight="1" x14ac:dyDescent="0.15">
      <c r="A84" s="67"/>
      <c r="B84" s="67"/>
      <c r="C84" s="67"/>
      <c r="D84" s="67"/>
      <c r="E84" s="67"/>
      <c r="F84" s="67"/>
      <c r="G84" s="67"/>
      <c r="H84" s="67"/>
      <c r="I84" s="67"/>
      <c r="J84" s="67"/>
    </row>
    <row r="85" spans="1:10" ht="12" customHeight="1" x14ac:dyDescent="0.15">
      <c r="A85" s="67"/>
      <c r="B85" s="67"/>
      <c r="C85" s="67"/>
      <c r="D85" s="67"/>
      <c r="E85" s="67"/>
      <c r="F85" s="67"/>
      <c r="G85" s="67"/>
      <c r="H85" s="67"/>
      <c r="I85" s="67"/>
      <c r="J85" s="67"/>
    </row>
    <row r="86" spans="1:10" ht="12" customHeight="1" x14ac:dyDescent="0.15">
      <c r="A86" s="67"/>
      <c r="B86" s="67"/>
      <c r="C86" s="67"/>
      <c r="D86" s="67"/>
      <c r="E86" s="67"/>
      <c r="F86" s="67"/>
      <c r="G86" s="67"/>
      <c r="H86" s="67"/>
      <c r="I86" s="67"/>
      <c r="J86" s="67"/>
    </row>
    <row r="87" spans="1:10" ht="12" customHeight="1" x14ac:dyDescent="0.15">
      <c r="A87" s="67"/>
      <c r="B87" s="67"/>
      <c r="C87" s="67"/>
      <c r="D87" s="67"/>
      <c r="E87" s="67"/>
      <c r="F87" s="67"/>
      <c r="G87" s="67"/>
      <c r="H87" s="67"/>
      <c r="I87" s="67"/>
      <c r="J87" s="67"/>
    </row>
    <row r="88" spans="1:10" ht="12" customHeight="1" x14ac:dyDescent="0.15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 ht="12" customHeight="1" x14ac:dyDescent="0.15">
      <c r="A89" s="67"/>
      <c r="B89" s="67"/>
      <c r="C89" s="67"/>
      <c r="D89" s="67"/>
      <c r="E89" s="67"/>
      <c r="F89" s="67"/>
      <c r="G89" s="67"/>
      <c r="H89" s="67"/>
      <c r="I89" s="67"/>
      <c r="J89" s="67"/>
    </row>
    <row r="90" spans="1:10" ht="12" customHeight="1" x14ac:dyDescent="0.15">
      <c r="A90" s="67"/>
      <c r="B90" s="67"/>
      <c r="C90" s="67"/>
      <c r="D90" s="67"/>
      <c r="E90" s="67"/>
      <c r="F90" s="67"/>
      <c r="G90" s="67"/>
      <c r="H90" s="67"/>
      <c r="I90" s="67"/>
      <c r="J90" s="67"/>
    </row>
    <row r="91" spans="1:10" ht="12" customHeight="1" x14ac:dyDescent="0.15">
      <c r="A91" s="67"/>
      <c r="B91" s="67"/>
      <c r="C91" s="67"/>
      <c r="D91" s="67"/>
      <c r="E91" s="67"/>
      <c r="F91" s="67"/>
      <c r="G91" s="67"/>
      <c r="H91" s="67"/>
      <c r="I91" s="67"/>
      <c r="J91" s="67"/>
    </row>
  </sheetData>
  <mergeCells count="1">
    <mergeCell ref="A1:I1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FE0BE"/>
  </sheetPr>
  <dimension ref="A1:U93"/>
  <sheetViews>
    <sheetView topLeftCell="A3" zoomScale="51" zoomScaleNormal="76" workbookViewId="0">
      <selection activeCell="C10" sqref="C10"/>
    </sheetView>
  </sheetViews>
  <sheetFormatPr baseColWidth="10" defaultColWidth="8.83203125" defaultRowHeight="13" x14ac:dyDescent="0.15"/>
  <cols>
    <col min="1" max="1" width="40" customWidth="1"/>
    <col min="2" max="3" width="16" customWidth="1"/>
    <col min="4" max="4" width="22.83203125" customWidth="1"/>
    <col min="5" max="5" width="12" customWidth="1"/>
    <col min="6" max="6" width="8" customWidth="1"/>
    <col min="7" max="8" width="14" customWidth="1"/>
    <col min="9" max="9" width="13.5" customWidth="1"/>
  </cols>
  <sheetData>
    <row r="1" spans="1:21" ht="54" customHeight="1" x14ac:dyDescent="0.15">
      <c r="A1" s="516" t="str">
        <f>'Project info'!A1</f>
        <v>Cost-effectiveness of Inavolisib + Palbociclib + Fulvestrant vs Palbociclib + Fulvestrant in PIK3CA-mutated HR+/HER2- Advanced Breast Cancer</v>
      </c>
      <c r="B1" s="517"/>
      <c r="C1" s="517"/>
      <c r="D1" s="517"/>
      <c r="E1" s="517"/>
      <c r="F1" s="517"/>
      <c r="G1" s="517"/>
      <c r="H1" s="517"/>
      <c r="I1" s="51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</row>
    <row r="2" spans="1:21" ht="18" customHeight="1" x14ac:dyDescent="0.2">
      <c r="A2" s="69"/>
      <c r="B2" s="70"/>
      <c r="C2" s="70"/>
      <c r="D2" s="70"/>
      <c r="E2" s="70"/>
      <c r="F2" s="70"/>
      <c r="G2" s="70"/>
      <c r="H2" s="70"/>
      <c r="I2" s="70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1" ht="24" customHeight="1" x14ac:dyDescent="0.2">
      <c r="A3" s="524" t="s">
        <v>72</v>
      </c>
      <c r="B3" s="517"/>
      <c r="C3" s="517"/>
      <c r="D3" s="517"/>
      <c r="E3" s="517"/>
      <c r="F3" s="517"/>
      <c r="G3" s="517"/>
      <c r="H3" s="51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</row>
    <row r="4" spans="1:21" ht="12" customHeight="1" x14ac:dyDescent="0.1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</row>
    <row r="5" spans="1:21" ht="15" customHeight="1" x14ac:dyDescent="0.2">
      <c r="A5" s="71"/>
      <c r="B5" s="72"/>
      <c r="C5" s="72"/>
      <c r="D5" s="73"/>
      <c r="E5" s="73"/>
      <c r="F5" s="72"/>
      <c r="G5" s="72"/>
      <c r="H5" s="72"/>
      <c r="I5" s="72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</row>
    <row r="6" spans="1:21" ht="15" customHeight="1" x14ac:dyDescent="0.2">
      <c r="A6" s="74"/>
      <c r="B6" s="74"/>
      <c r="C6" s="74"/>
      <c r="D6" s="75"/>
      <c r="E6" s="76"/>
      <c r="F6" s="77"/>
      <c r="G6" s="77"/>
      <c r="H6" s="77"/>
      <c r="I6" s="74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</row>
    <row r="7" spans="1:21" ht="33.75" customHeight="1" x14ac:dyDescent="0.15">
      <c r="A7" s="74"/>
      <c r="B7" s="74"/>
      <c r="C7" s="78"/>
      <c r="D7" s="79" t="s">
        <v>73</v>
      </c>
      <c r="E7" s="80">
        <v>0</v>
      </c>
      <c r="F7" s="81"/>
      <c r="G7" s="74"/>
      <c r="H7" s="74"/>
      <c r="I7" s="74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</row>
    <row r="8" spans="1:21" ht="12" customHeight="1" x14ac:dyDescent="0.15">
      <c r="A8" s="74"/>
      <c r="B8" s="66"/>
      <c r="C8" s="74"/>
      <c r="D8" s="78"/>
      <c r="E8" s="82" t="s">
        <v>74</v>
      </c>
      <c r="F8" s="78"/>
      <c r="G8" s="74"/>
      <c r="H8" s="74"/>
      <c r="I8" s="74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</row>
    <row r="9" spans="1:21" ht="12" customHeight="1" x14ac:dyDescent="0.15">
      <c r="A9" s="74"/>
      <c r="B9" s="74"/>
      <c r="C9" s="74"/>
      <c r="D9" s="74"/>
      <c r="E9" s="74"/>
      <c r="F9" s="74"/>
      <c r="G9" s="74"/>
      <c r="H9" s="74"/>
      <c r="I9" s="74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</row>
    <row r="10" spans="1:21" ht="18" customHeight="1" x14ac:dyDescent="0.2">
      <c r="A10" s="68" t="s">
        <v>75</v>
      </c>
      <c r="B10" s="68"/>
      <c r="C10" s="68"/>
      <c r="D10" s="68"/>
      <c r="E10" s="68"/>
      <c r="F10" s="68"/>
      <c r="G10" s="68"/>
      <c r="H10" s="68"/>
      <c r="I10" s="74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</row>
    <row r="11" spans="1:21" ht="12" customHeight="1" x14ac:dyDescent="0.15">
      <c r="A11" s="525" t="s">
        <v>76</v>
      </c>
      <c r="B11" s="517"/>
      <c r="C11" s="517"/>
      <c r="D11" s="517"/>
      <c r="E11" s="517"/>
      <c r="F11" s="517"/>
      <c r="G11" s="517"/>
      <c r="H11" s="51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</row>
    <row r="12" spans="1:21" ht="15" customHeight="1" x14ac:dyDescent="0.2">
      <c r="A12" s="71"/>
      <c r="B12" s="73"/>
      <c r="C12" s="83"/>
      <c r="D12" s="73"/>
      <c r="E12" s="73"/>
      <c r="F12" s="73"/>
      <c r="G12" s="73"/>
      <c r="H12" s="73"/>
      <c r="I12" s="73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</row>
    <row r="13" spans="1:21" ht="12.75" customHeight="1" x14ac:dyDescent="0.15">
      <c r="A13" s="84" t="s">
        <v>77</v>
      </c>
      <c r="B13" s="74"/>
      <c r="C13" s="85" t="s">
        <v>78</v>
      </c>
      <c r="D13" s="74"/>
      <c r="E13" s="85" t="s">
        <v>79</v>
      </c>
      <c r="F13" s="74"/>
      <c r="G13" s="85" t="s">
        <v>80</v>
      </c>
      <c r="H13" s="74"/>
      <c r="I13" s="74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</row>
    <row r="14" spans="1:21" ht="13.5" customHeight="1" x14ac:dyDescent="0.15">
      <c r="A14" s="14" t="s">
        <v>81</v>
      </c>
      <c r="B14" s="74"/>
      <c r="C14" s="86">
        <f ca="1">total_cost_inavo+PAID_per_LY*total_LY_inavo</f>
        <v>592956.97505882871</v>
      </c>
      <c r="D14" s="74"/>
      <c r="E14" s="87">
        <f ca="1">total_QALY_inavo</f>
        <v>2.5778096484197528</v>
      </c>
      <c r="F14" s="88"/>
      <c r="G14" s="87">
        <f ca="1">total_LY_inavo</f>
        <v>4.317068216073106</v>
      </c>
      <c r="H14" s="74"/>
      <c r="I14" s="74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</row>
    <row r="15" spans="1:21" ht="13.5" customHeight="1" x14ac:dyDescent="0.15">
      <c r="A15" s="14" t="s">
        <v>82</v>
      </c>
      <c r="B15" s="74"/>
      <c r="C15" s="86">
        <f ca="1">total_cost_placebo+PAID_per_LY*total_LY_placebo</f>
        <v>155550.17183250215</v>
      </c>
      <c r="D15" s="74"/>
      <c r="E15" s="87">
        <f ca="1">total_QALY_placebo</f>
        <v>2.1834817744306618</v>
      </c>
      <c r="F15" s="88"/>
      <c r="G15" s="87">
        <f ca="1">total_LY_placebo</f>
        <v>3.9298240003301932</v>
      </c>
      <c r="H15" s="74"/>
      <c r="I15" s="74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</row>
    <row r="16" spans="1:21" ht="13.5" customHeight="1" x14ac:dyDescent="0.15">
      <c r="A16" s="89" t="s">
        <v>83</v>
      </c>
      <c r="B16" s="74"/>
      <c r="C16" s="90">
        <f ca="1">C14-C15</f>
        <v>437406.80322632659</v>
      </c>
      <c r="D16" s="74"/>
      <c r="E16" s="91">
        <f ca="1">E14-E15</f>
        <v>0.39432787398909097</v>
      </c>
      <c r="F16" s="88"/>
      <c r="G16" s="91">
        <f ca="1">G14-G15</f>
        <v>0.38724421574291279</v>
      </c>
      <c r="H16" s="74"/>
      <c r="I16" s="74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</row>
    <row r="17" spans="1:21" ht="13.5" customHeight="1" x14ac:dyDescent="0.15">
      <c r="A17" s="74"/>
      <c r="B17" s="74"/>
      <c r="C17" s="74"/>
      <c r="D17" s="74"/>
      <c r="E17" s="74"/>
      <c r="F17" s="74"/>
      <c r="G17" s="74"/>
      <c r="H17" s="74"/>
      <c r="I17" s="74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</row>
    <row r="18" spans="1:21" ht="13.5" customHeight="1" x14ac:dyDescent="0.15">
      <c r="A18" s="89" t="s">
        <v>84</v>
      </c>
      <c r="B18" s="74"/>
      <c r="C18" s="92">
        <f ca="1">C16/E16</f>
        <v>1109246.4724885956</v>
      </c>
      <c r="D18" s="85" t="s">
        <v>85</v>
      </c>
      <c r="E18" s="74"/>
      <c r="F18" s="74"/>
      <c r="G18" s="74"/>
      <c r="H18" s="74"/>
      <c r="I18" s="74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</row>
    <row r="19" spans="1:21" ht="13.5" customHeight="1" x14ac:dyDescent="0.15">
      <c r="A19" s="89" t="s">
        <v>86</v>
      </c>
      <c r="B19" s="74"/>
      <c r="C19" s="92">
        <f ca="1">C16/G16</f>
        <v>1129537.3447662191</v>
      </c>
      <c r="D19" s="85" t="s">
        <v>87</v>
      </c>
      <c r="E19" s="74"/>
      <c r="F19" s="74"/>
      <c r="G19" s="74"/>
      <c r="H19" s="74"/>
      <c r="I19" s="74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</row>
    <row r="20" spans="1:21" ht="13.5" customHeight="1" x14ac:dyDescent="0.15">
      <c r="A20" s="89" t="s">
        <v>88</v>
      </c>
      <c r="B20" s="74"/>
      <c r="C20" s="92">
        <f ca="1">E16*WTP_threshold-C16</f>
        <v>-405860.57330719929</v>
      </c>
      <c r="D20" s="85" t="s">
        <v>89</v>
      </c>
      <c r="E20" s="74"/>
      <c r="F20" s="74"/>
      <c r="G20" s="74"/>
      <c r="H20" s="74"/>
      <c r="I20" s="74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</row>
    <row r="21" spans="1:21" ht="12" customHeight="1" x14ac:dyDescent="0.15">
      <c r="A21" s="89" t="s">
        <v>90</v>
      </c>
      <c r="B21" s="74"/>
      <c r="C21" s="92">
        <f>WTP_threshold</f>
        <v>80000</v>
      </c>
      <c r="D21" s="85"/>
      <c r="E21" s="74"/>
      <c r="F21" s="74"/>
      <c r="G21" s="74"/>
      <c r="H21" s="74"/>
      <c r="I21" s="74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</row>
    <row r="22" spans="1:21" ht="12" customHeight="1" x14ac:dyDescent="0.15">
      <c r="A22" s="74"/>
      <c r="B22" s="74"/>
      <c r="C22" s="74"/>
      <c r="D22" s="74"/>
      <c r="E22" s="74"/>
      <c r="F22" s="74"/>
      <c r="G22" s="74"/>
      <c r="H22" s="74"/>
      <c r="I22" s="74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</row>
    <row r="23" spans="1:21" s="67" customFormat="1" ht="15" customHeight="1" x14ac:dyDescent="0.15"/>
    <row r="24" spans="1:21" ht="18" customHeight="1" x14ac:dyDescent="0.2">
      <c r="A24" s="68" t="s">
        <v>91</v>
      </c>
      <c r="B24" s="68"/>
      <c r="C24" s="68"/>
      <c r="D24" s="68"/>
      <c r="E24" s="68"/>
      <c r="F24" s="68"/>
      <c r="G24" s="68"/>
      <c r="H24" s="68"/>
      <c r="I24" s="68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</row>
    <row r="25" spans="1:21" ht="13.5" customHeight="1" x14ac:dyDescent="0.15">
      <c r="A25" s="523" t="s">
        <v>92</v>
      </c>
      <c r="B25" s="517"/>
      <c r="C25" s="517"/>
      <c r="D25" s="517"/>
      <c r="E25" s="517"/>
      <c r="F25" s="517"/>
      <c r="G25" s="517"/>
      <c r="H25" s="517"/>
      <c r="I25" s="74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</row>
    <row r="26" spans="1:21" ht="13.5" customHeight="1" x14ac:dyDescent="0.15">
      <c r="A26" s="14"/>
      <c r="B26" s="14"/>
      <c r="C26" s="14"/>
      <c r="D26" s="14"/>
      <c r="E26" s="14"/>
      <c r="F26" s="14"/>
      <c r="G26" s="14"/>
      <c r="H26" s="14"/>
      <c r="I26" s="14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</row>
    <row r="27" spans="1:21" ht="13.5" customHeight="1" x14ac:dyDescent="0.15">
      <c r="A27" s="84" t="s">
        <v>77</v>
      </c>
      <c r="B27" s="74"/>
      <c r="C27" s="85" t="s">
        <v>78</v>
      </c>
      <c r="D27" s="74"/>
      <c r="E27" s="85" t="s">
        <v>79</v>
      </c>
      <c r="F27" s="74"/>
      <c r="G27" s="85" t="s">
        <v>80</v>
      </c>
      <c r="H27" s="93"/>
      <c r="I27" s="74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</row>
    <row r="28" spans="1:21" ht="13.5" customHeight="1" x14ac:dyDescent="0.15">
      <c r="A28" s="14" t="s">
        <v>81</v>
      </c>
      <c r="B28" s="74"/>
      <c r="C28" s="86">
        <f ca="1">total_cost_inavo-disc_productivity_inavo-disc_informal_SD_inavo-disc_patienttime_SD_inavo-disc_informal_PD_inavo-disc_patienttime_PD_inavo</f>
        <v>507012.44127606379</v>
      </c>
      <c r="D28" s="74"/>
      <c r="E28" s="87">
        <f ca="1">total_QALY_inavo</f>
        <v>2.5778096484197528</v>
      </c>
      <c r="F28" s="88"/>
      <c r="G28" s="87">
        <f ca="1">total_LY_inavo</f>
        <v>4.317068216073106</v>
      </c>
      <c r="H28" s="93"/>
      <c r="I28" s="74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</row>
    <row r="29" spans="1:21" ht="13.5" customHeight="1" x14ac:dyDescent="0.15">
      <c r="A29" s="14" t="s">
        <v>82</v>
      </c>
      <c r="B29" s="74"/>
      <c r="C29" s="86">
        <f ca="1">total_cost_placebo-disc_productivity_placebo-disc_informal_SD_placebo-disc_patienttime_SD_placebo-disc_informal_PD_placebo-disc_patienttime_PD_placebo</f>
        <v>68765.723440427551</v>
      </c>
      <c r="D29" s="74"/>
      <c r="E29" s="87">
        <f ca="1">total_QALY_placebo</f>
        <v>2.1834817744306618</v>
      </c>
      <c r="F29" s="88"/>
      <c r="G29" s="87">
        <f ca="1">total_LY_placebo</f>
        <v>3.9298240003301932</v>
      </c>
      <c r="H29" s="94"/>
      <c r="I29" s="74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</row>
    <row r="30" spans="1:21" ht="13.5" customHeight="1" x14ac:dyDescent="0.15">
      <c r="A30" s="89" t="s">
        <v>83</v>
      </c>
      <c r="B30" s="74"/>
      <c r="C30" s="90">
        <f ca="1">C28-C29</f>
        <v>438246.71783563623</v>
      </c>
      <c r="D30" s="74"/>
      <c r="E30" s="91">
        <f ca="1">E28-E29</f>
        <v>0.39432787398909097</v>
      </c>
      <c r="F30" s="88"/>
      <c r="G30" s="91">
        <f ca="1">G28-G29</f>
        <v>0.38724421574291279</v>
      </c>
      <c r="H30" s="94"/>
      <c r="I30" s="74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</row>
    <row r="31" spans="1:21" ht="13.5" customHeight="1" x14ac:dyDescent="0.15">
      <c r="A31" s="89"/>
      <c r="B31" s="95"/>
      <c r="C31" s="95"/>
      <c r="D31" s="14"/>
      <c r="E31" s="14"/>
      <c r="F31" s="14"/>
      <c r="G31" s="14"/>
      <c r="H31" s="93"/>
      <c r="I31" s="74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</row>
    <row r="32" spans="1:21" ht="12" customHeight="1" x14ac:dyDescent="0.15">
      <c r="A32" s="89" t="s">
        <v>84</v>
      </c>
      <c r="B32" s="74"/>
      <c r="C32" s="92">
        <f ca="1">C30/E30</f>
        <v>1111376.4629475833</v>
      </c>
      <c r="D32" s="85" t="s">
        <v>85</v>
      </c>
      <c r="E32" s="96"/>
      <c r="F32" s="96"/>
      <c r="G32" s="93"/>
      <c r="H32" s="93"/>
      <c r="I32" s="74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</row>
    <row r="33" spans="1:21" ht="12" customHeight="1" x14ac:dyDescent="0.15">
      <c r="A33" s="89" t="s">
        <v>86</v>
      </c>
      <c r="B33" s="74"/>
      <c r="C33" s="92">
        <f ca="1">C30/G30</f>
        <v>1131706.2980395386</v>
      </c>
      <c r="D33" s="85" t="s">
        <v>87</v>
      </c>
      <c r="E33" s="95"/>
      <c r="F33" s="95"/>
      <c r="G33" s="95"/>
      <c r="H33" s="95"/>
      <c r="I33" s="95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</row>
    <row r="34" spans="1:21" ht="12" customHeight="1" x14ac:dyDescent="0.15">
      <c r="A34" s="89" t="s">
        <v>88</v>
      </c>
      <c r="B34" s="74"/>
      <c r="C34" s="92">
        <f ca="1">E30*WTP_threshold-C30</f>
        <v>-406700.48791650892</v>
      </c>
      <c r="D34" s="85"/>
      <c r="E34" s="95"/>
      <c r="F34" s="95"/>
      <c r="G34" s="95"/>
      <c r="H34" s="95"/>
      <c r="I34" s="95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</row>
    <row r="35" spans="1:21" ht="15" customHeight="1" x14ac:dyDescent="0.2">
      <c r="A35" s="71"/>
      <c r="B35" s="73"/>
      <c r="C35" s="83"/>
      <c r="D35" s="73"/>
      <c r="E35" s="73"/>
      <c r="F35" s="73"/>
      <c r="G35" s="73"/>
      <c r="H35" s="73"/>
      <c r="I35" s="73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</row>
    <row r="36" spans="1:21" ht="12.75" customHeight="1" x14ac:dyDescent="0.15">
      <c r="A36" s="74"/>
      <c r="B36" s="97"/>
      <c r="C36" s="97"/>
      <c r="D36" s="74"/>
      <c r="E36" s="74"/>
      <c r="F36" s="74"/>
      <c r="G36" s="74"/>
      <c r="H36" s="74"/>
      <c r="I36" s="74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</row>
    <row r="37" spans="1:21" ht="42" customHeight="1" x14ac:dyDescent="0.2">
      <c r="A37" s="68" t="s">
        <v>93</v>
      </c>
      <c r="B37" s="68"/>
      <c r="C37" s="68"/>
      <c r="D37" s="68"/>
      <c r="E37" s="68"/>
      <c r="F37" s="68"/>
      <c r="G37" s="68"/>
      <c r="H37" s="68"/>
      <c r="I37" s="68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</row>
    <row r="38" spans="1:21" ht="12.75" customHeight="1" x14ac:dyDescent="0.15">
      <c r="A38" s="85"/>
      <c r="B38" s="74"/>
      <c r="C38" s="74"/>
      <c r="D38" s="95"/>
      <c r="E38" s="95"/>
      <c r="F38" s="95"/>
      <c r="G38" s="95"/>
      <c r="H38" s="95"/>
      <c r="I38" s="74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</row>
    <row r="39" spans="1:21" ht="13.5" customHeight="1" x14ac:dyDescent="0.15">
      <c r="A39" s="85" t="s">
        <v>94</v>
      </c>
      <c r="B39" s="85" t="s">
        <v>95</v>
      </c>
      <c r="C39" s="85" t="s">
        <v>96</v>
      </c>
      <c r="D39" s="85" t="s">
        <v>97</v>
      </c>
      <c r="E39" s="96"/>
      <c r="F39" s="96"/>
      <c r="G39" s="93"/>
      <c r="H39" s="93"/>
      <c r="I39" s="74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</row>
    <row r="40" spans="1:21" ht="13.5" customHeight="1" x14ac:dyDescent="0.15">
      <c r="A40" s="14" t="s">
        <v>98</v>
      </c>
      <c r="B40" s="86">
        <f ca="1">disc_drugacq_SD_inavo</f>
        <v>468183.96940652432</v>
      </c>
      <c r="C40" s="86">
        <f ca="1">disc_drugacq_SD_placebo</f>
        <v>31082.016817286247</v>
      </c>
      <c r="D40" s="86">
        <f t="shared" ref="D40:D53" ca="1" si="0">B40-C40</f>
        <v>437101.95258923806</v>
      </c>
      <c r="E40" s="96"/>
      <c r="F40" s="96"/>
      <c r="G40" s="96"/>
      <c r="H40" s="96"/>
      <c r="I40" s="96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</row>
    <row r="41" spans="1:21" ht="13.5" customHeight="1" x14ac:dyDescent="0.15">
      <c r="A41" s="14" t="s">
        <v>99</v>
      </c>
      <c r="B41" s="86">
        <f ca="1">disc_admin_SD_inavo</f>
        <v>3006.1718634273398</v>
      </c>
      <c r="C41" s="86">
        <f ca="1">disc_admin_SD_placebo</f>
        <v>2011.596822507114</v>
      </c>
      <c r="D41" s="86">
        <f t="shared" ca="1" si="0"/>
        <v>994.57504092022577</v>
      </c>
      <c r="E41" s="96"/>
      <c r="F41" s="96"/>
      <c r="G41" s="96"/>
      <c r="H41" s="96"/>
      <c r="I41" s="96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</row>
    <row r="42" spans="1:21" ht="13.5" customHeight="1" x14ac:dyDescent="0.15">
      <c r="A42" s="14" t="s">
        <v>100</v>
      </c>
      <c r="B42" s="86">
        <f ca="1">disc_hcru_SD_inavo</f>
        <v>4656.2175713032775</v>
      </c>
      <c r="C42" s="86">
        <f ca="1">disc_hcru_SD_placebo</f>
        <v>2757.5765957862013</v>
      </c>
      <c r="D42" s="86">
        <f t="shared" ca="1" si="0"/>
        <v>1898.6409755170762</v>
      </c>
      <c r="E42" s="96"/>
      <c r="F42" s="96"/>
      <c r="G42" s="96"/>
      <c r="H42" s="96"/>
      <c r="I42" s="96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</row>
    <row r="43" spans="1:21" ht="13.5" customHeight="1" x14ac:dyDescent="0.15">
      <c r="A43" s="14" t="s">
        <v>101</v>
      </c>
      <c r="B43" s="86">
        <f>disc_AE_inavo</f>
        <v>244.61670901751995</v>
      </c>
      <c r="C43" s="86">
        <f>disc_AE_placebo</f>
        <v>163.35390045807998</v>
      </c>
      <c r="D43" s="86">
        <f t="shared" si="0"/>
        <v>81.262808559439975</v>
      </c>
      <c r="E43" s="96"/>
      <c r="F43" s="96"/>
      <c r="G43" s="96"/>
      <c r="H43" s="96"/>
      <c r="I43" s="96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</row>
    <row r="44" spans="1:21" ht="13.5" customHeight="1" x14ac:dyDescent="0.15">
      <c r="A44" s="14" t="s">
        <v>102</v>
      </c>
      <c r="B44" s="86">
        <f ca="1">disc_drugacq_PD_inavo</f>
        <v>634.43026901303745</v>
      </c>
      <c r="C44" s="86">
        <f ca="1">disc_drugacq_PD_placebo</f>
        <v>819.67634129090015</v>
      </c>
      <c r="D44" s="86">
        <f t="shared" ca="1" si="0"/>
        <v>-185.24607227786271</v>
      </c>
      <c r="E44" s="96"/>
      <c r="F44" s="96"/>
      <c r="G44" s="96"/>
      <c r="H44" s="96"/>
      <c r="I44" s="96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</row>
    <row r="45" spans="1:21" ht="13.5" customHeight="1" x14ac:dyDescent="0.15">
      <c r="A45" s="14" t="s">
        <v>103</v>
      </c>
      <c r="B45" s="86">
        <f ca="1">disc_hcru_PD_inavo</f>
        <v>5711.0525060865466</v>
      </c>
      <c r="C45" s="86">
        <f ca="1">disc_hcru_PD_placebo</f>
        <v>7122.5084233145435</v>
      </c>
      <c r="D45" s="86">
        <f t="shared" ca="1" si="0"/>
        <v>-1411.4559172279969</v>
      </c>
      <c r="E45" s="96"/>
      <c r="F45" s="96"/>
      <c r="G45" s="96"/>
      <c r="H45" s="96"/>
      <c r="I45" s="96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</row>
    <row r="46" spans="1:21" ht="19.5" customHeight="1" x14ac:dyDescent="0.15">
      <c r="A46" s="14" t="s">
        <v>104</v>
      </c>
      <c r="B46" s="86">
        <f ca="1">disc_eol_inavo</f>
        <v>24575.982950691479</v>
      </c>
      <c r="C46" s="86">
        <f ca="1">disc_eol_placebo</f>
        <v>24808.994539784424</v>
      </c>
      <c r="D46" s="86">
        <f t="shared" ca="1" si="0"/>
        <v>-233.01158909294463</v>
      </c>
      <c r="E46" s="96"/>
      <c r="F46" s="96"/>
      <c r="G46" s="96"/>
      <c r="H46" s="96"/>
      <c r="I46" s="96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</row>
    <row r="47" spans="1:21" ht="13.5" customHeight="1" x14ac:dyDescent="0.15">
      <c r="A47" s="89" t="s">
        <v>105</v>
      </c>
      <c r="B47" s="98">
        <f ca="1">SUM(B40:B46)</f>
        <v>507012.44127606356</v>
      </c>
      <c r="C47" s="98">
        <f ca="1">SUM(C40:C46)</f>
        <v>68765.723440427508</v>
      </c>
      <c r="D47" s="98">
        <f t="shared" ca="1" si="0"/>
        <v>438246.71783563605</v>
      </c>
      <c r="E47" s="96"/>
      <c r="F47" s="96"/>
      <c r="G47" s="96"/>
      <c r="H47" s="96"/>
      <c r="I47" s="96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</row>
    <row r="48" spans="1:21" ht="13.5" customHeight="1" x14ac:dyDescent="0.15">
      <c r="A48" s="14" t="s">
        <v>106</v>
      </c>
      <c r="B48" s="86">
        <f>disc_productivity_inavo</f>
        <v>13289.272776</v>
      </c>
      <c r="C48" s="86">
        <f>disc_productivity_placebo</f>
        <v>13289.272776</v>
      </c>
      <c r="D48" s="86">
        <f t="shared" si="0"/>
        <v>0</v>
      </c>
      <c r="E48" s="96"/>
      <c r="F48" s="96"/>
      <c r="G48" s="96"/>
      <c r="H48" s="96"/>
      <c r="I48" s="96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</row>
    <row r="49" spans="1:21" ht="13.5" customHeight="1" x14ac:dyDescent="0.15">
      <c r="A49" s="14" t="s">
        <v>107</v>
      </c>
      <c r="B49" s="86">
        <f ca="1">disc_informal_SD_inavo</f>
        <v>11379.040493579765</v>
      </c>
      <c r="C49" s="86">
        <f ca="1">disc_informal_SD_placebo</f>
        <v>7458.1853841059374</v>
      </c>
      <c r="D49" s="86">
        <f t="shared" ca="1" si="0"/>
        <v>3920.8551094738277</v>
      </c>
      <c r="E49" s="96"/>
      <c r="F49" s="96"/>
      <c r="G49" s="96"/>
      <c r="H49" s="96"/>
      <c r="I49" s="96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</row>
    <row r="50" spans="1:21" ht="13.5" customHeight="1" x14ac:dyDescent="0.15">
      <c r="A50" s="14" t="s">
        <v>108</v>
      </c>
      <c r="B50" s="86">
        <f ca="1">disc_informal_PD_inavo</f>
        <v>30726.021307179806</v>
      </c>
      <c r="C50" s="86">
        <f ca="1">disc_informal_PD_placebo</f>
        <v>38233.315383761888</v>
      </c>
      <c r="D50" s="86">
        <f t="shared" ca="1" si="0"/>
        <v>-7507.2940765820822</v>
      </c>
      <c r="E50" s="96"/>
      <c r="F50" s="96"/>
      <c r="G50" s="96"/>
      <c r="H50" s="96"/>
      <c r="I50" s="96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</row>
    <row r="51" spans="1:21" ht="13.5" customHeight="1" x14ac:dyDescent="0.15">
      <c r="A51" s="14" t="s">
        <v>109</v>
      </c>
      <c r="B51" s="86">
        <f ca="1">disc_patienttime_SD_inavo+disc_patienttime_PD_inavo</f>
        <v>2489.2558015301029</v>
      </c>
      <c r="C51" s="86">
        <f ca="1">disc_patienttime_SD_placebo+disc_patienttime_PD_placebo</f>
        <v>2259.8188460605334</v>
      </c>
      <c r="D51" s="86">
        <f t="shared" ca="1" si="0"/>
        <v>229.43695546956951</v>
      </c>
      <c r="E51" s="96"/>
      <c r="F51" s="96"/>
      <c r="G51" s="96"/>
      <c r="H51" s="96"/>
      <c r="I51" s="96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</row>
    <row r="52" spans="1:21" ht="13.5" customHeight="1" x14ac:dyDescent="0.15">
      <c r="A52" s="14" t="s">
        <v>110</v>
      </c>
      <c r="B52" s="86">
        <f ca="1">PAID_per_LY*total_LY_inavo</f>
        <v>28060.943404475191</v>
      </c>
      <c r="C52" s="86">
        <f ca="1">PAID_per_LY*total_LY_placebo</f>
        <v>25543.856002146254</v>
      </c>
      <c r="D52" s="86">
        <f t="shared" ca="1" si="0"/>
        <v>2517.0874023289362</v>
      </c>
      <c r="E52" s="96"/>
      <c r="F52" s="96"/>
      <c r="G52" s="96"/>
      <c r="H52" s="96"/>
      <c r="I52" s="96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</row>
    <row r="53" spans="1:21" ht="13.5" customHeight="1" x14ac:dyDescent="0.15">
      <c r="A53" s="89" t="s">
        <v>111</v>
      </c>
      <c r="B53" s="98">
        <f ca="1">total_cost_inavo+PAID_per_LY*total_LY_inavo</f>
        <v>592956.97505882871</v>
      </c>
      <c r="C53" s="98">
        <f ca="1">total_cost_placebo+PAID_per_LY*total_LY_placebo</f>
        <v>155550.17183250215</v>
      </c>
      <c r="D53" s="98">
        <f t="shared" ca="1" si="0"/>
        <v>437406.80322632659</v>
      </c>
      <c r="E53" s="96"/>
      <c r="F53" s="96"/>
      <c r="G53" s="96"/>
      <c r="H53" s="96"/>
      <c r="I53" s="96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</row>
    <row r="54" spans="1:21" ht="13.5" customHeight="1" x14ac:dyDescent="0.15">
      <c r="A54" s="96"/>
      <c r="B54" s="96"/>
      <c r="C54" s="96"/>
      <c r="D54" s="96"/>
      <c r="E54" s="96"/>
      <c r="F54" s="96"/>
      <c r="G54" s="96"/>
      <c r="H54" s="96"/>
      <c r="I54" s="96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</row>
    <row r="55" spans="1:21" ht="13.5" customHeight="1" x14ac:dyDescent="0.15">
      <c r="A55" s="96"/>
      <c r="B55" s="96"/>
      <c r="C55" s="96"/>
      <c r="D55" s="96"/>
      <c r="E55" s="96"/>
      <c r="F55" s="96"/>
      <c r="G55" s="96"/>
      <c r="H55" s="96"/>
      <c r="I55" s="96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</row>
    <row r="56" spans="1:21" ht="13.5" customHeight="1" x14ac:dyDescent="0.15">
      <c r="A56" s="96"/>
      <c r="B56" s="96"/>
      <c r="C56" s="96"/>
      <c r="D56" s="96"/>
      <c r="E56" s="96"/>
      <c r="F56" s="96"/>
      <c r="G56" s="96"/>
      <c r="H56" s="96"/>
      <c r="I56" s="96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</row>
    <row r="57" spans="1:21" ht="13.5" customHeight="1" x14ac:dyDescent="0.15">
      <c r="A57" s="96"/>
      <c r="B57" s="96"/>
      <c r="C57" s="96"/>
      <c r="D57" s="96"/>
      <c r="E57" s="96"/>
      <c r="F57" s="96"/>
      <c r="G57" s="96"/>
      <c r="H57" s="96"/>
      <c r="I57" s="96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</row>
    <row r="58" spans="1:21" ht="13.5" customHeight="1" x14ac:dyDescent="0.15">
      <c r="A58" s="96"/>
      <c r="B58" s="96"/>
      <c r="C58" s="96"/>
      <c r="D58" s="96"/>
      <c r="E58" s="96"/>
      <c r="F58" s="96"/>
      <c r="G58" s="96"/>
      <c r="H58" s="96"/>
      <c r="I58" s="96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</row>
    <row r="59" spans="1:21" ht="13.5" customHeight="1" x14ac:dyDescent="0.15">
      <c r="A59" s="96"/>
      <c r="B59" s="96"/>
      <c r="C59" s="96"/>
      <c r="D59" s="96"/>
      <c r="E59" s="96"/>
      <c r="F59" s="96"/>
      <c r="G59" s="96"/>
      <c r="H59" s="96"/>
      <c r="I59" s="96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</row>
    <row r="60" spans="1:21" ht="13.5" customHeight="1" x14ac:dyDescent="0.15">
      <c r="A60" s="96"/>
      <c r="B60" s="96"/>
      <c r="C60" s="96"/>
      <c r="D60" s="96"/>
      <c r="E60" s="96"/>
      <c r="F60" s="96"/>
      <c r="G60" s="96"/>
      <c r="H60" s="96"/>
      <c r="I60" s="96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</row>
    <row r="61" spans="1:21" ht="12" customHeight="1" x14ac:dyDescent="0.15">
      <c r="A61" s="96"/>
      <c r="B61" s="96"/>
      <c r="C61" s="96"/>
      <c r="D61" s="96"/>
      <c r="E61" s="96"/>
      <c r="F61" s="96"/>
      <c r="G61" s="96"/>
      <c r="H61" s="96"/>
      <c r="I61" s="96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</row>
    <row r="62" spans="1:21" ht="12" customHeight="1" x14ac:dyDescent="0.15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</row>
    <row r="63" spans="1:21" ht="12" customHeight="1" x14ac:dyDescent="0.15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</row>
    <row r="64" spans="1:21" ht="12" customHeight="1" x14ac:dyDescent="0.15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</row>
    <row r="65" spans="1:21" ht="15" customHeight="1" x14ac:dyDescent="0.15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</row>
    <row r="66" spans="1:21" ht="25.5" customHeight="1" x14ac:dyDescent="0.15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</row>
    <row r="67" spans="1:21" ht="12" customHeight="1" x14ac:dyDescent="0.15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</row>
    <row r="68" spans="1:21" ht="21.75" customHeight="1" x14ac:dyDescent="0.15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</row>
    <row r="69" spans="1:21" ht="21.75" customHeight="1" x14ac:dyDescent="0.15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</row>
    <row r="70" spans="1:21" ht="21.75" customHeight="1" x14ac:dyDescent="0.1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</row>
    <row r="71" spans="1:21" ht="21.75" customHeight="1" x14ac:dyDescent="0.15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</row>
    <row r="72" spans="1:21" ht="21.75" customHeight="1" x14ac:dyDescent="0.15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</row>
    <row r="73" spans="1:21" ht="21.75" customHeight="1" x14ac:dyDescent="0.15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</row>
    <row r="74" spans="1:21" ht="21.75" customHeight="1" x14ac:dyDescent="0.15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</row>
    <row r="75" spans="1:21" ht="21.75" customHeight="1" x14ac:dyDescent="0.15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</row>
    <row r="76" spans="1:21" ht="21.75" customHeight="1" x14ac:dyDescent="0.15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</row>
    <row r="77" spans="1:21" ht="21.75" customHeight="1" x14ac:dyDescent="0.15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</row>
    <row r="78" spans="1:21" ht="21.75" customHeight="1" x14ac:dyDescent="0.15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</row>
    <row r="79" spans="1:21" ht="21.75" customHeight="1" x14ac:dyDescent="0.1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</row>
    <row r="80" spans="1:21" ht="21.75" customHeight="1" x14ac:dyDescent="0.1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</row>
    <row r="81" spans="1:19" ht="21.75" customHeight="1" x14ac:dyDescent="0.15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</row>
    <row r="82" spans="1:19" ht="21.75" customHeight="1" x14ac:dyDescent="0.15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</row>
    <row r="83" spans="1:19" ht="21.75" customHeight="1" x14ac:dyDescent="0.15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</row>
    <row r="84" spans="1:19" ht="21.75" customHeight="1" x14ac:dyDescent="0.15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</row>
    <row r="85" spans="1:19" ht="21.75" customHeight="1" x14ac:dyDescent="0.15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</row>
    <row r="86" spans="1:19" ht="21.75" customHeight="1" x14ac:dyDescent="0.15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</row>
    <row r="87" spans="1:19" ht="21.75" customHeight="1" x14ac:dyDescent="0.15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</row>
    <row r="88" spans="1:19" ht="21.75" customHeight="1" x14ac:dyDescent="0.15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</row>
    <row r="89" spans="1:19" ht="21.75" customHeight="1" x14ac:dyDescent="0.15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</row>
    <row r="90" spans="1:19" ht="21.75" customHeight="1" x14ac:dyDescent="0.15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</row>
    <row r="91" spans="1:19" ht="21.75" customHeight="1" x14ac:dyDescent="0.15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</row>
    <row r="92" spans="1:19" ht="12" customHeight="1" x14ac:dyDescent="0.15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</row>
    <row r="93" spans="1:19" ht="12" customHeight="1" x14ac:dyDescent="0.15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</row>
  </sheetData>
  <mergeCells count="4">
    <mergeCell ref="A1:I1"/>
    <mergeCell ref="A25:H25"/>
    <mergeCell ref="A3:H3"/>
    <mergeCell ref="A11:H11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8D19D"/>
  </sheetPr>
  <dimension ref="A1:EI1163"/>
  <sheetViews>
    <sheetView topLeftCell="A137" zoomScale="46" zoomScaleNormal="64" workbookViewId="0">
      <selection activeCell="Q30" sqref="Q30"/>
    </sheetView>
  </sheetViews>
  <sheetFormatPr baseColWidth="10" defaultColWidth="8.83203125" defaultRowHeight="13" outlineLevelRow="1" x14ac:dyDescent="0.15"/>
  <cols>
    <col min="1" max="1" width="46" customWidth="1"/>
    <col min="2" max="2" width="29.5" style="99" customWidth="1"/>
    <col min="3" max="3" width="16.5" customWidth="1"/>
    <col min="4" max="4" width="17.83203125" customWidth="1"/>
    <col min="5" max="5" width="16.83203125" style="67" customWidth="1"/>
    <col min="6" max="6" width="13.83203125" style="67" customWidth="1"/>
    <col min="7" max="7" width="12" style="67" customWidth="1"/>
    <col min="8" max="8" width="14.83203125" style="67" bestFit="1" customWidth="1"/>
    <col min="9" max="9" width="120.33203125" style="67" customWidth="1"/>
    <col min="10" max="10" width="3" style="67" customWidth="1"/>
    <col min="11" max="11" width="30" style="67" customWidth="1"/>
    <col min="12" max="139" width="40" style="67" customWidth="1"/>
  </cols>
  <sheetData>
    <row r="1" spans="1:139" ht="43.5" customHeight="1" x14ac:dyDescent="0.15">
      <c r="A1" s="516" t="s">
        <v>112</v>
      </c>
      <c r="B1" s="537"/>
      <c r="C1" s="517"/>
      <c r="D1" s="517"/>
      <c r="E1" s="529"/>
      <c r="F1" s="529"/>
      <c r="G1" s="529"/>
      <c r="H1" s="529"/>
      <c r="I1" s="529"/>
      <c r="J1" s="529"/>
      <c r="K1" s="529"/>
      <c r="L1" s="529"/>
      <c r="M1" s="529"/>
      <c r="N1" s="529"/>
    </row>
    <row r="2" spans="1:139" ht="15.75" customHeight="1" x14ac:dyDescent="0.15">
      <c r="A2" s="538" t="s">
        <v>113</v>
      </c>
      <c r="B2" s="537"/>
      <c r="C2" s="517"/>
      <c r="D2" s="517"/>
      <c r="E2" s="529"/>
      <c r="F2" s="529"/>
      <c r="G2" s="529"/>
      <c r="H2" s="529"/>
      <c r="I2" s="529"/>
      <c r="J2" s="529"/>
      <c r="K2" s="529"/>
      <c r="L2" s="529"/>
      <c r="M2" s="529"/>
      <c r="N2" s="529"/>
    </row>
    <row r="3" spans="1:139" s="67" customFormat="1" ht="12.75" customHeight="1" x14ac:dyDescent="0.15">
      <c r="B3" s="100"/>
    </row>
    <row r="4" spans="1:139" s="102" customFormat="1" ht="18" customHeight="1" x14ac:dyDescent="0.2">
      <c r="A4" s="68" t="s">
        <v>114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101"/>
      <c r="P4" s="101"/>
      <c r="Q4" s="101"/>
      <c r="R4" s="101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</row>
    <row r="5" spans="1:139" s="67" customFormat="1" ht="17.25" customHeight="1" x14ac:dyDescent="0.2">
      <c r="A5" s="103" t="s">
        <v>115</v>
      </c>
      <c r="B5" s="103" t="s">
        <v>116</v>
      </c>
      <c r="C5" s="103" t="s">
        <v>117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1:139" s="106" customFormat="1" ht="15" customHeight="1" x14ac:dyDescent="0.15">
      <c r="A6" s="104" t="s">
        <v>118</v>
      </c>
      <c r="B6" s="132">
        <v>0</v>
      </c>
      <c r="C6" s="534" t="s">
        <v>119</v>
      </c>
      <c r="D6" s="531"/>
      <c r="E6" s="531"/>
      <c r="F6" s="531"/>
      <c r="G6" s="531"/>
      <c r="H6" s="531"/>
      <c r="I6" s="531"/>
      <c r="J6" s="531"/>
      <c r="K6" s="531"/>
      <c r="L6" s="531"/>
      <c r="M6" s="531"/>
      <c r="N6" s="532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</row>
    <row r="7" spans="1:139" s="106" customFormat="1" ht="14.25" customHeight="1" x14ac:dyDescent="0.15">
      <c r="A7" s="104" t="s">
        <v>120</v>
      </c>
      <c r="B7" s="504">
        <v>4</v>
      </c>
      <c r="C7" s="530" t="s">
        <v>121</v>
      </c>
      <c r="D7" s="531"/>
      <c r="E7" s="531"/>
      <c r="F7" s="531"/>
      <c r="G7" s="531"/>
      <c r="H7" s="531"/>
      <c r="I7" s="531"/>
      <c r="J7" s="531"/>
      <c r="K7" s="531"/>
      <c r="L7" s="531"/>
      <c r="M7" s="531"/>
      <c r="N7" s="532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</row>
    <row r="8" spans="1:139" s="106" customFormat="1" ht="14.25" customHeight="1" x14ac:dyDescent="0.15">
      <c r="A8" s="104" t="s">
        <v>122</v>
      </c>
      <c r="B8" s="504">
        <v>6</v>
      </c>
      <c r="C8" s="530" t="s">
        <v>123</v>
      </c>
      <c r="D8" s="531"/>
      <c r="E8" s="531"/>
      <c r="F8" s="531"/>
      <c r="G8" s="531"/>
      <c r="H8" s="531"/>
      <c r="I8" s="531"/>
      <c r="J8" s="531"/>
      <c r="K8" s="531"/>
      <c r="L8" s="531"/>
      <c r="M8" s="531"/>
      <c r="N8" s="532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</row>
    <row r="9" spans="1:139" s="106" customFormat="1" ht="12" customHeight="1" x14ac:dyDescent="0.15">
      <c r="A9" s="104" t="s">
        <v>124</v>
      </c>
      <c r="B9" s="105">
        <v>0.03</v>
      </c>
      <c r="C9" s="534" t="s">
        <v>125</v>
      </c>
      <c r="D9" s="531"/>
      <c r="E9" s="531"/>
      <c r="F9" s="531"/>
      <c r="G9" s="531"/>
      <c r="H9" s="531"/>
      <c r="I9" s="531"/>
      <c r="J9" s="531"/>
      <c r="K9" s="531"/>
      <c r="L9" s="531"/>
      <c r="M9" s="531"/>
      <c r="N9" s="532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</row>
    <row r="10" spans="1:139" s="106" customFormat="1" ht="15" customHeight="1" x14ac:dyDescent="0.15">
      <c r="A10" s="104" t="s">
        <v>126</v>
      </c>
      <c r="B10" s="105">
        <v>1.4999999999999999E-2</v>
      </c>
      <c r="C10" s="534" t="s">
        <v>127</v>
      </c>
      <c r="D10" s="531"/>
      <c r="E10" s="531"/>
      <c r="F10" s="531"/>
      <c r="G10" s="531"/>
      <c r="H10" s="531"/>
      <c r="I10" s="531"/>
      <c r="J10" s="531"/>
      <c r="K10" s="531"/>
      <c r="L10" s="531"/>
      <c r="M10" s="531"/>
      <c r="N10" s="532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</row>
    <row r="11" spans="1:139" s="106" customFormat="1" ht="28.5" customHeight="1" x14ac:dyDescent="0.15">
      <c r="A11" s="104" t="s">
        <v>128</v>
      </c>
      <c r="B11" s="504">
        <v>1000</v>
      </c>
      <c r="C11" s="530" t="s">
        <v>129</v>
      </c>
      <c r="D11" s="531"/>
      <c r="E11" s="531"/>
      <c r="F11" s="531"/>
      <c r="G11" s="531"/>
      <c r="H11" s="531"/>
      <c r="I11" s="531"/>
      <c r="J11" s="531"/>
      <c r="K11" s="531"/>
      <c r="L11" s="531"/>
      <c r="M11" s="531"/>
      <c r="N11" s="532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</row>
    <row r="12" spans="1:139" s="106" customFormat="1" ht="28.5" customHeight="1" x14ac:dyDescent="0.15">
      <c r="A12" s="104" t="s">
        <v>130</v>
      </c>
      <c r="B12" s="504">
        <v>28</v>
      </c>
      <c r="C12" s="530" t="s">
        <v>131</v>
      </c>
      <c r="D12" s="531"/>
      <c r="E12" s="531"/>
      <c r="F12" s="531"/>
      <c r="G12" s="531"/>
      <c r="H12" s="531"/>
      <c r="I12" s="531"/>
      <c r="J12" s="531"/>
      <c r="K12" s="531"/>
      <c r="L12" s="531"/>
      <c r="M12" s="531"/>
      <c r="N12" s="532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</row>
    <row r="13" spans="1:139" s="106" customFormat="1" ht="12" customHeight="1" x14ac:dyDescent="0.15">
      <c r="A13" s="104" t="s">
        <v>132</v>
      </c>
      <c r="B13" s="504">
        <f>cycle_length_days/365.25</f>
        <v>7.665982203969883E-2</v>
      </c>
      <c r="C13" s="530" t="s">
        <v>133</v>
      </c>
      <c r="D13" s="531"/>
      <c r="E13" s="531"/>
      <c r="F13" s="531"/>
      <c r="G13" s="531"/>
      <c r="H13" s="531"/>
      <c r="I13" s="531"/>
      <c r="J13" s="531"/>
      <c r="K13" s="531"/>
      <c r="L13" s="531"/>
      <c r="M13" s="531"/>
      <c r="N13" s="532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</row>
    <row r="14" spans="1:139" s="106" customFormat="1" ht="12" customHeight="1" x14ac:dyDescent="0.15">
      <c r="A14" s="104" t="s">
        <v>134</v>
      </c>
      <c r="B14" s="504">
        <v>7</v>
      </c>
      <c r="C14" s="530" t="s">
        <v>135</v>
      </c>
      <c r="D14" s="531"/>
      <c r="E14" s="531"/>
      <c r="F14" s="531"/>
      <c r="G14" s="531"/>
      <c r="H14" s="531"/>
      <c r="I14" s="532"/>
      <c r="J14" s="1"/>
      <c r="K14" s="1"/>
      <c r="L14" s="1"/>
      <c r="M14" s="1"/>
      <c r="N14" s="1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</row>
    <row r="15" spans="1:139" s="106" customFormat="1" ht="28.5" customHeight="1" x14ac:dyDescent="0.15">
      <c r="A15" s="104" t="s">
        <v>136</v>
      </c>
      <c r="B15" s="504">
        <v>261</v>
      </c>
      <c r="C15" s="530" t="s">
        <v>137</v>
      </c>
      <c r="D15" s="531"/>
      <c r="E15" s="531"/>
      <c r="F15" s="531"/>
      <c r="G15" s="531"/>
      <c r="H15" s="531"/>
      <c r="I15" s="531"/>
      <c r="J15" s="531"/>
      <c r="K15" s="531"/>
      <c r="L15" s="531"/>
      <c r="M15" s="531"/>
      <c r="N15" s="532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</row>
    <row r="16" spans="1:139" s="110" customFormat="1" ht="38.25" customHeight="1" x14ac:dyDescent="0.2">
      <c r="A16" s="104" t="s">
        <v>138</v>
      </c>
      <c r="B16" s="132">
        <v>80000</v>
      </c>
      <c r="C16" s="534" t="s">
        <v>139</v>
      </c>
      <c r="D16" s="531"/>
      <c r="E16" s="531"/>
      <c r="F16" s="531"/>
      <c r="G16" s="531"/>
      <c r="H16" s="531"/>
      <c r="I16" s="531"/>
      <c r="J16" s="531"/>
      <c r="K16" s="531"/>
      <c r="L16" s="531"/>
      <c r="M16" s="531"/>
      <c r="N16" s="532"/>
      <c r="O16" s="107"/>
      <c r="P16" s="107"/>
      <c r="Q16" s="107"/>
      <c r="R16" s="10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9"/>
    </row>
    <row r="17" spans="1:41" s="101" customFormat="1" ht="18" customHeight="1" x14ac:dyDescent="0.2">
      <c r="A17" s="104" t="s">
        <v>140</v>
      </c>
      <c r="B17" s="504">
        <v>365.25</v>
      </c>
      <c r="C17" s="530" t="s">
        <v>141</v>
      </c>
      <c r="D17" s="531"/>
      <c r="E17" s="531"/>
      <c r="F17" s="531"/>
      <c r="G17" s="531"/>
      <c r="H17" s="531"/>
      <c r="I17" s="531"/>
      <c r="J17" s="531"/>
      <c r="K17" s="531"/>
      <c r="L17" s="531"/>
      <c r="M17" s="531"/>
      <c r="N17" s="532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</row>
    <row r="18" spans="1:41" s="106" customFormat="1" ht="21.75" customHeight="1" x14ac:dyDescent="0.2">
      <c r="A18" s="68" t="s">
        <v>142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</row>
    <row r="19" spans="1:41" s="67" customFormat="1" ht="17.25" customHeight="1" x14ac:dyDescent="0.2">
      <c r="A19" s="103" t="s">
        <v>115</v>
      </c>
      <c r="B19" s="103" t="s">
        <v>116</v>
      </c>
      <c r="C19" s="103" t="s">
        <v>117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</row>
    <row r="20" spans="1:41" s="106" customFormat="1" ht="21.75" customHeight="1" x14ac:dyDescent="0.15">
      <c r="A20" s="104" t="s">
        <v>143</v>
      </c>
      <c r="B20" s="105">
        <v>0.1</v>
      </c>
      <c r="C20" s="535" t="s">
        <v>144</v>
      </c>
      <c r="D20" s="531"/>
      <c r="E20" s="531"/>
      <c r="F20" s="531"/>
      <c r="G20" s="531"/>
      <c r="H20" s="531"/>
      <c r="I20" s="531"/>
      <c r="J20" s="531"/>
      <c r="K20" s="531"/>
      <c r="L20" s="531"/>
      <c r="M20" s="531"/>
      <c r="N20" s="532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</row>
    <row r="21" spans="1:41" s="106" customFormat="1" ht="21" customHeight="1" x14ac:dyDescent="0.15">
      <c r="A21" s="104" t="s">
        <v>145</v>
      </c>
      <c r="B21" s="105">
        <v>0.25</v>
      </c>
      <c r="C21" s="535" t="s">
        <v>146</v>
      </c>
      <c r="D21" s="531"/>
      <c r="E21" s="531"/>
      <c r="F21" s="531"/>
      <c r="G21" s="531"/>
      <c r="H21" s="531"/>
      <c r="I21" s="531"/>
      <c r="J21" s="531"/>
      <c r="K21" s="531"/>
      <c r="L21" s="531"/>
      <c r="M21" s="531"/>
      <c r="N21" s="532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</row>
    <row r="22" spans="1:41" s="106" customFormat="1" ht="17.25" customHeight="1" x14ac:dyDescent="0.15">
      <c r="A22" s="104" t="s">
        <v>147</v>
      </c>
      <c r="B22" s="105">
        <v>0.25</v>
      </c>
      <c r="C22" s="535" t="s">
        <v>148</v>
      </c>
      <c r="D22" s="531"/>
      <c r="E22" s="531"/>
      <c r="F22" s="531"/>
      <c r="G22" s="531"/>
      <c r="H22" s="531"/>
      <c r="I22" s="531"/>
      <c r="J22" s="531"/>
      <c r="K22" s="531"/>
      <c r="L22" s="531"/>
      <c r="M22" s="531"/>
      <c r="N22" s="532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</row>
    <row r="23" spans="1:41" s="106" customFormat="1" ht="13.5" customHeight="1" x14ac:dyDescent="0.15">
      <c r="A23" s="104" t="s">
        <v>149</v>
      </c>
      <c r="B23" s="105">
        <v>0.2</v>
      </c>
      <c r="C23" s="533" t="s">
        <v>150</v>
      </c>
      <c r="D23" s="531"/>
      <c r="E23" s="531"/>
      <c r="F23" s="531"/>
      <c r="G23" s="531"/>
      <c r="H23" s="531"/>
      <c r="I23" s="531"/>
      <c r="J23" s="531"/>
      <c r="K23" s="531"/>
      <c r="L23" s="531"/>
      <c r="M23" s="531"/>
      <c r="N23" s="532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</row>
    <row r="24" spans="1:41" s="106" customFormat="1" ht="13.5" customHeight="1" x14ac:dyDescent="0.15">
      <c r="A24" s="104" t="s">
        <v>151</v>
      </c>
      <c r="B24" s="105">
        <v>0.15</v>
      </c>
      <c r="C24" s="533" t="s">
        <v>152</v>
      </c>
      <c r="D24" s="531"/>
      <c r="E24" s="531"/>
      <c r="F24" s="531"/>
      <c r="G24" s="531"/>
      <c r="H24" s="531"/>
      <c r="I24" s="531"/>
      <c r="J24" s="531"/>
      <c r="K24" s="531"/>
      <c r="L24" s="531"/>
      <c r="M24" s="531"/>
      <c r="N24" s="532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</row>
    <row r="25" spans="1:41" s="106" customFormat="1" ht="15" customHeight="1" x14ac:dyDescent="0.15">
      <c r="A25" s="104" t="s">
        <v>153</v>
      </c>
      <c r="B25" s="18">
        <v>0.25</v>
      </c>
      <c r="C25" s="536" t="s">
        <v>154</v>
      </c>
      <c r="D25" s="531"/>
      <c r="E25" s="531"/>
      <c r="F25" s="531"/>
      <c r="G25" s="531"/>
      <c r="H25" s="531"/>
      <c r="I25" s="531"/>
      <c r="J25" s="531"/>
      <c r="K25" s="531"/>
      <c r="L25" s="531"/>
      <c r="M25" s="531"/>
      <c r="N25" s="532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</row>
    <row r="26" spans="1:41" s="106" customFormat="1" ht="15" customHeight="1" x14ac:dyDescent="0.15">
      <c r="A26" s="104" t="s">
        <v>155</v>
      </c>
      <c r="B26" s="105">
        <v>0.3</v>
      </c>
      <c r="C26" s="533" t="s">
        <v>156</v>
      </c>
      <c r="D26" s="531"/>
      <c r="E26" s="531"/>
      <c r="F26" s="531"/>
      <c r="G26" s="531"/>
      <c r="H26" s="531"/>
      <c r="I26" s="531"/>
      <c r="J26" s="531"/>
      <c r="K26" s="531"/>
      <c r="L26" s="531"/>
      <c r="M26" s="531"/>
      <c r="N26" s="532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</row>
    <row r="27" spans="1:41" s="106" customFormat="1" ht="15" customHeight="1" x14ac:dyDescent="0.15">
      <c r="A27" s="104"/>
      <c r="B27" s="105"/>
      <c r="C27" s="67"/>
      <c r="D27" s="19"/>
      <c r="F27" s="111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</row>
    <row r="28" spans="1:41" s="106" customFormat="1" ht="15" customHeight="1" x14ac:dyDescent="0.2">
      <c r="A28" s="68" t="s">
        <v>157</v>
      </c>
      <c r="B28" s="68"/>
      <c r="C28" s="68"/>
      <c r="D28" s="68"/>
      <c r="E28" s="68"/>
      <c r="F28" s="68"/>
      <c r="G28" s="68"/>
      <c r="H28" s="68"/>
      <c r="I28" s="112"/>
      <c r="J28" s="68"/>
      <c r="K28" s="68"/>
      <c r="L28" s="68"/>
      <c r="M28" s="68"/>
      <c r="N28" s="68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</row>
    <row r="29" spans="1:41" s="67" customFormat="1" ht="17.25" customHeight="1" x14ac:dyDescent="0.2">
      <c r="A29" s="103" t="s">
        <v>115</v>
      </c>
      <c r="B29" s="103" t="s">
        <v>158</v>
      </c>
      <c r="C29" s="103" t="s">
        <v>117</v>
      </c>
      <c r="D29" s="103"/>
      <c r="E29" s="103"/>
      <c r="F29" s="103"/>
      <c r="G29" s="103"/>
      <c r="H29" s="103"/>
      <c r="I29" s="103" t="s">
        <v>185</v>
      </c>
      <c r="J29" s="103"/>
      <c r="K29" s="103"/>
      <c r="L29" s="103"/>
      <c r="M29" s="103"/>
      <c r="N29" s="103"/>
    </row>
    <row r="30" spans="1:41" s="106" customFormat="1" ht="15" customHeight="1" x14ac:dyDescent="0.15">
      <c r="A30" s="104" t="s">
        <v>159</v>
      </c>
      <c r="B30" s="130">
        <v>1.3239000000000001</v>
      </c>
      <c r="C30" s="526" t="s">
        <v>160</v>
      </c>
      <c r="D30" s="527"/>
      <c r="E30" s="527"/>
      <c r="F30" s="527"/>
      <c r="G30" s="527"/>
      <c r="H30" s="527"/>
      <c r="I30" s="452" t="s">
        <v>176</v>
      </c>
      <c r="J30" s="511"/>
      <c r="K30" s="511"/>
      <c r="L30" s="511"/>
      <c r="M30" s="511"/>
      <c r="N30" s="512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</row>
    <row r="31" spans="1:41" s="106" customFormat="1" ht="15" customHeight="1" x14ac:dyDescent="0.15">
      <c r="A31" s="104" t="s">
        <v>161</v>
      </c>
      <c r="B31" s="130">
        <v>1.2931999999999999</v>
      </c>
      <c r="C31" s="526" t="s">
        <v>162</v>
      </c>
      <c r="D31" s="527"/>
      <c r="E31" s="527"/>
      <c r="F31" s="527"/>
      <c r="G31" s="527"/>
      <c r="H31" s="527"/>
      <c r="I31" s="452" t="s">
        <v>176</v>
      </c>
      <c r="J31" s="511"/>
      <c r="K31" s="511"/>
      <c r="L31" s="511"/>
      <c r="M31" s="511"/>
      <c r="N31" s="512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</row>
    <row r="32" spans="1:41" s="106" customFormat="1" ht="15" customHeight="1" x14ac:dyDescent="0.15">
      <c r="A32" s="104" t="s">
        <v>163</v>
      </c>
      <c r="B32" s="130">
        <v>1.2676000000000001</v>
      </c>
      <c r="C32" s="526" t="s">
        <v>164</v>
      </c>
      <c r="D32" s="527"/>
      <c r="E32" s="527"/>
      <c r="F32" s="527"/>
      <c r="G32" s="527"/>
      <c r="H32" s="527"/>
      <c r="I32" s="452" t="s">
        <v>176</v>
      </c>
      <c r="J32" s="511"/>
      <c r="K32" s="511"/>
      <c r="L32" s="511"/>
      <c r="M32" s="511"/>
      <c r="N32" s="512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</row>
    <row r="33" spans="1:139" s="106" customFormat="1" ht="15" customHeight="1" x14ac:dyDescent="0.15">
      <c r="A33" s="104" t="s">
        <v>165</v>
      </c>
      <c r="B33" s="130">
        <v>1.2536</v>
      </c>
      <c r="C33" s="526" t="s">
        <v>166</v>
      </c>
      <c r="D33" s="527"/>
      <c r="E33" s="527"/>
      <c r="F33" s="527"/>
      <c r="G33" s="527"/>
      <c r="H33" s="527"/>
      <c r="I33" s="452" t="s">
        <v>176</v>
      </c>
      <c r="J33" s="511"/>
      <c r="K33" s="511"/>
      <c r="L33" s="511"/>
      <c r="M33" s="511"/>
      <c r="N33" s="512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</row>
    <row r="34" spans="1:139" s="106" customFormat="1" ht="15" customHeight="1" x14ac:dyDescent="0.15">
      <c r="A34" s="104" t="s">
        <v>167</v>
      </c>
      <c r="B34" s="130">
        <v>1.2203999999999999</v>
      </c>
      <c r="C34" s="526" t="s">
        <v>168</v>
      </c>
      <c r="D34" s="527"/>
      <c r="E34" s="527"/>
      <c r="F34" s="527"/>
      <c r="G34" s="527"/>
      <c r="H34" s="527"/>
      <c r="I34" s="452" t="s">
        <v>176</v>
      </c>
      <c r="J34" s="511"/>
      <c r="K34" s="511"/>
      <c r="L34" s="511"/>
      <c r="M34" s="511"/>
      <c r="N34" s="512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</row>
    <row r="35" spans="1:139" s="106" customFormat="1" ht="15" customHeight="1" x14ac:dyDescent="0.15">
      <c r="A35" s="104" t="s">
        <v>169</v>
      </c>
      <c r="B35" s="130">
        <v>1.1075999999999999</v>
      </c>
      <c r="C35" s="526" t="s">
        <v>170</v>
      </c>
      <c r="D35" s="527"/>
      <c r="E35" s="527"/>
      <c r="F35" s="527"/>
      <c r="G35" s="527"/>
      <c r="H35" s="527"/>
      <c r="I35" s="452" t="s">
        <v>176</v>
      </c>
      <c r="J35" s="511"/>
      <c r="K35" s="511"/>
      <c r="L35" s="511"/>
      <c r="M35" s="511"/>
      <c r="N35" s="512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</row>
    <row r="36" spans="1:139" s="106" customFormat="1" ht="15" customHeight="1" x14ac:dyDescent="0.15">
      <c r="A36" s="104" t="s">
        <v>171</v>
      </c>
      <c r="B36" s="130">
        <v>1.0664</v>
      </c>
      <c r="C36" s="526" t="s">
        <v>172</v>
      </c>
      <c r="D36" s="527"/>
      <c r="E36" s="527"/>
      <c r="F36" s="527"/>
      <c r="G36" s="527"/>
      <c r="H36" s="527"/>
      <c r="I36" s="452" t="s">
        <v>176</v>
      </c>
      <c r="J36" s="511"/>
      <c r="K36" s="511"/>
      <c r="L36" s="511"/>
      <c r="M36" s="511"/>
      <c r="N36" s="512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</row>
    <row r="37" spans="1:139" s="106" customFormat="1" ht="15" customHeight="1" x14ac:dyDescent="0.15">
      <c r="A37" s="104" t="s">
        <v>173</v>
      </c>
      <c r="B37" s="130">
        <v>1.0329999999999999</v>
      </c>
      <c r="C37" s="526" t="s">
        <v>174</v>
      </c>
      <c r="D37" s="527"/>
      <c r="E37" s="527"/>
      <c r="F37" s="527"/>
      <c r="G37" s="527"/>
      <c r="H37" s="527"/>
      <c r="I37" s="452" t="s">
        <v>176</v>
      </c>
      <c r="J37" s="513"/>
      <c r="K37" s="513"/>
      <c r="L37" s="513"/>
      <c r="M37" s="513"/>
      <c r="N37" s="514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</row>
    <row r="38" spans="1:139" s="67" customFormat="1" ht="12.75" customHeight="1" x14ac:dyDescent="0.15">
      <c r="A38" s="452" t="s">
        <v>175</v>
      </c>
      <c r="B38" s="100"/>
      <c r="C38" s="452"/>
    </row>
    <row r="39" spans="1:139" s="67" customFormat="1" ht="15" customHeight="1" x14ac:dyDescent="0.15">
      <c r="A39" s="19"/>
      <c r="B39" s="105"/>
      <c r="C39" s="528"/>
      <c r="D39" s="529"/>
      <c r="E39" s="529"/>
      <c r="F39" s="529"/>
      <c r="G39" s="529"/>
      <c r="H39" s="529"/>
      <c r="I39" s="529"/>
      <c r="J39" s="529"/>
      <c r="K39" s="529"/>
      <c r="L39" s="529"/>
      <c r="M39" s="529"/>
      <c r="N39" s="529"/>
    </row>
    <row r="40" spans="1:139" s="120" customFormat="1" ht="18" customHeight="1" outlineLevel="1" x14ac:dyDescent="0.2">
      <c r="A40" s="112" t="s">
        <v>177</v>
      </c>
      <c r="B40" s="113" t="s">
        <v>178</v>
      </c>
      <c r="C40" s="113" t="s">
        <v>179</v>
      </c>
      <c r="D40" s="114" t="s">
        <v>180</v>
      </c>
      <c r="E40" s="115" t="s">
        <v>181</v>
      </c>
      <c r="F40" s="116" t="s">
        <v>182</v>
      </c>
      <c r="G40" s="116" t="s">
        <v>183</v>
      </c>
      <c r="H40" s="116" t="s">
        <v>184</v>
      </c>
      <c r="I40" s="113" t="s">
        <v>117</v>
      </c>
      <c r="J40" s="112"/>
      <c r="K40" s="112" t="s">
        <v>185</v>
      </c>
      <c r="L40" s="112" t="s">
        <v>186</v>
      </c>
      <c r="M40" s="117"/>
      <c r="N40" s="117"/>
      <c r="O40" s="118"/>
      <c r="P40" s="119"/>
      <c r="Q40" s="119"/>
      <c r="R40" s="119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19"/>
      <c r="BX40" s="119"/>
      <c r="BY40" s="119"/>
      <c r="BZ40" s="119"/>
      <c r="CA40" s="119"/>
      <c r="CB40" s="119"/>
      <c r="CC40" s="119"/>
      <c r="CD40" s="119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19"/>
      <c r="CS40" s="119"/>
      <c r="CT40" s="119"/>
      <c r="CU40" s="119"/>
      <c r="CV40" s="119"/>
      <c r="CW40" s="119"/>
      <c r="CX40" s="119"/>
      <c r="CY40" s="119"/>
      <c r="CZ40" s="119"/>
      <c r="DA40" s="119"/>
      <c r="DB40" s="119"/>
      <c r="DC40" s="119"/>
      <c r="DD40" s="119"/>
      <c r="DE40" s="119"/>
      <c r="DF40" s="119"/>
      <c r="DG40" s="119"/>
      <c r="DH40" s="119"/>
      <c r="DI40" s="119"/>
      <c r="DJ40" s="119"/>
      <c r="DK40" s="119"/>
      <c r="DL40" s="119"/>
      <c r="DM40" s="119"/>
      <c r="DN40" s="119"/>
      <c r="DO40" s="119"/>
      <c r="DP40" s="119"/>
      <c r="DQ40" s="119"/>
      <c r="DR40" s="119"/>
      <c r="DS40" s="119"/>
      <c r="DT40" s="119"/>
      <c r="DU40" s="119"/>
      <c r="DV40" s="119"/>
      <c r="DW40" s="119"/>
      <c r="DX40" s="119"/>
      <c r="DY40" s="119"/>
      <c r="DZ40" s="119"/>
      <c r="EA40" s="119"/>
      <c r="EB40" s="119"/>
      <c r="EC40" s="119"/>
      <c r="ED40" s="119"/>
      <c r="EE40" s="119"/>
      <c r="EF40" s="119"/>
      <c r="EG40" s="119"/>
      <c r="EH40" s="119"/>
      <c r="EI40" s="119"/>
    </row>
    <row r="41" spans="1:139" s="106" customFormat="1" ht="20.25" customHeight="1" outlineLevel="1" x14ac:dyDescent="0.15">
      <c r="A41" s="121"/>
      <c r="B41" s="121"/>
      <c r="C41" s="121"/>
      <c r="D41" s="121"/>
      <c r="E41" s="121"/>
      <c r="F41" s="121"/>
      <c r="G41" s="121"/>
      <c r="H41" s="121"/>
      <c r="I41" s="121"/>
      <c r="J41" s="19"/>
      <c r="K41" s="121"/>
      <c r="L41" s="121"/>
      <c r="M41" s="121"/>
      <c r="N41" s="121"/>
      <c r="O41" s="19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</row>
    <row r="42" spans="1:139" s="106" customFormat="1" ht="17.25" customHeight="1" outlineLevel="1" x14ac:dyDescent="0.2">
      <c r="A42" s="103" t="s">
        <v>187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21"/>
      <c r="N42" s="121"/>
      <c r="O42" s="19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</row>
    <row r="43" spans="1:139" s="121" customFormat="1" ht="28.5" customHeight="1" x14ac:dyDescent="0.15">
      <c r="A43" s="104" t="s">
        <v>188</v>
      </c>
      <c r="B43" s="105">
        <f>IF(Ind_PSA=0,D43,C43)</f>
        <v>0.43</v>
      </c>
      <c r="C43" s="126">
        <f ca="1">EXP(_xlfn.NORM.INV(RAND(),LN(D43),E43))</f>
        <v>0.48682476277366865</v>
      </c>
      <c r="D43" s="126">
        <v>0.43</v>
      </c>
      <c r="E43" s="126">
        <v>0.15609999999999999</v>
      </c>
      <c r="F43" s="111" t="s">
        <v>189</v>
      </c>
      <c r="G43" s="122">
        <v>0.15609999999999999</v>
      </c>
      <c r="H43" s="122">
        <v>0.15609999999999999</v>
      </c>
      <c r="I43" s="123" t="s">
        <v>190</v>
      </c>
      <c r="J43" s="19"/>
      <c r="K43" s="19" t="s">
        <v>191</v>
      </c>
      <c r="L43" s="124"/>
      <c r="O43" s="19"/>
      <c r="P43" s="19"/>
      <c r="Q43" s="19"/>
      <c r="R43" s="19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</row>
    <row r="44" spans="1:139" s="121" customFormat="1" ht="15" customHeight="1" x14ac:dyDescent="0.15">
      <c r="A44" s="104" t="s">
        <v>192</v>
      </c>
      <c r="B44" s="105">
        <f>IF(Ind_PSA=0,D44,C44)</f>
        <v>0.64</v>
      </c>
      <c r="C44" s="126">
        <f ca="1">EXP(_xlfn.NORM.INV(RAND(),LN(D44),E44))</f>
        <v>0.75679911238873043</v>
      </c>
      <c r="D44" s="126">
        <v>0.64</v>
      </c>
      <c r="E44" s="126">
        <v>0.16</v>
      </c>
      <c r="F44" s="111" t="s">
        <v>189</v>
      </c>
      <c r="G44" s="122">
        <v>0.16</v>
      </c>
      <c r="H44" s="122">
        <v>0.16</v>
      </c>
      <c r="I44" s="123" t="s">
        <v>193</v>
      </c>
      <c r="J44" s="19"/>
      <c r="K44" s="19" t="s">
        <v>191</v>
      </c>
      <c r="L44" s="124"/>
      <c r="O44" s="19"/>
      <c r="P44" s="19"/>
      <c r="Q44" s="19"/>
      <c r="R44" s="19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</row>
    <row r="45" spans="1:139" s="121" customFormat="1" ht="17.25" customHeight="1" x14ac:dyDescent="0.2">
      <c r="A45" s="103" t="s">
        <v>194</v>
      </c>
      <c r="B45" s="103"/>
      <c r="C45" s="103"/>
      <c r="D45" s="103"/>
      <c r="E45" s="103"/>
      <c r="F45" s="103"/>
      <c r="G45" s="515"/>
      <c r="H45" s="515"/>
      <c r="I45" s="103"/>
      <c r="J45" s="103"/>
      <c r="K45" s="103"/>
      <c r="L45" s="103"/>
      <c r="O45" s="19"/>
      <c r="P45" s="19"/>
      <c r="Q45" s="19"/>
      <c r="R45" s="19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</row>
    <row r="46" spans="1:139" ht="15" customHeight="1" x14ac:dyDescent="0.15">
      <c r="A46" s="104" t="s">
        <v>195</v>
      </c>
      <c r="B46" s="105">
        <f>IF(Ind_PSA=0,D46,C46)</f>
        <v>0.72</v>
      </c>
      <c r="C46" s="125">
        <f ca="1">_xlfn.BETA.INV(RAND(),D46*((D46*(1-D46)/E46^2)-1),(1-D46)*((D46*(1-D46)/E46^2)-1))</f>
        <v>0.79276842990332264</v>
      </c>
      <c r="D46" s="126">
        <v>0.72</v>
      </c>
      <c r="E46" s="126">
        <f>perc_SE_utilities*D46</f>
        <v>7.1999999999999995E-2</v>
      </c>
      <c r="F46" s="111" t="s">
        <v>196</v>
      </c>
      <c r="G46" s="122">
        <v>7.1999999999999995E-2</v>
      </c>
      <c r="H46" s="122">
        <f>(1-D46)*((D46*(1-D46)/E46^2)-1)</f>
        <v>10.608888888888892</v>
      </c>
      <c r="I46" s="123" t="s">
        <v>197</v>
      </c>
      <c r="J46" s="19"/>
      <c r="K46" s="19" t="s">
        <v>198</v>
      </c>
      <c r="L46" s="124"/>
      <c r="M46" s="121"/>
      <c r="N46" s="121"/>
      <c r="O46" s="19"/>
    </row>
    <row r="47" spans="1:139" ht="15" customHeight="1" x14ac:dyDescent="0.15">
      <c r="A47" s="104" t="s">
        <v>199</v>
      </c>
      <c r="B47" s="105">
        <f>IF(Ind_PSA=0,D47,C47)</f>
        <v>0.443</v>
      </c>
      <c r="C47" s="125">
        <f ca="1">_xlfn.BETA.INV(RAND(),D47*((D47*(1-D47)/E47^2)-1),(1-D47)*((D47*(1-D47)/E47^2)-1))</f>
        <v>0.50630211139794756</v>
      </c>
      <c r="D47" s="126">
        <v>0.443</v>
      </c>
      <c r="E47" s="126">
        <f>perc_SE_utilities*D47</f>
        <v>4.4300000000000006E-2</v>
      </c>
      <c r="F47" s="111" t="s">
        <v>196</v>
      </c>
      <c r="G47" s="122">
        <v>4.4300000000000006E-2</v>
      </c>
      <c r="H47" s="122">
        <f>(1-D47)*((D47*(1-D47)/E47^2)-1)</f>
        <v>69.476634311512385</v>
      </c>
      <c r="I47" s="123" t="s">
        <v>200</v>
      </c>
      <c r="J47" s="19"/>
      <c r="K47" s="19" t="s">
        <v>198</v>
      </c>
      <c r="L47" s="124"/>
      <c r="M47" s="121"/>
      <c r="N47" s="121"/>
      <c r="O47" s="19"/>
    </row>
    <row r="48" spans="1:139" ht="13.5" customHeight="1" x14ac:dyDescent="0.15">
      <c r="A48" s="104" t="s">
        <v>201</v>
      </c>
      <c r="B48" s="105">
        <f>IF(Ind_PSA=0,D48,C48)</f>
        <v>0</v>
      </c>
      <c r="C48" s="125">
        <f>D48</f>
        <v>0</v>
      </c>
      <c r="D48" s="126">
        <v>0</v>
      </c>
      <c r="E48" s="127"/>
      <c r="F48" s="111" t="s">
        <v>202</v>
      </c>
      <c r="G48" s="122"/>
      <c r="H48" s="122"/>
      <c r="I48" s="123" t="s">
        <v>203</v>
      </c>
      <c r="J48" s="19"/>
      <c r="K48" s="67" t="s">
        <v>204</v>
      </c>
      <c r="L48" s="128"/>
      <c r="M48" s="121"/>
      <c r="N48" s="121"/>
      <c r="O48" s="19"/>
    </row>
    <row r="49" spans="1:139" ht="17.25" customHeight="1" x14ac:dyDescent="0.2">
      <c r="A49" s="103" t="s">
        <v>205</v>
      </c>
      <c r="B49" s="103"/>
      <c r="C49" s="103"/>
      <c r="D49" s="103"/>
      <c r="E49" s="103"/>
      <c r="F49" s="103"/>
      <c r="G49" s="515"/>
      <c r="H49" s="515"/>
      <c r="I49" s="103"/>
      <c r="J49" s="103"/>
      <c r="K49" s="103"/>
      <c r="L49" s="103"/>
      <c r="M49" s="121"/>
      <c r="N49" s="121"/>
      <c r="O49" s="19"/>
    </row>
    <row r="50" spans="1:139" ht="17.25" customHeight="1" x14ac:dyDescent="0.2">
      <c r="A50" s="104" t="s">
        <v>206</v>
      </c>
      <c r="B50" s="105">
        <f>IF(Ind_PSA=0,D50,C50)</f>
        <v>0.15</v>
      </c>
      <c r="C50" s="125">
        <f ca="1">_xlfn.BETA.INV(RAND(),D50*((D50*(1-D50)/E50^2)-1),(1-D50)*((D50*(1-D50)/E50^2)-1))</f>
        <v>0.16408422193969097</v>
      </c>
      <c r="D50" s="126">
        <v>0.15</v>
      </c>
      <c r="E50" s="126">
        <f>perc_SE_utilities*D50</f>
        <v>1.4999999999999999E-2</v>
      </c>
      <c r="F50" s="111" t="s">
        <v>196</v>
      </c>
      <c r="G50" s="122">
        <v>1.4999999999999999E-2</v>
      </c>
      <c r="H50" s="122">
        <f>(1-D50)*((D50*(1-D50)/E50^2)-1)</f>
        <v>480.81666666666672</v>
      </c>
      <c r="I50" s="123" t="s">
        <v>207</v>
      </c>
      <c r="J50" s="19"/>
      <c r="K50" s="19" t="s">
        <v>198</v>
      </c>
      <c r="L50" s="124"/>
      <c r="M50" s="121"/>
      <c r="N50" s="121"/>
      <c r="O50" s="19"/>
      <c r="P50" s="129"/>
      <c r="Q50" s="129"/>
      <c r="R50" s="129"/>
    </row>
    <row r="51" spans="1:139" ht="13.5" customHeight="1" x14ac:dyDescent="0.15">
      <c r="A51" s="104" t="s">
        <v>208</v>
      </c>
      <c r="B51" s="105">
        <f>IF(Ind_PSA=0,D51,C51)</f>
        <v>0.03</v>
      </c>
      <c r="C51" s="125">
        <f ca="1">_xlfn.BETA.INV(RAND(),D51*((D51*(1-D51)/E51^2)-1),(1-D51)*((D51*(1-D51)/E51^2)-1))</f>
        <v>3.1533492520418704E-2</v>
      </c>
      <c r="D51" s="126">
        <v>0.03</v>
      </c>
      <c r="E51" s="126">
        <f>perc_SE_utilities*D51</f>
        <v>3.0000000000000001E-3</v>
      </c>
      <c r="F51" s="111" t="s">
        <v>196</v>
      </c>
      <c r="G51" s="122">
        <v>3.0000000000000001E-3</v>
      </c>
      <c r="H51" s="122">
        <f>(1-D51)*((D51*(1-D51)/E51^2)-1)</f>
        <v>3135.3633333333328</v>
      </c>
      <c r="I51" s="123" t="s">
        <v>209</v>
      </c>
      <c r="J51" s="19"/>
      <c r="K51" s="19" t="s">
        <v>210</v>
      </c>
      <c r="L51" s="124"/>
      <c r="M51" s="121"/>
      <c r="N51" s="121"/>
      <c r="O51" s="19"/>
    </row>
    <row r="52" spans="1:139" s="121" customFormat="1" ht="13.5" customHeight="1" x14ac:dyDescent="0.15">
      <c r="A52" s="104" t="s">
        <v>211</v>
      </c>
      <c r="B52" s="105">
        <f>IF(Ind_PSA=0,D52,C52)</f>
        <v>7.0000000000000007E-2</v>
      </c>
      <c r="C52" s="125">
        <f ca="1">_xlfn.BETA.INV(RAND(),D52*((D52*(1-D52)/E52^2)-1),(1-D52)*((D52*(1-D52)/E52^2)-1))</f>
        <v>6.9258266814702638E-2</v>
      </c>
      <c r="D52" s="126">
        <v>7.0000000000000007E-2</v>
      </c>
      <c r="E52" s="126">
        <f>perc_SE_utilities*D52</f>
        <v>7.000000000000001E-3</v>
      </c>
      <c r="F52" s="111" t="s">
        <v>196</v>
      </c>
      <c r="G52" s="122">
        <v>7.000000000000001E-3</v>
      </c>
      <c r="H52" s="122">
        <f>(1-D52)*((D52*(1-D52)/E52^2)-1)</f>
        <v>1234.6414285714284</v>
      </c>
      <c r="I52" s="123" t="s">
        <v>212</v>
      </c>
      <c r="J52" s="19"/>
      <c r="K52" s="19" t="s">
        <v>198</v>
      </c>
      <c r="L52" s="124"/>
      <c r="O52" s="19"/>
      <c r="P52" s="19"/>
      <c r="Q52" s="19"/>
      <c r="R52" s="19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</row>
    <row r="53" spans="1:139" s="121" customFormat="1" ht="13.5" customHeight="1" x14ac:dyDescent="0.15">
      <c r="A53" s="104" t="s">
        <v>213</v>
      </c>
      <c r="B53" s="105">
        <f>IF(Ind_PSA=0,D53,C53)</f>
        <v>6.0000000000000001E-3</v>
      </c>
      <c r="C53" s="125">
        <f ca="1">_xlfn.BETA.INV(RAND(),D53*((D53*(1-D53)/E53^2)-1),(1-D53)*((D53*(1-D53)/E53^2)-1))</f>
        <v>5.6371071490470609E-3</v>
      </c>
      <c r="D53" s="126">
        <v>6.0000000000000001E-3</v>
      </c>
      <c r="E53" s="126">
        <f>perc_SE_utilities*D53</f>
        <v>6.0000000000000006E-4</v>
      </c>
      <c r="F53" s="111" t="s">
        <v>196</v>
      </c>
      <c r="G53" s="122">
        <v>6.0000000000000006E-4</v>
      </c>
      <c r="H53" s="122">
        <f>(1-D53)*((D53*(1-D53)/E53^2)-1)</f>
        <v>16466.272666666664</v>
      </c>
      <c r="I53" s="123" t="s">
        <v>214</v>
      </c>
      <c r="J53" s="19"/>
      <c r="K53" s="19" t="s">
        <v>210</v>
      </c>
      <c r="L53" s="124"/>
      <c r="O53" s="19"/>
      <c r="P53" s="19"/>
      <c r="Q53" s="19"/>
      <c r="R53" s="19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</row>
    <row r="54" spans="1:139" s="121" customFormat="1" ht="13.5" customHeight="1" x14ac:dyDescent="0.15">
      <c r="A54" s="104" t="s">
        <v>215</v>
      </c>
      <c r="B54" s="105">
        <f>IF(Ind_PSA=0,D54,C54)</f>
        <v>0.151</v>
      </c>
      <c r="C54" s="125">
        <f ca="1">_xlfn.BETA.INV(RAND(),D54*((D54*(1-D54)/E54^2)-1),(1-D54)*((D54*(1-D54)/E54^2)-1))</f>
        <v>0.13394759402375267</v>
      </c>
      <c r="D54" s="126">
        <v>0.151</v>
      </c>
      <c r="E54" s="126">
        <f>perc_SE_utilities*D54</f>
        <v>1.5100000000000001E-2</v>
      </c>
      <c r="F54" s="111" t="s">
        <v>196</v>
      </c>
      <c r="G54" s="122">
        <v>1.5100000000000001E-2</v>
      </c>
      <c r="H54" s="122">
        <f>(1-D54)*((D54*(1-D54)/E54^2)-1)</f>
        <v>476.50265562913899</v>
      </c>
      <c r="I54" s="123" t="s">
        <v>216</v>
      </c>
      <c r="J54" s="19"/>
      <c r="K54" s="19" t="s">
        <v>198</v>
      </c>
      <c r="L54" s="124"/>
      <c r="O54" s="19"/>
      <c r="P54" s="19"/>
      <c r="Q54" s="19"/>
      <c r="R54" s="19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</row>
    <row r="55" spans="1:139" s="121" customFormat="1" ht="17.25" customHeight="1" x14ac:dyDescent="0.2">
      <c r="A55" s="103" t="s">
        <v>217</v>
      </c>
      <c r="B55" s="103"/>
      <c r="C55" s="103"/>
      <c r="D55" s="103"/>
      <c r="E55" s="103"/>
      <c r="F55" s="103"/>
      <c r="G55" s="515"/>
      <c r="H55" s="515"/>
      <c r="I55" s="103"/>
      <c r="J55" s="103"/>
      <c r="K55" s="103"/>
      <c r="L55" s="103"/>
      <c r="O55" s="19"/>
      <c r="P55" s="19"/>
      <c r="Q55" s="19"/>
      <c r="R55" s="19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</row>
    <row r="56" spans="1:139" s="121" customFormat="1" ht="13.5" customHeight="1" x14ac:dyDescent="0.15">
      <c r="A56" s="104" t="s">
        <v>218</v>
      </c>
      <c r="B56" s="504">
        <f t="shared" ref="B56:B67" si="0">IF(Ind_PSA=0,D56,C56)</f>
        <v>163</v>
      </c>
      <c r="C56" s="506">
        <f>D56</f>
        <v>163</v>
      </c>
      <c r="D56" s="507">
        <v>163</v>
      </c>
      <c r="E56" s="122"/>
      <c r="F56" s="111" t="s">
        <v>202</v>
      </c>
      <c r="G56" s="122"/>
      <c r="H56" s="122"/>
      <c r="I56" s="123" t="s">
        <v>218</v>
      </c>
      <c r="J56" s="19"/>
      <c r="K56" s="19" t="s">
        <v>219</v>
      </c>
      <c r="L56" s="124"/>
      <c r="O56" s="19"/>
      <c r="P56" s="19"/>
      <c r="Q56" s="19"/>
      <c r="R56" s="19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</row>
    <row r="57" spans="1:139" s="121" customFormat="1" ht="13.5" customHeight="1" x14ac:dyDescent="0.15">
      <c r="A57" s="104" t="s">
        <v>220</v>
      </c>
      <c r="B57" s="504">
        <f t="shared" si="0"/>
        <v>161</v>
      </c>
      <c r="C57" s="506">
        <f>D57</f>
        <v>161</v>
      </c>
      <c r="D57" s="507">
        <v>161</v>
      </c>
      <c r="E57" s="122"/>
      <c r="F57" s="111" t="s">
        <v>202</v>
      </c>
      <c r="G57" s="122"/>
      <c r="H57" s="122"/>
      <c r="I57" s="123" t="s">
        <v>220</v>
      </c>
      <c r="J57" s="19"/>
      <c r="K57" s="19" t="s">
        <v>219</v>
      </c>
      <c r="L57" s="124"/>
      <c r="O57" s="19"/>
      <c r="P57" s="19"/>
      <c r="Q57" s="19"/>
      <c r="R57" s="19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</row>
    <row r="58" spans="1:139" s="121" customFormat="1" ht="13.5" customHeight="1" x14ac:dyDescent="0.15">
      <c r="A58" s="104" t="s">
        <v>221</v>
      </c>
      <c r="B58" s="105">
        <f t="shared" si="0"/>
        <v>0.82599999999999996</v>
      </c>
      <c r="C58" s="125">
        <f t="shared" ref="C58:C65" ca="1" si="1">_xlfn.BETA.INV(RAND(),D58*((D58*(1-D58)/E58^2)-1),(1-D58)*((D58*(1-D58)/E58^2)-1))</f>
        <v>0.79341114852913153</v>
      </c>
      <c r="D58" s="126">
        <v>0.82599999999999996</v>
      </c>
      <c r="E58" s="126">
        <f>SQRT(D58*(1-D58)/n_inavo_AE)</f>
        <v>2.9878012855173504E-2</v>
      </c>
      <c r="F58" s="111" t="s">
        <v>196</v>
      </c>
      <c r="G58" s="122">
        <v>2.9878012855173504E-2</v>
      </c>
      <c r="H58" s="122">
        <f t="shared" ref="H58:H65" si="2">(1-D58)*((D58*(1-D58)/E58^2)-1)</f>
        <v>27.840000000000007</v>
      </c>
      <c r="I58" s="123" t="s">
        <v>222</v>
      </c>
      <c r="J58" s="19"/>
      <c r="K58" s="19" t="s">
        <v>219</v>
      </c>
      <c r="L58" s="124"/>
      <c r="O58" s="19"/>
      <c r="P58" s="19"/>
      <c r="Q58" s="19"/>
      <c r="R58" s="19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</row>
    <row r="59" spans="1:139" s="121" customFormat="1" ht="13.5" customHeight="1" x14ac:dyDescent="0.15">
      <c r="A59" s="104" t="s">
        <v>223</v>
      </c>
      <c r="B59" s="105">
        <f t="shared" si="0"/>
        <v>0.80400000000000005</v>
      </c>
      <c r="C59" s="125">
        <f t="shared" ca="1" si="1"/>
        <v>0.75267292610647296</v>
      </c>
      <c r="D59" s="126">
        <v>0.80400000000000005</v>
      </c>
      <c r="E59" s="126">
        <f>SQRT(D59*(1-D59)/n_comp_AE)</f>
        <v>3.10929735814214E-2</v>
      </c>
      <c r="F59" s="111" t="s">
        <v>196</v>
      </c>
      <c r="G59" s="122">
        <v>3.10929735814214E-2</v>
      </c>
      <c r="H59" s="122">
        <f t="shared" si="2"/>
        <v>31.751999999999992</v>
      </c>
      <c r="I59" s="123" t="s">
        <v>224</v>
      </c>
      <c r="J59" s="19"/>
      <c r="K59" s="19" t="s">
        <v>219</v>
      </c>
      <c r="L59" s="124"/>
      <c r="O59" s="19"/>
      <c r="P59" s="19"/>
      <c r="Q59" s="19"/>
      <c r="R59" s="19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</row>
    <row r="60" spans="1:139" ht="13.5" customHeight="1" x14ac:dyDescent="0.15">
      <c r="A60" s="104" t="s">
        <v>225</v>
      </c>
      <c r="B60" s="105">
        <f t="shared" si="0"/>
        <v>0.13700000000000001</v>
      </c>
      <c r="C60" s="125">
        <f t="shared" ca="1" si="1"/>
        <v>0.14444593741705081</v>
      </c>
      <c r="D60" s="126">
        <v>0.13700000000000001</v>
      </c>
      <c r="E60" s="126">
        <f>SQRT(D60*(1-D60)/n_inavo_AE)</f>
        <v>2.7098967457581863E-2</v>
      </c>
      <c r="F60" s="111" t="s">
        <v>196</v>
      </c>
      <c r="G60" s="122">
        <v>2.7098967457581863E-2</v>
      </c>
      <c r="H60" s="122">
        <f t="shared" si="2"/>
        <v>138.07999999999998</v>
      </c>
      <c r="I60" s="123" t="s">
        <v>226</v>
      </c>
      <c r="J60" s="19"/>
      <c r="K60" s="19" t="s">
        <v>219</v>
      </c>
      <c r="L60" s="124"/>
      <c r="M60" s="121"/>
      <c r="N60" s="121"/>
      <c r="O60" s="19"/>
    </row>
    <row r="61" spans="1:139" s="121" customFormat="1" ht="13.5" customHeight="1" x14ac:dyDescent="0.15">
      <c r="A61" s="104" t="s">
        <v>227</v>
      </c>
      <c r="B61" s="105">
        <f t="shared" si="0"/>
        <v>4.9000000000000002E-2</v>
      </c>
      <c r="C61" s="125">
        <f t="shared" ca="1" si="1"/>
        <v>6.8074974983794556E-2</v>
      </c>
      <c r="D61" s="126">
        <v>4.9000000000000002E-2</v>
      </c>
      <c r="E61" s="126">
        <f>SQRT(D61*(1-D61)/n_comp_AE)</f>
        <v>1.690808787482553E-2</v>
      </c>
      <c r="F61" s="111" t="s">
        <v>196</v>
      </c>
      <c r="G61" s="122">
        <v>1.690808787482553E-2</v>
      </c>
      <c r="H61" s="122">
        <f t="shared" si="2"/>
        <v>154.06199999999998</v>
      </c>
      <c r="I61" s="123" t="s">
        <v>228</v>
      </c>
      <c r="J61" s="19"/>
      <c r="K61" s="19" t="s">
        <v>219</v>
      </c>
      <c r="L61" s="124"/>
      <c r="O61" s="19"/>
      <c r="P61" s="19"/>
      <c r="Q61" s="19"/>
      <c r="R61" s="19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</row>
    <row r="62" spans="1:139" s="121" customFormat="1" ht="13.5" customHeight="1" x14ac:dyDescent="0.15">
      <c r="A62" s="104" t="s">
        <v>229</v>
      </c>
      <c r="B62" s="105">
        <f t="shared" si="0"/>
        <v>6.8000000000000005E-2</v>
      </c>
      <c r="C62" s="125">
        <f t="shared" ca="1" si="1"/>
        <v>3.5074420296441935E-2</v>
      </c>
      <c r="D62" s="126">
        <v>6.8000000000000005E-2</v>
      </c>
      <c r="E62" s="126">
        <f>SQRT(D62*(1-D62)/n_inavo_AE)</f>
        <v>1.9840356638750098E-2</v>
      </c>
      <c r="F62" s="111" t="s">
        <v>196</v>
      </c>
      <c r="G62" s="122">
        <v>1.9840356638750098E-2</v>
      </c>
      <c r="H62" s="122">
        <f t="shared" si="2"/>
        <v>149.11999999999998</v>
      </c>
      <c r="I62" s="123" t="s">
        <v>230</v>
      </c>
      <c r="J62" s="19"/>
      <c r="K62" s="19" t="s">
        <v>219</v>
      </c>
      <c r="L62" s="19"/>
      <c r="O62" s="19"/>
      <c r="P62" s="19"/>
      <c r="Q62" s="19"/>
      <c r="R62" s="19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</row>
    <row r="63" spans="1:139" s="121" customFormat="1" ht="13.5" customHeight="1" x14ac:dyDescent="0.15">
      <c r="A63" s="104" t="s">
        <v>231</v>
      </c>
      <c r="B63" s="105">
        <f t="shared" si="0"/>
        <v>1.7999999999999999E-2</v>
      </c>
      <c r="C63" s="125">
        <f t="shared" ca="1" si="1"/>
        <v>2.0220725600855194E-2</v>
      </c>
      <c r="D63" s="126">
        <v>1.7999999999999999E-2</v>
      </c>
      <c r="E63" s="126">
        <f>SQRT(D63*(1-D63)/n_comp_AE)</f>
        <v>1.0413535316664127E-2</v>
      </c>
      <c r="F63" s="111" t="s">
        <v>196</v>
      </c>
      <c r="G63" s="122">
        <v>1.0413535316664127E-2</v>
      </c>
      <c r="H63" s="122">
        <f t="shared" si="2"/>
        <v>159.08399999999997</v>
      </c>
      <c r="I63" s="123" t="s">
        <v>232</v>
      </c>
      <c r="J63" s="19"/>
      <c r="K63" s="19" t="s">
        <v>219</v>
      </c>
      <c r="L63" s="19"/>
      <c r="O63" s="19"/>
      <c r="P63" s="19"/>
      <c r="Q63" s="19"/>
      <c r="R63" s="19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</row>
    <row r="64" spans="1:139" s="121" customFormat="1" ht="12.75" customHeight="1" x14ac:dyDescent="0.15">
      <c r="A64" s="104" t="s">
        <v>233</v>
      </c>
      <c r="B64" s="105">
        <f t="shared" si="0"/>
        <v>6.8000000000000005E-2</v>
      </c>
      <c r="C64" s="125">
        <f t="shared" ca="1" si="1"/>
        <v>4.942116820395967E-2</v>
      </c>
      <c r="D64" s="126">
        <v>6.8000000000000005E-2</v>
      </c>
      <c r="E64" s="126">
        <f>SQRT(D64*(1-D64)/n_inavo_AE)</f>
        <v>1.9840356638750098E-2</v>
      </c>
      <c r="F64" s="111" t="s">
        <v>196</v>
      </c>
      <c r="G64" s="122">
        <v>1.9840356638750098E-2</v>
      </c>
      <c r="H64" s="122">
        <f t="shared" si="2"/>
        <v>149.11999999999998</v>
      </c>
      <c r="I64" s="123" t="s">
        <v>234</v>
      </c>
      <c r="J64" s="19"/>
      <c r="K64" s="19" t="s">
        <v>219</v>
      </c>
      <c r="L64" s="19"/>
      <c r="O64" s="19"/>
      <c r="P64" s="19"/>
      <c r="Q64" s="19"/>
      <c r="R64" s="19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</row>
    <row r="65" spans="1:139" s="121" customFormat="1" ht="12.75" customHeight="1" x14ac:dyDescent="0.15">
      <c r="A65" s="104" t="s">
        <v>235</v>
      </c>
      <c r="B65" s="105">
        <f t="shared" si="0"/>
        <v>5.6000000000000001E-2</v>
      </c>
      <c r="C65" s="125">
        <f t="shared" ca="1" si="1"/>
        <v>4.846056966325011E-2</v>
      </c>
      <c r="D65" s="126">
        <v>5.6000000000000001E-2</v>
      </c>
      <c r="E65" s="126">
        <f>SQRT(D65*(1-D65)/n_inavo_AE)</f>
        <v>1.8120370473225886E-2</v>
      </c>
      <c r="F65" s="111" t="s">
        <v>196</v>
      </c>
      <c r="G65" s="122">
        <v>1.8120370473225886E-2</v>
      </c>
      <c r="H65" s="122">
        <f t="shared" si="2"/>
        <v>151.04</v>
      </c>
      <c r="I65" s="123" t="s">
        <v>236</v>
      </c>
      <c r="J65" s="19"/>
      <c r="K65" s="19" t="s">
        <v>219</v>
      </c>
      <c r="L65" s="19"/>
      <c r="O65" s="19"/>
      <c r="P65" s="19"/>
      <c r="Q65" s="19"/>
      <c r="R65" s="19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</row>
    <row r="66" spans="1:139" s="121" customFormat="1" ht="12.75" customHeight="1" x14ac:dyDescent="0.15">
      <c r="A66" s="104" t="s">
        <v>237</v>
      </c>
      <c r="B66" s="105">
        <f t="shared" si="0"/>
        <v>0</v>
      </c>
      <c r="C66" s="125">
        <f>D66</f>
        <v>0</v>
      </c>
      <c r="D66" s="126">
        <v>0</v>
      </c>
      <c r="E66" s="127"/>
      <c r="F66" s="111" t="s">
        <v>202</v>
      </c>
      <c r="G66" s="122"/>
      <c r="H66" s="122"/>
      <c r="I66" s="123" t="s">
        <v>238</v>
      </c>
      <c r="J66" s="19"/>
      <c r="K66" s="19" t="s">
        <v>191</v>
      </c>
      <c r="L66" s="19"/>
      <c r="O66" s="19"/>
      <c r="P66" s="19"/>
      <c r="Q66" s="19"/>
      <c r="R66" s="19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</row>
    <row r="67" spans="1:139" s="121" customFormat="1" ht="12.75" customHeight="1" x14ac:dyDescent="0.15">
      <c r="A67" s="104" t="s">
        <v>239</v>
      </c>
      <c r="B67" s="105">
        <f t="shared" si="0"/>
        <v>0</v>
      </c>
      <c r="C67" s="125">
        <f>D67</f>
        <v>0</v>
      </c>
      <c r="D67" s="126">
        <v>0</v>
      </c>
      <c r="E67" s="127"/>
      <c r="F67" s="111" t="s">
        <v>202</v>
      </c>
      <c r="G67" s="122"/>
      <c r="H67" s="122"/>
      <c r="I67" s="123" t="s">
        <v>240</v>
      </c>
      <c r="J67" s="19"/>
      <c r="K67" s="19" t="s">
        <v>191</v>
      </c>
      <c r="L67" s="19"/>
      <c r="O67" s="19"/>
      <c r="P67" s="19"/>
      <c r="Q67" s="19"/>
      <c r="R67" s="19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</row>
    <row r="68" spans="1:139" s="121" customFormat="1" ht="17.25" customHeight="1" x14ac:dyDescent="0.2">
      <c r="A68" s="103" t="s">
        <v>241</v>
      </c>
      <c r="B68" s="103"/>
      <c r="C68" s="103"/>
      <c r="D68" s="103"/>
      <c r="E68" s="103"/>
      <c r="F68" s="103"/>
      <c r="G68" s="515"/>
      <c r="H68" s="515"/>
      <c r="I68" s="103"/>
      <c r="J68" s="103"/>
      <c r="K68" s="103"/>
      <c r="L68" s="103"/>
      <c r="O68" s="19"/>
      <c r="P68" s="19"/>
      <c r="Q68" s="19"/>
      <c r="R68" s="19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</row>
    <row r="69" spans="1:139" s="121" customFormat="1" ht="12.75" customHeight="1" x14ac:dyDescent="0.15">
      <c r="A69" s="104" t="s">
        <v>242</v>
      </c>
      <c r="B69" s="132">
        <f>IF(Ind_PSA=0,D69,C69)</f>
        <v>7</v>
      </c>
      <c r="C69" s="133">
        <f>D69</f>
        <v>7</v>
      </c>
      <c r="D69" s="134">
        <v>7</v>
      </c>
      <c r="E69" s="127"/>
      <c r="F69" s="111" t="s">
        <v>202</v>
      </c>
      <c r="G69" s="122"/>
      <c r="H69" s="122"/>
      <c r="I69" s="123" t="s">
        <v>243</v>
      </c>
      <c r="J69" s="19"/>
      <c r="K69" s="19" t="s">
        <v>244</v>
      </c>
      <c r="L69" s="135"/>
      <c r="O69" s="19"/>
      <c r="P69" s="19"/>
      <c r="Q69" s="19"/>
      <c r="R69" s="19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</row>
    <row r="70" spans="1:139" s="121" customFormat="1" ht="12.75" customHeight="1" x14ac:dyDescent="0.15">
      <c r="A70" s="104" t="s">
        <v>245</v>
      </c>
      <c r="B70" s="132">
        <f>IF(Ind_PSA=0,D70,C70)</f>
        <v>7</v>
      </c>
      <c r="C70" s="133">
        <f>D70</f>
        <v>7</v>
      </c>
      <c r="D70" s="134">
        <v>7</v>
      </c>
      <c r="E70" s="127"/>
      <c r="F70" s="111" t="s">
        <v>202</v>
      </c>
      <c r="G70" s="122"/>
      <c r="H70" s="122"/>
      <c r="I70" s="123" t="s">
        <v>246</v>
      </c>
      <c r="J70" s="19"/>
      <c r="K70" s="19" t="s">
        <v>244</v>
      </c>
      <c r="L70" s="135"/>
      <c r="O70" s="19"/>
      <c r="P70" s="19"/>
      <c r="Q70" s="19"/>
      <c r="R70" s="19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</row>
    <row r="71" spans="1:139" s="121" customFormat="1" ht="12.75" customHeight="1" x14ac:dyDescent="0.15">
      <c r="A71" s="104" t="s">
        <v>247</v>
      </c>
      <c r="B71" s="132">
        <f>IF(Ind_PSA=0,D71,C71)</f>
        <v>14</v>
      </c>
      <c r="C71" s="133">
        <f>D71</f>
        <v>14</v>
      </c>
      <c r="D71" s="134">
        <v>14</v>
      </c>
      <c r="E71" s="127"/>
      <c r="F71" s="111" t="s">
        <v>202</v>
      </c>
      <c r="G71" s="122"/>
      <c r="H71" s="122"/>
      <c r="I71" s="123" t="s">
        <v>248</v>
      </c>
      <c r="J71" s="19"/>
      <c r="K71" s="19" t="s">
        <v>244</v>
      </c>
      <c r="L71" s="135"/>
      <c r="O71" s="19"/>
      <c r="P71" s="19"/>
      <c r="Q71" s="19"/>
      <c r="R71" s="19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</row>
    <row r="72" spans="1:139" ht="12.75" customHeight="1" x14ac:dyDescent="0.15">
      <c r="A72" s="104" t="s">
        <v>249</v>
      </c>
      <c r="B72" s="132">
        <f>IF(Ind_PSA=0,D72,C72)</f>
        <v>28</v>
      </c>
      <c r="C72" s="133">
        <f>D72</f>
        <v>28</v>
      </c>
      <c r="D72" s="134">
        <v>28</v>
      </c>
      <c r="E72" s="127"/>
      <c r="F72" s="111" t="s">
        <v>202</v>
      </c>
      <c r="G72" s="122"/>
      <c r="H72" s="122"/>
      <c r="I72" s="123" t="s">
        <v>250</v>
      </c>
      <c r="J72" s="19"/>
      <c r="K72" s="19" t="s">
        <v>244</v>
      </c>
      <c r="L72" s="135"/>
      <c r="M72" s="121"/>
      <c r="N72" s="121"/>
      <c r="O72" s="19"/>
    </row>
    <row r="73" spans="1:139" s="121" customFormat="1" ht="12.75" customHeight="1" x14ac:dyDescent="0.15">
      <c r="A73" s="104" t="s">
        <v>251</v>
      </c>
      <c r="B73" s="132">
        <f>IF(Ind_PSA=0,D73,C73)</f>
        <v>18</v>
      </c>
      <c r="C73" s="133">
        <f>D73</f>
        <v>18</v>
      </c>
      <c r="D73" s="134">
        <v>18</v>
      </c>
      <c r="E73" s="127"/>
      <c r="F73" s="111" t="s">
        <v>202</v>
      </c>
      <c r="G73" s="122"/>
      <c r="H73" s="122"/>
      <c r="I73" s="123" t="s">
        <v>252</v>
      </c>
      <c r="J73" s="19"/>
      <c r="K73" s="19" t="s">
        <v>244</v>
      </c>
      <c r="L73" s="135"/>
      <c r="O73" s="19"/>
      <c r="P73" s="19"/>
      <c r="Q73" s="19"/>
      <c r="R73" s="19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</row>
    <row r="74" spans="1:139" s="121" customFormat="1" ht="17.25" customHeight="1" x14ac:dyDescent="0.2">
      <c r="A74" s="103" t="s">
        <v>253</v>
      </c>
      <c r="B74" s="103"/>
      <c r="C74" s="103"/>
      <c r="D74" s="103"/>
      <c r="E74" s="103"/>
      <c r="F74" s="103"/>
      <c r="G74" s="515"/>
      <c r="H74" s="515"/>
      <c r="I74" s="103"/>
      <c r="J74" s="103"/>
      <c r="K74" s="103"/>
      <c r="L74" s="103"/>
      <c r="O74" s="19"/>
      <c r="P74" s="19"/>
      <c r="Q74" s="19"/>
      <c r="R74" s="19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</row>
    <row r="75" spans="1:139" s="121" customFormat="1" ht="12.75" customHeight="1" x14ac:dyDescent="0.15">
      <c r="A75" s="104" t="s">
        <v>254</v>
      </c>
      <c r="B75" s="105">
        <f t="shared" ref="B75:B80" si="3">IF(Ind_PSA=0,D75,C75)</f>
        <v>0.40400000000000003</v>
      </c>
      <c r="C75" s="125">
        <f t="shared" ref="C75:C80" ca="1" si="4">_xlfn.BETA.INV(RAND(),D75*((D75*(1-D75)/E75^2)-1),(1-D75)*((D75*(1-D75)/E75^2)-1))</f>
        <v>0.42609344027044849</v>
      </c>
      <c r="D75" s="126">
        <v>0.40400000000000003</v>
      </c>
      <c r="E75" s="126">
        <f>SQRT(D75*(1-D75)/161)</f>
        <v>3.8672377674912307E-2</v>
      </c>
      <c r="F75" s="111" t="s">
        <v>196</v>
      </c>
      <c r="G75" s="122">
        <v>3.8672377674912307E-2</v>
      </c>
      <c r="H75" s="122">
        <f t="shared" ref="H75:H80" si="5">(1-D75)*((D75*(1-D75)/E75^2)-1)</f>
        <v>95.36</v>
      </c>
      <c r="I75" s="123" t="s">
        <v>255</v>
      </c>
      <c r="J75" s="19"/>
      <c r="K75" s="19" t="s">
        <v>256</v>
      </c>
      <c r="L75" s="124"/>
      <c r="O75" s="19"/>
      <c r="P75" s="19"/>
      <c r="Q75" s="19"/>
      <c r="R75" s="19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</row>
    <row r="76" spans="1:139" s="121" customFormat="1" ht="12.75" customHeight="1" x14ac:dyDescent="0.15">
      <c r="A76" s="104" t="s">
        <v>257</v>
      </c>
      <c r="B76" s="105">
        <f t="shared" si="3"/>
        <v>0.36</v>
      </c>
      <c r="C76" s="125">
        <f t="shared" ca="1" si="4"/>
        <v>0.3650159827694387</v>
      </c>
      <c r="D76" s="126">
        <v>0.36</v>
      </c>
      <c r="E76" s="126">
        <f>SQRT(D76*(1-D76)/163)</f>
        <v>3.7596501599421947E-2</v>
      </c>
      <c r="F76" s="111" t="s">
        <v>196</v>
      </c>
      <c r="G76" s="122">
        <v>3.7596501599421947E-2</v>
      </c>
      <c r="H76" s="122">
        <f t="shared" si="5"/>
        <v>103.68000000000002</v>
      </c>
      <c r="I76" s="123" t="s">
        <v>258</v>
      </c>
      <c r="J76" s="19"/>
      <c r="K76" s="19" t="s">
        <v>256</v>
      </c>
      <c r="L76" s="124"/>
      <c r="O76" s="19"/>
      <c r="P76" s="19"/>
      <c r="Q76" s="19"/>
      <c r="R76" s="19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</row>
    <row r="77" spans="1:139" s="121" customFormat="1" ht="12.75" customHeight="1" x14ac:dyDescent="0.15">
      <c r="A77" s="104" t="s">
        <v>259</v>
      </c>
      <c r="B77" s="105">
        <f t="shared" si="3"/>
        <v>3.1E-2</v>
      </c>
      <c r="C77" s="125">
        <f t="shared" ca="1" si="4"/>
        <v>3.6668394873961119E-2</v>
      </c>
      <c r="D77" s="126">
        <v>3.1E-2</v>
      </c>
      <c r="E77" s="126">
        <f>SQRT(D77*(1-D77)/161)</f>
        <v>1.3659342581235481E-2</v>
      </c>
      <c r="F77" s="111" t="s">
        <v>196</v>
      </c>
      <c r="G77" s="122">
        <v>1.3659342581235481E-2</v>
      </c>
      <c r="H77" s="122">
        <f t="shared" si="5"/>
        <v>155.04</v>
      </c>
      <c r="I77" s="123" t="s">
        <v>260</v>
      </c>
      <c r="J77" s="19"/>
      <c r="K77" s="19" t="s">
        <v>256</v>
      </c>
      <c r="L77" s="124"/>
      <c r="O77" s="19"/>
      <c r="P77" s="19"/>
      <c r="Q77" s="19"/>
      <c r="R77" s="19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</row>
    <row r="78" spans="1:139" s="121" customFormat="1" ht="12.75" customHeight="1" x14ac:dyDescent="0.15">
      <c r="A78" s="104" t="s">
        <v>261</v>
      </c>
      <c r="B78" s="105">
        <f t="shared" si="3"/>
        <v>3.6999999999999998E-2</v>
      </c>
      <c r="C78" s="125">
        <f t="shared" ca="1" si="4"/>
        <v>3.3520175362890224E-2</v>
      </c>
      <c r="D78" s="126">
        <v>3.6999999999999998E-2</v>
      </c>
      <c r="E78" s="126">
        <f>SQRT(D78*(1-D78)/163)</f>
        <v>1.4784961684919573E-2</v>
      </c>
      <c r="F78" s="111" t="s">
        <v>196</v>
      </c>
      <c r="G78" s="122">
        <v>1.4784961684919573E-2</v>
      </c>
      <c r="H78" s="122">
        <f t="shared" si="5"/>
        <v>156.00600000000003</v>
      </c>
      <c r="I78" s="123" t="s">
        <v>262</v>
      </c>
      <c r="J78" s="19"/>
      <c r="K78" s="19" t="s">
        <v>256</v>
      </c>
      <c r="L78" s="124"/>
      <c r="O78" s="19"/>
      <c r="P78" s="19"/>
      <c r="Q78" s="19"/>
      <c r="R78" s="19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</row>
    <row r="79" spans="1:139" ht="12.75" customHeight="1" x14ac:dyDescent="0.15">
      <c r="A79" s="104" t="s">
        <v>263</v>
      </c>
      <c r="B79" s="105">
        <f t="shared" si="3"/>
        <v>0.55000000000000004</v>
      </c>
      <c r="C79" s="125">
        <f t="shared" ca="1" si="4"/>
        <v>0.5531819695590745</v>
      </c>
      <c r="D79" s="126">
        <v>0.55000000000000004</v>
      </c>
      <c r="E79" s="126">
        <f>SQRT(D79*(1-D79)/161)</f>
        <v>3.9207997663044995E-2</v>
      </c>
      <c r="F79" s="111" t="s">
        <v>196</v>
      </c>
      <c r="G79" s="122">
        <v>3.9207997663044995E-2</v>
      </c>
      <c r="H79" s="122">
        <f t="shared" si="5"/>
        <v>71.999999999999986</v>
      </c>
      <c r="I79" s="123" t="s">
        <v>264</v>
      </c>
      <c r="J79" s="19"/>
      <c r="K79" s="19" t="s">
        <v>191</v>
      </c>
      <c r="L79" s="124"/>
      <c r="M79" s="121"/>
      <c r="N79" s="121"/>
      <c r="O79" s="19"/>
    </row>
    <row r="80" spans="1:139" s="121" customFormat="1" ht="12.75" customHeight="1" x14ac:dyDescent="0.15">
      <c r="A80" s="104" t="s">
        <v>265</v>
      </c>
      <c r="B80" s="105">
        <f t="shared" si="3"/>
        <v>0.72</v>
      </c>
      <c r="C80" s="125">
        <f t="shared" ca="1" si="4"/>
        <v>0.69027887162047208</v>
      </c>
      <c r="D80" s="126">
        <v>0.72</v>
      </c>
      <c r="E80" s="126">
        <f>SQRT(D80*(1-D80)/163)</f>
        <v>3.5168306981583866E-2</v>
      </c>
      <c r="F80" s="111" t="s">
        <v>196</v>
      </c>
      <c r="G80" s="122">
        <v>3.5168306981583866E-2</v>
      </c>
      <c r="H80" s="122">
        <f t="shared" si="5"/>
        <v>45.36</v>
      </c>
      <c r="I80" s="123" t="s">
        <v>266</v>
      </c>
      <c r="J80" s="19"/>
      <c r="K80" s="19" t="s">
        <v>191</v>
      </c>
      <c r="L80" s="124"/>
      <c r="O80" s="19"/>
      <c r="P80" s="19"/>
      <c r="Q80" s="19"/>
      <c r="R80" s="19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</row>
    <row r="81" spans="1:139" s="121" customFormat="1" ht="17.25" customHeight="1" x14ac:dyDescent="0.2">
      <c r="A81" s="103" t="s">
        <v>267</v>
      </c>
      <c r="B81" s="103"/>
      <c r="C81" s="103"/>
      <c r="D81" s="103"/>
      <c r="E81" s="103"/>
      <c r="F81" s="103"/>
      <c r="G81" s="515"/>
      <c r="H81" s="515"/>
      <c r="I81" s="103"/>
      <c r="J81" s="103"/>
      <c r="K81" s="103"/>
      <c r="L81" s="103"/>
      <c r="O81" s="19"/>
      <c r="P81" s="19"/>
      <c r="Q81" s="19"/>
      <c r="R81" s="19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</row>
    <row r="82" spans="1:139" s="121" customFormat="1" ht="12.75" customHeight="1" x14ac:dyDescent="0.15">
      <c r="A82" s="104" t="s">
        <v>268</v>
      </c>
      <c r="B82" s="505">
        <f t="shared" ref="B82:B98" si="6">IF(Ind_PSA=0,D82,C82)</f>
        <v>489.1</v>
      </c>
      <c r="C82" s="508">
        <f t="shared" ref="C82:C98" si="7">D82</f>
        <v>489.1</v>
      </c>
      <c r="D82" s="509">
        <v>489.1</v>
      </c>
      <c r="E82" s="127"/>
      <c r="F82" s="111" t="s">
        <v>202</v>
      </c>
      <c r="G82" s="122"/>
      <c r="H82" s="122"/>
      <c r="I82" s="123" t="s">
        <v>269</v>
      </c>
      <c r="J82" s="19"/>
      <c r="K82" s="19" t="s">
        <v>270</v>
      </c>
      <c r="L82" s="135"/>
      <c r="O82" s="19"/>
      <c r="P82" s="19"/>
      <c r="Q82" s="19"/>
      <c r="R82" s="19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</row>
    <row r="83" spans="1:139" s="121" customFormat="1" ht="12.75" customHeight="1" x14ac:dyDescent="0.15">
      <c r="A83" s="104" t="s">
        <v>271</v>
      </c>
      <c r="B83" s="504">
        <f t="shared" si="6"/>
        <v>28</v>
      </c>
      <c r="C83" s="506">
        <f t="shared" si="7"/>
        <v>28</v>
      </c>
      <c r="D83" s="507">
        <v>28</v>
      </c>
      <c r="E83" s="127"/>
      <c r="F83" s="111" t="s">
        <v>202</v>
      </c>
      <c r="G83" s="122"/>
      <c r="H83" s="122"/>
      <c r="I83" s="123" t="s">
        <v>272</v>
      </c>
      <c r="J83" s="19"/>
      <c r="K83" s="19" t="s">
        <v>273</v>
      </c>
      <c r="L83" s="135"/>
      <c r="O83" s="19"/>
      <c r="P83" s="19"/>
      <c r="Q83" s="19"/>
      <c r="R83" s="19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</row>
    <row r="84" spans="1:139" s="121" customFormat="1" ht="12.75" customHeight="1" x14ac:dyDescent="0.15">
      <c r="A84" s="104" t="s">
        <v>274</v>
      </c>
      <c r="B84" s="504">
        <f t="shared" si="6"/>
        <v>9</v>
      </c>
      <c r="C84" s="506">
        <f t="shared" si="7"/>
        <v>9</v>
      </c>
      <c r="D84" s="507">
        <v>9</v>
      </c>
      <c r="E84" s="127"/>
      <c r="F84" s="111" t="s">
        <v>202</v>
      </c>
      <c r="G84" s="122"/>
      <c r="H84" s="122"/>
      <c r="I84" s="123" t="s">
        <v>275</v>
      </c>
      <c r="J84" s="19"/>
      <c r="K84" s="19" t="s">
        <v>270</v>
      </c>
      <c r="L84" s="135"/>
      <c r="O84" s="19"/>
      <c r="P84" s="19"/>
      <c r="Q84" s="19"/>
      <c r="R84" s="19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</row>
    <row r="85" spans="1:139" s="121" customFormat="1" ht="12.75" customHeight="1" x14ac:dyDescent="0.15">
      <c r="A85" s="104" t="s">
        <v>276</v>
      </c>
      <c r="B85" s="504">
        <f t="shared" si="6"/>
        <v>9</v>
      </c>
      <c r="C85" s="506">
        <f t="shared" si="7"/>
        <v>9</v>
      </c>
      <c r="D85" s="507">
        <v>9</v>
      </c>
      <c r="E85" s="127"/>
      <c r="F85" s="111" t="s">
        <v>202</v>
      </c>
      <c r="G85" s="122"/>
      <c r="H85" s="122"/>
      <c r="I85" s="123" t="s">
        <v>277</v>
      </c>
      <c r="J85" s="19"/>
      <c r="K85" s="19" t="s">
        <v>270</v>
      </c>
      <c r="L85" s="135"/>
      <c r="O85" s="19"/>
      <c r="P85" s="19"/>
      <c r="Q85" s="19"/>
      <c r="R85" s="19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</row>
    <row r="86" spans="1:139" s="121" customFormat="1" ht="12.75" customHeight="1" x14ac:dyDescent="0.15">
      <c r="A86" s="104" t="s">
        <v>278</v>
      </c>
      <c r="B86" s="505">
        <f t="shared" si="6"/>
        <v>58.18</v>
      </c>
      <c r="C86" s="508">
        <f t="shared" si="7"/>
        <v>58.18</v>
      </c>
      <c r="D86" s="509">
        <v>58.18</v>
      </c>
      <c r="E86" s="127"/>
      <c r="F86" s="111" t="s">
        <v>202</v>
      </c>
      <c r="G86" s="122"/>
      <c r="H86" s="122"/>
      <c r="I86" s="123" t="s">
        <v>279</v>
      </c>
      <c r="J86" s="19"/>
      <c r="K86" s="19" t="s">
        <v>270</v>
      </c>
      <c r="L86" s="135"/>
      <c r="O86" s="19"/>
      <c r="P86" s="19"/>
      <c r="Q86" s="19"/>
      <c r="R86" s="19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</row>
    <row r="87" spans="1:139" s="121" customFormat="1" ht="12.75" customHeight="1" x14ac:dyDescent="0.15">
      <c r="A87" s="104" t="s">
        <v>280</v>
      </c>
      <c r="B87" s="504">
        <f t="shared" si="6"/>
        <v>125</v>
      </c>
      <c r="C87" s="506">
        <f t="shared" si="7"/>
        <v>125</v>
      </c>
      <c r="D87" s="507">
        <v>125</v>
      </c>
      <c r="E87" s="127"/>
      <c r="F87" s="111" t="s">
        <v>202</v>
      </c>
      <c r="G87" s="122"/>
      <c r="H87" s="122"/>
      <c r="I87" s="123" t="s">
        <v>281</v>
      </c>
      <c r="J87" s="19"/>
      <c r="K87" s="19" t="s">
        <v>270</v>
      </c>
      <c r="L87" s="135"/>
      <c r="O87" s="19"/>
      <c r="P87" s="19"/>
      <c r="Q87" s="19"/>
      <c r="R87" s="19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</row>
    <row r="88" spans="1:139" s="121" customFormat="1" ht="12.75" customHeight="1" x14ac:dyDescent="0.15">
      <c r="A88" s="104" t="s">
        <v>282</v>
      </c>
      <c r="B88" s="504">
        <f t="shared" si="6"/>
        <v>125</v>
      </c>
      <c r="C88" s="506">
        <f t="shared" si="7"/>
        <v>125</v>
      </c>
      <c r="D88" s="507">
        <v>125</v>
      </c>
      <c r="E88" s="127"/>
      <c r="F88" s="111" t="s">
        <v>202</v>
      </c>
      <c r="G88" s="122"/>
      <c r="H88" s="122"/>
      <c r="I88" s="123" t="s">
        <v>283</v>
      </c>
      <c r="J88" s="19"/>
      <c r="K88" s="19" t="s">
        <v>270</v>
      </c>
      <c r="L88" s="135"/>
      <c r="O88" s="19"/>
      <c r="P88" s="19"/>
      <c r="Q88" s="19"/>
      <c r="R88" s="19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</row>
    <row r="89" spans="1:139" s="121" customFormat="1" ht="12.75" customHeight="1" x14ac:dyDescent="0.15">
      <c r="A89" s="104" t="s">
        <v>284</v>
      </c>
      <c r="B89" s="504">
        <f t="shared" si="6"/>
        <v>21</v>
      </c>
      <c r="C89" s="506">
        <f t="shared" si="7"/>
        <v>21</v>
      </c>
      <c r="D89" s="507">
        <v>21</v>
      </c>
      <c r="E89" s="127"/>
      <c r="F89" s="111" t="s">
        <v>202</v>
      </c>
      <c r="G89" s="122"/>
      <c r="H89" s="122"/>
      <c r="I89" s="123" t="s">
        <v>285</v>
      </c>
      <c r="J89" s="19"/>
      <c r="K89" s="19" t="s">
        <v>273</v>
      </c>
      <c r="L89" s="135"/>
      <c r="O89" s="19"/>
      <c r="P89" s="19"/>
      <c r="Q89" s="19"/>
      <c r="R89" s="19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</row>
    <row r="90" spans="1:139" s="121" customFormat="1" ht="12.75" customHeight="1" x14ac:dyDescent="0.15">
      <c r="A90" s="104" t="s">
        <v>286</v>
      </c>
      <c r="B90" s="505">
        <f t="shared" si="6"/>
        <v>126.44</v>
      </c>
      <c r="C90" s="508">
        <f t="shared" si="7"/>
        <v>126.44</v>
      </c>
      <c r="D90" s="509">
        <v>126.44</v>
      </c>
      <c r="E90" s="127"/>
      <c r="F90" s="111" t="s">
        <v>202</v>
      </c>
      <c r="G90" s="122"/>
      <c r="H90" s="122"/>
      <c r="I90" s="123" t="s">
        <v>287</v>
      </c>
      <c r="J90" s="19"/>
      <c r="K90" s="19" t="s">
        <v>270</v>
      </c>
      <c r="L90" s="135"/>
      <c r="O90" s="19"/>
      <c r="P90" s="19"/>
      <c r="Q90" s="19"/>
      <c r="R90" s="19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</row>
    <row r="91" spans="1:139" s="121" customFormat="1" ht="12.75" customHeight="1" x14ac:dyDescent="0.15">
      <c r="A91" s="104" t="s">
        <v>288</v>
      </c>
      <c r="B91" s="504">
        <f t="shared" si="6"/>
        <v>250</v>
      </c>
      <c r="C91" s="506">
        <f t="shared" si="7"/>
        <v>250</v>
      </c>
      <c r="D91" s="507">
        <v>250</v>
      </c>
      <c r="E91" s="127"/>
      <c r="F91" s="111" t="s">
        <v>202</v>
      </c>
      <c r="G91" s="122"/>
      <c r="H91" s="122"/>
      <c r="I91" s="123" t="s">
        <v>289</v>
      </c>
      <c r="J91" s="19"/>
      <c r="K91" s="19" t="s">
        <v>270</v>
      </c>
      <c r="L91" s="135"/>
      <c r="O91" s="19"/>
      <c r="P91" s="19"/>
      <c r="Q91" s="19"/>
      <c r="R91" s="19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</row>
    <row r="92" spans="1:139" s="121" customFormat="1" ht="12.75" customHeight="1" x14ac:dyDescent="0.15">
      <c r="A92" s="104" t="s">
        <v>290</v>
      </c>
      <c r="B92" s="504">
        <f t="shared" si="6"/>
        <v>500</v>
      </c>
      <c r="C92" s="506">
        <f t="shared" si="7"/>
        <v>500</v>
      </c>
      <c r="D92" s="507">
        <v>500</v>
      </c>
      <c r="E92" s="127"/>
      <c r="F92" s="111" t="s">
        <v>202</v>
      </c>
      <c r="G92" s="122"/>
      <c r="H92" s="122"/>
      <c r="I92" s="123" t="s">
        <v>291</v>
      </c>
      <c r="J92" s="19"/>
      <c r="K92" s="19" t="s">
        <v>270</v>
      </c>
      <c r="L92" s="135"/>
      <c r="O92" s="19"/>
      <c r="P92" s="19"/>
      <c r="Q92" s="19"/>
      <c r="R92" s="19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</row>
    <row r="93" spans="1:139" s="121" customFormat="1" ht="12.75" customHeight="1" x14ac:dyDescent="0.15">
      <c r="A93" s="104" t="s">
        <v>292</v>
      </c>
      <c r="B93" s="504">
        <f t="shared" si="6"/>
        <v>2</v>
      </c>
      <c r="C93" s="506">
        <f t="shared" si="7"/>
        <v>2</v>
      </c>
      <c r="D93" s="507">
        <v>2</v>
      </c>
      <c r="E93" s="127"/>
      <c r="F93" s="111" t="s">
        <v>202</v>
      </c>
      <c r="G93" s="122"/>
      <c r="H93" s="122"/>
      <c r="I93" s="123" t="s">
        <v>293</v>
      </c>
      <c r="J93" s="19"/>
      <c r="K93" s="19" t="s">
        <v>273</v>
      </c>
      <c r="L93" s="135"/>
      <c r="O93" s="19"/>
      <c r="P93" s="19"/>
      <c r="Q93" s="19"/>
      <c r="R93" s="19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</row>
    <row r="94" spans="1:139" s="121" customFormat="1" ht="12.75" customHeight="1" x14ac:dyDescent="0.15">
      <c r="A94" s="104" t="s">
        <v>294</v>
      </c>
      <c r="B94" s="504">
        <f t="shared" si="6"/>
        <v>1</v>
      </c>
      <c r="C94" s="506">
        <f t="shared" si="7"/>
        <v>1</v>
      </c>
      <c r="D94" s="507">
        <v>1</v>
      </c>
      <c r="E94" s="127"/>
      <c r="F94" s="111" t="s">
        <v>202</v>
      </c>
      <c r="G94" s="122"/>
      <c r="H94" s="122"/>
      <c r="I94" s="123" t="s">
        <v>295</v>
      </c>
      <c r="J94" s="19"/>
      <c r="K94" s="19" t="s">
        <v>273</v>
      </c>
      <c r="L94" s="135"/>
      <c r="O94" s="19"/>
      <c r="P94" s="19"/>
      <c r="Q94" s="19"/>
      <c r="R94" s="19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</row>
    <row r="95" spans="1:139" ht="12.75" customHeight="1" x14ac:dyDescent="0.15">
      <c r="A95" s="104" t="s">
        <v>296</v>
      </c>
      <c r="B95" s="505">
        <f t="shared" si="6"/>
        <v>115.39</v>
      </c>
      <c r="C95" s="508">
        <f t="shared" si="7"/>
        <v>115.39</v>
      </c>
      <c r="D95" s="509">
        <v>115.39</v>
      </c>
      <c r="E95" s="127"/>
      <c r="F95" s="111" t="s">
        <v>202</v>
      </c>
      <c r="G95" s="122"/>
      <c r="H95" s="122"/>
      <c r="I95" s="123" t="s">
        <v>297</v>
      </c>
      <c r="J95" s="19"/>
      <c r="K95" s="19" t="s">
        <v>270</v>
      </c>
      <c r="L95" s="135"/>
      <c r="M95" s="121"/>
      <c r="N95" s="121"/>
      <c r="O95" s="19"/>
    </row>
    <row r="96" spans="1:139" ht="12.75" customHeight="1" x14ac:dyDescent="0.15">
      <c r="A96" s="104" t="s">
        <v>298</v>
      </c>
      <c r="B96" s="504">
        <f t="shared" si="6"/>
        <v>3.6</v>
      </c>
      <c r="C96" s="506">
        <f t="shared" si="7"/>
        <v>3.6</v>
      </c>
      <c r="D96" s="507">
        <v>3.6</v>
      </c>
      <c r="E96" s="127"/>
      <c r="F96" s="111" t="s">
        <v>202</v>
      </c>
      <c r="G96" s="122"/>
      <c r="H96" s="122"/>
      <c r="I96" s="123" t="s">
        <v>299</v>
      </c>
      <c r="J96" s="19"/>
      <c r="K96" s="19" t="s">
        <v>270</v>
      </c>
      <c r="L96" s="135"/>
      <c r="M96" s="121"/>
      <c r="N96" s="121"/>
      <c r="O96" s="19"/>
    </row>
    <row r="97" spans="1:139" ht="12.75" customHeight="1" x14ac:dyDescent="0.15">
      <c r="A97" s="104" t="s">
        <v>300</v>
      </c>
      <c r="B97" s="504">
        <f t="shared" si="6"/>
        <v>3.6</v>
      </c>
      <c r="C97" s="506">
        <f t="shared" si="7"/>
        <v>3.6</v>
      </c>
      <c r="D97" s="507">
        <v>3.6</v>
      </c>
      <c r="E97" s="127"/>
      <c r="F97" s="111" t="s">
        <v>202</v>
      </c>
      <c r="G97" s="122"/>
      <c r="H97" s="122"/>
      <c r="I97" s="123" t="s">
        <v>301</v>
      </c>
      <c r="J97" s="19"/>
      <c r="K97" s="19" t="s">
        <v>270</v>
      </c>
      <c r="L97" s="135"/>
      <c r="M97" s="121"/>
      <c r="N97" s="121"/>
      <c r="O97" s="19"/>
    </row>
    <row r="98" spans="1:139" ht="12.75" customHeight="1" x14ac:dyDescent="0.15">
      <c r="A98" s="104" t="s">
        <v>302</v>
      </c>
      <c r="B98" s="504">
        <f t="shared" si="6"/>
        <v>1</v>
      </c>
      <c r="C98" s="506">
        <f t="shared" si="7"/>
        <v>1</v>
      </c>
      <c r="D98" s="507">
        <v>1</v>
      </c>
      <c r="E98" s="127"/>
      <c r="F98" s="111" t="s">
        <v>202</v>
      </c>
      <c r="G98" s="122"/>
      <c r="H98" s="122"/>
      <c r="I98" s="123" t="s">
        <v>303</v>
      </c>
      <c r="J98" s="19"/>
      <c r="K98" s="19" t="s">
        <v>270</v>
      </c>
      <c r="L98" s="135"/>
      <c r="M98" s="121"/>
      <c r="N98" s="121"/>
      <c r="O98" s="19"/>
    </row>
    <row r="99" spans="1:139" s="121" customFormat="1" ht="17.25" customHeight="1" x14ac:dyDescent="0.2">
      <c r="A99" s="103" t="s">
        <v>304</v>
      </c>
      <c r="B99" s="103"/>
      <c r="C99" s="103"/>
      <c r="D99" s="103"/>
      <c r="E99" s="103"/>
      <c r="F99" s="103"/>
      <c r="G99" s="515"/>
      <c r="H99" s="515"/>
      <c r="I99" s="103"/>
      <c r="J99" s="103"/>
      <c r="K99" s="103"/>
      <c r="L99" s="103"/>
      <c r="O99" s="19"/>
      <c r="P99" s="19"/>
      <c r="Q99" s="19"/>
      <c r="R99" s="19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</row>
    <row r="100" spans="1:139" s="121" customFormat="1" ht="12.75" customHeight="1" x14ac:dyDescent="0.15">
      <c r="A100" s="104" t="s">
        <v>305</v>
      </c>
      <c r="B100" s="504">
        <f t="shared" ref="B100:B108" si="8">IF(Ind_PSA=0,D100,C100)</f>
        <v>2</v>
      </c>
      <c r="C100" s="506">
        <f t="shared" ref="C100:C106" si="9">D100</f>
        <v>2</v>
      </c>
      <c r="D100" s="507">
        <v>2</v>
      </c>
      <c r="E100" s="127"/>
      <c r="F100" s="111" t="s">
        <v>202</v>
      </c>
      <c r="G100" s="122"/>
      <c r="H100" s="122"/>
      <c r="I100" s="123" t="s">
        <v>306</v>
      </c>
      <c r="J100" s="19"/>
      <c r="K100" s="19" t="s">
        <v>273</v>
      </c>
      <c r="L100" s="135"/>
      <c r="O100" s="19"/>
      <c r="P100" s="19"/>
      <c r="Q100" s="19"/>
      <c r="R100" s="19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</row>
    <row r="101" spans="1:139" s="121" customFormat="1" ht="12.75" customHeight="1" x14ac:dyDescent="0.15">
      <c r="A101" s="104" t="s">
        <v>307</v>
      </c>
      <c r="B101" s="504">
        <f t="shared" si="8"/>
        <v>1</v>
      </c>
      <c r="C101" s="506">
        <f t="shared" si="9"/>
        <v>1</v>
      </c>
      <c r="D101" s="507">
        <v>1</v>
      </c>
      <c r="E101" s="127"/>
      <c r="F101" s="111" t="s">
        <v>202</v>
      </c>
      <c r="G101" s="122"/>
      <c r="H101" s="122"/>
      <c r="I101" s="123" t="s">
        <v>308</v>
      </c>
      <c r="J101" s="19"/>
      <c r="K101" s="19" t="s">
        <v>273</v>
      </c>
      <c r="L101" s="135"/>
      <c r="O101" s="19"/>
      <c r="P101" s="19"/>
      <c r="Q101" s="19"/>
      <c r="R101" s="19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</row>
    <row r="102" spans="1:139" s="121" customFormat="1" ht="12.75" customHeight="1" x14ac:dyDescent="0.15">
      <c r="A102" s="104" t="s">
        <v>309</v>
      </c>
      <c r="B102" s="504">
        <f t="shared" si="8"/>
        <v>2</v>
      </c>
      <c r="C102" s="506">
        <f t="shared" si="9"/>
        <v>2</v>
      </c>
      <c r="D102" s="507">
        <v>2</v>
      </c>
      <c r="E102" s="127"/>
      <c r="F102" s="111" t="s">
        <v>202</v>
      </c>
      <c r="G102" s="122"/>
      <c r="H102" s="122"/>
      <c r="I102" s="123" t="s">
        <v>310</v>
      </c>
      <c r="J102" s="19"/>
      <c r="K102" s="19" t="s">
        <v>311</v>
      </c>
      <c r="L102" s="135"/>
      <c r="O102" s="19"/>
      <c r="P102" s="19"/>
      <c r="Q102" s="19"/>
      <c r="R102" s="19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</row>
    <row r="103" spans="1:139" s="121" customFormat="1" ht="12.75" customHeight="1" x14ac:dyDescent="0.15">
      <c r="A103" s="104" t="s">
        <v>312</v>
      </c>
      <c r="B103" s="504">
        <f t="shared" si="8"/>
        <v>1</v>
      </c>
      <c r="C103" s="506">
        <f t="shared" si="9"/>
        <v>1</v>
      </c>
      <c r="D103" s="507">
        <v>1</v>
      </c>
      <c r="E103" s="127"/>
      <c r="F103" s="111" t="s">
        <v>202</v>
      </c>
      <c r="G103" s="122"/>
      <c r="H103" s="122"/>
      <c r="I103" s="123" t="s">
        <v>313</v>
      </c>
      <c r="J103" s="19"/>
      <c r="K103" s="19" t="s">
        <v>311</v>
      </c>
      <c r="L103" s="135"/>
      <c r="O103" s="19"/>
      <c r="P103" s="19"/>
      <c r="Q103" s="19"/>
      <c r="R103" s="19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</row>
    <row r="104" spans="1:139" s="121" customFormat="1" ht="12.75" customHeight="1" x14ac:dyDescent="0.15">
      <c r="A104" s="104" t="s">
        <v>314</v>
      </c>
      <c r="B104" s="504">
        <f t="shared" si="8"/>
        <v>2</v>
      </c>
      <c r="C104" s="506">
        <f t="shared" si="9"/>
        <v>2</v>
      </c>
      <c r="D104" s="507">
        <v>2</v>
      </c>
      <c r="E104" s="127"/>
      <c r="F104" s="111" t="s">
        <v>202</v>
      </c>
      <c r="G104" s="122"/>
      <c r="H104" s="122"/>
      <c r="I104" s="123" t="s">
        <v>315</v>
      </c>
      <c r="J104" s="19"/>
      <c r="K104" s="19" t="s">
        <v>316</v>
      </c>
      <c r="L104" s="135"/>
      <c r="O104" s="19"/>
      <c r="P104" s="19"/>
      <c r="Q104" s="19"/>
      <c r="R104" s="19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</row>
    <row r="105" spans="1:139" s="121" customFormat="1" ht="12.75" customHeight="1" x14ac:dyDescent="0.15">
      <c r="A105" s="104" t="s">
        <v>317</v>
      </c>
      <c r="B105" s="504">
        <f t="shared" si="8"/>
        <v>1</v>
      </c>
      <c r="C105" s="506">
        <f t="shared" si="9"/>
        <v>1</v>
      </c>
      <c r="D105" s="507">
        <v>1</v>
      </c>
      <c r="E105" s="127"/>
      <c r="F105" s="111" t="s">
        <v>202</v>
      </c>
      <c r="G105" s="122"/>
      <c r="H105" s="122"/>
      <c r="I105" s="123" t="s">
        <v>318</v>
      </c>
      <c r="J105" s="19"/>
      <c r="K105" s="19" t="s">
        <v>316</v>
      </c>
      <c r="L105" s="135"/>
      <c r="O105" s="19"/>
      <c r="P105" s="19"/>
      <c r="Q105" s="19"/>
      <c r="R105" s="19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</row>
    <row r="106" spans="1:139" s="121" customFormat="1" ht="12.75" customHeight="1" x14ac:dyDescent="0.15">
      <c r="A106" s="104" t="s">
        <v>319</v>
      </c>
      <c r="B106" s="504">
        <f t="shared" si="8"/>
        <v>3</v>
      </c>
      <c r="C106" s="506">
        <f t="shared" si="9"/>
        <v>3</v>
      </c>
      <c r="D106" s="507">
        <v>3</v>
      </c>
      <c r="E106" s="127"/>
      <c r="F106" s="111" t="s">
        <v>202</v>
      </c>
      <c r="G106" s="122"/>
      <c r="H106" s="122"/>
      <c r="I106" s="123" t="s">
        <v>320</v>
      </c>
      <c r="J106" s="19"/>
      <c r="K106" s="19" t="s">
        <v>321</v>
      </c>
      <c r="L106" s="135"/>
      <c r="O106" s="19"/>
      <c r="P106" s="19"/>
      <c r="Q106" s="19"/>
      <c r="R106" s="19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</row>
    <row r="107" spans="1:139" s="121" customFormat="1" ht="12.75" customHeight="1" x14ac:dyDescent="0.15">
      <c r="A107" s="453" t="s">
        <v>322</v>
      </c>
      <c r="B107" s="505">
        <f t="shared" si="8"/>
        <v>6.45</v>
      </c>
      <c r="C107" s="508">
        <f ca="1">GAMMAINV(RAND(),D107^2/E107^2,E107^2/D107)</f>
        <v>7.2932897379892463</v>
      </c>
      <c r="D107" s="509">
        <v>6.45</v>
      </c>
      <c r="E107" s="510">
        <f>perc_SE_admin_costs*D107</f>
        <v>1.6125</v>
      </c>
      <c r="F107" s="111" t="s">
        <v>323</v>
      </c>
      <c r="G107" s="122">
        <v>1.6125</v>
      </c>
      <c r="H107" s="122">
        <f>E107^2/D107</f>
        <v>0.40312499999999996</v>
      </c>
      <c r="I107" s="123" t="s">
        <v>324</v>
      </c>
      <c r="K107" s="19" t="s">
        <v>325</v>
      </c>
      <c r="L107" s="124" t="s">
        <v>326</v>
      </c>
      <c r="O107" s="19"/>
      <c r="P107" s="19"/>
      <c r="Q107" s="19"/>
      <c r="R107" s="19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</row>
    <row r="108" spans="1:139" s="121" customFormat="1" ht="12.75" customHeight="1" x14ac:dyDescent="0.15">
      <c r="A108" s="453" t="s">
        <v>327</v>
      </c>
      <c r="B108" s="505">
        <f t="shared" si="8"/>
        <v>11.87</v>
      </c>
      <c r="C108" s="508">
        <f ca="1">GAMMAINV(RAND(),D108^2/E108^2,E108^2/D108)</f>
        <v>8.4185301502116481</v>
      </c>
      <c r="D108" s="509">
        <v>11.87</v>
      </c>
      <c r="E108" s="510">
        <f>perc_SE_admin_costs*D108</f>
        <v>2.9674999999999998</v>
      </c>
      <c r="F108" s="111" t="s">
        <v>323</v>
      </c>
      <c r="G108" s="122">
        <v>2.9674999999999998</v>
      </c>
      <c r="H108" s="122">
        <f>E108^2/D108</f>
        <v>0.74187499999999995</v>
      </c>
      <c r="I108" s="123" t="s">
        <v>328</v>
      </c>
      <c r="K108" s="19" t="s">
        <v>325</v>
      </c>
      <c r="L108" s="124" t="s">
        <v>326</v>
      </c>
      <c r="O108" s="19"/>
      <c r="P108" s="19"/>
      <c r="Q108" s="19"/>
      <c r="R108" s="19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</row>
    <row r="109" spans="1:139" s="121" customFormat="1" ht="17.25" customHeight="1" x14ac:dyDescent="0.2">
      <c r="A109" s="103" t="s">
        <v>329</v>
      </c>
      <c r="B109" s="103"/>
      <c r="C109" s="103"/>
      <c r="D109" s="103"/>
      <c r="E109" s="103"/>
      <c r="F109" s="103"/>
      <c r="G109" s="515"/>
      <c r="H109" s="515"/>
      <c r="I109" s="103"/>
      <c r="J109" s="103"/>
      <c r="K109" s="103"/>
      <c r="L109" s="103"/>
      <c r="O109" s="19"/>
      <c r="P109" s="19"/>
      <c r="Q109" s="19"/>
      <c r="R109" s="19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</row>
    <row r="110" spans="1:139" ht="12.75" customHeight="1" x14ac:dyDescent="0.15">
      <c r="A110" s="104" t="s">
        <v>330</v>
      </c>
      <c r="B110" s="505">
        <f t="shared" ref="B110:B119" si="10">IF(Ind_PSA=0,D110,C110)</f>
        <v>2.72</v>
      </c>
      <c r="C110" s="508">
        <f t="shared" ref="C110:C119" si="11">D110</f>
        <v>2.72</v>
      </c>
      <c r="D110" s="509">
        <v>2.72</v>
      </c>
      <c r="E110" s="127"/>
      <c r="F110" s="111" t="s">
        <v>202</v>
      </c>
      <c r="G110" s="122"/>
      <c r="H110" s="122"/>
      <c r="I110" s="123" t="s">
        <v>331</v>
      </c>
      <c r="J110" s="19"/>
      <c r="K110" s="19" t="s">
        <v>332</v>
      </c>
      <c r="L110" s="19"/>
      <c r="M110" s="121"/>
      <c r="N110" s="121"/>
      <c r="O110" s="19"/>
    </row>
    <row r="111" spans="1:139" s="121" customFormat="1" ht="12.75" customHeight="1" x14ac:dyDescent="0.15">
      <c r="A111" s="104" t="s">
        <v>333</v>
      </c>
      <c r="B111" s="505">
        <f t="shared" si="10"/>
        <v>1.62</v>
      </c>
      <c r="C111" s="508">
        <f t="shared" si="11"/>
        <v>1.62</v>
      </c>
      <c r="D111" s="509">
        <v>1.62</v>
      </c>
      <c r="E111" s="127"/>
      <c r="F111" s="111" t="s">
        <v>202</v>
      </c>
      <c r="G111" s="122"/>
      <c r="H111" s="122"/>
      <c r="I111" s="123" t="s">
        <v>334</v>
      </c>
      <c r="J111" s="19"/>
      <c r="K111" s="19" t="s">
        <v>332</v>
      </c>
      <c r="L111" s="19"/>
      <c r="O111" s="19"/>
      <c r="P111" s="19"/>
      <c r="Q111" s="19"/>
      <c r="R111" s="19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</row>
    <row r="112" spans="1:139" s="121" customFormat="1" ht="12.75" customHeight="1" x14ac:dyDescent="0.15">
      <c r="A112" s="104" t="s">
        <v>335</v>
      </c>
      <c r="B112" s="505">
        <f t="shared" si="10"/>
        <v>2.3199999999999998</v>
      </c>
      <c r="C112" s="508">
        <f t="shared" si="11"/>
        <v>2.3199999999999998</v>
      </c>
      <c r="D112" s="509">
        <v>2.3199999999999998</v>
      </c>
      <c r="E112" s="127"/>
      <c r="F112" s="111" t="s">
        <v>202</v>
      </c>
      <c r="G112" s="122"/>
      <c r="H112" s="122"/>
      <c r="I112" s="123" t="s">
        <v>336</v>
      </c>
      <c r="J112" s="19"/>
      <c r="K112" s="19" t="s">
        <v>332</v>
      </c>
      <c r="L112" s="19"/>
      <c r="O112" s="19"/>
      <c r="P112" s="19"/>
      <c r="Q112" s="19"/>
      <c r="R112" s="19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</row>
    <row r="113" spans="1:139" s="121" customFormat="1" ht="12.75" customHeight="1" x14ac:dyDescent="0.15">
      <c r="A113" s="104" t="s">
        <v>337</v>
      </c>
      <c r="B113" s="505">
        <f t="shared" si="10"/>
        <v>2.59</v>
      </c>
      <c r="C113" s="508">
        <f t="shared" si="11"/>
        <v>2.59</v>
      </c>
      <c r="D113" s="509">
        <v>2.59</v>
      </c>
      <c r="E113" s="127"/>
      <c r="F113" s="111" t="s">
        <v>202</v>
      </c>
      <c r="G113" s="122"/>
      <c r="H113" s="122"/>
      <c r="I113" s="123" t="s">
        <v>338</v>
      </c>
      <c r="J113" s="19"/>
      <c r="K113" s="19" t="s">
        <v>332</v>
      </c>
      <c r="L113" s="19"/>
      <c r="O113" s="19"/>
      <c r="P113" s="19"/>
      <c r="Q113" s="19"/>
      <c r="R113" s="19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</row>
    <row r="114" spans="1:139" s="121" customFormat="1" ht="12.75" customHeight="1" x14ac:dyDescent="0.15">
      <c r="A114" s="104" t="s">
        <v>339</v>
      </c>
      <c r="B114" s="505">
        <f t="shared" si="10"/>
        <v>2.5</v>
      </c>
      <c r="C114" s="508">
        <f t="shared" si="11"/>
        <v>2.5</v>
      </c>
      <c r="D114" s="509">
        <v>2.5</v>
      </c>
      <c r="E114" s="127"/>
      <c r="F114" s="111" t="s">
        <v>202</v>
      </c>
      <c r="G114" s="122"/>
      <c r="H114" s="122"/>
      <c r="I114" s="123" t="s">
        <v>340</v>
      </c>
      <c r="J114" s="19"/>
      <c r="K114" s="19" t="s">
        <v>332</v>
      </c>
      <c r="L114" s="19"/>
      <c r="O114" s="19"/>
      <c r="P114" s="19"/>
      <c r="Q114" s="19"/>
      <c r="R114" s="19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</row>
    <row r="115" spans="1:139" s="121" customFormat="1" ht="12.75" customHeight="1" x14ac:dyDescent="0.15">
      <c r="A115" s="104" t="s">
        <v>341</v>
      </c>
      <c r="B115" s="505">
        <f t="shared" si="10"/>
        <v>2.38</v>
      </c>
      <c r="C115" s="508">
        <f t="shared" si="11"/>
        <v>2.38</v>
      </c>
      <c r="D115" s="509">
        <v>2.38</v>
      </c>
      <c r="E115" s="127"/>
      <c r="F115" s="111" t="s">
        <v>202</v>
      </c>
      <c r="G115" s="122"/>
      <c r="H115" s="122"/>
      <c r="I115" s="123" t="s">
        <v>342</v>
      </c>
      <c r="J115" s="19"/>
      <c r="K115" s="19" t="s">
        <v>332</v>
      </c>
      <c r="L115" s="19"/>
      <c r="O115" s="19"/>
      <c r="P115" s="19"/>
      <c r="Q115" s="19"/>
      <c r="R115" s="19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</row>
    <row r="116" spans="1:139" s="121" customFormat="1" ht="12.75" customHeight="1" x14ac:dyDescent="0.15">
      <c r="A116" s="104" t="s">
        <v>343</v>
      </c>
      <c r="B116" s="505">
        <f t="shared" si="10"/>
        <v>1.97</v>
      </c>
      <c r="C116" s="508">
        <f t="shared" si="11"/>
        <v>1.97</v>
      </c>
      <c r="D116" s="509">
        <v>1.97</v>
      </c>
      <c r="E116" s="127"/>
      <c r="F116" s="111" t="s">
        <v>202</v>
      </c>
      <c r="G116" s="122"/>
      <c r="H116" s="122"/>
      <c r="I116" s="123" t="s">
        <v>344</v>
      </c>
      <c r="J116" s="19"/>
      <c r="K116" s="19" t="s">
        <v>332</v>
      </c>
      <c r="L116" s="19"/>
      <c r="O116" s="19"/>
      <c r="P116" s="19"/>
      <c r="Q116" s="19"/>
      <c r="R116" s="19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</row>
    <row r="117" spans="1:139" s="121" customFormat="1" ht="12.75" customHeight="1" x14ac:dyDescent="0.15">
      <c r="A117" s="104" t="s">
        <v>345</v>
      </c>
      <c r="B117" s="505">
        <f t="shared" si="10"/>
        <v>2.39</v>
      </c>
      <c r="C117" s="508">
        <f t="shared" si="11"/>
        <v>2.39</v>
      </c>
      <c r="D117" s="509">
        <v>2.39</v>
      </c>
      <c r="E117" s="127"/>
      <c r="F117" s="111" t="s">
        <v>202</v>
      </c>
      <c r="G117" s="122"/>
      <c r="H117" s="122"/>
      <c r="I117" s="123" t="s">
        <v>346</v>
      </c>
      <c r="J117" s="19"/>
      <c r="K117" s="19" t="s">
        <v>332</v>
      </c>
      <c r="L117" s="19"/>
      <c r="O117" s="19"/>
      <c r="P117" s="19"/>
      <c r="Q117" s="19"/>
      <c r="R117" s="19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</row>
    <row r="118" spans="1:139" ht="12.75" customHeight="1" x14ac:dyDescent="0.15">
      <c r="A118" s="104" t="s">
        <v>347</v>
      </c>
      <c r="B118" s="505">
        <f t="shared" si="10"/>
        <v>2.15</v>
      </c>
      <c r="C118" s="508">
        <f t="shared" si="11"/>
        <v>2.15</v>
      </c>
      <c r="D118" s="509">
        <v>2.15</v>
      </c>
      <c r="E118" s="127"/>
      <c r="F118" s="111" t="s">
        <v>202</v>
      </c>
      <c r="G118" s="122"/>
      <c r="H118" s="122"/>
      <c r="I118" s="123" t="s">
        <v>348</v>
      </c>
      <c r="J118" s="19"/>
      <c r="K118" s="19" t="s">
        <v>332</v>
      </c>
      <c r="L118" s="19"/>
      <c r="M118" s="121"/>
      <c r="N118" s="121"/>
      <c r="O118" s="19"/>
    </row>
    <row r="119" spans="1:139" s="121" customFormat="1" ht="12.75" customHeight="1" x14ac:dyDescent="0.15">
      <c r="A119" s="104" t="s">
        <v>349</v>
      </c>
      <c r="B119" s="505">
        <f t="shared" si="10"/>
        <v>8.0500000000000007</v>
      </c>
      <c r="C119" s="508">
        <f t="shared" si="11"/>
        <v>8.0500000000000007</v>
      </c>
      <c r="D119" s="509">
        <v>8.0500000000000007</v>
      </c>
      <c r="E119" s="127"/>
      <c r="F119" s="111" t="s">
        <v>202</v>
      </c>
      <c r="G119" s="122"/>
      <c r="H119" s="122"/>
      <c r="I119" s="123" t="s">
        <v>350</v>
      </c>
      <c r="J119" s="19"/>
      <c r="K119" s="19" t="s">
        <v>332</v>
      </c>
      <c r="L119" s="19"/>
      <c r="O119" s="19"/>
      <c r="P119" s="19"/>
      <c r="Q119" s="19"/>
      <c r="R119" s="19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</row>
    <row r="120" spans="1:139" s="121" customFormat="1" ht="17.25" customHeight="1" x14ac:dyDescent="0.2">
      <c r="A120" s="103" t="s">
        <v>351</v>
      </c>
      <c r="B120" s="103"/>
      <c r="C120" s="103"/>
      <c r="D120" s="103"/>
      <c r="E120" s="103"/>
      <c r="F120" s="103"/>
      <c r="G120" s="515"/>
      <c r="H120" s="515"/>
      <c r="I120" s="103"/>
      <c r="J120" s="103"/>
      <c r="K120" s="103"/>
      <c r="L120" s="103"/>
      <c r="O120" s="19"/>
      <c r="P120" s="19"/>
      <c r="Q120" s="19"/>
      <c r="R120" s="19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</row>
    <row r="121" spans="1:139" s="121" customFormat="1" ht="12.75" customHeight="1" x14ac:dyDescent="0.15">
      <c r="A121" s="104" t="s">
        <v>352</v>
      </c>
      <c r="B121" s="505">
        <f t="shared" ref="B121:B128" si="12">IF(Ind_PSA=0,D121,C121)</f>
        <v>120</v>
      </c>
      <c r="C121" s="509">
        <f ca="1">GAMMAINV(RAND(),D121^2/E121^2,E121^2/D121)</f>
        <v>108.08636582528362</v>
      </c>
      <c r="D121" s="509">
        <v>120</v>
      </c>
      <c r="E121" s="509">
        <f>perc_SE_AE_costs*D121</f>
        <v>30</v>
      </c>
      <c r="F121" s="459" t="s">
        <v>323</v>
      </c>
      <c r="G121" s="122">
        <v>30</v>
      </c>
      <c r="H121" s="122">
        <f>E121^2/D121</f>
        <v>7.5</v>
      </c>
      <c r="I121" s="123" t="s">
        <v>353</v>
      </c>
      <c r="J121" s="19"/>
      <c r="K121" s="19" t="s">
        <v>354</v>
      </c>
      <c r="L121" s="124" t="s">
        <v>355</v>
      </c>
      <c r="O121" s="19"/>
      <c r="P121" s="19"/>
      <c r="Q121" s="19"/>
      <c r="R121" s="19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</row>
    <row r="122" spans="1:139" s="121" customFormat="1" ht="12.75" customHeight="1" x14ac:dyDescent="0.15">
      <c r="A122" s="104" t="s">
        <v>356</v>
      </c>
      <c r="B122" s="505">
        <f t="shared" si="12"/>
        <v>3439.27</v>
      </c>
      <c r="C122" s="509">
        <f ca="1">GAMMAINV(RAND(),D122^2/E122^2,E122^2/D122)</f>
        <v>2399.8351190816088</v>
      </c>
      <c r="D122" s="509">
        <v>3439.27</v>
      </c>
      <c r="E122" s="509">
        <f>perc_SE_AE_costs*D122</f>
        <v>859.8175</v>
      </c>
      <c r="F122" s="459" t="s">
        <v>323</v>
      </c>
      <c r="G122" s="122">
        <v>859.8175</v>
      </c>
      <c r="H122" s="122">
        <f>E122^2/D122</f>
        <v>214.954375</v>
      </c>
      <c r="I122" s="123" t="s">
        <v>357</v>
      </c>
      <c r="J122" s="19"/>
      <c r="K122" s="19" t="s">
        <v>358</v>
      </c>
      <c r="L122" s="124" t="s">
        <v>355</v>
      </c>
      <c r="O122" s="19"/>
      <c r="P122" s="19"/>
      <c r="Q122" s="19"/>
      <c r="R122" s="19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</row>
    <row r="123" spans="1:139" s="121" customFormat="1" ht="12.75" customHeight="1" x14ac:dyDescent="0.15">
      <c r="A123" s="104" t="s">
        <v>359</v>
      </c>
      <c r="B123" s="505">
        <f t="shared" si="12"/>
        <v>632.28</v>
      </c>
      <c r="C123" s="509">
        <f ca="1">GAMMAINV(RAND(),D123^2/E123^2,E123^2/D123)</f>
        <v>698.31535484830454</v>
      </c>
      <c r="D123" s="509">
        <v>632.28</v>
      </c>
      <c r="E123" s="509">
        <f>perc_SE_AE_costs*D123</f>
        <v>158.07</v>
      </c>
      <c r="F123" s="459" t="s">
        <v>323</v>
      </c>
      <c r="G123" s="122">
        <v>158.07</v>
      </c>
      <c r="H123" s="122">
        <f>E123^2/D123</f>
        <v>39.517499999999998</v>
      </c>
      <c r="I123" s="123" t="s">
        <v>360</v>
      </c>
      <c r="J123" s="19"/>
      <c r="K123" s="19" t="s">
        <v>361</v>
      </c>
      <c r="L123" s="124" t="s">
        <v>355</v>
      </c>
      <c r="O123" s="19"/>
      <c r="P123" s="19"/>
      <c r="Q123" s="19"/>
      <c r="R123" s="19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</row>
    <row r="124" spans="1:139" s="121" customFormat="1" ht="12.75" customHeight="1" x14ac:dyDescent="0.15">
      <c r="A124" s="104" t="s">
        <v>362</v>
      </c>
      <c r="B124" s="505">
        <f t="shared" si="12"/>
        <v>4.2</v>
      </c>
      <c r="C124" s="508">
        <f>D124</f>
        <v>4.2</v>
      </c>
      <c r="D124" s="509">
        <v>4.2</v>
      </c>
      <c r="E124" s="460"/>
      <c r="F124" s="459" t="s">
        <v>202</v>
      </c>
      <c r="G124" s="122"/>
      <c r="H124" s="122"/>
      <c r="I124" s="123" t="s">
        <v>363</v>
      </c>
      <c r="J124" s="19"/>
      <c r="K124" s="67" t="s">
        <v>364</v>
      </c>
      <c r="L124" s="135"/>
      <c r="O124" s="19"/>
      <c r="P124" s="19"/>
      <c r="Q124" s="19"/>
      <c r="R124" s="19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</row>
    <row r="125" spans="1:139" s="121" customFormat="1" ht="12.75" customHeight="1" x14ac:dyDescent="0.15">
      <c r="A125" s="104" t="s">
        <v>365</v>
      </c>
      <c r="B125" s="505">
        <f t="shared" si="12"/>
        <v>71.39</v>
      </c>
      <c r="C125" s="508">
        <f>D125</f>
        <v>71.39</v>
      </c>
      <c r="D125" s="509">
        <v>71.39</v>
      </c>
      <c r="E125" s="460"/>
      <c r="F125" s="459" t="s">
        <v>202</v>
      </c>
      <c r="G125" s="122"/>
      <c r="H125" s="122"/>
      <c r="I125" s="123" t="s">
        <v>366</v>
      </c>
      <c r="J125" s="19"/>
      <c r="K125" s="67" t="s">
        <v>364</v>
      </c>
      <c r="L125" s="135"/>
      <c r="O125" s="19"/>
      <c r="P125" s="19"/>
      <c r="Q125" s="19"/>
      <c r="R125" s="19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</row>
    <row r="126" spans="1:139" s="121" customFormat="1" ht="12.75" customHeight="1" x14ac:dyDescent="0.15">
      <c r="A126" s="104" t="s">
        <v>367</v>
      </c>
      <c r="B126" s="105">
        <f t="shared" si="12"/>
        <v>0.01</v>
      </c>
      <c r="C126" s="125">
        <f ca="1">_xlfn.BETA.INV(RAND(),D126*((D126*(1-D126)/E126^2)-1),(1-D126)*((D126*(1-D126)/E126^2)-1))</f>
        <v>1.065268991388868E-2</v>
      </c>
      <c r="D126" s="126">
        <v>0.01</v>
      </c>
      <c r="E126" s="126">
        <f>perc_SE_AE_costs*D126</f>
        <v>2.5000000000000001E-3</v>
      </c>
      <c r="F126" s="111" t="s">
        <v>196</v>
      </c>
      <c r="G126" s="122">
        <v>2.5000000000000001E-3</v>
      </c>
      <c r="H126" s="122">
        <f>(1-D126)*((D126*(1-D126)/E126^2)-1)</f>
        <v>1567.17</v>
      </c>
      <c r="I126" s="123" t="s">
        <v>368</v>
      </c>
      <c r="J126" s="19"/>
      <c r="K126" s="19" t="s">
        <v>311</v>
      </c>
      <c r="L126" s="124"/>
      <c r="O126" s="19"/>
      <c r="P126" s="19"/>
      <c r="Q126" s="19"/>
      <c r="R126" s="19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</row>
    <row r="127" spans="1:139" s="121" customFormat="1" ht="12.75" customHeight="1" x14ac:dyDescent="0.15">
      <c r="A127" s="104" t="s">
        <v>369</v>
      </c>
      <c r="B127" s="504">
        <f t="shared" si="12"/>
        <v>2</v>
      </c>
      <c r="C127" s="506">
        <f>D127</f>
        <v>2</v>
      </c>
      <c r="D127" s="507">
        <v>2</v>
      </c>
      <c r="E127" s="127"/>
      <c r="F127" s="111" t="s">
        <v>202</v>
      </c>
      <c r="G127" s="122"/>
      <c r="H127" s="122"/>
      <c r="I127" s="123" t="s">
        <v>370</v>
      </c>
      <c r="J127" s="19"/>
      <c r="K127" s="67" t="s">
        <v>371</v>
      </c>
      <c r="L127" s="135"/>
      <c r="O127" s="19"/>
      <c r="P127" s="19"/>
      <c r="Q127" s="19"/>
      <c r="R127" s="19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</row>
    <row r="128" spans="1:139" s="121" customFormat="1" ht="12.75" customHeight="1" x14ac:dyDescent="0.15">
      <c r="A128" s="104" t="s">
        <v>372</v>
      </c>
      <c r="B128" s="505">
        <f t="shared" si="12"/>
        <v>75.28</v>
      </c>
      <c r="C128" s="509">
        <f ca="1">GAMMAINV(RAND(),D128^2/E128^2,E128^2/D128)</f>
        <v>103.56664647607334</v>
      </c>
      <c r="D128" s="509">
        <v>75.28</v>
      </c>
      <c r="E128" s="509">
        <f>perc_SE_admin_costs*D128</f>
        <v>18.82</v>
      </c>
      <c r="F128" s="111" t="s">
        <v>323</v>
      </c>
      <c r="G128" s="122">
        <v>18.82</v>
      </c>
      <c r="H128" s="122">
        <f>E128^2/D128</f>
        <v>4.7050000000000001</v>
      </c>
      <c r="I128" s="123" t="s">
        <v>373</v>
      </c>
      <c r="J128" s="19"/>
      <c r="K128" s="19" t="s">
        <v>374</v>
      </c>
      <c r="L128" s="124" t="s">
        <v>355</v>
      </c>
      <c r="O128" s="19"/>
      <c r="P128" s="19"/>
      <c r="Q128" s="19"/>
      <c r="R128" s="19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</row>
    <row r="129" spans="1:139" s="121" customFormat="1" ht="17.25" customHeight="1" x14ac:dyDescent="0.2">
      <c r="A129" s="103" t="s">
        <v>375</v>
      </c>
      <c r="B129" s="103"/>
      <c r="C129" s="103"/>
      <c r="D129" s="103"/>
      <c r="E129" s="103"/>
      <c r="F129" s="103"/>
      <c r="G129" s="515"/>
      <c r="H129" s="515"/>
      <c r="I129" s="103"/>
      <c r="J129" s="103"/>
      <c r="K129" s="103"/>
      <c r="L129" s="103"/>
      <c r="O129" s="19"/>
      <c r="P129" s="19"/>
      <c r="Q129" s="19"/>
      <c r="R129" s="19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</row>
    <row r="130" spans="1:139" ht="12.75" customHeight="1" x14ac:dyDescent="0.15">
      <c r="A130" s="104" t="s">
        <v>376</v>
      </c>
      <c r="B130" s="505">
        <f t="shared" ref="B130:B136" si="13">IF(Ind_PSA=0,D130,C130)</f>
        <v>1.55</v>
      </c>
      <c r="C130" s="508">
        <f t="shared" ref="C130:C135" si="14">D130</f>
        <v>1.55</v>
      </c>
      <c r="D130" s="509">
        <v>1.55</v>
      </c>
      <c r="E130" s="127"/>
      <c r="F130" s="111" t="s">
        <v>202</v>
      </c>
      <c r="G130" s="122"/>
      <c r="H130" s="122"/>
      <c r="I130" s="123" t="s">
        <v>377</v>
      </c>
      <c r="J130" s="19"/>
      <c r="K130" s="67" t="s">
        <v>270</v>
      </c>
      <c r="L130" s="135"/>
      <c r="M130" s="121"/>
      <c r="N130" s="121"/>
      <c r="O130" s="19"/>
    </row>
    <row r="131" spans="1:139" s="121" customFormat="1" ht="12.75" customHeight="1" x14ac:dyDescent="0.15">
      <c r="A131" s="104" t="s">
        <v>378</v>
      </c>
      <c r="B131" s="504">
        <f t="shared" si="13"/>
        <v>1.72</v>
      </c>
      <c r="C131" s="506">
        <f t="shared" si="14"/>
        <v>1.72</v>
      </c>
      <c r="D131" s="507">
        <v>1.72</v>
      </c>
      <c r="E131" s="127"/>
      <c r="F131" s="111" t="s">
        <v>202</v>
      </c>
      <c r="G131" s="122"/>
      <c r="H131" s="122"/>
      <c r="I131" s="123" t="s">
        <v>379</v>
      </c>
      <c r="J131" s="19"/>
      <c r="K131" s="67" t="s">
        <v>380</v>
      </c>
      <c r="L131" s="135"/>
      <c r="O131" s="19"/>
      <c r="P131" s="19"/>
      <c r="Q131" s="19"/>
      <c r="R131" s="19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</row>
    <row r="132" spans="1:139" s="121" customFormat="1" ht="12.75" customHeight="1" x14ac:dyDescent="0.15">
      <c r="A132" s="104" t="s">
        <v>381</v>
      </c>
      <c r="B132" s="504">
        <f t="shared" si="13"/>
        <v>4</v>
      </c>
      <c r="C132" s="506">
        <f t="shared" si="14"/>
        <v>4</v>
      </c>
      <c r="D132" s="507">
        <v>4</v>
      </c>
      <c r="E132" s="127"/>
      <c r="F132" s="111" t="s">
        <v>202</v>
      </c>
      <c r="G132" s="122"/>
      <c r="H132" s="122"/>
      <c r="I132" s="123" t="s">
        <v>382</v>
      </c>
      <c r="J132" s="19"/>
      <c r="K132" s="67" t="s">
        <v>383</v>
      </c>
      <c r="L132" s="135"/>
      <c r="O132" s="19"/>
      <c r="P132" s="19"/>
      <c r="Q132" s="19"/>
      <c r="R132" s="19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/>
      <c r="EI132" s="19"/>
    </row>
    <row r="133" spans="1:139" s="121" customFormat="1" ht="12.75" customHeight="1" x14ac:dyDescent="0.15">
      <c r="A133" s="104" t="s">
        <v>384</v>
      </c>
      <c r="B133" s="504">
        <f t="shared" si="13"/>
        <v>2</v>
      </c>
      <c r="C133" s="506">
        <f t="shared" si="14"/>
        <v>2</v>
      </c>
      <c r="D133" s="507">
        <v>2</v>
      </c>
      <c r="E133" s="127"/>
      <c r="F133" s="111" t="s">
        <v>202</v>
      </c>
      <c r="G133" s="122"/>
      <c r="H133" s="122"/>
      <c r="I133" s="123" t="s">
        <v>385</v>
      </c>
      <c r="J133" s="19"/>
      <c r="K133" s="67" t="s">
        <v>316</v>
      </c>
      <c r="L133" s="135"/>
      <c r="O133" s="19"/>
      <c r="P133" s="19"/>
      <c r="Q133" s="19"/>
      <c r="R133" s="19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</row>
    <row r="134" spans="1:139" s="121" customFormat="1" ht="12.75" customHeight="1" x14ac:dyDescent="0.15">
      <c r="A134" s="104" t="s">
        <v>386</v>
      </c>
      <c r="B134" s="504">
        <f t="shared" si="13"/>
        <v>14</v>
      </c>
      <c r="C134" s="506">
        <f t="shared" si="14"/>
        <v>14</v>
      </c>
      <c r="D134" s="507">
        <v>14</v>
      </c>
      <c r="E134" s="127"/>
      <c r="F134" s="111" t="s">
        <v>202</v>
      </c>
      <c r="G134" s="122"/>
      <c r="H134" s="122"/>
      <c r="I134" s="123" t="s">
        <v>387</v>
      </c>
      <c r="J134" s="19"/>
      <c r="K134" s="67" t="s">
        <v>316</v>
      </c>
      <c r="L134" s="135"/>
      <c r="O134" s="19"/>
      <c r="P134" s="19"/>
      <c r="Q134" s="19"/>
      <c r="R134" s="19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</row>
    <row r="135" spans="1:139" s="121" customFormat="1" ht="12.75" customHeight="1" x14ac:dyDescent="0.15">
      <c r="A135" s="104" t="s">
        <v>388</v>
      </c>
      <c r="B135" s="504">
        <f t="shared" si="13"/>
        <v>6</v>
      </c>
      <c r="C135" s="506">
        <f t="shared" si="14"/>
        <v>6</v>
      </c>
      <c r="D135" s="507">
        <v>6</v>
      </c>
      <c r="E135" s="127"/>
      <c r="F135" s="111" t="s">
        <v>202</v>
      </c>
      <c r="G135" s="122"/>
      <c r="H135" s="122"/>
      <c r="I135" s="123" t="s">
        <v>389</v>
      </c>
      <c r="J135" s="19"/>
      <c r="K135" s="67" t="s">
        <v>390</v>
      </c>
      <c r="L135" s="135"/>
      <c r="O135" s="19"/>
      <c r="P135" s="19"/>
      <c r="Q135" s="19"/>
      <c r="R135" s="19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</row>
    <row r="136" spans="1:139" s="121" customFormat="1" ht="12.75" customHeight="1" x14ac:dyDescent="0.15">
      <c r="A136" s="104" t="s">
        <v>391</v>
      </c>
      <c r="B136" s="505">
        <f t="shared" si="13"/>
        <v>84</v>
      </c>
      <c r="C136" s="509">
        <f ca="1">GAMMAINV(RAND(),D136^2/E136^2,E136^2/D136)</f>
        <v>50.053917439532931</v>
      </c>
      <c r="D136" s="509">
        <v>84</v>
      </c>
      <c r="E136" s="509">
        <f>perc_SE_AE_costs*D136</f>
        <v>21</v>
      </c>
      <c r="F136" s="111" t="s">
        <v>323</v>
      </c>
      <c r="G136" s="122">
        <v>21</v>
      </c>
      <c r="H136" s="122">
        <f>E136^2/D136</f>
        <v>5.25</v>
      </c>
      <c r="I136" s="123" t="s">
        <v>392</v>
      </c>
      <c r="J136" s="19"/>
      <c r="K136" s="19" t="s">
        <v>393</v>
      </c>
      <c r="L136" s="124"/>
      <c r="O136" s="19"/>
      <c r="P136" s="19"/>
      <c r="Q136" s="19"/>
      <c r="R136" s="19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</row>
    <row r="137" spans="1:139" s="121" customFormat="1" ht="17.25" customHeight="1" x14ac:dyDescent="0.2">
      <c r="A137" s="103" t="s">
        <v>394</v>
      </c>
      <c r="B137" s="103"/>
      <c r="C137" s="103"/>
      <c r="D137" s="103"/>
      <c r="E137" s="103"/>
      <c r="F137" s="103"/>
      <c r="G137" s="515"/>
      <c r="H137" s="515"/>
      <c r="I137" s="103"/>
      <c r="J137" s="103"/>
      <c r="K137" s="103"/>
      <c r="L137" s="103"/>
      <c r="O137" s="19"/>
      <c r="P137" s="19"/>
      <c r="Q137" s="19"/>
      <c r="R137" s="19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</row>
    <row r="138" spans="1:139" ht="12.75" customHeight="1" x14ac:dyDescent="0.15">
      <c r="A138" s="104" t="s">
        <v>395</v>
      </c>
      <c r="B138" s="504">
        <f>IF(Ind_PSA=0,D138,C138)</f>
        <v>21</v>
      </c>
      <c r="C138" s="506">
        <f>D138</f>
        <v>21</v>
      </c>
      <c r="D138" s="507">
        <v>21</v>
      </c>
      <c r="E138" s="127"/>
      <c r="F138" s="111" t="s">
        <v>202</v>
      </c>
      <c r="G138" s="122"/>
      <c r="H138" s="122"/>
      <c r="I138" s="123" t="s">
        <v>396</v>
      </c>
      <c r="J138" s="19"/>
      <c r="K138" s="67" t="s">
        <v>316</v>
      </c>
      <c r="L138" s="135"/>
      <c r="M138" s="121"/>
      <c r="N138" s="121"/>
      <c r="O138" s="19"/>
    </row>
    <row r="139" spans="1:139" ht="12.75" customHeight="1" x14ac:dyDescent="0.15">
      <c r="A139" s="104" t="s">
        <v>397</v>
      </c>
      <c r="B139" s="504">
        <f>IF(Ind_PSA=0,D139,C139)</f>
        <v>3</v>
      </c>
      <c r="C139" s="506">
        <f>D139</f>
        <v>3</v>
      </c>
      <c r="D139" s="507">
        <v>3</v>
      </c>
      <c r="E139" s="127"/>
      <c r="F139" s="111" t="s">
        <v>202</v>
      </c>
      <c r="G139" s="122"/>
      <c r="H139" s="122"/>
      <c r="I139" s="123" t="s">
        <v>398</v>
      </c>
      <c r="J139" s="19"/>
      <c r="K139" s="67" t="s">
        <v>311</v>
      </c>
      <c r="L139" s="135"/>
      <c r="M139" s="121"/>
      <c r="N139" s="121"/>
      <c r="O139" s="19"/>
    </row>
    <row r="140" spans="1:139" s="121" customFormat="1" ht="12.75" customHeight="1" x14ac:dyDescent="0.15">
      <c r="A140" s="104" t="s">
        <v>399</v>
      </c>
      <c r="B140" s="505">
        <f>IF(Ind_PSA=0,D140,C140)</f>
        <v>152.06</v>
      </c>
      <c r="C140" s="509">
        <f ca="1">GAMMAINV(RAND(),D140^2/E140^2,E140^2/D140)</f>
        <v>155.59207615017976</v>
      </c>
      <c r="D140" s="509">
        <v>152.06</v>
      </c>
      <c r="E140" s="509">
        <f>perc_SE_PD_ongoing*D140</f>
        <v>22.809000000000001</v>
      </c>
      <c r="F140" s="111" t="s">
        <v>323</v>
      </c>
      <c r="G140" s="122">
        <v>22.809000000000001</v>
      </c>
      <c r="H140" s="122">
        <f>E140^2/D140</f>
        <v>3.4213500000000003</v>
      </c>
      <c r="I140" s="123" t="s">
        <v>400</v>
      </c>
      <c r="J140" s="19"/>
      <c r="K140" s="19" t="s">
        <v>364</v>
      </c>
      <c r="L140" s="124"/>
      <c r="O140" s="19"/>
      <c r="P140" s="19"/>
      <c r="Q140" s="19"/>
      <c r="R140" s="19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</row>
    <row r="141" spans="1:139" s="121" customFormat="1" ht="12.75" customHeight="1" x14ac:dyDescent="0.15">
      <c r="A141" s="104" t="s">
        <v>401</v>
      </c>
      <c r="B141" s="504">
        <f>IF(Ind_PSA=0,D141,C141)</f>
        <v>3</v>
      </c>
      <c r="C141" s="506">
        <f>D141</f>
        <v>3</v>
      </c>
      <c r="D141" s="507">
        <v>3</v>
      </c>
      <c r="E141" s="127"/>
      <c r="F141" s="111" t="s">
        <v>202</v>
      </c>
      <c r="G141" s="122"/>
      <c r="H141" s="122"/>
      <c r="I141" s="123" t="s">
        <v>402</v>
      </c>
      <c r="J141" s="19"/>
      <c r="K141" s="67" t="s">
        <v>403</v>
      </c>
      <c r="L141" s="135"/>
      <c r="O141" s="19"/>
      <c r="P141" s="19"/>
      <c r="Q141" s="19"/>
      <c r="R141" s="19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</row>
    <row r="142" spans="1:139" s="121" customFormat="1" ht="17.25" customHeight="1" x14ac:dyDescent="0.2">
      <c r="A142" s="103" t="s">
        <v>404</v>
      </c>
      <c r="B142" s="103"/>
      <c r="C142" s="103"/>
      <c r="D142" s="103"/>
      <c r="E142" s="103"/>
      <c r="F142" s="103"/>
      <c r="G142" s="515"/>
      <c r="H142" s="515"/>
      <c r="I142" s="103"/>
      <c r="J142" s="103"/>
      <c r="K142" s="103"/>
      <c r="L142" s="103"/>
      <c r="O142" s="19"/>
      <c r="P142" s="19"/>
      <c r="Q142" s="19"/>
      <c r="R142" s="19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</row>
    <row r="143" spans="1:139" s="121" customFormat="1" ht="12.75" customHeight="1" x14ac:dyDescent="0.15">
      <c r="A143" s="104" t="s">
        <v>405</v>
      </c>
      <c r="B143" s="505">
        <f>IF(Ind_PSA=0,D143,C143)</f>
        <v>21641</v>
      </c>
      <c r="C143" s="509">
        <f ca="1">GAMMAINV(RAND(),D143^2/E143^2,E143^2/D143)</f>
        <v>30549.493293112551</v>
      </c>
      <c r="D143" s="509">
        <v>21641</v>
      </c>
      <c r="E143" s="509">
        <v>20147</v>
      </c>
      <c r="F143" s="111" t="s">
        <v>323</v>
      </c>
      <c r="G143" s="122">
        <v>20147</v>
      </c>
      <c r="H143" s="122">
        <f>E143^2/D143</f>
        <v>18756.139226468276</v>
      </c>
      <c r="I143" s="123" t="s">
        <v>734</v>
      </c>
      <c r="J143" s="19"/>
      <c r="K143" s="19" t="s">
        <v>406</v>
      </c>
      <c r="L143" s="124" t="s">
        <v>407</v>
      </c>
      <c r="O143" s="19"/>
      <c r="P143" s="19"/>
      <c r="Q143" s="19"/>
      <c r="R143" s="19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</row>
    <row r="144" spans="1:139" s="121" customFormat="1" ht="12.75" customHeight="1" x14ac:dyDescent="0.15">
      <c r="A144" s="104" t="s">
        <v>408</v>
      </c>
      <c r="B144" s="505">
        <f>IF(Ind_PSA=0,D144,C144)</f>
        <v>50423</v>
      </c>
      <c r="C144" s="509">
        <f ca="1">GAMMAINV(RAND(),D144^2/E144^2,E144^2/D144)</f>
        <v>53657.405268468283</v>
      </c>
      <c r="D144" s="509">
        <v>50423</v>
      </c>
      <c r="E144" s="509">
        <f>perc_SE_EoL_default*D144</f>
        <v>12605.75</v>
      </c>
      <c r="F144" s="111" t="s">
        <v>323</v>
      </c>
      <c r="G144" s="122">
        <v>12605.75</v>
      </c>
      <c r="H144" s="122">
        <f>E144^2/D144</f>
        <v>3151.4375</v>
      </c>
      <c r="I144" s="123" t="s">
        <v>409</v>
      </c>
      <c r="J144" s="19"/>
      <c r="K144" s="19" t="s">
        <v>410</v>
      </c>
      <c r="L144" s="124" t="s">
        <v>411</v>
      </c>
      <c r="O144" s="19"/>
      <c r="P144" s="19"/>
      <c r="Q144" s="19"/>
      <c r="R144" s="19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</row>
    <row r="145" spans="1:139" s="121" customFormat="1" ht="12.75" customHeight="1" x14ac:dyDescent="0.15">
      <c r="A145" s="104" t="s">
        <v>412</v>
      </c>
      <c r="B145" s="505">
        <f>IF(Ind_PSA=0,D145,C145)</f>
        <v>21641</v>
      </c>
      <c r="C145" s="508">
        <f>D145</f>
        <v>21641</v>
      </c>
      <c r="D145" s="509">
        <f>eol_schneider_raw</f>
        <v>21641</v>
      </c>
      <c r="E145" s="127"/>
      <c r="F145" s="111" t="s">
        <v>202</v>
      </c>
      <c r="G145" s="122"/>
      <c r="H145" s="122"/>
      <c r="I145" s="123" t="s">
        <v>413</v>
      </c>
      <c r="J145" s="19"/>
      <c r="K145" s="67" t="s">
        <v>414</v>
      </c>
      <c r="L145" s="135" t="s">
        <v>415</v>
      </c>
      <c r="O145" s="19"/>
      <c r="P145" s="19"/>
      <c r="Q145" s="19"/>
      <c r="R145" s="19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</row>
    <row r="146" spans="1:139" s="121" customFormat="1" ht="12.75" customHeight="1" x14ac:dyDescent="0.15">
      <c r="A146" s="104" t="s">
        <v>416</v>
      </c>
      <c r="B146" s="505">
        <f>IF(Ind_PSA=0,D146,C146)</f>
        <v>1.3239000000000001</v>
      </c>
      <c r="C146" s="508">
        <f>D146</f>
        <v>1.3239000000000001</v>
      </c>
      <c r="D146" s="509">
        <f>cpi_2017_to_2025</f>
        <v>1.3239000000000001</v>
      </c>
      <c r="E146" s="127"/>
      <c r="F146" s="111" t="s">
        <v>202</v>
      </c>
      <c r="G146" s="122"/>
      <c r="H146" s="122"/>
      <c r="I146" s="123" t="s">
        <v>417</v>
      </c>
      <c r="J146" s="19"/>
      <c r="K146" s="67" t="s">
        <v>418</v>
      </c>
      <c r="L146" s="135" t="s">
        <v>419</v>
      </c>
      <c r="O146" s="19"/>
      <c r="P146" s="19"/>
      <c r="Q146" s="19"/>
      <c r="R146" s="19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</row>
    <row r="147" spans="1:139" ht="17.25" customHeight="1" x14ac:dyDescent="0.2">
      <c r="A147" s="103" t="s">
        <v>420</v>
      </c>
      <c r="B147" s="103"/>
      <c r="C147" s="103"/>
      <c r="D147" s="103"/>
      <c r="E147" s="103"/>
      <c r="F147" s="103"/>
      <c r="G147" s="515"/>
      <c r="H147" s="515"/>
      <c r="I147" s="103"/>
      <c r="J147" s="103"/>
      <c r="K147" s="103"/>
      <c r="L147" s="103"/>
      <c r="M147" s="121"/>
      <c r="N147" s="121"/>
      <c r="O147" s="19"/>
    </row>
    <row r="148" spans="1:139" ht="12.75" customHeight="1" x14ac:dyDescent="0.15">
      <c r="A148" s="104" t="s">
        <v>421</v>
      </c>
      <c r="B148" s="505">
        <f t="shared" ref="B148:B157" si="15">IF(Ind_PSA=0,D148,C148)</f>
        <v>17</v>
      </c>
      <c r="C148" s="509">
        <f ca="1">GAMMAINV(RAND(),D148^2/E148^2,E148^2/D148)</f>
        <v>23.21439900201236</v>
      </c>
      <c r="D148" s="509">
        <v>17</v>
      </c>
      <c r="E148" s="509">
        <f>perc_SE_societal*D148</f>
        <v>5.0999999999999996</v>
      </c>
      <c r="F148" s="111" t="s">
        <v>323</v>
      </c>
      <c r="G148" s="122">
        <v>5.0999999999999996</v>
      </c>
      <c r="H148" s="122">
        <f>E148^2/D148</f>
        <v>1.5299999999999998</v>
      </c>
      <c r="I148" s="123" t="s">
        <v>422</v>
      </c>
      <c r="J148" s="19"/>
      <c r="K148" s="19" t="s">
        <v>423</v>
      </c>
      <c r="L148" s="124" t="s">
        <v>355</v>
      </c>
      <c r="M148" s="121"/>
      <c r="N148" s="121"/>
      <c r="O148" s="19"/>
    </row>
    <row r="149" spans="1:139" s="121" customFormat="1" ht="12" customHeight="1" x14ac:dyDescent="0.15">
      <c r="A149" s="104" t="s">
        <v>424</v>
      </c>
      <c r="B149" s="504">
        <f t="shared" si="15"/>
        <v>5</v>
      </c>
      <c r="C149" s="507">
        <f ca="1">GAMMAINV(RAND(),D149^2/E149^2,E149^2/D149)</f>
        <v>1.9904462592466221</v>
      </c>
      <c r="D149" s="507">
        <v>5</v>
      </c>
      <c r="E149" s="122">
        <v>5</v>
      </c>
      <c r="F149" s="111" t="s">
        <v>323</v>
      </c>
      <c r="G149" s="122">
        <v>5</v>
      </c>
      <c r="H149" s="122">
        <f>E149^2/D149</f>
        <v>5</v>
      </c>
      <c r="I149" s="123" t="s">
        <v>425</v>
      </c>
      <c r="J149" s="19"/>
      <c r="K149" s="19" t="s">
        <v>311</v>
      </c>
      <c r="L149" s="124"/>
      <c r="O149" s="19"/>
      <c r="P149" s="19"/>
      <c r="Q149" s="19"/>
      <c r="R149" s="19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</row>
    <row r="150" spans="1:139" s="121" customFormat="1" ht="12.75" customHeight="1" x14ac:dyDescent="0.15">
      <c r="A150" s="104" t="s">
        <v>426</v>
      </c>
      <c r="B150" s="504">
        <f t="shared" si="15"/>
        <v>18</v>
      </c>
      <c r="C150" s="507">
        <f ca="1">GAMMAINV(RAND(),D150^2/E150^2,E150^2/D150)</f>
        <v>12.610996209221744</v>
      </c>
      <c r="D150" s="507">
        <v>18</v>
      </c>
      <c r="E150" s="122">
        <v>9</v>
      </c>
      <c r="F150" s="111" t="s">
        <v>323</v>
      </c>
      <c r="G150" s="122">
        <v>9</v>
      </c>
      <c r="H150" s="122">
        <f>E150^2/D150</f>
        <v>4.5</v>
      </c>
      <c r="I150" s="123" t="s">
        <v>427</v>
      </c>
      <c r="J150" s="19"/>
      <c r="K150" s="19" t="s">
        <v>311</v>
      </c>
      <c r="L150" s="124"/>
      <c r="O150" s="19"/>
      <c r="P150" s="19"/>
      <c r="Q150" s="19"/>
      <c r="R150" s="19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</row>
    <row r="151" spans="1:139" s="121" customFormat="1" ht="12.75" customHeight="1" x14ac:dyDescent="0.15">
      <c r="A151" s="104" t="s">
        <v>428</v>
      </c>
      <c r="B151" s="505">
        <f t="shared" si="15"/>
        <v>39.21</v>
      </c>
      <c r="C151" s="509">
        <f ca="1">GAMMAINV(RAND(),D151^2/E151^2,E151^2/D151)</f>
        <v>43.307902271548997</v>
      </c>
      <c r="D151" s="509">
        <v>39.21</v>
      </c>
      <c r="E151" s="509">
        <f>perc_SE_societal*D151</f>
        <v>11.763</v>
      </c>
      <c r="F151" s="111" t="s">
        <v>323</v>
      </c>
      <c r="G151" s="122">
        <v>11.763</v>
      </c>
      <c r="H151" s="122">
        <f>E151^2/D151</f>
        <v>3.5288999999999997</v>
      </c>
      <c r="I151" s="123" t="s">
        <v>429</v>
      </c>
      <c r="J151" s="19"/>
      <c r="K151" s="19" t="s">
        <v>430</v>
      </c>
      <c r="L151" s="124" t="s">
        <v>355</v>
      </c>
      <c r="O151" s="19"/>
      <c r="P151" s="19"/>
      <c r="Q151" s="19"/>
      <c r="R151" s="19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</row>
    <row r="152" spans="1:139" s="121" customFormat="1" ht="12.75" customHeight="1" x14ac:dyDescent="0.15">
      <c r="A152" s="104" t="s">
        <v>431</v>
      </c>
      <c r="B152" s="504">
        <f t="shared" si="15"/>
        <v>85</v>
      </c>
      <c r="C152" s="506">
        <f>D152</f>
        <v>85</v>
      </c>
      <c r="D152" s="507">
        <v>85</v>
      </c>
      <c r="E152" s="127"/>
      <c r="F152" s="111" t="s">
        <v>202</v>
      </c>
      <c r="G152" s="122"/>
      <c r="H152" s="122"/>
      <c r="I152" s="123" t="s">
        <v>432</v>
      </c>
      <c r="J152" s="19"/>
      <c r="K152" s="67" t="s">
        <v>433</v>
      </c>
      <c r="L152" s="135"/>
      <c r="O152" s="19"/>
      <c r="P152" s="19"/>
      <c r="Q152" s="19"/>
      <c r="R152" s="19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</row>
    <row r="153" spans="1:139" ht="12.75" customHeight="1" x14ac:dyDescent="0.15">
      <c r="A153" s="104" t="s">
        <v>434</v>
      </c>
      <c r="B153" s="504">
        <f t="shared" si="15"/>
        <v>8</v>
      </c>
      <c r="C153" s="506">
        <f>D153</f>
        <v>8</v>
      </c>
      <c r="D153" s="507">
        <v>8</v>
      </c>
      <c r="E153" s="127"/>
      <c r="F153" s="111" t="s">
        <v>202</v>
      </c>
      <c r="G153" s="122"/>
      <c r="H153" s="122"/>
      <c r="I153" s="123" t="s">
        <v>435</v>
      </c>
      <c r="J153" s="19"/>
      <c r="K153" s="67" t="s">
        <v>436</v>
      </c>
      <c r="L153" s="135"/>
      <c r="M153" s="121"/>
      <c r="N153" s="121"/>
      <c r="O153" s="19"/>
    </row>
    <row r="154" spans="1:139" ht="12.75" customHeight="1" x14ac:dyDescent="0.15">
      <c r="A154" s="104" t="s">
        <v>437</v>
      </c>
      <c r="B154" s="105">
        <f t="shared" si="15"/>
        <v>0.45</v>
      </c>
      <c r="C154" s="125">
        <f ca="1">_xlfn.BETA.INV(RAND(),D154*((D154*(1-D154)/E154^2)-1),(1-D154)*((D154*(1-D154)/E154^2)-1))</f>
        <v>0.53236193268501752</v>
      </c>
      <c r="D154" s="126">
        <v>0.45</v>
      </c>
      <c r="E154" s="126">
        <v>0.1</v>
      </c>
      <c r="F154" s="111" t="s">
        <v>196</v>
      </c>
      <c r="G154" s="122">
        <v>0.1</v>
      </c>
      <c r="H154" s="122">
        <f>(1-D154)*((D154*(1-D154)/E154^2)-1)</f>
        <v>13.062499999999998</v>
      </c>
      <c r="I154" s="123" t="s">
        <v>438</v>
      </c>
      <c r="J154" s="19"/>
      <c r="K154" s="19" t="s">
        <v>439</v>
      </c>
      <c r="L154" s="124"/>
      <c r="M154" s="121"/>
      <c r="N154" s="121"/>
      <c r="O154" s="19"/>
    </row>
    <row r="155" spans="1:139" s="121" customFormat="1" ht="12.75" customHeight="1" x14ac:dyDescent="0.15">
      <c r="A155" s="104" t="s">
        <v>440</v>
      </c>
      <c r="B155" s="505">
        <f t="shared" si="15"/>
        <v>17</v>
      </c>
      <c r="C155" s="509">
        <f ca="1">GAMMAINV(RAND(),D155^2/E155^2,E155^2/D155)</f>
        <v>17.327758328229606</v>
      </c>
      <c r="D155" s="509">
        <v>17</v>
      </c>
      <c r="E155" s="509">
        <f>perc_SE_societal*D155</f>
        <v>5.0999999999999996</v>
      </c>
      <c r="F155" s="111" t="s">
        <v>323</v>
      </c>
      <c r="G155" s="122">
        <v>5.0999999999999996</v>
      </c>
      <c r="H155" s="122">
        <f>E155^2/D155</f>
        <v>1.5299999999999998</v>
      </c>
      <c r="I155" s="123" t="s">
        <v>441</v>
      </c>
      <c r="J155" s="19"/>
      <c r="K155" s="19" t="s">
        <v>442</v>
      </c>
      <c r="L155" s="124" t="s">
        <v>355</v>
      </c>
      <c r="O155" s="19"/>
      <c r="P155" s="19"/>
      <c r="Q155" s="19"/>
      <c r="R155" s="19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  <c r="AO155" s="67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</row>
    <row r="156" spans="1:139" s="121" customFormat="1" ht="12.75" customHeight="1" x14ac:dyDescent="0.15">
      <c r="A156" s="104" t="s">
        <v>443</v>
      </c>
      <c r="B156" s="504">
        <f t="shared" si="15"/>
        <v>2.5</v>
      </c>
      <c r="C156" s="507">
        <f ca="1">GAMMAINV(RAND(),D156^2/E156^2,E156^2/D156)</f>
        <v>2.9054913794422106</v>
      </c>
      <c r="D156" s="507">
        <v>2.5</v>
      </c>
      <c r="E156" s="122">
        <f>perc_SE_societal*D156</f>
        <v>0.75</v>
      </c>
      <c r="F156" s="111" t="s">
        <v>323</v>
      </c>
      <c r="G156" s="122">
        <v>0.75</v>
      </c>
      <c r="H156" s="122">
        <f>E156^2/D156</f>
        <v>0.22500000000000001</v>
      </c>
      <c r="I156" s="123" t="s">
        <v>444</v>
      </c>
      <c r="J156" s="19"/>
      <c r="K156" s="19" t="s">
        <v>442</v>
      </c>
      <c r="L156" s="124"/>
      <c r="O156" s="19"/>
      <c r="P156" s="19"/>
      <c r="Q156" s="19"/>
      <c r="R156" s="19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7"/>
      <c r="AN156" s="67"/>
      <c r="AO156" s="67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</row>
    <row r="157" spans="1:139" s="121" customFormat="1" ht="12.75" customHeight="1" x14ac:dyDescent="0.15">
      <c r="A157" s="104" t="s">
        <v>445</v>
      </c>
      <c r="B157" s="505">
        <f t="shared" si="15"/>
        <v>6500</v>
      </c>
      <c r="C157" s="509">
        <f ca="1">GAMMAINV(RAND(),D157^2/E157^2,E157^2/D157)</f>
        <v>4767.0502863719603</v>
      </c>
      <c r="D157" s="509">
        <v>6500</v>
      </c>
      <c r="E157" s="509">
        <v>1625</v>
      </c>
      <c r="F157" s="111" t="s">
        <v>323</v>
      </c>
      <c r="G157" s="122">
        <v>1625</v>
      </c>
      <c r="H157" s="122">
        <f>E157^2/D157</f>
        <v>406.25</v>
      </c>
      <c r="I157" s="123" t="s">
        <v>446</v>
      </c>
      <c r="J157" s="19"/>
      <c r="K157" s="19" t="s">
        <v>447</v>
      </c>
      <c r="L157" s="124"/>
      <c r="O157" s="19"/>
      <c r="P157" s="19"/>
      <c r="Q157" s="19"/>
      <c r="R157" s="19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  <c r="AN157" s="67"/>
      <c r="AO157" s="67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</row>
    <row r="158" spans="1:139" s="121" customFormat="1" ht="12.75" customHeight="1" x14ac:dyDescent="0.15">
      <c r="J158" s="19"/>
      <c r="K158" s="19"/>
      <c r="L158" s="19"/>
      <c r="O158" s="19"/>
      <c r="P158" s="19"/>
      <c r="Q158" s="19"/>
      <c r="R158" s="19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</row>
    <row r="162" spans="1:139" s="121" customFormat="1" ht="12.75" customHeight="1" x14ac:dyDescent="0.15">
      <c r="O162" s="19"/>
      <c r="P162" s="19"/>
      <c r="Q162" s="19"/>
      <c r="R162" s="19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</row>
    <row r="163" spans="1:139" s="121" customFormat="1" ht="12.75" customHeight="1" x14ac:dyDescent="0.15">
      <c r="O163" s="19"/>
      <c r="P163" s="19"/>
      <c r="Q163" s="19"/>
      <c r="R163" s="19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</row>
    <row r="164" spans="1:139" s="121" customFormat="1" ht="12.75" customHeight="1" x14ac:dyDescent="0.15">
      <c r="O164" s="19"/>
      <c r="P164" s="19"/>
      <c r="Q164" s="19"/>
      <c r="R164" s="19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</row>
    <row r="165" spans="1:139" s="121" customFormat="1" ht="12.75" customHeight="1" x14ac:dyDescent="0.15">
      <c r="O165" s="19"/>
      <c r="P165" s="19"/>
      <c r="Q165" s="19"/>
      <c r="R165" s="19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</row>
    <row r="166" spans="1:139" s="121" customFormat="1" ht="12.75" customHeight="1" x14ac:dyDescent="0.15">
      <c r="O166" s="19"/>
      <c r="P166" s="19"/>
      <c r="Q166" s="19"/>
      <c r="R166" s="19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  <c r="AO166" s="67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</row>
    <row r="167" spans="1:139" s="121" customFormat="1" ht="12.75" customHeight="1" x14ac:dyDescent="0.15">
      <c r="O167" s="19"/>
      <c r="P167" s="19"/>
      <c r="Q167" s="19"/>
      <c r="R167" s="19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  <c r="AN167" s="67"/>
      <c r="AO167" s="67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</row>
    <row r="168" spans="1:139" s="121" customFormat="1" ht="12.75" customHeight="1" x14ac:dyDescent="0.15">
      <c r="O168" s="19"/>
      <c r="P168" s="19"/>
      <c r="Q168" s="19"/>
      <c r="R168" s="19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</row>
    <row r="169" spans="1:139" s="121" customFormat="1" ht="12.75" customHeight="1" x14ac:dyDescent="0.15">
      <c r="O169" s="19"/>
      <c r="P169" s="19"/>
      <c r="Q169" s="19"/>
      <c r="R169" s="19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67"/>
      <c r="AO169" s="67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</row>
    <row r="170" spans="1:139" ht="12.75" customHeight="1" x14ac:dyDescent="0.15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9"/>
    </row>
    <row r="171" spans="1:139" ht="12.75" customHeight="1" x14ac:dyDescent="0.15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9"/>
    </row>
    <row r="172" spans="1:139" ht="12.75" customHeight="1" x14ac:dyDescent="0.15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9"/>
    </row>
    <row r="173" spans="1:139" ht="12.75" customHeight="1" x14ac:dyDescent="0.15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9"/>
    </row>
    <row r="174" spans="1:139" ht="12.75" customHeight="1" x14ac:dyDescent="0.15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9"/>
    </row>
    <row r="175" spans="1:139" ht="12.75" customHeight="1" x14ac:dyDescent="0.15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9"/>
    </row>
    <row r="176" spans="1:139" ht="12.75" customHeight="1" x14ac:dyDescent="0.15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9"/>
    </row>
    <row r="177" spans="1:15" ht="12.75" customHeight="1" x14ac:dyDescent="0.15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9"/>
    </row>
    <row r="178" spans="1:15" ht="12.75" customHeight="1" x14ac:dyDescent="0.15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9"/>
    </row>
    <row r="179" spans="1:15" ht="12.75" customHeight="1" x14ac:dyDescent="0.15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9"/>
    </row>
    <row r="180" spans="1:15" ht="12.75" customHeight="1" x14ac:dyDescent="0.15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9"/>
    </row>
    <row r="181" spans="1:15" ht="12.75" customHeight="1" x14ac:dyDescent="0.15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9"/>
    </row>
    <row r="182" spans="1:15" ht="12.75" customHeight="1" x14ac:dyDescent="0.15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9"/>
    </row>
    <row r="183" spans="1:15" ht="12.75" customHeight="1" x14ac:dyDescent="0.15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9"/>
    </row>
    <row r="184" spans="1:15" ht="12.75" customHeight="1" x14ac:dyDescent="0.15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9"/>
    </row>
    <row r="185" spans="1:15" ht="12.75" customHeight="1" x14ac:dyDescent="0.15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9"/>
    </row>
    <row r="186" spans="1:15" ht="12.75" customHeight="1" x14ac:dyDescent="0.15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9"/>
    </row>
    <row r="187" spans="1:15" ht="12.75" customHeight="1" x14ac:dyDescent="0.15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9"/>
    </row>
    <row r="188" spans="1:15" ht="12.75" customHeight="1" x14ac:dyDescent="0.15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9"/>
    </row>
    <row r="189" spans="1:15" ht="12.75" customHeight="1" x14ac:dyDescent="0.15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9"/>
    </row>
    <row r="190" spans="1:15" ht="12.75" customHeight="1" x14ac:dyDescent="0.15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9"/>
    </row>
    <row r="191" spans="1:15" ht="12.75" customHeight="1" x14ac:dyDescent="0.15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9"/>
    </row>
    <row r="192" spans="1:15" ht="12.75" customHeight="1" x14ac:dyDescent="0.15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9"/>
    </row>
    <row r="193" spans="1:15" ht="12.75" customHeight="1" x14ac:dyDescent="0.15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9"/>
    </row>
    <row r="194" spans="1:15" ht="12.75" customHeight="1" x14ac:dyDescent="0.15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9"/>
    </row>
    <row r="195" spans="1:15" ht="12.75" customHeight="1" x14ac:dyDescent="0.15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9"/>
    </row>
    <row r="196" spans="1:15" ht="12.75" customHeight="1" x14ac:dyDescent="0.15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9"/>
    </row>
    <row r="197" spans="1:15" ht="12.75" customHeight="1" x14ac:dyDescent="0.15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9"/>
    </row>
    <row r="198" spans="1:15" ht="12.75" customHeight="1" x14ac:dyDescent="0.15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9"/>
    </row>
    <row r="199" spans="1:15" ht="12.75" customHeight="1" x14ac:dyDescent="0.15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9"/>
    </row>
    <row r="200" spans="1:15" ht="12.75" customHeight="1" x14ac:dyDescent="0.15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9"/>
    </row>
    <row r="201" spans="1:15" ht="12.75" customHeight="1" x14ac:dyDescent="0.15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9"/>
    </row>
    <row r="202" spans="1:15" ht="12.75" customHeight="1" x14ac:dyDescent="0.15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9"/>
    </row>
    <row r="203" spans="1:15" ht="12.75" customHeight="1" x14ac:dyDescent="0.15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9"/>
    </row>
    <row r="204" spans="1:15" ht="12.75" customHeight="1" x14ac:dyDescent="0.15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9"/>
    </row>
    <row r="205" spans="1:15" ht="12.75" customHeight="1" x14ac:dyDescent="0.15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9"/>
    </row>
    <row r="206" spans="1:15" ht="12.75" customHeight="1" x14ac:dyDescent="0.15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9"/>
    </row>
    <row r="207" spans="1:15" ht="12.75" customHeight="1" x14ac:dyDescent="0.15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9"/>
    </row>
    <row r="208" spans="1:15" ht="12.75" customHeight="1" x14ac:dyDescent="0.15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9"/>
    </row>
    <row r="209" spans="1:15" ht="12.75" customHeight="1" x14ac:dyDescent="0.15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9"/>
    </row>
    <row r="210" spans="1:15" ht="12.75" customHeight="1" x14ac:dyDescent="0.15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9"/>
    </row>
    <row r="211" spans="1:15" ht="12.75" customHeight="1" x14ac:dyDescent="0.15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9"/>
    </row>
    <row r="212" spans="1:15" ht="12.75" customHeight="1" x14ac:dyDescent="0.15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9"/>
    </row>
    <row r="213" spans="1:15" ht="12.75" customHeight="1" x14ac:dyDescent="0.15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9"/>
    </row>
    <row r="214" spans="1:15" ht="12.75" customHeight="1" x14ac:dyDescent="0.15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9"/>
    </row>
    <row r="215" spans="1:15" ht="12.75" customHeight="1" x14ac:dyDescent="0.15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9"/>
    </row>
    <row r="216" spans="1:15" ht="12.75" customHeight="1" x14ac:dyDescent="0.15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9"/>
    </row>
    <row r="217" spans="1:15" ht="12.75" customHeight="1" x14ac:dyDescent="0.15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9"/>
    </row>
    <row r="218" spans="1:15" ht="12.75" customHeight="1" x14ac:dyDescent="0.15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9"/>
    </row>
    <row r="219" spans="1:15" ht="12.75" customHeight="1" x14ac:dyDescent="0.15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9"/>
    </row>
    <row r="220" spans="1:15" ht="12.75" customHeight="1" x14ac:dyDescent="0.15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9"/>
    </row>
    <row r="221" spans="1:15" ht="12.75" customHeight="1" x14ac:dyDescent="0.15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9"/>
    </row>
    <row r="222" spans="1:15" ht="12.75" customHeight="1" x14ac:dyDescent="0.15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9"/>
    </row>
    <row r="223" spans="1:15" ht="12.75" customHeight="1" x14ac:dyDescent="0.15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9"/>
    </row>
    <row r="224" spans="1:15" ht="12.75" customHeight="1" x14ac:dyDescent="0.15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9"/>
    </row>
    <row r="225" spans="1:15" ht="12.75" customHeight="1" x14ac:dyDescent="0.15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9"/>
    </row>
    <row r="226" spans="1:15" ht="12.75" customHeight="1" x14ac:dyDescent="0.15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9"/>
    </row>
    <row r="227" spans="1:15" ht="12.75" customHeight="1" x14ac:dyDescent="0.15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9"/>
    </row>
    <row r="228" spans="1:15" ht="12.75" customHeight="1" x14ac:dyDescent="0.15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9"/>
    </row>
    <row r="229" spans="1:15" ht="12.75" customHeight="1" x14ac:dyDescent="0.15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9"/>
    </row>
    <row r="230" spans="1:15" ht="12.75" customHeight="1" x14ac:dyDescent="0.15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9"/>
    </row>
    <row r="231" spans="1:15" ht="12.75" customHeight="1" x14ac:dyDescent="0.15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9"/>
    </row>
    <row r="232" spans="1:15" ht="12.75" customHeight="1" x14ac:dyDescent="0.15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9"/>
    </row>
    <row r="233" spans="1:15" ht="12.75" customHeight="1" x14ac:dyDescent="0.15">
      <c r="A233" s="121"/>
      <c r="B233" s="121"/>
      <c r="C233" s="121"/>
      <c r="D233" s="121"/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9"/>
    </row>
    <row r="234" spans="1:15" ht="12.75" customHeight="1" x14ac:dyDescent="0.15">
      <c r="A234" s="121"/>
      <c r="B234" s="121"/>
      <c r="C234" s="121"/>
      <c r="D234" s="121"/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9"/>
    </row>
    <row r="235" spans="1:15" ht="12.75" customHeight="1" x14ac:dyDescent="0.15">
      <c r="A235" s="121"/>
      <c r="B235" s="121"/>
      <c r="C235" s="121"/>
      <c r="D235" s="121"/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9"/>
    </row>
    <row r="236" spans="1:15" ht="12.75" customHeight="1" x14ac:dyDescent="0.15">
      <c r="A236" s="121"/>
      <c r="B236" s="121"/>
      <c r="C236" s="121"/>
      <c r="D236" s="121"/>
      <c r="E236" s="121"/>
      <c r="F236" s="121"/>
      <c r="G236" s="121"/>
      <c r="H236" s="121"/>
      <c r="I236" s="121"/>
      <c r="J236" s="121"/>
      <c r="K236" s="121"/>
      <c r="L236" s="121"/>
      <c r="M236" s="121"/>
      <c r="N236" s="121"/>
      <c r="O236" s="19"/>
    </row>
    <row r="237" spans="1:15" ht="12.75" customHeight="1" x14ac:dyDescent="0.15">
      <c r="A237" s="121"/>
      <c r="B237" s="121"/>
      <c r="C237" s="121"/>
      <c r="D237" s="121"/>
      <c r="E237" s="121"/>
      <c r="F237" s="121"/>
      <c r="G237" s="121"/>
      <c r="H237" s="121"/>
      <c r="I237" s="121"/>
      <c r="J237" s="121"/>
      <c r="K237" s="121"/>
      <c r="L237" s="121"/>
      <c r="M237" s="121"/>
      <c r="N237" s="121"/>
      <c r="O237" s="19"/>
    </row>
    <row r="238" spans="1:15" ht="12.75" customHeight="1" x14ac:dyDescent="0.15">
      <c r="A238" s="121"/>
      <c r="B238" s="121"/>
      <c r="C238" s="121"/>
      <c r="D238" s="121"/>
      <c r="E238" s="121"/>
      <c r="F238" s="121"/>
      <c r="G238" s="121"/>
      <c r="H238" s="121"/>
      <c r="I238" s="121"/>
      <c r="J238" s="121"/>
      <c r="K238" s="121"/>
      <c r="L238" s="121"/>
      <c r="M238" s="121"/>
      <c r="N238" s="121"/>
      <c r="O238" s="19"/>
    </row>
    <row r="239" spans="1:15" ht="12.75" customHeight="1" x14ac:dyDescent="0.15">
      <c r="A239" s="121"/>
      <c r="B239" s="121"/>
      <c r="C239" s="121"/>
      <c r="D239" s="121"/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9"/>
    </row>
    <row r="240" spans="1:15" ht="12.75" customHeight="1" x14ac:dyDescent="0.15">
      <c r="A240" s="121"/>
      <c r="B240" s="121"/>
      <c r="C240" s="121"/>
      <c r="D240" s="121"/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9"/>
    </row>
    <row r="241" spans="1:15" ht="12.75" customHeight="1" x14ac:dyDescent="0.15">
      <c r="A241" s="121"/>
      <c r="B241" s="121"/>
      <c r="C241" s="121"/>
      <c r="D241" s="121"/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9"/>
    </row>
    <row r="242" spans="1:15" ht="12.75" customHeight="1" x14ac:dyDescent="0.15">
      <c r="A242" s="121"/>
      <c r="B242" s="121"/>
      <c r="C242" s="121"/>
      <c r="D242" s="121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9"/>
    </row>
    <row r="243" spans="1:15" ht="12.75" customHeight="1" x14ac:dyDescent="0.15">
      <c r="A243" s="121"/>
      <c r="B243" s="121"/>
      <c r="C243" s="121"/>
      <c r="D243" s="121"/>
      <c r="E243" s="121"/>
      <c r="F243" s="121"/>
      <c r="G243" s="121"/>
      <c r="H243" s="121"/>
      <c r="I243" s="121"/>
      <c r="J243" s="121"/>
      <c r="K243" s="121"/>
      <c r="L243" s="121"/>
      <c r="M243" s="121"/>
      <c r="N243" s="121"/>
      <c r="O243" s="19"/>
    </row>
    <row r="244" spans="1:15" ht="12.75" customHeight="1" x14ac:dyDescent="0.15">
      <c r="A244" s="121"/>
      <c r="B244" s="121"/>
      <c r="C244" s="121"/>
      <c r="D244" s="121"/>
      <c r="E244" s="121"/>
      <c r="F244" s="121"/>
      <c r="G244" s="121"/>
      <c r="H244" s="121"/>
      <c r="I244" s="121"/>
      <c r="J244" s="121"/>
      <c r="K244" s="121"/>
      <c r="L244" s="121"/>
      <c r="M244" s="121"/>
      <c r="N244" s="121"/>
      <c r="O244" s="19"/>
    </row>
    <row r="245" spans="1:15" ht="12.75" customHeight="1" x14ac:dyDescent="0.15">
      <c r="A245" s="121"/>
      <c r="B245" s="121"/>
      <c r="C245" s="121"/>
      <c r="D245" s="121"/>
      <c r="E245" s="121"/>
      <c r="F245" s="121"/>
      <c r="G245" s="121"/>
      <c r="H245" s="121"/>
      <c r="I245" s="121"/>
      <c r="J245" s="121"/>
      <c r="K245" s="121"/>
      <c r="L245" s="121"/>
      <c r="M245" s="121"/>
      <c r="N245" s="121"/>
      <c r="O245" s="19"/>
    </row>
    <row r="246" spans="1:15" ht="12.75" customHeight="1" x14ac:dyDescent="0.15">
      <c r="A246" s="121"/>
      <c r="B246" s="121"/>
      <c r="C246" s="121"/>
      <c r="D246" s="121"/>
      <c r="E246" s="121"/>
      <c r="F246" s="121"/>
      <c r="G246" s="121"/>
      <c r="H246" s="121"/>
      <c r="I246" s="121"/>
      <c r="J246" s="121"/>
      <c r="K246" s="121"/>
      <c r="L246" s="121"/>
      <c r="M246" s="121"/>
      <c r="N246" s="121"/>
      <c r="O246" s="19"/>
    </row>
    <row r="247" spans="1:15" ht="12.75" customHeight="1" x14ac:dyDescent="0.15">
      <c r="A247" s="121"/>
      <c r="B247" s="121"/>
      <c r="C247" s="121"/>
      <c r="D247" s="121"/>
      <c r="E247" s="121"/>
      <c r="F247" s="121"/>
      <c r="G247" s="121"/>
      <c r="H247" s="121"/>
      <c r="I247" s="121"/>
      <c r="J247" s="121"/>
      <c r="K247" s="121"/>
      <c r="L247" s="121"/>
      <c r="M247" s="121"/>
      <c r="N247" s="121"/>
      <c r="O247" s="19"/>
    </row>
    <row r="248" spans="1:15" ht="12.75" customHeight="1" x14ac:dyDescent="0.15">
      <c r="A248" s="121"/>
      <c r="B248" s="121"/>
      <c r="C248" s="121"/>
      <c r="D248" s="121"/>
      <c r="E248" s="121"/>
      <c r="F248" s="121"/>
      <c r="G248" s="121"/>
      <c r="H248" s="121"/>
      <c r="I248" s="121"/>
      <c r="J248" s="121"/>
      <c r="K248" s="121"/>
      <c r="L248" s="121"/>
      <c r="M248" s="121"/>
      <c r="N248" s="121"/>
      <c r="O248" s="19"/>
    </row>
    <row r="249" spans="1:15" ht="12.75" customHeight="1" x14ac:dyDescent="0.15">
      <c r="A249" s="121"/>
      <c r="B249" s="121"/>
      <c r="C249" s="121"/>
      <c r="D249" s="121"/>
      <c r="E249" s="121"/>
      <c r="F249" s="121"/>
      <c r="G249" s="121"/>
      <c r="H249" s="121"/>
      <c r="I249" s="121"/>
      <c r="J249" s="121"/>
      <c r="K249" s="121"/>
      <c r="L249" s="121"/>
      <c r="M249" s="121"/>
      <c r="N249" s="121"/>
      <c r="O249" s="19"/>
    </row>
    <row r="250" spans="1:15" ht="12.75" customHeight="1" x14ac:dyDescent="0.15">
      <c r="A250" s="121"/>
      <c r="B250" s="121"/>
      <c r="C250" s="121"/>
      <c r="D250" s="121"/>
      <c r="E250" s="121"/>
      <c r="F250" s="121"/>
      <c r="G250" s="121"/>
      <c r="H250" s="121"/>
      <c r="I250" s="121"/>
      <c r="J250" s="121"/>
      <c r="K250" s="121"/>
      <c r="L250" s="121"/>
      <c r="M250" s="121"/>
      <c r="N250" s="121"/>
      <c r="O250" s="19"/>
    </row>
    <row r="251" spans="1:15" ht="12.75" customHeight="1" x14ac:dyDescent="0.15">
      <c r="A251" s="121"/>
      <c r="B251" s="121"/>
      <c r="C251" s="121"/>
      <c r="D251" s="121"/>
      <c r="E251" s="121"/>
      <c r="F251" s="121"/>
      <c r="G251" s="121"/>
      <c r="H251" s="121"/>
      <c r="I251" s="121"/>
      <c r="J251" s="121"/>
      <c r="K251" s="121"/>
      <c r="L251" s="121"/>
      <c r="M251" s="121"/>
      <c r="N251" s="121"/>
      <c r="O251" s="19"/>
    </row>
    <row r="252" spans="1:15" ht="12.75" customHeight="1" x14ac:dyDescent="0.15">
      <c r="A252" s="121"/>
      <c r="B252" s="121"/>
      <c r="C252" s="121"/>
      <c r="D252" s="121"/>
      <c r="E252" s="121"/>
      <c r="F252" s="121"/>
      <c r="G252" s="121"/>
      <c r="H252" s="121"/>
      <c r="I252" s="121"/>
      <c r="J252" s="121"/>
      <c r="K252" s="121"/>
      <c r="L252" s="121"/>
      <c r="M252" s="121"/>
      <c r="N252" s="121"/>
      <c r="O252" s="19"/>
    </row>
    <row r="253" spans="1:15" ht="12.75" customHeight="1" x14ac:dyDescent="0.15">
      <c r="A253" s="121"/>
      <c r="B253" s="121"/>
      <c r="C253" s="121"/>
      <c r="D253" s="121"/>
      <c r="E253" s="121"/>
      <c r="F253" s="121"/>
      <c r="G253" s="121"/>
      <c r="H253" s="121"/>
      <c r="I253" s="121"/>
      <c r="J253" s="121"/>
      <c r="K253" s="121"/>
      <c r="L253" s="121"/>
      <c r="M253" s="121"/>
      <c r="N253" s="121"/>
      <c r="O253" s="19"/>
    </row>
    <row r="254" spans="1:15" ht="12.75" customHeight="1" x14ac:dyDescent="0.15">
      <c r="A254" s="121"/>
      <c r="B254" s="121"/>
      <c r="C254" s="121"/>
      <c r="D254" s="121"/>
      <c r="E254" s="121"/>
      <c r="F254" s="121"/>
      <c r="G254" s="121"/>
      <c r="H254" s="121"/>
      <c r="I254" s="121"/>
      <c r="J254" s="121"/>
      <c r="K254" s="121"/>
      <c r="L254" s="121"/>
      <c r="M254" s="121"/>
      <c r="N254" s="121"/>
      <c r="O254" s="19"/>
    </row>
    <row r="255" spans="1:15" ht="12.75" customHeight="1" x14ac:dyDescent="0.15">
      <c r="A255" s="121"/>
      <c r="B255" s="121"/>
      <c r="C255" s="121"/>
      <c r="D255" s="121"/>
      <c r="E255" s="121"/>
      <c r="F255" s="121"/>
      <c r="G255" s="121"/>
      <c r="H255" s="121"/>
      <c r="I255" s="121"/>
      <c r="J255" s="121"/>
      <c r="K255" s="121"/>
      <c r="L255" s="121"/>
      <c r="M255" s="121"/>
      <c r="N255" s="121"/>
      <c r="O255" s="19"/>
    </row>
    <row r="256" spans="1:15" ht="12.75" customHeight="1" x14ac:dyDescent="0.15">
      <c r="A256" s="121"/>
      <c r="B256" s="121"/>
      <c r="C256" s="121"/>
      <c r="D256" s="121"/>
      <c r="E256" s="121"/>
      <c r="F256" s="121"/>
      <c r="G256" s="121"/>
      <c r="H256" s="121"/>
      <c r="I256" s="121"/>
      <c r="J256" s="121"/>
      <c r="K256" s="121"/>
      <c r="L256" s="121"/>
      <c r="M256" s="121"/>
      <c r="N256" s="121"/>
      <c r="O256" s="19"/>
    </row>
    <row r="257" spans="1:15" ht="12.75" customHeight="1" x14ac:dyDescent="0.15">
      <c r="A257" s="121"/>
      <c r="B257" s="121"/>
      <c r="C257" s="121"/>
      <c r="D257" s="121"/>
      <c r="E257" s="121"/>
      <c r="F257" s="121"/>
      <c r="G257" s="121"/>
      <c r="H257" s="121"/>
      <c r="I257" s="121"/>
      <c r="J257" s="121"/>
      <c r="K257" s="121"/>
      <c r="L257" s="121"/>
      <c r="M257" s="121"/>
      <c r="N257" s="121"/>
      <c r="O257" s="19"/>
    </row>
    <row r="258" spans="1:15" ht="12.75" customHeight="1" x14ac:dyDescent="0.15">
      <c r="A258" s="121"/>
      <c r="B258" s="121"/>
      <c r="C258" s="121"/>
      <c r="D258" s="121"/>
      <c r="E258" s="121"/>
      <c r="F258" s="121"/>
      <c r="G258" s="121"/>
      <c r="H258" s="121"/>
      <c r="I258" s="121"/>
      <c r="J258" s="121"/>
      <c r="K258" s="121"/>
      <c r="L258" s="121"/>
      <c r="M258" s="121"/>
      <c r="N258" s="121"/>
      <c r="O258" s="19"/>
    </row>
    <row r="259" spans="1:15" ht="12.75" customHeight="1" x14ac:dyDescent="0.15">
      <c r="A259" s="121"/>
      <c r="B259" s="121"/>
      <c r="C259" s="121"/>
      <c r="D259" s="121"/>
      <c r="E259" s="121"/>
      <c r="F259" s="121"/>
      <c r="G259" s="121"/>
      <c r="H259" s="121"/>
      <c r="I259" s="121"/>
      <c r="J259" s="121"/>
      <c r="K259" s="121"/>
      <c r="L259" s="121"/>
      <c r="M259" s="121"/>
      <c r="N259" s="121"/>
      <c r="O259" s="19"/>
    </row>
    <row r="260" spans="1:15" ht="12.75" customHeight="1" x14ac:dyDescent="0.15">
      <c r="A260" s="121"/>
      <c r="B260" s="121"/>
      <c r="C260" s="121"/>
      <c r="D260" s="121"/>
      <c r="E260" s="121"/>
      <c r="F260" s="121"/>
      <c r="G260" s="121"/>
      <c r="H260" s="121"/>
      <c r="I260" s="121"/>
      <c r="J260" s="121"/>
      <c r="K260" s="121"/>
      <c r="L260" s="121"/>
      <c r="M260" s="121"/>
      <c r="N260" s="121"/>
      <c r="O260" s="19"/>
    </row>
    <row r="261" spans="1:15" ht="12.75" customHeight="1" x14ac:dyDescent="0.15">
      <c r="A261" s="121"/>
      <c r="B261" s="121"/>
      <c r="C261" s="121"/>
      <c r="D261" s="121"/>
      <c r="E261" s="121"/>
      <c r="F261" s="121"/>
      <c r="G261" s="121"/>
      <c r="H261" s="121"/>
      <c r="I261" s="121"/>
      <c r="J261" s="121"/>
      <c r="K261" s="121"/>
      <c r="L261" s="121"/>
      <c r="M261" s="121"/>
      <c r="N261" s="121"/>
      <c r="O261" s="19"/>
    </row>
    <row r="262" spans="1:15" ht="12.75" customHeight="1" x14ac:dyDescent="0.15">
      <c r="A262" s="121"/>
      <c r="B262" s="121"/>
      <c r="C262" s="121"/>
      <c r="D262" s="121"/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  <c r="O262" s="19"/>
    </row>
    <row r="263" spans="1:15" ht="12.75" customHeight="1" x14ac:dyDescent="0.15">
      <c r="A263" s="121"/>
      <c r="B263" s="121"/>
      <c r="C263" s="121"/>
      <c r="D263" s="121"/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  <c r="O263" s="19"/>
    </row>
    <row r="264" spans="1:15" ht="12.75" customHeight="1" x14ac:dyDescent="0.15">
      <c r="A264" s="121"/>
      <c r="B264" s="121"/>
      <c r="C264" s="121"/>
      <c r="D264" s="121"/>
      <c r="E264" s="121"/>
      <c r="F264" s="121"/>
      <c r="G264" s="121"/>
      <c r="H264" s="121"/>
      <c r="I264" s="121"/>
      <c r="J264" s="121"/>
      <c r="K264" s="121"/>
      <c r="L264" s="121"/>
      <c r="M264" s="121"/>
      <c r="N264" s="121"/>
      <c r="O264" s="19"/>
    </row>
    <row r="265" spans="1:15" ht="12.75" customHeight="1" x14ac:dyDescent="0.15">
      <c r="A265" s="121"/>
      <c r="B265" s="121"/>
      <c r="C265" s="121"/>
      <c r="D265" s="121"/>
      <c r="E265" s="121"/>
      <c r="F265" s="121"/>
      <c r="G265" s="121"/>
      <c r="H265" s="121"/>
      <c r="I265" s="121"/>
      <c r="J265" s="121"/>
      <c r="K265" s="121"/>
      <c r="L265" s="121"/>
      <c r="M265" s="121"/>
      <c r="N265" s="121"/>
      <c r="O265" s="19"/>
    </row>
    <row r="266" spans="1:15" ht="12.75" customHeight="1" x14ac:dyDescent="0.15">
      <c r="A266" s="121"/>
      <c r="B266" s="121"/>
      <c r="C266" s="121"/>
      <c r="D266" s="121"/>
      <c r="E266" s="121"/>
      <c r="F266" s="121"/>
      <c r="G266" s="121"/>
      <c r="H266" s="121"/>
      <c r="I266" s="121"/>
      <c r="J266" s="121"/>
      <c r="K266" s="121"/>
      <c r="L266" s="121"/>
      <c r="M266" s="121"/>
      <c r="N266" s="121"/>
      <c r="O266" s="19"/>
    </row>
    <row r="267" spans="1:15" ht="12.75" customHeight="1" x14ac:dyDescent="0.15">
      <c r="A267" s="121"/>
      <c r="B267" s="121"/>
      <c r="C267" s="121"/>
      <c r="D267" s="121"/>
      <c r="E267" s="121"/>
      <c r="F267" s="121"/>
      <c r="G267" s="121"/>
      <c r="H267" s="121"/>
      <c r="I267" s="121"/>
      <c r="J267" s="121"/>
      <c r="K267" s="121"/>
      <c r="L267" s="121"/>
      <c r="M267" s="121"/>
      <c r="N267" s="121"/>
      <c r="O267" s="19"/>
    </row>
    <row r="268" spans="1:15" ht="12.75" customHeight="1" x14ac:dyDescent="0.15">
      <c r="A268" s="121"/>
      <c r="B268" s="121"/>
      <c r="C268" s="121"/>
      <c r="D268" s="121"/>
      <c r="E268" s="121"/>
      <c r="F268" s="121"/>
      <c r="G268" s="121"/>
      <c r="H268" s="121"/>
      <c r="I268" s="121"/>
      <c r="J268" s="121"/>
      <c r="K268" s="121"/>
      <c r="L268" s="121"/>
      <c r="M268" s="121"/>
      <c r="N268" s="121"/>
      <c r="O268" s="19"/>
    </row>
    <row r="269" spans="1:15" ht="12.75" customHeight="1" x14ac:dyDescent="0.15">
      <c r="A269" s="121"/>
      <c r="B269" s="121"/>
      <c r="C269" s="121"/>
      <c r="D269" s="121"/>
      <c r="E269" s="121"/>
      <c r="F269" s="121"/>
      <c r="G269" s="121"/>
      <c r="H269" s="121"/>
      <c r="I269" s="121"/>
      <c r="J269" s="121"/>
      <c r="K269" s="121"/>
      <c r="L269" s="121"/>
      <c r="M269" s="121"/>
      <c r="N269" s="121"/>
      <c r="O269" s="19"/>
    </row>
    <row r="270" spans="1:15" ht="12.75" customHeight="1" x14ac:dyDescent="0.15">
      <c r="A270" s="121"/>
      <c r="B270" s="121"/>
      <c r="C270" s="121"/>
      <c r="D270" s="121"/>
      <c r="E270" s="121"/>
      <c r="F270" s="121"/>
      <c r="G270" s="121"/>
      <c r="H270" s="121"/>
      <c r="I270" s="121"/>
      <c r="J270" s="121"/>
      <c r="K270" s="121"/>
      <c r="L270" s="121"/>
      <c r="M270" s="121"/>
      <c r="N270" s="121"/>
      <c r="O270" s="19"/>
    </row>
    <row r="271" spans="1:15" ht="12.75" customHeight="1" x14ac:dyDescent="0.15">
      <c r="A271" s="121"/>
      <c r="B271" s="121"/>
      <c r="C271" s="121"/>
      <c r="D271" s="121"/>
      <c r="E271" s="121"/>
      <c r="F271" s="121"/>
      <c r="G271" s="121"/>
      <c r="H271" s="121"/>
      <c r="I271" s="121"/>
      <c r="J271" s="121"/>
      <c r="K271" s="121"/>
      <c r="L271" s="121"/>
      <c r="M271" s="121"/>
      <c r="N271" s="121"/>
      <c r="O271" s="19"/>
    </row>
    <row r="272" spans="1:15" ht="12.75" customHeight="1" x14ac:dyDescent="0.15">
      <c r="A272" s="121"/>
      <c r="B272" s="121"/>
      <c r="C272" s="121"/>
      <c r="D272" s="121"/>
      <c r="E272" s="121"/>
      <c r="F272" s="121"/>
      <c r="G272" s="121"/>
      <c r="H272" s="121"/>
      <c r="I272" s="121"/>
      <c r="J272" s="121"/>
      <c r="K272" s="121"/>
      <c r="L272" s="121"/>
      <c r="M272" s="121"/>
      <c r="N272" s="121"/>
      <c r="O272" s="19"/>
    </row>
    <row r="273" spans="1:15" ht="12.75" customHeight="1" x14ac:dyDescent="0.15">
      <c r="A273" s="121"/>
      <c r="B273" s="121"/>
      <c r="C273" s="121"/>
      <c r="D273" s="121"/>
      <c r="E273" s="121"/>
      <c r="F273" s="121"/>
      <c r="G273" s="121"/>
      <c r="H273" s="121"/>
      <c r="I273" s="121"/>
      <c r="J273" s="121"/>
      <c r="K273" s="121"/>
      <c r="L273" s="121"/>
      <c r="M273" s="121"/>
      <c r="N273" s="121"/>
      <c r="O273" s="19"/>
    </row>
    <row r="274" spans="1:15" ht="12.75" customHeight="1" x14ac:dyDescent="0.15">
      <c r="A274" s="121"/>
      <c r="B274" s="121"/>
      <c r="C274" s="121"/>
      <c r="D274" s="121"/>
      <c r="E274" s="121"/>
      <c r="F274" s="121"/>
      <c r="G274" s="121"/>
      <c r="H274" s="121"/>
      <c r="I274" s="121"/>
      <c r="J274" s="121"/>
      <c r="K274" s="121"/>
      <c r="L274" s="121"/>
      <c r="M274" s="121"/>
      <c r="N274" s="121"/>
      <c r="O274" s="19"/>
    </row>
    <row r="275" spans="1:15" ht="12.75" customHeight="1" x14ac:dyDescent="0.15">
      <c r="A275" s="121"/>
      <c r="B275" s="121"/>
      <c r="C275" s="121"/>
      <c r="D275" s="121"/>
      <c r="E275" s="121"/>
      <c r="F275" s="121"/>
      <c r="G275" s="121"/>
      <c r="H275" s="121"/>
      <c r="I275" s="121"/>
      <c r="J275" s="121"/>
      <c r="K275" s="121"/>
      <c r="L275" s="121"/>
      <c r="M275" s="121"/>
      <c r="N275" s="121"/>
      <c r="O275" s="19"/>
    </row>
    <row r="276" spans="1:15" ht="12.75" customHeight="1" x14ac:dyDescent="0.15">
      <c r="A276" s="121"/>
      <c r="B276" s="121"/>
      <c r="C276" s="121"/>
      <c r="D276" s="121"/>
      <c r="E276" s="121"/>
      <c r="F276" s="121"/>
      <c r="G276" s="121"/>
      <c r="H276" s="121"/>
      <c r="I276" s="121"/>
      <c r="J276" s="121"/>
      <c r="K276" s="121"/>
      <c r="L276" s="121"/>
      <c r="M276" s="121"/>
      <c r="N276" s="121"/>
      <c r="O276" s="19"/>
    </row>
    <row r="277" spans="1:15" ht="12.75" customHeight="1" x14ac:dyDescent="0.15">
      <c r="A277" s="121"/>
      <c r="B277" s="121"/>
      <c r="C277" s="121"/>
      <c r="D277" s="121"/>
      <c r="E277" s="121"/>
      <c r="F277" s="121"/>
      <c r="G277" s="121"/>
      <c r="H277" s="121"/>
      <c r="I277" s="121"/>
      <c r="J277" s="121"/>
      <c r="K277" s="121"/>
      <c r="L277" s="121"/>
      <c r="M277" s="121"/>
      <c r="N277" s="121"/>
      <c r="O277" s="19"/>
    </row>
    <row r="278" spans="1:15" ht="12.75" customHeight="1" x14ac:dyDescent="0.15">
      <c r="A278" s="121"/>
      <c r="B278" s="121"/>
      <c r="C278" s="121"/>
      <c r="D278" s="121"/>
      <c r="E278" s="121"/>
      <c r="F278" s="121"/>
      <c r="G278" s="121"/>
      <c r="H278" s="121"/>
      <c r="I278" s="121"/>
      <c r="J278" s="121"/>
      <c r="K278" s="121"/>
      <c r="L278" s="121"/>
      <c r="M278" s="121"/>
      <c r="N278" s="121"/>
      <c r="O278" s="19"/>
    </row>
    <row r="279" spans="1:15" ht="12.75" customHeight="1" x14ac:dyDescent="0.15">
      <c r="A279" s="121"/>
      <c r="B279" s="121"/>
      <c r="C279" s="121"/>
      <c r="D279" s="121"/>
      <c r="E279" s="121"/>
      <c r="F279" s="121"/>
      <c r="G279" s="121"/>
      <c r="H279" s="121"/>
      <c r="I279" s="121"/>
      <c r="J279" s="121"/>
      <c r="K279" s="121"/>
      <c r="L279" s="121"/>
      <c r="M279" s="121"/>
      <c r="N279" s="121"/>
      <c r="O279" s="19"/>
    </row>
    <row r="280" spans="1:15" ht="12.75" customHeight="1" x14ac:dyDescent="0.15">
      <c r="A280" s="121"/>
      <c r="B280" s="121"/>
      <c r="C280" s="121"/>
      <c r="D280" s="121"/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9"/>
    </row>
    <row r="281" spans="1:15" ht="12.75" customHeight="1" x14ac:dyDescent="0.15">
      <c r="A281" s="121"/>
      <c r="B281" s="121"/>
      <c r="C281" s="121"/>
      <c r="D281" s="121"/>
      <c r="E281" s="121"/>
      <c r="F281" s="121"/>
      <c r="G281" s="121"/>
      <c r="H281" s="121"/>
      <c r="I281" s="121"/>
      <c r="J281" s="121"/>
      <c r="K281" s="121"/>
      <c r="L281" s="121"/>
      <c r="M281" s="121"/>
      <c r="N281" s="121"/>
      <c r="O281" s="19"/>
    </row>
    <row r="282" spans="1:15" ht="12.75" customHeight="1" x14ac:dyDescent="0.15">
      <c r="A282" s="121"/>
      <c r="B282" s="121"/>
      <c r="C282" s="121"/>
      <c r="D282" s="121"/>
      <c r="E282" s="121"/>
      <c r="F282" s="121"/>
      <c r="G282" s="121"/>
      <c r="H282" s="121"/>
      <c r="I282" s="121"/>
      <c r="J282" s="121"/>
      <c r="K282" s="121"/>
      <c r="L282" s="121"/>
      <c r="M282" s="121"/>
      <c r="N282" s="121"/>
      <c r="O282" s="19"/>
    </row>
    <row r="283" spans="1:15" ht="12.75" customHeight="1" x14ac:dyDescent="0.15">
      <c r="A283" s="121"/>
      <c r="B283" s="121"/>
      <c r="C283" s="121"/>
      <c r="D283" s="121"/>
      <c r="E283" s="121"/>
      <c r="F283" s="121"/>
      <c r="G283" s="121"/>
      <c r="H283" s="121"/>
      <c r="I283" s="121"/>
      <c r="J283" s="121"/>
      <c r="K283" s="121"/>
      <c r="L283" s="121"/>
      <c r="M283" s="121"/>
      <c r="N283" s="121"/>
      <c r="O283" s="19"/>
    </row>
    <row r="284" spans="1:15" ht="12.75" customHeight="1" x14ac:dyDescent="0.15">
      <c r="A284" s="121"/>
      <c r="B284" s="121"/>
      <c r="C284" s="121"/>
      <c r="D284" s="121"/>
      <c r="E284" s="121"/>
      <c r="F284" s="121"/>
      <c r="G284" s="121"/>
      <c r="H284" s="121"/>
      <c r="I284" s="121"/>
      <c r="J284" s="121"/>
      <c r="K284" s="121"/>
      <c r="L284" s="121"/>
      <c r="M284" s="121"/>
      <c r="N284" s="121"/>
      <c r="O284" s="19"/>
    </row>
    <row r="285" spans="1:15" ht="12.75" customHeight="1" x14ac:dyDescent="0.15">
      <c r="A285" s="121"/>
      <c r="B285" s="121"/>
      <c r="C285" s="121"/>
      <c r="D285" s="121"/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9"/>
    </row>
    <row r="286" spans="1:15" ht="12.75" customHeight="1" x14ac:dyDescent="0.15">
      <c r="A286" s="121"/>
      <c r="B286" s="121"/>
      <c r="C286" s="121"/>
      <c r="D286" s="121"/>
      <c r="E286" s="121"/>
      <c r="F286" s="121"/>
      <c r="G286" s="121"/>
      <c r="H286" s="121"/>
      <c r="I286" s="121"/>
      <c r="J286" s="121"/>
      <c r="K286" s="121"/>
      <c r="L286" s="121"/>
      <c r="M286" s="121"/>
      <c r="N286" s="121"/>
      <c r="O286" s="19"/>
    </row>
    <row r="287" spans="1:15" ht="12.75" customHeight="1" x14ac:dyDescent="0.15">
      <c r="A287" s="121"/>
      <c r="B287" s="121"/>
      <c r="C287" s="121"/>
      <c r="D287" s="121"/>
      <c r="E287" s="121"/>
      <c r="F287" s="121"/>
      <c r="G287" s="121"/>
      <c r="H287" s="121"/>
      <c r="I287" s="121"/>
      <c r="J287" s="121"/>
      <c r="K287" s="121"/>
      <c r="L287" s="121"/>
      <c r="M287" s="121"/>
      <c r="N287" s="121"/>
      <c r="O287" s="19"/>
    </row>
    <row r="288" spans="1:15" ht="12.75" customHeight="1" x14ac:dyDescent="0.15">
      <c r="A288" s="121"/>
      <c r="B288" s="121"/>
      <c r="C288" s="121"/>
      <c r="D288" s="121"/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9"/>
    </row>
    <row r="289" spans="1:15" ht="12.75" customHeight="1" x14ac:dyDescent="0.15">
      <c r="A289" s="121"/>
      <c r="B289" s="121"/>
      <c r="C289" s="121"/>
      <c r="D289" s="121"/>
      <c r="E289" s="121"/>
      <c r="F289" s="121"/>
      <c r="G289" s="121"/>
      <c r="H289" s="121"/>
      <c r="I289" s="121"/>
      <c r="J289" s="121"/>
      <c r="K289" s="121"/>
      <c r="L289" s="121"/>
      <c r="M289" s="121"/>
      <c r="N289" s="121"/>
      <c r="O289" s="19"/>
    </row>
    <row r="290" spans="1:15" ht="12.75" customHeight="1" x14ac:dyDescent="0.15">
      <c r="A290" s="121"/>
      <c r="B290" s="121"/>
      <c r="C290" s="121"/>
      <c r="D290" s="121"/>
      <c r="E290" s="121"/>
      <c r="F290" s="121"/>
      <c r="G290" s="121"/>
      <c r="H290" s="121"/>
      <c r="I290" s="121"/>
      <c r="J290" s="121"/>
      <c r="K290" s="121"/>
      <c r="L290" s="121"/>
      <c r="M290" s="121"/>
      <c r="N290" s="121"/>
      <c r="O290" s="19"/>
    </row>
    <row r="291" spans="1:15" ht="12.75" customHeight="1" x14ac:dyDescent="0.15">
      <c r="A291" s="121"/>
      <c r="B291" s="121"/>
      <c r="C291" s="121"/>
      <c r="D291" s="121"/>
      <c r="E291" s="121"/>
      <c r="F291" s="121"/>
      <c r="G291" s="121"/>
      <c r="H291" s="121"/>
      <c r="I291" s="121"/>
      <c r="J291" s="121"/>
      <c r="K291" s="121"/>
      <c r="L291" s="121"/>
      <c r="M291" s="121"/>
      <c r="N291" s="121"/>
      <c r="O291" s="19"/>
    </row>
    <row r="292" spans="1:15" ht="12.75" customHeight="1" x14ac:dyDescent="0.15">
      <c r="A292" s="121"/>
      <c r="B292" s="121"/>
      <c r="C292" s="121"/>
      <c r="D292" s="121"/>
      <c r="E292" s="121"/>
      <c r="F292" s="121"/>
      <c r="G292" s="121"/>
      <c r="H292" s="121"/>
      <c r="I292" s="121"/>
      <c r="J292" s="121"/>
      <c r="K292" s="121"/>
      <c r="L292" s="121"/>
      <c r="M292" s="121"/>
      <c r="N292" s="121"/>
      <c r="O292" s="19"/>
    </row>
    <row r="293" spans="1:15" ht="12.75" customHeight="1" x14ac:dyDescent="0.15">
      <c r="A293" s="121"/>
      <c r="B293" s="121"/>
      <c r="C293" s="121"/>
      <c r="D293" s="121"/>
      <c r="E293" s="121"/>
      <c r="F293" s="121"/>
      <c r="G293" s="121"/>
      <c r="H293" s="121"/>
      <c r="I293" s="121"/>
      <c r="J293" s="121"/>
      <c r="K293" s="121"/>
      <c r="L293" s="121"/>
      <c r="M293" s="121"/>
      <c r="N293" s="121"/>
      <c r="O293" s="19"/>
    </row>
    <row r="294" spans="1:15" ht="12.75" customHeight="1" x14ac:dyDescent="0.15">
      <c r="A294" s="121"/>
      <c r="B294" s="121"/>
      <c r="C294" s="121"/>
      <c r="D294" s="121"/>
      <c r="E294" s="121"/>
      <c r="F294" s="121"/>
      <c r="G294" s="121"/>
      <c r="H294" s="121"/>
      <c r="I294" s="121"/>
      <c r="J294" s="121"/>
      <c r="K294" s="121"/>
      <c r="L294" s="121"/>
      <c r="M294" s="121"/>
      <c r="N294" s="121"/>
      <c r="O294" s="19"/>
    </row>
    <row r="295" spans="1:15" ht="12.75" customHeight="1" x14ac:dyDescent="0.15">
      <c r="A295" s="121"/>
      <c r="B295" s="121"/>
      <c r="C295" s="121"/>
      <c r="D295" s="121"/>
      <c r="E295" s="121"/>
      <c r="F295" s="121"/>
      <c r="G295" s="121"/>
      <c r="H295" s="121"/>
      <c r="I295" s="121"/>
      <c r="J295" s="121"/>
      <c r="K295" s="121"/>
      <c r="L295" s="121"/>
      <c r="M295" s="121"/>
      <c r="N295" s="121"/>
      <c r="O295" s="19"/>
    </row>
    <row r="296" spans="1:15" ht="12.75" customHeight="1" x14ac:dyDescent="0.15">
      <c r="A296" s="121"/>
      <c r="B296" s="121"/>
      <c r="C296" s="121"/>
      <c r="D296" s="121"/>
      <c r="E296" s="121"/>
      <c r="F296" s="121"/>
      <c r="G296" s="121"/>
      <c r="H296" s="121"/>
      <c r="I296" s="121"/>
      <c r="J296" s="121"/>
      <c r="K296" s="121"/>
      <c r="L296" s="121"/>
      <c r="M296" s="121"/>
      <c r="N296" s="121"/>
      <c r="O296" s="19"/>
    </row>
    <row r="297" spans="1:15" ht="12.75" customHeight="1" x14ac:dyDescent="0.15">
      <c r="A297" s="121"/>
      <c r="B297" s="121"/>
      <c r="C297" s="121"/>
      <c r="D297" s="121"/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9"/>
    </row>
    <row r="298" spans="1:15" ht="12.75" customHeight="1" x14ac:dyDescent="0.15">
      <c r="A298" s="121"/>
      <c r="B298" s="121"/>
      <c r="C298" s="121"/>
      <c r="D298" s="121"/>
      <c r="E298" s="121"/>
      <c r="F298" s="121"/>
      <c r="G298" s="121"/>
      <c r="H298" s="121"/>
      <c r="I298" s="121"/>
      <c r="J298" s="121"/>
      <c r="K298" s="121"/>
      <c r="L298" s="121"/>
      <c r="M298" s="121"/>
      <c r="N298" s="121"/>
      <c r="O298" s="19"/>
    </row>
    <row r="299" spans="1:15" ht="12.75" customHeight="1" x14ac:dyDescent="0.15">
      <c r="A299" s="121"/>
      <c r="B299" s="121"/>
      <c r="C299" s="121"/>
      <c r="D299" s="121"/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9"/>
    </row>
    <row r="300" spans="1:15" ht="12.75" customHeight="1" x14ac:dyDescent="0.15">
      <c r="A300" s="121"/>
      <c r="B300" s="121"/>
      <c r="C300" s="121"/>
      <c r="D300" s="121"/>
      <c r="E300" s="121"/>
      <c r="F300" s="121"/>
      <c r="G300" s="121"/>
      <c r="H300" s="121"/>
      <c r="I300" s="121"/>
      <c r="J300" s="121"/>
      <c r="K300" s="121"/>
      <c r="L300" s="121"/>
      <c r="M300" s="121"/>
      <c r="N300" s="121"/>
      <c r="O300" s="19"/>
    </row>
    <row r="301" spans="1:15" ht="12.75" customHeight="1" x14ac:dyDescent="0.15">
      <c r="A301" s="121"/>
      <c r="B301" s="121"/>
      <c r="C301" s="121"/>
      <c r="D301" s="121"/>
      <c r="E301" s="121"/>
      <c r="F301" s="121"/>
      <c r="G301" s="121"/>
      <c r="H301" s="121"/>
      <c r="I301" s="121"/>
      <c r="J301" s="121"/>
      <c r="K301" s="121"/>
      <c r="L301" s="121"/>
      <c r="M301" s="121"/>
      <c r="N301" s="121"/>
      <c r="O301" s="19"/>
    </row>
    <row r="302" spans="1:15" ht="12.75" customHeight="1" x14ac:dyDescent="0.15">
      <c r="A302" s="121"/>
      <c r="B302" s="121"/>
      <c r="C302" s="121"/>
      <c r="D302" s="121"/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9"/>
    </row>
    <row r="303" spans="1:15" ht="12.75" customHeight="1" x14ac:dyDescent="0.15">
      <c r="A303" s="121"/>
      <c r="B303" s="121"/>
      <c r="C303" s="121"/>
      <c r="D303" s="121"/>
      <c r="E303" s="121"/>
      <c r="F303" s="121"/>
      <c r="G303" s="121"/>
      <c r="H303" s="121"/>
      <c r="I303" s="121"/>
      <c r="J303" s="121"/>
      <c r="K303" s="121"/>
      <c r="L303" s="121"/>
      <c r="M303" s="121"/>
      <c r="N303" s="121"/>
      <c r="O303" s="19"/>
    </row>
    <row r="304" spans="1:15" ht="12.75" customHeight="1" x14ac:dyDescent="0.15">
      <c r="A304" s="121"/>
      <c r="B304" s="121"/>
      <c r="C304" s="121"/>
      <c r="D304" s="121"/>
      <c r="E304" s="121"/>
      <c r="F304" s="121"/>
      <c r="G304" s="121"/>
      <c r="H304" s="121"/>
      <c r="I304" s="121"/>
      <c r="J304" s="121"/>
      <c r="K304" s="121"/>
      <c r="L304" s="121"/>
      <c r="M304" s="121"/>
      <c r="N304" s="121"/>
      <c r="O304" s="19"/>
    </row>
    <row r="305" spans="1:15" ht="12.75" customHeight="1" x14ac:dyDescent="0.15">
      <c r="A305" s="121"/>
      <c r="B305" s="121"/>
      <c r="C305" s="121"/>
      <c r="D305" s="121"/>
      <c r="E305" s="121"/>
      <c r="F305" s="121"/>
      <c r="G305" s="121"/>
      <c r="H305" s="121"/>
      <c r="I305" s="121"/>
      <c r="J305" s="121"/>
      <c r="K305" s="121"/>
      <c r="L305" s="121"/>
      <c r="M305" s="121"/>
      <c r="N305" s="121"/>
      <c r="O305" s="19"/>
    </row>
    <row r="306" spans="1:15" ht="12.75" customHeight="1" x14ac:dyDescent="0.15">
      <c r="A306" s="121"/>
      <c r="B306" s="121"/>
      <c r="C306" s="121"/>
      <c r="D306" s="121"/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  <c r="O306" s="19"/>
    </row>
    <row r="307" spans="1:15" ht="12.75" customHeight="1" x14ac:dyDescent="0.15">
      <c r="A307" s="121"/>
      <c r="B307" s="121"/>
      <c r="C307" s="121"/>
      <c r="D307" s="121"/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  <c r="O307" s="19"/>
    </row>
    <row r="308" spans="1:15" ht="12.75" customHeight="1" x14ac:dyDescent="0.15">
      <c r="A308" s="121"/>
      <c r="B308" s="121"/>
      <c r="C308" s="121"/>
      <c r="D308" s="121"/>
      <c r="E308" s="121"/>
      <c r="F308" s="121"/>
      <c r="G308" s="121"/>
      <c r="H308" s="121"/>
      <c r="I308" s="121"/>
      <c r="J308" s="121"/>
      <c r="K308" s="121"/>
      <c r="L308" s="121"/>
      <c r="M308" s="121"/>
      <c r="N308" s="121"/>
      <c r="O308" s="19"/>
    </row>
    <row r="309" spans="1:15" ht="12.75" customHeight="1" x14ac:dyDescent="0.15">
      <c r="A309" s="121"/>
      <c r="B309" s="121"/>
      <c r="C309" s="121"/>
      <c r="D309" s="121"/>
      <c r="E309" s="121"/>
      <c r="F309" s="121"/>
      <c r="G309" s="121"/>
      <c r="H309" s="121"/>
      <c r="I309" s="121"/>
      <c r="J309" s="121"/>
      <c r="K309" s="121"/>
      <c r="L309" s="121"/>
      <c r="M309" s="121"/>
      <c r="N309" s="121"/>
      <c r="O309" s="19"/>
    </row>
    <row r="310" spans="1:15" ht="12.75" customHeight="1" x14ac:dyDescent="0.15">
      <c r="A310" s="121"/>
      <c r="B310" s="121"/>
      <c r="C310" s="121"/>
      <c r="D310" s="121"/>
      <c r="E310" s="121"/>
      <c r="F310" s="121"/>
      <c r="G310" s="121"/>
      <c r="H310" s="121"/>
      <c r="I310" s="121"/>
      <c r="J310" s="121"/>
      <c r="K310" s="121"/>
      <c r="L310" s="121"/>
      <c r="M310" s="121"/>
      <c r="N310" s="121"/>
      <c r="O310" s="19"/>
    </row>
    <row r="311" spans="1:15" ht="12.75" customHeight="1" x14ac:dyDescent="0.15">
      <c r="A311" s="121"/>
      <c r="B311" s="121"/>
      <c r="C311" s="121"/>
      <c r="D311" s="121"/>
      <c r="E311" s="121"/>
      <c r="F311" s="121"/>
      <c r="G311" s="121"/>
      <c r="H311" s="121"/>
      <c r="I311" s="121"/>
      <c r="J311" s="121"/>
      <c r="K311" s="121"/>
      <c r="L311" s="121"/>
      <c r="M311" s="121"/>
      <c r="N311" s="121"/>
      <c r="O311" s="19"/>
    </row>
    <row r="312" spans="1:15" ht="12.75" customHeight="1" x14ac:dyDescent="0.15">
      <c r="A312" s="121"/>
      <c r="B312" s="121"/>
      <c r="C312" s="121"/>
      <c r="D312" s="121"/>
      <c r="E312" s="121"/>
      <c r="F312" s="121"/>
      <c r="G312" s="121"/>
      <c r="H312" s="121"/>
      <c r="I312" s="121"/>
      <c r="J312" s="121"/>
      <c r="K312" s="121"/>
      <c r="L312" s="121"/>
      <c r="M312" s="121"/>
      <c r="N312" s="121"/>
      <c r="O312" s="19"/>
    </row>
    <row r="313" spans="1:15" ht="12.75" customHeight="1" x14ac:dyDescent="0.15">
      <c r="A313" s="121"/>
      <c r="B313" s="121"/>
      <c r="C313" s="121"/>
      <c r="D313" s="121"/>
      <c r="E313" s="121"/>
      <c r="F313" s="121"/>
      <c r="G313" s="121"/>
      <c r="H313" s="121"/>
      <c r="I313" s="121"/>
      <c r="J313" s="121"/>
      <c r="K313" s="121"/>
      <c r="L313" s="121"/>
      <c r="M313" s="121"/>
      <c r="N313" s="121"/>
      <c r="O313" s="19"/>
    </row>
    <row r="314" spans="1:15" ht="12.75" customHeight="1" x14ac:dyDescent="0.15">
      <c r="A314" s="121"/>
      <c r="B314" s="121"/>
      <c r="C314" s="121"/>
      <c r="D314" s="121"/>
      <c r="E314" s="121"/>
      <c r="F314" s="121"/>
      <c r="G314" s="121"/>
      <c r="H314" s="121"/>
      <c r="I314" s="121"/>
      <c r="J314" s="121"/>
      <c r="K314" s="121"/>
      <c r="L314" s="121"/>
      <c r="M314" s="121"/>
      <c r="N314" s="121"/>
      <c r="O314" s="19"/>
    </row>
    <row r="315" spans="1:15" ht="12.75" customHeight="1" x14ac:dyDescent="0.15">
      <c r="A315" s="121"/>
      <c r="B315" s="121"/>
      <c r="C315" s="121"/>
      <c r="D315" s="121"/>
      <c r="E315" s="121"/>
      <c r="F315" s="121"/>
      <c r="G315" s="121"/>
      <c r="H315" s="121"/>
      <c r="I315" s="121"/>
      <c r="J315" s="121"/>
      <c r="K315" s="121"/>
      <c r="L315" s="121"/>
      <c r="M315" s="121"/>
      <c r="N315" s="121"/>
      <c r="O315" s="19"/>
    </row>
    <row r="316" spans="1:15" ht="12.75" customHeight="1" x14ac:dyDescent="0.15">
      <c r="A316" s="121"/>
      <c r="B316" s="121"/>
      <c r="C316" s="121"/>
      <c r="D316" s="121"/>
      <c r="E316" s="121"/>
      <c r="F316" s="121"/>
      <c r="G316" s="121"/>
      <c r="H316" s="121"/>
      <c r="I316" s="121"/>
      <c r="J316" s="121"/>
      <c r="K316" s="121"/>
      <c r="L316" s="121"/>
      <c r="M316" s="121"/>
      <c r="N316" s="121"/>
      <c r="O316" s="19"/>
    </row>
    <row r="317" spans="1:15" ht="12.75" customHeight="1" x14ac:dyDescent="0.15">
      <c r="A317" s="121"/>
      <c r="B317" s="121"/>
      <c r="C317" s="121"/>
      <c r="D317" s="121"/>
      <c r="E317" s="121"/>
      <c r="F317" s="121"/>
      <c r="G317" s="121"/>
      <c r="H317" s="121"/>
      <c r="I317" s="121"/>
      <c r="J317" s="121"/>
      <c r="K317" s="121"/>
      <c r="L317" s="121"/>
      <c r="M317" s="121"/>
      <c r="N317" s="121"/>
      <c r="O317" s="19"/>
    </row>
    <row r="318" spans="1:15" ht="12.75" customHeight="1" x14ac:dyDescent="0.15">
      <c r="A318" s="121"/>
      <c r="B318" s="121"/>
      <c r="C318" s="121"/>
      <c r="D318" s="121"/>
      <c r="E318" s="121"/>
      <c r="F318" s="121"/>
      <c r="G318" s="121"/>
      <c r="H318" s="121"/>
      <c r="I318" s="121"/>
      <c r="J318" s="121"/>
      <c r="K318" s="121"/>
      <c r="L318" s="121"/>
      <c r="M318" s="121"/>
      <c r="N318" s="121"/>
      <c r="O318" s="19"/>
    </row>
    <row r="319" spans="1:15" ht="12.75" customHeight="1" x14ac:dyDescent="0.15">
      <c r="A319" s="121"/>
      <c r="B319" s="121"/>
      <c r="C319" s="121"/>
      <c r="D319" s="121"/>
      <c r="E319" s="121"/>
      <c r="F319" s="121"/>
      <c r="G319" s="121"/>
      <c r="H319" s="121"/>
      <c r="I319" s="121"/>
      <c r="J319" s="121"/>
      <c r="K319" s="121"/>
      <c r="L319" s="121"/>
      <c r="M319" s="121"/>
      <c r="N319" s="121"/>
      <c r="O319" s="19"/>
    </row>
    <row r="320" spans="1:15" ht="12.75" customHeight="1" x14ac:dyDescent="0.15">
      <c r="A320" s="121"/>
      <c r="B320" s="121"/>
      <c r="C320" s="121"/>
      <c r="D320" s="121"/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9"/>
    </row>
    <row r="321" spans="1:15" ht="12.75" customHeight="1" x14ac:dyDescent="0.15">
      <c r="A321" s="121"/>
      <c r="B321" s="121"/>
      <c r="C321" s="121"/>
      <c r="D321" s="121"/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9"/>
    </row>
    <row r="322" spans="1:15" ht="12.75" customHeight="1" x14ac:dyDescent="0.15">
      <c r="A322" s="121"/>
      <c r="B322" s="121"/>
      <c r="C322" s="121"/>
      <c r="D322" s="121"/>
      <c r="E322" s="121"/>
      <c r="F322" s="121"/>
      <c r="G322" s="121"/>
      <c r="H322" s="121"/>
      <c r="I322" s="121"/>
      <c r="J322" s="121"/>
      <c r="K322" s="121"/>
      <c r="L322" s="121"/>
      <c r="M322" s="121"/>
      <c r="N322" s="121"/>
      <c r="O322" s="19"/>
    </row>
    <row r="323" spans="1:15" ht="12.75" customHeight="1" x14ac:dyDescent="0.15">
      <c r="A323" s="121"/>
      <c r="B323" s="121"/>
      <c r="C323" s="121"/>
      <c r="D323" s="121"/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9"/>
    </row>
    <row r="324" spans="1:15" ht="12.75" customHeight="1" x14ac:dyDescent="0.15">
      <c r="A324" s="121"/>
      <c r="B324" s="121"/>
      <c r="C324" s="121"/>
      <c r="D324" s="121"/>
      <c r="E324" s="121"/>
      <c r="F324" s="121"/>
      <c r="G324" s="121"/>
      <c r="H324" s="121"/>
      <c r="I324" s="121"/>
      <c r="J324" s="121"/>
      <c r="K324" s="121"/>
      <c r="L324" s="121"/>
      <c r="M324" s="121"/>
      <c r="N324" s="121"/>
      <c r="O324" s="19"/>
    </row>
    <row r="325" spans="1:15" ht="12.75" customHeight="1" x14ac:dyDescent="0.15">
      <c r="A325" s="121"/>
      <c r="B325" s="121"/>
      <c r="C325" s="121"/>
      <c r="D325" s="121"/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9"/>
    </row>
    <row r="326" spans="1:15" ht="12.75" customHeight="1" x14ac:dyDescent="0.15">
      <c r="A326" s="121"/>
      <c r="B326" s="121"/>
      <c r="C326" s="121"/>
      <c r="D326" s="121"/>
      <c r="E326" s="121"/>
      <c r="F326" s="121"/>
      <c r="G326" s="121"/>
      <c r="H326" s="121"/>
      <c r="I326" s="121"/>
      <c r="J326" s="121"/>
      <c r="K326" s="121"/>
      <c r="L326" s="121"/>
      <c r="M326" s="121"/>
      <c r="N326" s="121"/>
      <c r="O326" s="19"/>
    </row>
    <row r="327" spans="1:15" ht="12.75" customHeight="1" x14ac:dyDescent="0.15">
      <c r="A327" s="121"/>
      <c r="B327" s="121"/>
      <c r="C327" s="121"/>
      <c r="D327" s="121"/>
      <c r="E327" s="121"/>
      <c r="F327" s="121"/>
      <c r="G327" s="121"/>
      <c r="H327" s="121"/>
      <c r="I327" s="121"/>
      <c r="J327" s="121"/>
      <c r="K327" s="121"/>
      <c r="L327" s="121"/>
      <c r="M327" s="121"/>
      <c r="N327" s="121"/>
      <c r="O327" s="19"/>
    </row>
    <row r="328" spans="1:15" ht="12.75" customHeight="1" x14ac:dyDescent="0.15">
      <c r="A328" s="121"/>
      <c r="B328" s="121"/>
      <c r="C328" s="121"/>
      <c r="D328" s="121"/>
      <c r="E328" s="121"/>
      <c r="F328" s="121"/>
      <c r="G328" s="121"/>
      <c r="H328" s="121"/>
      <c r="I328" s="121"/>
      <c r="J328" s="121"/>
      <c r="K328" s="121"/>
      <c r="L328" s="121"/>
      <c r="M328" s="121"/>
      <c r="N328" s="121"/>
      <c r="O328" s="19"/>
    </row>
    <row r="329" spans="1:15" ht="12.75" customHeight="1" x14ac:dyDescent="0.15">
      <c r="A329" s="121"/>
      <c r="B329" s="121"/>
      <c r="C329" s="121"/>
      <c r="D329" s="121"/>
      <c r="E329" s="121"/>
      <c r="F329" s="121"/>
      <c r="G329" s="121"/>
      <c r="H329" s="121"/>
      <c r="I329" s="121"/>
      <c r="J329" s="121"/>
      <c r="K329" s="121"/>
      <c r="L329" s="121"/>
      <c r="M329" s="121"/>
      <c r="N329" s="121"/>
      <c r="O329" s="19"/>
    </row>
    <row r="330" spans="1:15" ht="12.75" customHeight="1" x14ac:dyDescent="0.15">
      <c r="A330" s="121"/>
      <c r="B330" s="121"/>
      <c r="C330" s="121"/>
      <c r="D330" s="121"/>
      <c r="E330" s="121"/>
      <c r="F330" s="121"/>
      <c r="G330" s="121"/>
      <c r="H330" s="121"/>
      <c r="I330" s="121"/>
      <c r="J330" s="121"/>
      <c r="K330" s="121"/>
      <c r="L330" s="121"/>
      <c r="M330" s="121"/>
      <c r="N330" s="121"/>
      <c r="O330" s="19"/>
    </row>
    <row r="331" spans="1:15" ht="12.75" customHeight="1" x14ac:dyDescent="0.15">
      <c r="A331" s="121"/>
      <c r="B331" s="121"/>
      <c r="C331" s="121"/>
      <c r="D331" s="121"/>
      <c r="E331" s="121"/>
      <c r="F331" s="121"/>
      <c r="G331" s="121"/>
      <c r="H331" s="121"/>
      <c r="I331" s="121"/>
      <c r="J331" s="121"/>
      <c r="K331" s="121"/>
      <c r="L331" s="121"/>
      <c r="M331" s="121"/>
      <c r="N331" s="121"/>
      <c r="O331" s="19"/>
    </row>
    <row r="332" spans="1:15" ht="12.75" customHeight="1" x14ac:dyDescent="0.15">
      <c r="A332" s="121"/>
      <c r="B332" s="121"/>
      <c r="C332" s="121"/>
      <c r="D332" s="121"/>
      <c r="E332" s="121"/>
      <c r="F332" s="121"/>
      <c r="G332" s="121"/>
      <c r="H332" s="121"/>
      <c r="I332" s="121"/>
      <c r="J332" s="121"/>
      <c r="K332" s="121"/>
      <c r="L332" s="121"/>
      <c r="M332" s="121"/>
      <c r="N332" s="121"/>
      <c r="O332" s="19"/>
    </row>
    <row r="333" spans="1:15" ht="12.75" customHeight="1" x14ac:dyDescent="0.15">
      <c r="A333" s="121"/>
      <c r="B333" s="121"/>
      <c r="C333" s="121"/>
      <c r="D333" s="121"/>
      <c r="E333" s="121"/>
      <c r="F333" s="121"/>
      <c r="G333" s="121"/>
      <c r="H333" s="121"/>
      <c r="I333" s="121"/>
      <c r="J333" s="121"/>
      <c r="K333" s="121"/>
      <c r="L333" s="121"/>
      <c r="M333" s="121"/>
      <c r="N333" s="121"/>
      <c r="O333" s="19"/>
    </row>
    <row r="334" spans="1:15" ht="12.75" customHeight="1" x14ac:dyDescent="0.15">
      <c r="A334" s="121"/>
      <c r="B334" s="121"/>
      <c r="C334" s="121"/>
      <c r="D334" s="121"/>
      <c r="E334" s="121"/>
      <c r="F334" s="121"/>
      <c r="G334" s="121"/>
      <c r="H334" s="121"/>
      <c r="I334" s="121"/>
      <c r="J334" s="121"/>
      <c r="K334" s="121"/>
      <c r="L334" s="121"/>
      <c r="M334" s="121"/>
      <c r="N334" s="121"/>
      <c r="O334" s="19"/>
    </row>
    <row r="335" spans="1:15" ht="12.75" customHeight="1" x14ac:dyDescent="0.15">
      <c r="A335" s="121"/>
      <c r="B335" s="121"/>
      <c r="C335" s="121"/>
      <c r="D335" s="121"/>
      <c r="E335" s="121"/>
      <c r="F335" s="121"/>
      <c r="G335" s="121"/>
      <c r="H335" s="121"/>
      <c r="I335" s="121"/>
      <c r="J335" s="121"/>
      <c r="K335" s="121"/>
      <c r="L335" s="121"/>
      <c r="M335" s="121"/>
      <c r="N335" s="121"/>
      <c r="O335" s="19"/>
    </row>
    <row r="336" spans="1:15" ht="12.75" customHeight="1" x14ac:dyDescent="0.15">
      <c r="A336" s="121"/>
      <c r="B336" s="121"/>
      <c r="C336" s="121"/>
      <c r="D336" s="121"/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O336" s="19"/>
    </row>
    <row r="337" spans="1:15" ht="12.75" customHeight="1" x14ac:dyDescent="0.15">
      <c r="A337" s="121"/>
      <c r="B337" s="121"/>
      <c r="C337" s="121"/>
      <c r="D337" s="121"/>
      <c r="E337" s="121"/>
      <c r="F337" s="121"/>
      <c r="G337" s="121"/>
      <c r="H337" s="121"/>
      <c r="I337" s="121"/>
      <c r="J337" s="121"/>
      <c r="K337" s="121"/>
      <c r="L337" s="121"/>
      <c r="M337" s="121"/>
      <c r="N337" s="121"/>
      <c r="O337" s="19"/>
    </row>
    <row r="338" spans="1:15" ht="12.75" customHeight="1" x14ac:dyDescent="0.15">
      <c r="A338" s="121"/>
      <c r="B338" s="121"/>
      <c r="C338" s="121"/>
      <c r="D338" s="121"/>
      <c r="E338" s="121"/>
      <c r="F338" s="121"/>
      <c r="G338" s="121"/>
      <c r="H338" s="121"/>
      <c r="I338" s="121"/>
      <c r="J338" s="121"/>
      <c r="K338" s="121"/>
      <c r="L338" s="121"/>
      <c r="M338" s="121"/>
      <c r="N338" s="121"/>
      <c r="O338" s="19"/>
    </row>
    <row r="339" spans="1:15" ht="12.75" customHeight="1" x14ac:dyDescent="0.15">
      <c r="A339" s="121"/>
      <c r="B339" s="121"/>
      <c r="C339" s="121"/>
      <c r="D339" s="121"/>
      <c r="E339" s="121"/>
      <c r="F339" s="121"/>
      <c r="G339" s="121"/>
      <c r="H339" s="121"/>
      <c r="I339" s="121"/>
      <c r="J339" s="121"/>
      <c r="K339" s="121"/>
      <c r="L339" s="121"/>
      <c r="M339" s="121"/>
      <c r="N339" s="121"/>
      <c r="O339" s="19"/>
    </row>
    <row r="340" spans="1:15" ht="12.75" customHeight="1" x14ac:dyDescent="0.15">
      <c r="A340" s="121"/>
      <c r="B340" s="121"/>
      <c r="C340" s="121"/>
      <c r="D340" s="121"/>
      <c r="E340" s="121"/>
      <c r="F340" s="121"/>
      <c r="G340" s="121"/>
      <c r="H340" s="121"/>
      <c r="I340" s="121"/>
      <c r="J340" s="121"/>
      <c r="K340" s="121"/>
      <c r="L340" s="121"/>
      <c r="M340" s="121"/>
      <c r="N340" s="121"/>
      <c r="O340" s="19"/>
    </row>
    <row r="341" spans="1:15" ht="12.75" customHeight="1" x14ac:dyDescent="0.15">
      <c r="A341" s="121"/>
      <c r="B341" s="121"/>
      <c r="C341" s="121"/>
      <c r="D341" s="121"/>
      <c r="E341" s="121"/>
      <c r="F341" s="121"/>
      <c r="G341" s="121"/>
      <c r="H341" s="121"/>
      <c r="I341" s="121"/>
      <c r="J341" s="121"/>
      <c r="K341" s="121"/>
      <c r="L341" s="121"/>
      <c r="M341" s="121"/>
      <c r="N341" s="121"/>
      <c r="O341" s="19"/>
    </row>
    <row r="342" spans="1:15" ht="12.75" customHeight="1" x14ac:dyDescent="0.15">
      <c r="A342" s="121"/>
      <c r="B342" s="121"/>
      <c r="C342" s="121"/>
      <c r="D342" s="121"/>
      <c r="E342" s="121"/>
      <c r="F342" s="121"/>
      <c r="G342" s="121"/>
      <c r="H342" s="121"/>
      <c r="I342" s="121"/>
      <c r="J342" s="121"/>
      <c r="K342" s="121"/>
      <c r="L342" s="121"/>
      <c r="M342" s="121"/>
      <c r="N342" s="121"/>
      <c r="O342" s="19"/>
    </row>
    <row r="343" spans="1:15" ht="12.75" customHeight="1" x14ac:dyDescent="0.15">
      <c r="A343" s="121"/>
      <c r="B343" s="121"/>
      <c r="C343" s="121"/>
      <c r="D343" s="121"/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9"/>
    </row>
    <row r="344" spans="1:15" ht="12.75" customHeight="1" x14ac:dyDescent="0.15">
      <c r="A344" s="121"/>
      <c r="B344" s="121"/>
      <c r="C344" s="121"/>
      <c r="D344" s="121"/>
      <c r="E344" s="121"/>
      <c r="F344" s="121"/>
      <c r="G344" s="121"/>
      <c r="H344" s="121"/>
      <c r="I344" s="121"/>
      <c r="J344" s="121"/>
      <c r="K344" s="121"/>
      <c r="L344" s="121"/>
      <c r="M344" s="121"/>
      <c r="N344" s="121"/>
      <c r="O344" s="19"/>
    </row>
    <row r="345" spans="1:15" ht="12.75" customHeight="1" x14ac:dyDescent="0.15">
      <c r="A345" s="121"/>
      <c r="B345" s="121"/>
      <c r="C345" s="121"/>
      <c r="D345" s="121"/>
      <c r="E345" s="121"/>
      <c r="F345" s="121"/>
      <c r="G345" s="121"/>
      <c r="H345" s="121"/>
      <c r="I345" s="121"/>
      <c r="J345" s="121"/>
      <c r="K345" s="121"/>
      <c r="L345" s="121"/>
      <c r="M345" s="121"/>
      <c r="N345" s="121"/>
      <c r="O345" s="19"/>
    </row>
    <row r="346" spans="1:15" ht="12.75" customHeight="1" x14ac:dyDescent="0.15">
      <c r="A346" s="121"/>
      <c r="B346" s="121"/>
      <c r="C346" s="121"/>
      <c r="D346" s="121"/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9"/>
    </row>
    <row r="347" spans="1:15" ht="12.75" customHeight="1" x14ac:dyDescent="0.15">
      <c r="A347" s="121"/>
      <c r="B347" s="121"/>
      <c r="C347" s="121"/>
      <c r="D347" s="121"/>
      <c r="E347" s="121"/>
      <c r="F347" s="121"/>
      <c r="G347" s="121"/>
      <c r="H347" s="121"/>
      <c r="I347" s="121"/>
      <c r="J347" s="121"/>
      <c r="K347" s="121"/>
      <c r="L347" s="121"/>
      <c r="M347" s="121"/>
      <c r="N347" s="121"/>
      <c r="O347" s="19"/>
    </row>
    <row r="348" spans="1:15" ht="12.75" customHeight="1" x14ac:dyDescent="0.15">
      <c r="A348" s="121"/>
      <c r="B348" s="121"/>
      <c r="C348" s="121"/>
      <c r="D348" s="121"/>
      <c r="E348" s="121"/>
      <c r="F348" s="121"/>
      <c r="G348" s="121"/>
      <c r="H348" s="121"/>
      <c r="I348" s="121"/>
      <c r="J348" s="121"/>
      <c r="K348" s="121"/>
      <c r="L348" s="121"/>
      <c r="M348" s="121"/>
      <c r="N348" s="121"/>
      <c r="O348" s="19"/>
    </row>
    <row r="349" spans="1:15" ht="12.75" customHeight="1" x14ac:dyDescent="0.15">
      <c r="A349" s="121"/>
      <c r="B349" s="121"/>
      <c r="C349" s="121"/>
      <c r="D349" s="121"/>
      <c r="E349" s="121"/>
      <c r="F349" s="121"/>
      <c r="G349" s="121"/>
      <c r="H349" s="121"/>
      <c r="I349" s="121"/>
      <c r="J349" s="121"/>
      <c r="K349" s="121"/>
      <c r="L349" s="121"/>
      <c r="M349" s="121"/>
      <c r="N349" s="121"/>
      <c r="O349" s="19"/>
    </row>
    <row r="350" spans="1:15" ht="12.75" customHeight="1" x14ac:dyDescent="0.15">
      <c r="A350" s="121"/>
      <c r="B350" s="121"/>
      <c r="C350" s="121"/>
      <c r="D350" s="121"/>
      <c r="E350" s="121"/>
      <c r="F350" s="121"/>
      <c r="G350" s="121"/>
      <c r="H350" s="121"/>
      <c r="I350" s="121"/>
      <c r="J350" s="121"/>
      <c r="K350" s="121"/>
      <c r="L350" s="121"/>
      <c r="M350" s="121"/>
      <c r="N350" s="121"/>
      <c r="O350" s="19"/>
    </row>
    <row r="351" spans="1:15" ht="12.75" customHeight="1" x14ac:dyDescent="0.15">
      <c r="A351" s="121"/>
      <c r="B351" s="121"/>
      <c r="C351" s="121"/>
      <c r="D351" s="121"/>
      <c r="E351" s="121"/>
      <c r="F351" s="121"/>
      <c r="G351" s="121"/>
      <c r="H351" s="121"/>
      <c r="I351" s="121"/>
      <c r="J351" s="121"/>
      <c r="K351" s="121"/>
      <c r="L351" s="121"/>
      <c r="M351" s="121"/>
      <c r="N351" s="121"/>
      <c r="O351" s="19"/>
    </row>
    <row r="352" spans="1:15" ht="12.75" customHeight="1" x14ac:dyDescent="0.15">
      <c r="A352" s="121"/>
      <c r="B352" s="121"/>
      <c r="C352" s="121"/>
      <c r="D352" s="121"/>
      <c r="E352" s="121"/>
      <c r="F352" s="121"/>
      <c r="G352" s="121"/>
      <c r="H352" s="121"/>
      <c r="I352" s="121"/>
      <c r="J352" s="121"/>
      <c r="K352" s="121"/>
      <c r="L352" s="121"/>
      <c r="M352" s="121"/>
      <c r="N352" s="121"/>
      <c r="O352" s="19"/>
    </row>
    <row r="353" spans="1:15" ht="12.75" customHeight="1" x14ac:dyDescent="0.15">
      <c r="A353" s="121"/>
      <c r="B353" s="121"/>
      <c r="C353" s="121"/>
      <c r="D353" s="121"/>
      <c r="E353" s="121"/>
      <c r="F353" s="121"/>
      <c r="G353" s="121"/>
      <c r="H353" s="121"/>
      <c r="I353" s="121"/>
      <c r="J353" s="121"/>
      <c r="K353" s="121"/>
      <c r="L353" s="121"/>
      <c r="M353" s="121"/>
      <c r="N353" s="121"/>
      <c r="O353" s="19"/>
    </row>
    <row r="354" spans="1:15" ht="12.75" customHeight="1" x14ac:dyDescent="0.15">
      <c r="A354" s="121"/>
      <c r="B354" s="121"/>
      <c r="C354" s="121"/>
      <c r="D354" s="121"/>
      <c r="E354" s="121"/>
      <c r="F354" s="121"/>
      <c r="G354" s="121"/>
      <c r="H354" s="121"/>
      <c r="I354" s="121"/>
      <c r="J354" s="121"/>
      <c r="K354" s="121"/>
      <c r="L354" s="121"/>
      <c r="M354" s="121"/>
      <c r="N354" s="121"/>
      <c r="O354" s="19"/>
    </row>
    <row r="355" spans="1:15" ht="12.75" customHeight="1" x14ac:dyDescent="0.15">
      <c r="A355" s="121"/>
      <c r="B355" s="121"/>
      <c r="C355" s="121"/>
      <c r="D355" s="121"/>
      <c r="E355" s="121"/>
      <c r="F355" s="121"/>
      <c r="G355" s="121"/>
      <c r="H355" s="121"/>
      <c r="I355" s="121"/>
      <c r="J355" s="121"/>
      <c r="K355" s="121"/>
      <c r="L355" s="121"/>
      <c r="M355" s="121"/>
      <c r="N355" s="121"/>
      <c r="O355" s="19"/>
    </row>
    <row r="356" spans="1:15" ht="12.75" customHeight="1" x14ac:dyDescent="0.15">
      <c r="A356" s="121"/>
      <c r="B356" s="121"/>
      <c r="C356" s="121"/>
      <c r="D356" s="121"/>
      <c r="E356" s="121"/>
      <c r="F356" s="121"/>
      <c r="G356" s="121"/>
      <c r="H356" s="121"/>
      <c r="I356" s="121"/>
      <c r="J356" s="121"/>
      <c r="K356" s="121"/>
      <c r="L356" s="121"/>
      <c r="M356" s="121"/>
      <c r="N356" s="121"/>
      <c r="O356" s="19"/>
    </row>
    <row r="357" spans="1:15" ht="12.75" customHeight="1" x14ac:dyDescent="0.15">
      <c r="A357" s="121"/>
      <c r="B357" s="121"/>
      <c r="C357" s="121"/>
      <c r="D357" s="121"/>
      <c r="E357" s="121"/>
      <c r="F357" s="121"/>
      <c r="G357" s="121"/>
      <c r="H357" s="121"/>
      <c r="I357" s="121"/>
      <c r="J357" s="121"/>
      <c r="K357" s="121"/>
      <c r="L357" s="121"/>
      <c r="M357" s="121"/>
      <c r="N357" s="121"/>
      <c r="O357" s="19"/>
    </row>
    <row r="358" spans="1:15" ht="12.75" customHeight="1" x14ac:dyDescent="0.15">
      <c r="A358" s="121"/>
      <c r="B358" s="121"/>
      <c r="C358" s="121"/>
      <c r="D358" s="121"/>
      <c r="E358" s="121"/>
      <c r="F358" s="121"/>
      <c r="G358" s="121"/>
      <c r="H358" s="121"/>
      <c r="I358" s="121"/>
      <c r="J358" s="121"/>
      <c r="K358" s="121"/>
      <c r="L358" s="121"/>
      <c r="M358" s="121"/>
      <c r="N358" s="121"/>
      <c r="O358" s="19"/>
    </row>
    <row r="359" spans="1:15" ht="12.75" customHeight="1" x14ac:dyDescent="0.15">
      <c r="A359" s="121"/>
      <c r="B359" s="121"/>
      <c r="C359" s="121"/>
      <c r="D359" s="121"/>
      <c r="E359" s="121"/>
      <c r="F359" s="121"/>
      <c r="G359" s="121"/>
      <c r="H359" s="121"/>
      <c r="I359" s="121"/>
      <c r="J359" s="121"/>
      <c r="K359" s="121"/>
      <c r="L359" s="121"/>
      <c r="M359" s="121"/>
      <c r="N359" s="121"/>
      <c r="O359" s="19"/>
    </row>
    <row r="360" spans="1:15" ht="12.75" customHeight="1" x14ac:dyDescent="0.15">
      <c r="A360" s="121"/>
      <c r="B360" s="121"/>
      <c r="C360" s="121"/>
      <c r="D360" s="121"/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O360" s="19"/>
    </row>
    <row r="361" spans="1:15" ht="12.75" customHeight="1" x14ac:dyDescent="0.15">
      <c r="A361" s="121"/>
      <c r="B361" s="121"/>
      <c r="C361" s="121"/>
      <c r="D361" s="121"/>
      <c r="E361" s="121"/>
      <c r="F361" s="121"/>
      <c r="G361" s="121"/>
      <c r="H361" s="121"/>
      <c r="I361" s="121"/>
      <c r="J361" s="121"/>
      <c r="K361" s="121"/>
      <c r="L361" s="121"/>
      <c r="M361" s="121"/>
      <c r="N361" s="121"/>
      <c r="O361" s="19"/>
    </row>
    <row r="362" spans="1:15" ht="12.75" customHeight="1" x14ac:dyDescent="0.15">
      <c r="A362" s="121"/>
      <c r="B362" s="121"/>
      <c r="C362" s="121"/>
      <c r="D362" s="121"/>
      <c r="E362" s="121"/>
      <c r="F362" s="121"/>
      <c r="G362" s="121"/>
      <c r="H362" s="121"/>
      <c r="I362" s="121"/>
      <c r="J362" s="121"/>
      <c r="K362" s="121"/>
      <c r="L362" s="121"/>
      <c r="M362" s="121"/>
      <c r="N362" s="121"/>
      <c r="O362" s="19"/>
    </row>
    <row r="363" spans="1:15" ht="12.75" customHeight="1" x14ac:dyDescent="0.15">
      <c r="A363" s="121"/>
      <c r="B363" s="121"/>
      <c r="C363" s="121"/>
      <c r="D363" s="121"/>
      <c r="E363" s="121"/>
      <c r="F363" s="121"/>
      <c r="G363" s="121"/>
      <c r="H363" s="121"/>
      <c r="I363" s="121"/>
      <c r="J363" s="121"/>
      <c r="K363" s="121"/>
      <c r="L363" s="121"/>
      <c r="M363" s="121"/>
      <c r="N363" s="121"/>
      <c r="O363" s="19"/>
    </row>
    <row r="364" spans="1:15" ht="12.75" customHeight="1" x14ac:dyDescent="0.15">
      <c r="A364" s="121"/>
      <c r="B364" s="121"/>
      <c r="C364" s="121"/>
      <c r="D364" s="121"/>
      <c r="E364" s="121"/>
      <c r="F364" s="121"/>
      <c r="G364" s="121"/>
      <c r="H364" s="121"/>
      <c r="I364" s="121"/>
      <c r="J364" s="121"/>
      <c r="K364" s="121"/>
      <c r="L364" s="121"/>
      <c r="M364" s="121"/>
      <c r="N364" s="121"/>
      <c r="O364" s="19"/>
    </row>
    <row r="365" spans="1:15" ht="12.75" customHeight="1" x14ac:dyDescent="0.15">
      <c r="A365" s="121"/>
      <c r="B365" s="121"/>
      <c r="C365" s="121"/>
      <c r="D365" s="121"/>
      <c r="E365" s="121"/>
      <c r="F365" s="121"/>
      <c r="G365" s="121"/>
      <c r="H365" s="121"/>
      <c r="I365" s="121"/>
      <c r="J365" s="121"/>
      <c r="K365" s="121"/>
      <c r="L365" s="121"/>
      <c r="M365" s="121"/>
      <c r="N365" s="121"/>
      <c r="O365" s="19"/>
    </row>
    <row r="366" spans="1:15" ht="12.75" customHeight="1" x14ac:dyDescent="0.15">
      <c r="A366" s="121"/>
      <c r="B366" s="121"/>
      <c r="C366" s="121"/>
      <c r="D366" s="121"/>
      <c r="E366" s="121"/>
      <c r="F366" s="121"/>
      <c r="G366" s="121"/>
      <c r="H366" s="121"/>
      <c r="I366" s="121"/>
      <c r="J366" s="121"/>
      <c r="K366" s="121"/>
      <c r="L366" s="121"/>
      <c r="M366" s="121"/>
      <c r="N366" s="121"/>
      <c r="O366" s="19"/>
    </row>
    <row r="367" spans="1:15" ht="12.75" customHeight="1" x14ac:dyDescent="0.15">
      <c r="A367" s="121"/>
      <c r="B367" s="121"/>
      <c r="C367" s="121"/>
      <c r="D367" s="121"/>
      <c r="E367" s="121"/>
      <c r="F367" s="121"/>
      <c r="G367" s="121"/>
      <c r="H367" s="121"/>
      <c r="I367" s="121"/>
      <c r="J367" s="121"/>
      <c r="K367" s="121"/>
      <c r="L367" s="121"/>
      <c r="M367" s="121"/>
      <c r="N367" s="121"/>
      <c r="O367" s="19"/>
    </row>
    <row r="368" spans="1:15" ht="12.75" customHeight="1" x14ac:dyDescent="0.15">
      <c r="A368" s="121"/>
      <c r="B368" s="121"/>
      <c r="C368" s="121"/>
      <c r="D368" s="121"/>
      <c r="E368" s="121"/>
      <c r="F368" s="121"/>
      <c r="G368" s="121"/>
      <c r="H368" s="121"/>
      <c r="I368" s="121"/>
      <c r="J368" s="121"/>
      <c r="K368" s="121"/>
      <c r="L368" s="121"/>
      <c r="M368" s="121"/>
      <c r="N368" s="121"/>
      <c r="O368" s="19"/>
    </row>
    <row r="369" spans="1:15" ht="12.75" customHeight="1" x14ac:dyDescent="0.15">
      <c r="A369" s="121"/>
      <c r="B369" s="121"/>
      <c r="C369" s="121"/>
      <c r="D369" s="121"/>
      <c r="E369" s="121"/>
      <c r="F369" s="121"/>
      <c r="G369" s="121"/>
      <c r="H369" s="121"/>
      <c r="I369" s="121"/>
      <c r="J369" s="121"/>
      <c r="K369" s="121"/>
      <c r="L369" s="121"/>
      <c r="M369" s="121"/>
      <c r="N369" s="121"/>
      <c r="O369" s="19"/>
    </row>
    <row r="370" spans="1:15" ht="12.75" customHeight="1" x14ac:dyDescent="0.15">
      <c r="A370" s="121"/>
      <c r="B370" s="121"/>
      <c r="C370" s="121"/>
      <c r="D370" s="121"/>
      <c r="E370" s="121"/>
      <c r="F370" s="121"/>
      <c r="G370" s="121"/>
      <c r="H370" s="121"/>
      <c r="I370" s="121"/>
      <c r="J370" s="121"/>
      <c r="K370" s="121"/>
      <c r="L370" s="121"/>
      <c r="M370" s="121"/>
      <c r="N370" s="121"/>
      <c r="O370" s="19"/>
    </row>
    <row r="371" spans="1:15" ht="12.75" customHeight="1" x14ac:dyDescent="0.15">
      <c r="A371" s="121"/>
      <c r="B371" s="121"/>
      <c r="C371" s="121"/>
      <c r="D371" s="121"/>
      <c r="E371" s="121"/>
      <c r="F371" s="121"/>
      <c r="G371" s="121"/>
      <c r="H371" s="121"/>
      <c r="I371" s="121"/>
      <c r="J371" s="121"/>
      <c r="K371" s="121"/>
      <c r="L371" s="121"/>
      <c r="M371" s="121"/>
      <c r="N371" s="121"/>
      <c r="O371" s="19"/>
    </row>
    <row r="372" spans="1:15" ht="12.75" customHeight="1" x14ac:dyDescent="0.15">
      <c r="A372" s="121"/>
      <c r="B372" s="121"/>
      <c r="C372" s="121"/>
      <c r="D372" s="121"/>
      <c r="E372" s="121"/>
      <c r="F372" s="121"/>
      <c r="G372" s="121"/>
      <c r="H372" s="121"/>
      <c r="I372" s="121"/>
      <c r="J372" s="121"/>
      <c r="K372" s="121"/>
      <c r="L372" s="121"/>
      <c r="M372" s="121"/>
      <c r="N372" s="121"/>
      <c r="O372" s="19"/>
    </row>
    <row r="373" spans="1:15" ht="12.75" customHeight="1" x14ac:dyDescent="0.15">
      <c r="A373" s="121"/>
      <c r="B373" s="121"/>
      <c r="C373" s="121"/>
      <c r="D373" s="121"/>
      <c r="E373" s="121"/>
      <c r="F373" s="121"/>
      <c r="G373" s="121"/>
      <c r="H373" s="121"/>
      <c r="I373" s="121"/>
      <c r="J373" s="121"/>
      <c r="K373" s="121"/>
      <c r="L373" s="121"/>
      <c r="M373" s="121"/>
      <c r="N373" s="121"/>
      <c r="O373" s="19"/>
    </row>
    <row r="374" spans="1:15" ht="12.75" customHeight="1" x14ac:dyDescent="0.15">
      <c r="A374" s="121"/>
      <c r="B374" s="121"/>
      <c r="C374" s="121"/>
      <c r="D374" s="121"/>
      <c r="E374" s="121"/>
      <c r="F374" s="121"/>
      <c r="G374" s="121"/>
      <c r="H374" s="121"/>
      <c r="I374" s="121"/>
      <c r="J374" s="121"/>
      <c r="K374" s="121"/>
      <c r="L374" s="121"/>
      <c r="M374" s="121"/>
      <c r="N374" s="121"/>
      <c r="O374" s="19"/>
    </row>
    <row r="375" spans="1:15" ht="12.75" customHeight="1" x14ac:dyDescent="0.15">
      <c r="A375" s="121"/>
      <c r="B375" s="121"/>
      <c r="C375" s="121"/>
      <c r="D375" s="121"/>
      <c r="E375" s="121"/>
      <c r="F375" s="121"/>
      <c r="G375" s="121"/>
      <c r="H375" s="121"/>
      <c r="I375" s="121"/>
      <c r="J375" s="121"/>
      <c r="K375" s="121"/>
      <c r="L375" s="121"/>
      <c r="M375" s="121"/>
      <c r="N375" s="121"/>
      <c r="O375" s="19"/>
    </row>
    <row r="376" spans="1:15" ht="12.75" customHeight="1" x14ac:dyDescent="0.15">
      <c r="A376" s="121"/>
      <c r="B376" s="121"/>
      <c r="C376" s="121"/>
      <c r="D376" s="121"/>
      <c r="E376" s="121"/>
      <c r="F376" s="121"/>
      <c r="G376" s="121"/>
      <c r="H376" s="121"/>
      <c r="I376" s="121"/>
      <c r="J376" s="121"/>
      <c r="K376" s="121"/>
      <c r="L376" s="121"/>
      <c r="M376" s="121"/>
      <c r="N376" s="121"/>
      <c r="O376" s="19"/>
    </row>
    <row r="377" spans="1:15" ht="12.75" customHeight="1" x14ac:dyDescent="0.15">
      <c r="A377" s="121"/>
      <c r="B377" s="121"/>
      <c r="C377" s="121"/>
      <c r="D377" s="121"/>
      <c r="E377" s="121"/>
      <c r="F377" s="121"/>
      <c r="G377" s="121"/>
      <c r="H377" s="121"/>
      <c r="I377" s="121"/>
      <c r="J377" s="121"/>
      <c r="K377" s="121"/>
      <c r="L377" s="121"/>
      <c r="M377" s="121"/>
      <c r="N377" s="121"/>
      <c r="O377" s="19"/>
    </row>
    <row r="378" spans="1:15" ht="12.75" customHeight="1" x14ac:dyDescent="0.15">
      <c r="A378" s="121"/>
      <c r="B378" s="121"/>
      <c r="C378" s="121"/>
      <c r="D378" s="121"/>
      <c r="E378" s="121"/>
      <c r="F378" s="121"/>
      <c r="G378" s="121"/>
      <c r="H378" s="121"/>
      <c r="I378" s="121"/>
      <c r="J378" s="121"/>
      <c r="K378" s="121"/>
      <c r="L378" s="121"/>
      <c r="M378" s="121"/>
      <c r="N378" s="121"/>
      <c r="O378" s="19"/>
    </row>
    <row r="379" spans="1:15" ht="12.75" customHeight="1" x14ac:dyDescent="0.15">
      <c r="A379" s="121"/>
      <c r="B379" s="121"/>
      <c r="C379" s="121"/>
      <c r="D379" s="121"/>
      <c r="E379" s="121"/>
      <c r="F379" s="121"/>
      <c r="G379" s="121"/>
      <c r="H379" s="121"/>
      <c r="I379" s="121"/>
      <c r="J379" s="121"/>
      <c r="K379" s="121"/>
      <c r="L379" s="121"/>
      <c r="M379" s="121"/>
      <c r="N379" s="121"/>
      <c r="O379" s="19"/>
    </row>
    <row r="380" spans="1:15" ht="12.75" customHeight="1" x14ac:dyDescent="0.15">
      <c r="A380" s="121"/>
      <c r="B380" s="121"/>
      <c r="C380" s="121"/>
      <c r="D380" s="121"/>
      <c r="E380" s="121"/>
      <c r="F380" s="121"/>
      <c r="G380" s="121"/>
      <c r="H380" s="121"/>
      <c r="I380" s="121"/>
      <c r="J380" s="121"/>
      <c r="K380" s="121"/>
      <c r="L380" s="121"/>
      <c r="M380" s="121"/>
      <c r="N380" s="121"/>
      <c r="O380" s="19"/>
    </row>
    <row r="381" spans="1:15" ht="12.75" customHeight="1" x14ac:dyDescent="0.15">
      <c r="A381" s="121"/>
      <c r="B381" s="121"/>
      <c r="C381" s="121"/>
      <c r="D381" s="121"/>
      <c r="E381" s="121"/>
      <c r="F381" s="121"/>
      <c r="G381" s="121"/>
      <c r="H381" s="121"/>
      <c r="I381" s="121"/>
      <c r="J381" s="121"/>
      <c r="K381" s="121"/>
      <c r="L381" s="121"/>
      <c r="M381" s="121"/>
      <c r="N381" s="121"/>
      <c r="O381" s="19"/>
    </row>
    <row r="382" spans="1:15" ht="12.75" customHeight="1" x14ac:dyDescent="0.15">
      <c r="A382" s="121"/>
      <c r="B382" s="121"/>
      <c r="C382" s="121"/>
      <c r="D382" s="121"/>
      <c r="E382" s="121"/>
      <c r="F382" s="121"/>
      <c r="G382" s="121"/>
      <c r="H382" s="121"/>
      <c r="I382" s="121"/>
      <c r="J382" s="121"/>
      <c r="K382" s="121"/>
      <c r="L382" s="121"/>
      <c r="M382" s="121"/>
      <c r="N382" s="121"/>
      <c r="O382" s="19"/>
    </row>
    <row r="383" spans="1:15" ht="12.75" customHeight="1" x14ac:dyDescent="0.15">
      <c r="A383" s="121"/>
      <c r="B383" s="121"/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9"/>
    </row>
    <row r="384" spans="1:15" ht="12.75" customHeight="1" x14ac:dyDescent="0.15">
      <c r="A384" s="121"/>
      <c r="B384" s="121"/>
      <c r="C384" s="121"/>
      <c r="D384" s="121"/>
      <c r="E384" s="121"/>
      <c r="F384" s="121"/>
      <c r="G384" s="121"/>
      <c r="H384" s="121"/>
      <c r="I384" s="121"/>
      <c r="J384" s="121"/>
      <c r="K384" s="121"/>
      <c r="L384" s="121"/>
      <c r="M384" s="121"/>
      <c r="N384" s="121"/>
      <c r="O384" s="19"/>
    </row>
    <row r="385" spans="1:15" ht="12.75" customHeight="1" x14ac:dyDescent="0.15">
      <c r="A385" s="121"/>
      <c r="B385" s="121"/>
      <c r="C385" s="121"/>
      <c r="D385" s="121"/>
      <c r="E385" s="121"/>
      <c r="F385" s="121"/>
      <c r="G385" s="121"/>
      <c r="H385" s="121"/>
      <c r="I385" s="121"/>
      <c r="J385" s="121"/>
      <c r="K385" s="121"/>
      <c r="L385" s="121"/>
      <c r="M385" s="121"/>
      <c r="N385" s="121"/>
      <c r="O385" s="19"/>
    </row>
    <row r="386" spans="1:15" ht="12.75" customHeight="1" x14ac:dyDescent="0.15">
      <c r="A386" s="121"/>
      <c r="B386" s="121"/>
      <c r="C386" s="121"/>
      <c r="D386" s="121"/>
      <c r="E386" s="121"/>
      <c r="F386" s="121"/>
      <c r="G386" s="121"/>
      <c r="H386" s="121"/>
      <c r="I386" s="121"/>
      <c r="J386" s="121"/>
      <c r="K386" s="121"/>
      <c r="L386" s="121"/>
      <c r="M386" s="121"/>
      <c r="N386" s="121"/>
      <c r="O386" s="19"/>
    </row>
    <row r="387" spans="1:15" ht="12.75" customHeight="1" x14ac:dyDescent="0.15">
      <c r="A387" s="121"/>
      <c r="B387" s="121"/>
      <c r="C387" s="121"/>
      <c r="D387" s="121"/>
      <c r="E387" s="121"/>
      <c r="F387" s="121"/>
      <c r="G387" s="121"/>
      <c r="H387" s="121"/>
      <c r="I387" s="121"/>
      <c r="J387" s="121"/>
      <c r="K387" s="121"/>
      <c r="L387" s="121"/>
      <c r="M387" s="121"/>
      <c r="N387" s="121"/>
      <c r="O387" s="19"/>
    </row>
    <row r="388" spans="1:15" ht="12.75" customHeight="1" x14ac:dyDescent="0.15">
      <c r="A388" s="121"/>
      <c r="B388" s="121"/>
      <c r="C388" s="121"/>
      <c r="D388" s="121"/>
      <c r="E388" s="121"/>
      <c r="F388" s="121"/>
      <c r="G388" s="121"/>
      <c r="H388" s="121"/>
      <c r="I388" s="121"/>
      <c r="J388" s="121"/>
      <c r="K388" s="121"/>
      <c r="L388" s="121"/>
      <c r="M388" s="121"/>
      <c r="N388" s="121"/>
      <c r="O388" s="19"/>
    </row>
    <row r="389" spans="1:15" ht="12.75" customHeight="1" x14ac:dyDescent="0.15">
      <c r="A389" s="121"/>
      <c r="B389" s="121"/>
      <c r="C389" s="121"/>
      <c r="D389" s="121"/>
      <c r="E389" s="121"/>
      <c r="F389" s="121"/>
      <c r="G389" s="121"/>
      <c r="H389" s="121"/>
      <c r="I389" s="121"/>
      <c r="J389" s="121"/>
      <c r="K389" s="121"/>
      <c r="L389" s="121"/>
      <c r="M389" s="121"/>
      <c r="N389" s="121"/>
      <c r="O389" s="19"/>
    </row>
    <row r="390" spans="1:15" ht="12.75" customHeight="1" x14ac:dyDescent="0.15">
      <c r="A390" s="121"/>
      <c r="B390" s="121"/>
      <c r="C390" s="121"/>
      <c r="D390" s="121"/>
      <c r="E390" s="121"/>
      <c r="F390" s="121"/>
      <c r="G390" s="121"/>
      <c r="H390" s="121"/>
      <c r="I390" s="121"/>
      <c r="J390" s="121"/>
      <c r="K390" s="121"/>
      <c r="L390" s="121"/>
      <c r="M390" s="121"/>
      <c r="N390" s="121"/>
      <c r="O390" s="19"/>
    </row>
    <row r="391" spans="1:15" ht="12.75" customHeight="1" x14ac:dyDescent="0.15">
      <c r="A391" s="121"/>
      <c r="B391" s="121"/>
      <c r="C391" s="121"/>
      <c r="D391" s="121"/>
      <c r="E391" s="121"/>
      <c r="F391" s="121"/>
      <c r="G391" s="121"/>
      <c r="H391" s="121"/>
      <c r="I391" s="121"/>
      <c r="J391" s="121"/>
      <c r="K391" s="121"/>
      <c r="L391" s="121"/>
      <c r="M391" s="121"/>
      <c r="N391" s="121"/>
      <c r="O391" s="19"/>
    </row>
    <row r="392" spans="1:15" ht="12.75" customHeight="1" x14ac:dyDescent="0.15">
      <c r="A392" s="121"/>
      <c r="B392" s="121"/>
      <c r="C392" s="121"/>
      <c r="D392" s="121"/>
      <c r="E392" s="121"/>
      <c r="F392" s="121"/>
      <c r="G392" s="121"/>
      <c r="H392" s="121"/>
      <c r="I392" s="121"/>
      <c r="J392" s="121"/>
      <c r="K392" s="121"/>
      <c r="L392" s="121"/>
      <c r="M392" s="121"/>
      <c r="N392" s="121"/>
      <c r="O392" s="19"/>
    </row>
    <row r="393" spans="1:15" ht="12.75" customHeight="1" x14ac:dyDescent="0.15">
      <c r="A393" s="121"/>
      <c r="B393" s="121"/>
      <c r="C393" s="121"/>
      <c r="D393" s="121"/>
      <c r="E393" s="121"/>
      <c r="F393" s="121"/>
      <c r="G393" s="121"/>
      <c r="H393" s="121"/>
      <c r="I393" s="121"/>
      <c r="J393" s="121"/>
      <c r="K393" s="121"/>
      <c r="L393" s="121"/>
      <c r="M393" s="121"/>
      <c r="N393" s="121"/>
      <c r="O393" s="19"/>
    </row>
    <row r="394" spans="1:15" ht="12.75" customHeight="1" x14ac:dyDescent="0.15">
      <c r="A394" s="121"/>
      <c r="B394" s="121"/>
      <c r="C394" s="121"/>
      <c r="D394" s="121"/>
      <c r="E394" s="121"/>
      <c r="F394" s="121"/>
      <c r="G394" s="121"/>
      <c r="H394" s="121"/>
      <c r="I394" s="121"/>
      <c r="J394" s="121"/>
      <c r="K394" s="121"/>
      <c r="L394" s="121"/>
      <c r="M394" s="121"/>
      <c r="N394" s="121"/>
      <c r="O394" s="19"/>
    </row>
    <row r="395" spans="1:15" ht="12.75" customHeight="1" x14ac:dyDescent="0.15">
      <c r="A395" s="121"/>
      <c r="B395" s="121"/>
      <c r="C395" s="121"/>
      <c r="D395" s="121"/>
      <c r="E395" s="121"/>
      <c r="F395" s="121"/>
      <c r="G395" s="121"/>
      <c r="H395" s="121"/>
      <c r="I395" s="121"/>
      <c r="J395" s="121"/>
      <c r="K395" s="121"/>
      <c r="L395" s="121"/>
      <c r="M395" s="121"/>
      <c r="N395" s="121"/>
      <c r="O395" s="19"/>
    </row>
    <row r="396" spans="1:15" ht="12.75" customHeight="1" x14ac:dyDescent="0.15">
      <c r="A396" s="121"/>
      <c r="B396" s="121"/>
      <c r="C396" s="121"/>
      <c r="D396" s="121"/>
      <c r="E396" s="121"/>
      <c r="F396" s="121"/>
      <c r="G396" s="121"/>
      <c r="H396" s="121"/>
      <c r="I396" s="121"/>
      <c r="J396" s="121"/>
      <c r="K396" s="121"/>
      <c r="L396" s="121"/>
      <c r="M396" s="121"/>
      <c r="N396" s="121"/>
      <c r="O396" s="19"/>
    </row>
    <row r="397" spans="1:15" ht="12.75" customHeight="1" x14ac:dyDescent="0.15">
      <c r="A397" s="121"/>
      <c r="B397" s="121"/>
      <c r="C397" s="121"/>
      <c r="D397" s="121"/>
      <c r="E397" s="121"/>
      <c r="F397" s="121"/>
      <c r="G397" s="121"/>
      <c r="H397" s="121"/>
      <c r="I397" s="121"/>
      <c r="J397" s="121"/>
      <c r="K397" s="121"/>
      <c r="L397" s="121"/>
      <c r="M397" s="121"/>
      <c r="N397" s="121"/>
      <c r="O397" s="19"/>
    </row>
    <row r="398" spans="1:15" ht="12.75" customHeight="1" x14ac:dyDescent="0.15">
      <c r="A398" s="121"/>
      <c r="B398" s="121"/>
      <c r="C398" s="121"/>
      <c r="D398" s="121"/>
      <c r="E398" s="121"/>
      <c r="F398" s="121"/>
      <c r="G398" s="121"/>
      <c r="H398" s="121"/>
      <c r="I398" s="121"/>
      <c r="J398" s="121"/>
      <c r="K398" s="121"/>
      <c r="L398" s="121"/>
      <c r="M398" s="121"/>
      <c r="N398" s="121"/>
      <c r="O398" s="19"/>
    </row>
    <row r="399" spans="1:15" ht="12.75" customHeight="1" x14ac:dyDescent="0.15">
      <c r="A399" s="121"/>
      <c r="B399" s="121"/>
      <c r="C399" s="121"/>
      <c r="D399" s="121"/>
      <c r="E399" s="121"/>
      <c r="F399" s="121"/>
      <c r="G399" s="121"/>
      <c r="H399" s="121"/>
      <c r="I399" s="121"/>
      <c r="J399" s="121"/>
      <c r="K399" s="121"/>
      <c r="L399" s="121"/>
      <c r="M399" s="121"/>
      <c r="N399" s="121"/>
      <c r="O399" s="19"/>
    </row>
    <row r="400" spans="1:15" ht="12.75" customHeight="1" x14ac:dyDescent="0.15">
      <c r="A400" s="121"/>
      <c r="B400" s="121"/>
      <c r="C400" s="121"/>
      <c r="D400" s="121"/>
      <c r="E400" s="121"/>
      <c r="F400" s="121"/>
      <c r="G400" s="121"/>
      <c r="H400" s="121"/>
      <c r="I400" s="121"/>
      <c r="J400" s="121"/>
      <c r="K400" s="121"/>
      <c r="L400" s="121"/>
      <c r="M400" s="121"/>
      <c r="N400" s="121"/>
      <c r="O400" s="19"/>
    </row>
    <row r="401" spans="1:15" ht="12.75" customHeight="1" x14ac:dyDescent="0.15">
      <c r="A401" s="121"/>
      <c r="B401" s="121"/>
      <c r="C401" s="121"/>
      <c r="D401" s="121"/>
      <c r="E401" s="121"/>
      <c r="F401" s="121"/>
      <c r="G401" s="121"/>
      <c r="H401" s="121"/>
      <c r="I401" s="121"/>
      <c r="J401" s="121"/>
      <c r="K401" s="121"/>
      <c r="L401" s="121"/>
      <c r="M401" s="121"/>
      <c r="N401" s="121"/>
      <c r="O401" s="19"/>
    </row>
    <row r="402" spans="1:15" ht="12.75" customHeight="1" x14ac:dyDescent="0.15">
      <c r="A402" s="121"/>
      <c r="B402" s="121"/>
      <c r="C402" s="121"/>
      <c r="D402" s="121"/>
      <c r="E402" s="121"/>
      <c r="F402" s="121"/>
      <c r="G402" s="121"/>
      <c r="H402" s="121"/>
      <c r="I402" s="121"/>
      <c r="J402" s="121"/>
      <c r="K402" s="121"/>
      <c r="L402" s="121"/>
      <c r="M402" s="121"/>
      <c r="N402" s="121"/>
      <c r="O402" s="19"/>
    </row>
    <row r="403" spans="1:15" ht="12.75" customHeight="1" x14ac:dyDescent="0.15">
      <c r="A403" s="121"/>
      <c r="B403" s="121"/>
      <c r="C403" s="121"/>
      <c r="D403" s="121"/>
      <c r="E403" s="121"/>
      <c r="F403" s="121"/>
      <c r="G403" s="121"/>
      <c r="H403" s="121"/>
      <c r="I403" s="121"/>
      <c r="J403" s="121"/>
      <c r="K403" s="121"/>
      <c r="L403" s="121"/>
      <c r="M403" s="121"/>
      <c r="N403" s="121"/>
      <c r="O403" s="19"/>
    </row>
    <row r="404" spans="1:15" ht="12.75" customHeight="1" x14ac:dyDescent="0.15">
      <c r="A404" s="121"/>
      <c r="B404" s="121"/>
      <c r="C404" s="121"/>
      <c r="D404" s="121"/>
      <c r="E404" s="121"/>
      <c r="F404" s="121"/>
      <c r="G404" s="121"/>
      <c r="H404" s="121"/>
      <c r="I404" s="121"/>
      <c r="J404" s="121"/>
      <c r="K404" s="121"/>
      <c r="L404" s="121"/>
      <c r="M404" s="121"/>
      <c r="N404" s="121"/>
      <c r="O404" s="19"/>
    </row>
    <row r="405" spans="1:15" ht="12.75" customHeight="1" x14ac:dyDescent="0.15">
      <c r="A405" s="121"/>
      <c r="B405" s="121"/>
      <c r="C405" s="121"/>
      <c r="D405" s="121"/>
      <c r="E405" s="121"/>
      <c r="F405" s="121"/>
      <c r="G405" s="121"/>
      <c r="H405" s="121"/>
      <c r="I405" s="121"/>
      <c r="J405" s="121"/>
      <c r="K405" s="121"/>
      <c r="L405" s="121"/>
      <c r="M405" s="121"/>
      <c r="N405" s="121"/>
      <c r="O405" s="19"/>
    </row>
    <row r="406" spans="1:15" ht="12.75" customHeight="1" x14ac:dyDescent="0.15">
      <c r="A406" s="121"/>
      <c r="B406" s="121"/>
      <c r="C406" s="121"/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9"/>
    </row>
    <row r="407" spans="1:15" ht="12.75" customHeight="1" x14ac:dyDescent="0.15">
      <c r="A407" s="121"/>
      <c r="B407" s="121"/>
      <c r="C407" s="121"/>
      <c r="D407" s="121"/>
      <c r="E407" s="121"/>
      <c r="F407" s="121"/>
      <c r="G407" s="121"/>
      <c r="H407" s="121"/>
      <c r="I407" s="121"/>
      <c r="J407" s="121"/>
      <c r="K407" s="121"/>
      <c r="L407" s="121"/>
      <c r="M407" s="121"/>
      <c r="N407" s="121"/>
      <c r="O407" s="19"/>
    </row>
    <row r="408" spans="1:15" ht="12.75" customHeight="1" x14ac:dyDescent="0.15">
      <c r="A408" s="121"/>
      <c r="B408" s="121"/>
      <c r="C408" s="121"/>
      <c r="D408" s="121"/>
      <c r="E408" s="121"/>
      <c r="F408" s="121"/>
      <c r="G408" s="121"/>
      <c r="H408" s="121"/>
      <c r="I408" s="121"/>
      <c r="J408" s="121"/>
      <c r="K408" s="121"/>
      <c r="L408" s="121"/>
      <c r="M408" s="121"/>
      <c r="N408" s="121"/>
      <c r="O408" s="19"/>
    </row>
    <row r="409" spans="1:15" ht="12.75" customHeight="1" x14ac:dyDescent="0.15">
      <c r="A409" s="121"/>
      <c r="B409" s="121"/>
      <c r="C409" s="121"/>
      <c r="D409" s="121"/>
      <c r="E409" s="121"/>
      <c r="F409" s="121"/>
      <c r="G409" s="121"/>
      <c r="H409" s="121"/>
      <c r="I409" s="121"/>
      <c r="J409" s="121"/>
      <c r="K409" s="121"/>
      <c r="L409" s="121"/>
      <c r="M409" s="121"/>
      <c r="N409" s="121"/>
      <c r="O409" s="19"/>
    </row>
    <row r="410" spans="1:15" ht="12.75" customHeight="1" x14ac:dyDescent="0.15">
      <c r="A410" s="121"/>
      <c r="B410" s="121"/>
      <c r="C410" s="121"/>
      <c r="D410" s="121"/>
      <c r="E410" s="121"/>
      <c r="F410" s="121"/>
      <c r="G410" s="121"/>
      <c r="H410" s="121"/>
      <c r="I410" s="121"/>
      <c r="J410" s="121"/>
      <c r="K410" s="121"/>
      <c r="L410" s="121"/>
      <c r="M410" s="121"/>
      <c r="N410" s="121"/>
      <c r="O410" s="19"/>
    </row>
    <row r="411" spans="1:15" ht="12.75" customHeight="1" x14ac:dyDescent="0.15">
      <c r="A411" s="121"/>
      <c r="B411" s="121"/>
      <c r="C411" s="121"/>
      <c r="D411" s="121"/>
      <c r="E411" s="121"/>
      <c r="F411" s="121"/>
      <c r="G411" s="121"/>
      <c r="H411" s="121"/>
      <c r="I411" s="121"/>
      <c r="J411" s="121"/>
      <c r="K411" s="121"/>
      <c r="L411" s="121"/>
      <c r="M411" s="121"/>
      <c r="N411" s="121"/>
      <c r="O411" s="19"/>
    </row>
    <row r="412" spans="1:15" ht="12.75" customHeight="1" x14ac:dyDescent="0.15">
      <c r="A412" s="121"/>
      <c r="B412" s="121"/>
      <c r="C412" s="121"/>
      <c r="D412" s="121"/>
      <c r="E412" s="121"/>
      <c r="F412" s="121"/>
      <c r="G412" s="121"/>
      <c r="H412" s="121"/>
      <c r="I412" s="121"/>
      <c r="J412" s="121"/>
      <c r="K412" s="121"/>
      <c r="L412" s="121"/>
      <c r="M412" s="121"/>
      <c r="N412" s="121"/>
      <c r="O412" s="19"/>
    </row>
    <row r="413" spans="1:15" ht="12.75" customHeight="1" x14ac:dyDescent="0.15">
      <c r="A413" s="121"/>
      <c r="B413" s="121"/>
      <c r="C413" s="121"/>
      <c r="D413" s="121"/>
      <c r="E413" s="121"/>
      <c r="F413" s="121"/>
      <c r="G413" s="121"/>
      <c r="H413" s="121"/>
      <c r="I413" s="121"/>
      <c r="J413" s="121"/>
      <c r="K413" s="121"/>
      <c r="L413" s="121"/>
      <c r="M413" s="121"/>
      <c r="N413" s="121"/>
      <c r="O413" s="19"/>
    </row>
    <row r="414" spans="1:15" ht="12.75" customHeight="1" x14ac:dyDescent="0.15">
      <c r="A414" s="121"/>
      <c r="B414" s="121"/>
      <c r="C414" s="121"/>
      <c r="D414" s="121"/>
      <c r="E414" s="121"/>
      <c r="F414" s="121"/>
      <c r="G414" s="121"/>
      <c r="H414" s="121"/>
      <c r="I414" s="121"/>
      <c r="J414" s="121"/>
      <c r="K414" s="121"/>
      <c r="L414" s="121"/>
      <c r="M414" s="121"/>
      <c r="N414" s="121"/>
      <c r="O414" s="19"/>
    </row>
    <row r="415" spans="1:15" ht="12.75" customHeight="1" x14ac:dyDescent="0.15">
      <c r="A415" s="121"/>
      <c r="B415" s="121"/>
      <c r="C415" s="121"/>
      <c r="D415" s="121"/>
      <c r="E415" s="121"/>
      <c r="F415" s="121"/>
      <c r="G415" s="121"/>
      <c r="H415" s="121"/>
      <c r="I415" s="121"/>
      <c r="J415" s="121"/>
      <c r="K415" s="121"/>
      <c r="L415" s="121"/>
      <c r="M415" s="121"/>
      <c r="N415" s="121"/>
      <c r="O415" s="19"/>
    </row>
    <row r="416" spans="1:15" ht="12.75" customHeight="1" x14ac:dyDescent="0.15">
      <c r="A416" s="121"/>
      <c r="B416" s="121"/>
      <c r="C416" s="121"/>
      <c r="D416" s="121"/>
      <c r="E416" s="121"/>
      <c r="F416" s="121"/>
      <c r="G416" s="121"/>
      <c r="H416" s="121"/>
      <c r="I416" s="121"/>
      <c r="J416" s="121"/>
      <c r="K416" s="121"/>
      <c r="L416" s="121"/>
      <c r="M416" s="121"/>
      <c r="N416" s="121"/>
      <c r="O416" s="19"/>
    </row>
    <row r="417" spans="1:15" ht="12.75" customHeight="1" x14ac:dyDescent="0.15">
      <c r="A417" s="121"/>
      <c r="B417" s="121"/>
      <c r="C417" s="121"/>
      <c r="D417" s="121"/>
      <c r="E417" s="121"/>
      <c r="F417" s="121"/>
      <c r="G417" s="121"/>
      <c r="H417" s="121"/>
      <c r="I417" s="121"/>
      <c r="J417" s="121"/>
      <c r="K417" s="121"/>
      <c r="L417" s="121"/>
      <c r="M417" s="121"/>
      <c r="N417" s="121"/>
      <c r="O417" s="19"/>
    </row>
    <row r="418" spans="1:15" ht="12.75" customHeight="1" x14ac:dyDescent="0.15">
      <c r="A418" s="121"/>
      <c r="B418" s="121"/>
      <c r="C418" s="121"/>
      <c r="D418" s="121"/>
      <c r="E418" s="121"/>
      <c r="F418" s="121"/>
      <c r="G418" s="121"/>
      <c r="H418" s="121"/>
      <c r="I418" s="121"/>
      <c r="J418" s="121"/>
      <c r="K418" s="121"/>
      <c r="L418" s="121"/>
      <c r="M418" s="121"/>
      <c r="N418" s="121"/>
      <c r="O418" s="19"/>
    </row>
    <row r="419" spans="1:15" ht="12.75" customHeight="1" x14ac:dyDescent="0.15">
      <c r="A419" s="121"/>
      <c r="B419" s="121"/>
      <c r="C419" s="121"/>
      <c r="D419" s="121"/>
      <c r="E419" s="121"/>
      <c r="F419" s="121"/>
      <c r="G419" s="121"/>
      <c r="H419" s="121"/>
      <c r="I419" s="121"/>
      <c r="J419" s="121"/>
      <c r="K419" s="121"/>
      <c r="L419" s="121"/>
      <c r="M419" s="121"/>
      <c r="N419" s="121"/>
      <c r="O419" s="19"/>
    </row>
    <row r="420" spans="1:15" ht="12.75" customHeight="1" x14ac:dyDescent="0.15">
      <c r="A420" s="121"/>
      <c r="B420" s="121"/>
      <c r="C420" s="121"/>
      <c r="D420" s="121"/>
      <c r="E420" s="121"/>
      <c r="F420" s="121"/>
      <c r="G420" s="121"/>
      <c r="H420" s="121"/>
      <c r="I420" s="121"/>
      <c r="J420" s="121"/>
      <c r="K420" s="121"/>
      <c r="L420" s="121"/>
      <c r="M420" s="121"/>
      <c r="N420" s="121"/>
      <c r="O420" s="19"/>
    </row>
    <row r="421" spans="1:15" ht="12.75" customHeight="1" x14ac:dyDescent="0.15">
      <c r="A421" s="121"/>
      <c r="B421" s="121"/>
      <c r="C421" s="121"/>
      <c r="D421" s="121"/>
      <c r="E421" s="121"/>
      <c r="F421" s="121"/>
      <c r="G421" s="121"/>
      <c r="H421" s="121"/>
      <c r="I421" s="121"/>
      <c r="J421" s="121"/>
      <c r="K421" s="121"/>
      <c r="L421" s="121"/>
      <c r="M421" s="121"/>
      <c r="N421" s="121"/>
      <c r="O421" s="19"/>
    </row>
    <row r="422" spans="1:15" ht="12.75" customHeight="1" x14ac:dyDescent="0.15">
      <c r="A422" s="121"/>
      <c r="B422" s="121"/>
      <c r="C422" s="121"/>
      <c r="D422" s="121"/>
      <c r="E422" s="121"/>
      <c r="F422" s="121"/>
      <c r="G422" s="121"/>
      <c r="H422" s="121"/>
      <c r="I422" s="121"/>
      <c r="J422" s="121"/>
      <c r="K422" s="121"/>
      <c r="L422" s="121"/>
      <c r="M422" s="121"/>
      <c r="N422" s="121"/>
      <c r="O422" s="19"/>
    </row>
    <row r="423" spans="1:15" ht="12.75" customHeight="1" x14ac:dyDescent="0.15">
      <c r="A423" s="121"/>
      <c r="B423" s="121"/>
      <c r="C423" s="121"/>
      <c r="D423" s="121"/>
      <c r="E423" s="121"/>
      <c r="F423" s="121"/>
      <c r="G423" s="121"/>
      <c r="H423" s="121"/>
      <c r="I423" s="121"/>
      <c r="J423" s="121"/>
      <c r="K423" s="121"/>
      <c r="L423" s="121"/>
      <c r="M423" s="121"/>
      <c r="N423" s="121"/>
      <c r="O423" s="19"/>
    </row>
    <row r="424" spans="1:15" ht="12.75" customHeight="1" x14ac:dyDescent="0.15">
      <c r="A424" s="121"/>
      <c r="B424" s="121"/>
      <c r="C424" s="121"/>
      <c r="D424" s="121"/>
      <c r="E424" s="121"/>
      <c r="F424" s="121"/>
      <c r="G424" s="121"/>
      <c r="H424" s="121"/>
      <c r="I424" s="121"/>
      <c r="J424" s="121"/>
      <c r="K424" s="121"/>
      <c r="L424" s="121"/>
      <c r="M424" s="121"/>
      <c r="N424" s="121"/>
      <c r="O424" s="19"/>
    </row>
    <row r="425" spans="1:15" ht="12.75" customHeight="1" x14ac:dyDescent="0.15">
      <c r="A425" s="121"/>
      <c r="B425" s="121"/>
      <c r="C425" s="121"/>
      <c r="D425" s="121"/>
      <c r="E425" s="121"/>
      <c r="F425" s="121"/>
      <c r="G425" s="121"/>
      <c r="H425" s="121"/>
      <c r="I425" s="121"/>
      <c r="J425" s="121"/>
      <c r="K425" s="121"/>
      <c r="L425" s="121"/>
      <c r="M425" s="121"/>
      <c r="N425" s="121"/>
      <c r="O425" s="19"/>
    </row>
    <row r="426" spans="1:15" ht="12.75" customHeight="1" x14ac:dyDescent="0.15">
      <c r="A426" s="121"/>
      <c r="B426" s="121"/>
      <c r="C426" s="121"/>
      <c r="D426" s="121"/>
      <c r="E426" s="121"/>
      <c r="F426" s="121"/>
      <c r="G426" s="121"/>
      <c r="H426" s="121"/>
      <c r="I426" s="121"/>
      <c r="J426" s="121"/>
      <c r="K426" s="121"/>
      <c r="L426" s="121"/>
      <c r="M426" s="121"/>
      <c r="N426" s="121"/>
      <c r="O426" s="19"/>
    </row>
    <row r="427" spans="1:15" ht="12.75" customHeight="1" x14ac:dyDescent="0.15">
      <c r="A427" s="121"/>
      <c r="B427" s="121"/>
      <c r="C427" s="121"/>
      <c r="D427" s="121"/>
      <c r="E427" s="121"/>
      <c r="F427" s="121"/>
      <c r="G427" s="121"/>
      <c r="H427" s="121"/>
      <c r="I427" s="121"/>
      <c r="J427" s="121"/>
      <c r="K427" s="121"/>
      <c r="L427" s="121"/>
      <c r="M427" s="121"/>
      <c r="N427" s="121"/>
      <c r="O427" s="19"/>
    </row>
    <row r="428" spans="1:15" ht="12.75" customHeight="1" x14ac:dyDescent="0.15">
      <c r="A428" s="121"/>
      <c r="B428" s="121"/>
      <c r="C428" s="121"/>
      <c r="D428" s="121"/>
      <c r="E428" s="121"/>
      <c r="F428" s="121"/>
      <c r="G428" s="121"/>
      <c r="H428" s="121"/>
      <c r="I428" s="121"/>
      <c r="J428" s="121"/>
      <c r="K428" s="121"/>
      <c r="L428" s="121"/>
      <c r="M428" s="121"/>
      <c r="N428" s="121"/>
      <c r="O428" s="19"/>
    </row>
    <row r="429" spans="1:15" ht="12.75" customHeight="1" x14ac:dyDescent="0.15">
      <c r="A429" s="121"/>
      <c r="B429" s="121"/>
      <c r="C429" s="121"/>
      <c r="D429" s="121"/>
      <c r="E429" s="121"/>
      <c r="F429" s="121"/>
      <c r="G429" s="121"/>
      <c r="H429" s="121"/>
      <c r="I429" s="121"/>
      <c r="J429" s="121"/>
      <c r="K429" s="121"/>
      <c r="L429" s="121"/>
      <c r="M429" s="121"/>
      <c r="N429" s="121"/>
      <c r="O429" s="19"/>
    </row>
    <row r="430" spans="1:15" ht="12.75" customHeight="1" x14ac:dyDescent="0.15">
      <c r="A430" s="121"/>
      <c r="B430" s="121"/>
      <c r="C430" s="121"/>
      <c r="D430" s="121"/>
      <c r="E430" s="121"/>
      <c r="F430" s="121"/>
      <c r="G430" s="121"/>
      <c r="H430" s="121"/>
      <c r="I430" s="121"/>
      <c r="J430" s="121"/>
      <c r="K430" s="121"/>
      <c r="L430" s="121"/>
      <c r="M430" s="121"/>
      <c r="N430" s="121"/>
      <c r="O430" s="19"/>
    </row>
    <row r="431" spans="1:15" ht="12.75" customHeight="1" x14ac:dyDescent="0.15">
      <c r="A431" s="121"/>
      <c r="B431" s="121"/>
      <c r="C431" s="121"/>
      <c r="D431" s="121"/>
      <c r="E431" s="121"/>
      <c r="F431" s="121"/>
      <c r="G431" s="121"/>
      <c r="H431" s="121"/>
      <c r="I431" s="121"/>
      <c r="J431" s="121"/>
      <c r="K431" s="121"/>
      <c r="L431" s="121"/>
      <c r="M431" s="121"/>
      <c r="N431" s="121"/>
      <c r="O431" s="19"/>
    </row>
    <row r="432" spans="1:15" ht="12.75" customHeight="1" x14ac:dyDescent="0.15">
      <c r="A432" s="121"/>
      <c r="B432" s="121"/>
      <c r="C432" s="121"/>
      <c r="D432" s="121"/>
      <c r="E432" s="121"/>
      <c r="F432" s="121"/>
      <c r="G432" s="121"/>
      <c r="H432" s="121"/>
      <c r="I432" s="121"/>
      <c r="J432" s="121"/>
      <c r="K432" s="121"/>
      <c r="L432" s="121"/>
      <c r="M432" s="121"/>
      <c r="N432" s="121"/>
      <c r="O432" s="19"/>
    </row>
    <row r="433" spans="1:15" ht="12.75" customHeight="1" x14ac:dyDescent="0.15">
      <c r="A433" s="121"/>
      <c r="B433" s="121"/>
      <c r="C433" s="121"/>
      <c r="D433" s="121"/>
      <c r="E433" s="121"/>
      <c r="F433" s="121"/>
      <c r="G433" s="121"/>
      <c r="H433" s="121"/>
      <c r="I433" s="121"/>
      <c r="J433" s="121"/>
      <c r="K433" s="121"/>
      <c r="L433" s="121"/>
      <c r="M433" s="121"/>
      <c r="N433" s="121"/>
      <c r="O433" s="19"/>
    </row>
    <row r="434" spans="1:15" ht="12.75" customHeight="1" x14ac:dyDescent="0.15">
      <c r="A434" s="121"/>
      <c r="B434" s="121"/>
      <c r="C434" s="121"/>
      <c r="D434" s="121"/>
      <c r="E434" s="121"/>
      <c r="F434" s="121"/>
      <c r="G434" s="121"/>
      <c r="H434" s="121"/>
      <c r="I434" s="121"/>
      <c r="J434" s="121"/>
      <c r="K434" s="121"/>
      <c r="L434" s="121"/>
      <c r="M434" s="121"/>
      <c r="N434" s="121"/>
      <c r="O434" s="19"/>
    </row>
    <row r="435" spans="1:15" ht="12.75" customHeight="1" x14ac:dyDescent="0.15">
      <c r="A435" s="121"/>
      <c r="B435" s="121"/>
      <c r="C435" s="121"/>
      <c r="D435" s="121"/>
      <c r="E435" s="121"/>
      <c r="F435" s="121"/>
      <c r="G435" s="121"/>
      <c r="H435" s="121"/>
      <c r="I435" s="121"/>
      <c r="J435" s="121"/>
      <c r="K435" s="121"/>
      <c r="L435" s="121"/>
      <c r="M435" s="121"/>
      <c r="N435" s="121"/>
      <c r="O435" s="19"/>
    </row>
    <row r="436" spans="1:15" ht="12.75" customHeight="1" x14ac:dyDescent="0.15">
      <c r="A436" s="121"/>
      <c r="B436" s="121"/>
      <c r="C436" s="121"/>
      <c r="D436" s="121"/>
      <c r="E436" s="121"/>
      <c r="F436" s="121"/>
      <c r="G436" s="121"/>
      <c r="H436" s="121"/>
      <c r="I436" s="121"/>
      <c r="J436" s="121"/>
      <c r="K436" s="121"/>
      <c r="L436" s="121"/>
      <c r="M436" s="121"/>
      <c r="N436" s="121"/>
      <c r="O436" s="19"/>
    </row>
    <row r="437" spans="1:15" ht="12.75" customHeight="1" x14ac:dyDescent="0.15">
      <c r="A437" s="121"/>
      <c r="B437" s="121"/>
      <c r="C437" s="121"/>
      <c r="D437" s="121"/>
      <c r="E437" s="121"/>
      <c r="F437" s="121"/>
      <c r="G437" s="121"/>
      <c r="H437" s="121"/>
      <c r="I437" s="121"/>
      <c r="J437" s="121"/>
      <c r="K437" s="121"/>
      <c r="L437" s="121"/>
      <c r="M437" s="121"/>
      <c r="N437" s="121"/>
      <c r="O437" s="19"/>
    </row>
    <row r="438" spans="1:15" ht="12.75" customHeight="1" x14ac:dyDescent="0.15">
      <c r="A438" s="121"/>
      <c r="B438" s="121"/>
      <c r="C438" s="121"/>
      <c r="D438" s="121"/>
      <c r="E438" s="121"/>
      <c r="F438" s="121"/>
      <c r="G438" s="121"/>
      <c r="H438" s="121"/>
      <c r="I438" s="121"/>
      <c r="J438" s="121"/>
      <c r="K438" s="121"/>
      <c r="L438" s="121"/>
      <c r="M438" s="121"/>
      <c r="N438" s="121"/>
      <c r="O438" s="19"/>
    </row>
    <row r="439" spans="1:15" ht="12.75" customHeight="1" x14ac:dyDescent="0.15">
      <c r="A439" s="121"/>
      <c r="B439" s="121"/>
      <c r="C439" s="121"/>
      <c r="D439" s="121"/>
      <c r="E439" s="121"/>
      <c r="F439" s="121"/>
      <c r="G439" s="121"/>
      <c r="H439" s="121"/>
      <c r="I439" s="121"/>
      <c r="J439" s="121"/>
      <c r="K439" s="121"/>
      <c r="L439" s="121"/>
      <c r="M439" s="121"/>
      <c r="N439" s="121"/>
      <c r="O439" s="19"/>
    </row>
    <row r="440" spans="1:15" ht="12.75" customHeight="1" x14ac:dyDescent="0.15">
      <c r="A440" s="121"/>
      <c r="B440" s="121"/>
      <c r="C440" s="121"/>
      <c r="D440" s="121"/>
      <c r="E440" s="121"/>
      <c r="F440" s="121"/>
      <c r="G440" s="121"/>
      <c r="H440" s="121"/>
      <c r="I440" s="121"/>
      <c r="J440" s="121"/>
      <c r="K440" s="121"/>
      <c r="L440" s="121"/>
      <c r="M440" s="121"/>
      <c r="N440" s="121"/>
      <c r="O440" s="19"/>
    </row>
    <row r="441" spans="1:15" ht="12.75" customHeight="1" x14ac:dyDescent="0.15">
      <c r="A441" s="121"/>
      <c r="B441" s="121"/>
      <c r="C441" s="121"/>
      <c r="D441" s="121"/>
      <c r="E441" s="121"/>
      <c r="F441" s="121"/>
      <c r="G441" s="121"/>
      <c r="H441" s="121"/>
      <c r="I441" s="121"/>
      <c r="J441" s="121"/>
      <c r="K441" s="121"/>
      <c r="L441" s="121"/>
      <c r="M441" s="121"/>
      <c r="N441" s="121"/>
      <c r="O441" s="19"/>
    </row>
    <row r="442" spans="1:15" ht="12.75" customHeight="1" x14ac:dyDescent="0.15">
      <c r="A442" s="121"/>
      <c r="B442" s="121"/>
      <c r="C442" s="121"/>
      <c r="D442" s="121"/>
      <c r="E442" s="121"/>
      <c r="F442" s="121"/>
      <c r="G442" s="121"/>
      <c r="H442" s="121"/>
      <c r="I442" s="121"/>
      <c r="J442" s="121"/>
      <c r="K442" s="121"/>
      <c r="L442" s="121"/>
      <c r="M442" s="121"/>
      <c r="N442" s="121"/>
      <c r="O442" s="19"/>
    </row>
    <row r="443" spans="1:15" ht="12.75" customHeight="1" x14ac:dyDescent="0.15">
      <c r="A443" s="121"/>
      <c r="B443" s="121"/>
      <c r="C443" s="121"/>
      <c r="D443" s="121"/>
      <c r="E443" s="121"/>
      <c r="F443" s="121"/>
      <c r="G443" s="121"/>
      <c r="H443" s="121"/>
      <c r="I443" s="121"/>
      <c r="J443" s="121"/>
      <c r="K443" s="121"/>
      <c r="L443" s="121"/>
      <c r="M443" s="121"/>
      <c r="N443" s="121"/>
      <c r="O443" s="19"/>
    </row>
    <row r="444" spans="1:15" ht="12.75" customHeight="1" x14ac:dyDescent="0.15">
      <c r="A444" s="121"/>
      <c r="B444" s="121"/>
      <c r="C444" s="121"/>
      <c r="D444" s="121"/>
      <c r="E444" s="121"/>
      <c r="F444" s="121"/>
      <c r="G444" s="121"/>
      <c r="H444" s="121"/>
      <c r="I444" s="121"/>
      <c r="J444" s="121"/>
      <c r="K444" s="121"/>
      <c r="L444" s="121"/>
      <c r="M444" s="121"/>
      <c r="N444" s="121"/>
      <c r="O444" s="19"/>
    </row>
    <row r="445" spans="1:15" ht="12.75" customHeight="1" x14ac:dyDescent="0.15">
      <c r="A445" s="121"/>
      <c r="B445" s="121"/>
      <c r="C445" s="121"/>
      <c r="D445" s="121"/>
      <c r="E445" s="121"/>
      <c r="F445" s="121"/>
      <c r="G445" s="121"/>
      <c r="H445" s="121"/>
      <c r="I445" s="121"/>
      <c r="J445" s="121"/>
      <c r="K445" s="121"/>
      <c r="L445" s="121"/>
      <c r="M445" s="121"/>
      <c r="N445" s="121"/>
      <c r="O445" s="19"/>
    </row>
    <row r="446" spans="1:15" ht="12.75" customHeight="1" x14ac:dyDescent="0.15">
      <c r="A446" s="121"/>
      <c r="B446" s="121"/>
      <c r="C446" s="121"/>
      <c r="D446" s="121"/>
      <c r="E446" s="121"/>
      <c r="F446" s="121"/>
      <c r="G446" s="121"/>
      <c r="H446" s="121"/>
      <c r="I446" s="121"/>
      <c r="J446" s="121"/>
      <c r="K446" s="121"/>
      <c r="L446" s="121"/>
      <c r="M446" s="121"/>
      <c r="N446" s="121"/>
      <c r="O446" s="19"/>
    </row>
    <row r="447" spans="1:15" ht="12.75" customHeight="1" x14ac:dyDescent="0.15">
      <c r="A447" s="121"/>
      <c r="B447" s="121"/>
      <c r="C447" s="121"/>
      <c r="D447" s="121"/>
      <c r="E447" s="121"/>
      <c r="F447" s="121"/>
      <c r="G447" s="121"/>
      <c r="H447" s="121"/>
      <c r="I447" s="121"/>
      <c r="J447" s="121"/>
      <c r="K447" s="121"/>
      <c r="L447" s="121"/>
      <c r="M447" s="121"/>
      <c r="N447" s="121"/>
      <c r="O447" s="19"/>
    </row>
    <row r="448" spans="1:15" ht="12.75" customHeight="1" x14ac:dyDescent="0.15">
      <c r="A448" s="121"/>
      <c r="B448" s="121"/>
      <c r="C448" s="121"/>
      <c r="D448" s="121"/>
      <c r="E448" s="121"/>
      <c r="F448" s="121"/>
      <c r="G448" s="121"/>
      <c r="H448" s="121"/>
      <c r="I448" s="121"/>
      <c r="J448" s="121"/>
      <c r="K448" s="121"/>
      <c r="L448" s="121"/>
      <c r="M448" s="121"/>
      <c r="N448" s="121"/>
      <c r="O448" s="19"/>
    </row>
    <row r="449" spans="1:15" ht="12.75" customHeight="1" x14ac:dyDescent="0.15">
      <c r="A449" s="121"/>
      <c r="B449" s="121"/>
      <c r="C449" s="121"/>
      <c r="D449" s="121"/>
      <c r="E449" s="121"/>
      <c r="F449" s="121"/>
      <c r="G449" s="121"/>
      <c r="H449" s="121"/>
      <c r="I449" s="121"/>
      <c r="J449" s="121"/>
      <c r="K449" s="121"/>
      <c r="L449" s="121"/>
      <c r="M449" s="121"/>
      <c r="N449" s="121"/>
      <c r="O449" s="19"/>
    </row>
    <row r="450" spans="1:15" ht="12.75" customHeight="1" x14ac:dyDescent="0.15">
      <c r="A450" s="121"/>
      <c r="B450" s="121"/>
      <c r="C450" s="121"/>
      <c r="D450" s="121"/>
      <c r="E450" s="121"/>
      <c r="F450" s="121"/>
      <c r="G450" s="121"/>
      <c r="H450" s="121"/>
      <c r="I450" s="121"/>
      <c r="J450" s="121"/>
      <c r="K450" s="121"/>
      <c r="L450" s="121"/>
      <c r="M450" s="121"/>
      <c r="N450" s="121"/>
      <c r="O450" s="19"/>
    </row>
    <row r="451" spans="1:15" ht="12.75" customHeight="1" x14ac:dyDescent="0.15">
      <c r="A451" s="121"/>
      <c r="B451" s="121"/>
      <c r="C451" s="121"/>
      <c r="D451" s="121"/>
      <c r="E451" s="121"/>
      <c r="F451" s="121"/>
      <c r="G451" s="121"/>
      <c r="H451" s="121"/>
      <c r="I451" s="121"/>
      <c r="J451" s="121"/>
      <c r="K451" s="121"/>
      <c r="L451" s="121"/>
      <c r="M451" s="121"/>
      <c r="N451" s="121"/>
      <c r="O451" s="19"/>
    </row>
    <row r="452" spans="1:15" ht="12.75" customHeight="1" x14ac:dyDescent="0.15">
      <c r="A452" s="121"/>
      <c r="B452" s="121"/>
      <c r="C452" s="121"/>
      <c r="D452" s="121"/>
      <c r="E452" s="121"/>
      <c r="F452" s="121"/>
      <c r="G452" s="121"/>
      <c r="H452" s="121"/>
      <c r="I452" s="121"/>
      <c r="J452" s="121"/>
      <c r="K452" s="121"/>
      <c r="L452" s="121"/>
      <c r="M452" s="121"/>
      <c r="N452" s="121"/>
      <c r="O452" s="19"/>
    </row>
    <row r="453" spans="1:15" ht="12.75" customHeight="1" x14ac:dyDescent="0.15">
      <c r="A453" s="121"/>
      <c r="B453" s="121"/>
      <c r="C453" s="121"/>
      <c r="D453" s="121"/>
      <c r="E453" s="121"/>
      <c r="F453" s="121"/>
      <c r="G453" s="121"/>
      <c r="H453" s="121"/>
      <c r="I453" s="121"/>
      <c r="J453" s="121"/>
      <c r="K453" s="121"/>
      <c r="L453" s="121"/>
      <c r="M453" s="121"/>
      <c r="N453" s="121"/>
      <c r="O453" s="19"/>
    </row>
    <row r="454" spans="1:15" ht="12.75" customHeight="1" x14ac:dyDescent="0.15">
      <c r="A454" s="121"/>
      <c r="B454" s="121"/>
      <c r="C454" s="121"/>
      <c r="D454" s="121"/>
      <c r="E454" s="121"/>
      <c r="F454" s="121"/>
      <c r="G454" s="121"/>
      <c r="H454" s="121"/>
      <c r="I454" s="121"/>
      <c r="J454" s="121"/>
      <c r="K454" s="121"/>
      <c r="L454" s="121"/>
      <c r="M454" s="121"/>
      <c r="N454" s="121"/>
      <c r="O454" s="19"/>
    </row>
    <row r="455" spans="1:15" ht="12.75" customHeight="1" x14ac:dyDescent="0.15">
      <c r="A455" s="121"/>
      <c r="B455" s="121"/>
      <c r="C455" s="121"/>
      <c r="D455" s="121"/>
      <c r="E455" s="121"/>
      <c r="F455" s="121"/>
      <c r="G455" s="121"/>
      <c r="H455" s="121"/>
      <c r="I455" s="121"/>
      <c r="J455" s="121"/>
      <c r="K455" s="121"/>
      <c r="L455" s="121"/>
      <c r="M455" s="121"/>
      <c r="N455" s="121"/>
      <c r="O455" s="19"/>
    </row>
    <row r="456" spans="1:15" ht="12.75" customHeight="1" x14ac:dyDescent="0.15">
      <c r="A456" s="121"/>
      <c r="B456" s="121"/>
      <c r="C456" s="121"/>
      <c r="D456" s="121"/>
      <c r="E456" s="121"/>
      <c r="F456" s="121"/>
      <c r="G456" s="121"/>
      <c r="H456" s="121"/>
      <c r="I456" s="121"/>
      <c r="J456" s="121"/>
      <c r="K456" s="121"/>
      <c r="L456" s="121"/>
      <c r="M456" s="121"/>
      <c r="N456" s="121"/>
      <c r="O456" s="19"/>
    </row>
    <row r="457" spans="1:15" ht="12.75" customHeight="1" x14ac:dyDescent="0.15">
      <c r="A457" s="121"/>
      <c r="B457" s="121"/>
      <c r="C457" s="121"/>
      <c r="D457" s="121"/>
      <c r="E457" s="121"/>
      <c r="F457" s="121"/>
      <c r="G457" s="121"/>
      <c r="H457" s="121"/>
      <c r="I457" s="121"/>
      <c r="J457" s="121"/>
      <c r="K457" s="121"/>
      <c r="L457" s="121"/>
      <c r="M457" s="121"/>
      <c r="N457" s="121"/>
      <c r="O457" s="19"/>
    </row>
    <row r="458" spans="1:15" ht="12.75" customHeight="1" x14ac:dyDescent="0.15">
      <c r="A458" s="121"/>
      <c r="B458" s="121"/>
      <c r="C458" s="121"/>
      <c r="D458" s="121"/>
      <c r="E458" s="121"/>
      <c r="F458" s="121"/>
      <c r="G458" s="121"/>
      <c r="H458" s="121"/>
      <c r="I458" s="121"/>
      <c r="J458" s="121"/>
      <c r="K458" s="121"/>
      <c r="L458" s="121"/>
      <c r="M458" s="121"/>
      <c r="N458" s="121"/>
      <c r="O458" s="19"/>
    </row>
    <row r="459" spans="1:15" ht="12.75" customHeight="1" x14ac:dyDescent="0.15">
      <c r="A459" s="121"/>
      <c r="B459" s="121"/>
      <c r="C459" s="121"/>
      <c r="D459" s="121"/>
      <c r="E459" s="121"/>
      <c r="F459" s="121"/>
      <c r="G459" s="121"/>
      <c r="H459" s="121"/>
      <c r="I459" s="121"/>
      <c r="J459" s="121"/>
      <c r="K459" s="121"/>
      <c r="L459" s="121"/>
      <c r="M459" s="121"/>
      <c r="N459" s="121"/>
      <c r="O459" s="19"/>
    </row>
    <row r="460" spans="1:15" ht="12.75" customHeight="1" x14ac:dyDescent="0.15">
      <c r="A460" s="121"/>
      <c r="B460" s="121"/>
      <c r="C460" s="121"/>
      <c r="D460" s="121"/>
      <c r="E460" s="121"/>
      <c r="F460" s="121"/>
      <c r="G460" s="121"/>
      <c r="H460" s="121"/>
      <c r="I460" s="121"/>
      <c r="J460" s="121"/>
      <c r="K460" s="121"/>
      <c r="L460" s="121"/>
      <c r="M460" s="121"/>
      <c r="N460" s="121"/>
      <c r="O460" s="19"/>
    </row>
    <row r="461" spans="1:15" ht="12.75" customHeight="1" x14ac:dyDescent="0.15">
      <c r="A461" s="121"/>
      <c r="B461" s="121"/>
      <c r="C461" s="121"/>
      <c r="D461" s="121"/>
      <c r="E461" s="121"/>
      <c r="F461" s="121"/>
      <c r="G461" s="121"/>
      <c r="H461" s="121"/>
      <c r="I461" s="121"/>
      <c r="J461" s="121"/>
      <c r="K461" s="121"/>
      <c r="L461" s="121"/>
      <c r="M461" s="121"/>
      <c r="N461" s="121"/>
      <c r="O461" s="19"/>
    </row>
    <row r="462" spans="1:15" ht="12.75" customHeight="1" x14ac:dyDescent="0.15">
      <c r="A462" s="121"/>
      <c r="B462" s="121"/>
      <c r="C462" s="121"/>
      <c r="D462" s="121"/>
      <c r="E462" s="121"/>
      <c r="F462" s="121"/>
      <c r="G462" s="121"/>
      <c r="H462" s="121"/>
      <c r="I462" s="121"/>
      <c r="J462" s="121"/>
      <c r="K462" s="121"/>
      <c r="L462" s="121"/>
      <c r="M462" s="121"/>
      <c r="N462" s="121"/>
      <c r="O462" s="19"/>
    </row>
    <row r="463" spans="1:15" ht="12.75" customHeight="1" x14ac:dyDescent="0.15">
      <c r="A463" s="121"/>
      <c r="B463" s="121"/>
      <c r="C463" s="121"/>
      <c r="D463" s="121"/>
      <c r="E463" s="121"/>
      <c r="F463" s="121"/>
      <c r="G463" s="121"/>
      <c r="H463" s="121"/>
      <c r="I463" s="121"/>
      <c r="J463" s="121"/>
      <c r="K463" s="121"/>
      <c r="L463" s="121"/>
      <c r="M463" s="121"/>
      <c r="N463" s="121"/>
      <c r="O463" s="19"/>
    </row>
    <row r="464" spans="1:15" ht="12.75" customHeight="1" x14ac:dyDescent="0.15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21"/>
      <c r="L464" s="121"/>
      <c r="M464" s="121"/>
      <c r="N464" s="121"/>
      <c r="O464" s="19"/>
    </row>
    <row r="465" spans="1:15" ht="12.75" customHeight="1" x14ac:dyDescent="0.15">
      <c r="A465" s="121"/>
      <c r="B465" s="121"/>
      <c r="C465" s="121"/>
      <c r="D465" s="121"/>
      <c r="E465" s="121"/>
      <c r="F465" s="121"/>
      <c r="G465" s="121"/>
      <c r="H465" s="121"/>
      <c r="I465" s="121"/>
      <c r="J465" s="121"/>
      <c r="K465" s="121"/>
      <c r="L465" s="121"/>
      <c r="M465" s="121"/>
      <c r="N465" s="121"/>
      <c r="O465" s="19"/>
    </row>
    <row r="466" spans="1:15" ht="12.75" customHeight="1" x14ac:dyDescent="0.15">
      <c r="A466" s="121"/>
      <c r="B466" s="121"/>
      <c r="C466" s="121"/>
      <c r="D466" s="121"/>
      <c r="E466" s="121"/>
      <c r="F466" s="121"/>
      <c r="G466" s="121"/>
      <c r="H466" s="121"/>
      <c r="I466" s="121"/>
      <c r="J466" s="121"/>
      <c r="K466" s="121"/>
      <c r="L466" s="121"/>
      <c r="M466" s="121"/>
      <c r="N466" s="121"/>
      <c r="O466" s="19"/>
    </row>
    <row r="467" spans="1:15" ht="12.75" customHeight="1" x14ac:dyDescent="0.15">
      <c r="A467" s="121"/>
      <c r="B467" s="121"/>
      <c r="C467" s="121"/>
      <c r="D467" s="121"/>
      <c r="E467" s="121"/>
      <c r="F467" s="121"/>
      <c r="G467" s="121"/>
      <c r="H467" s="121"/>
      <c r="I467" s="121"/>
      <c r="J467" s="121"/>
      <c r="K467" s="121"/>
      <c r="L467" s="121"/>
      <c r="M467" s="121"/>
      <c r="N467" s="121"/>
      <c r="O467" s="19"/>
    </row>
    <row r="468" spans="1:15" ht="12.75" customHeight="1" x14ac:dyDescent="0.15">
      <c r="A468" s="121"/>
      <c r="B468" s="121"/>
      <c r="C468" s="121"/>
      <c r="D468" s="121"/>
      <c r="E468" s="121"/>
      <c r="F468" s="121"/>
      <c r="G468" s="121"/>
      <c r="H468" s="121"/>
      <c r="I468" s="121"/>
      <c r="J468" s="121"/>
      <c r="K468" s="121"/>
      <c r="L468" s="121"/>
      <c r="M468" s="121"/>
      <c r="N468" s="121"/>
      <c r="O468" s="19"/>
    </row>
    <row r="469" spans="1:15" ht="12.75" customHeight="1" x14ac:dyDescent="0.15">
      <c r="A469" s="121"/>
      <c r="B469" s="121"/>
      <c r="C469" s="121"/>
      <c r="D469" s="121"/>
      <c r="E469" s="121"/>
      <c r="F469" s="121"/>
      <c r="G469" s="121"/>
      <c r="H469" s="121"/>
      <c r="I469" s="121"/>
      <c r="J469" s="121"/>
      <c r="K469" s="121"/>
      <c r="L469" s="121"/>
      <c r="M469" s="121"/>
      <c r="N469" s="121"/>
      <c r="O469" s="19"/>
    </row>
    <row r="470" spans="1:15" ht="12.75" customHeight="1" x14ac:dyDescent="0.15">
      <c r="A470" s="121"/>
      <c r="B470" s="121"/>
      <c r="C470" s="121"/>
      <c r="D470" s="121"/>
      <c r="E470" s="121"/>
      <c r="F470" s="121"/>
      <c r="G470" s="121"/>
      <c r="H470" s="121"/>
      <c r="I470" s="121"/>
      <c r="J470" s="121"/>
      <c r="K470" s="121"/>
      <c r="L470" s="121"/>
      <c r="M470" s="121"/>
      <c r="N470" s="121"/>
      <c r="O470" s="19"/>
    </row>
    <row r="471" spans="1:15" ht="12.75" customHeight="1" x14ac:dyDescent="0.15">
      <c r="A471" s="121"/>
      <c r="B471" s="121"/>
      <c r="C471" s="121"/>
      <c r="D471" s="121"/>
      <c r="E471" s="121"/>
      <c r="F471" s="121"/>
      <c r="G471" s="121"/>
      <c r="H471" s="121"/>
      <c r="I471" s="121"/>
      <c r="J471" s="121"/>
      <c r="K471" s="121"/>
      <c r="L471" s="121"/>
      <c r="M471" s="121"/>
      <c r="N471" s="121"/>
      <c r="O471" s="19"/>
    </row>
    <row r="472" spans="1:15" ht="12.75" customHeight="1" x14ac:dyDescent="0.15">
      <c r="A472" s="121"/>
      <c r="B472" s="121"/>
      <c r="C472" s="121"/>
      <c r="D472" s="121"/>
      <c r="E472" s="121"/>
      <c r="F472" s="121"/>
      <c r="G472" s="121"/>
      <c r="H472" s="121"/>
      <c r="I472" s="121"/>
      <c r="J472" s="121"/>
      <c r="K472" s="121"/>
      <c r="L472" s="121"/>
      <c r="M472" s="121"/>
      <c r="N472" s="121"/>
      <c r="O472" s="19"/>
    </row>
    <row r="473" spans="1:15" ht="12.75" customHeight="1" x14ac:dyDescent="0.15">
      <c r="A473" s="121"/>
      <c r="B473" s="121"/>
      <c r="C473" s="121"/>
      <c r="D473" s="121"/>
      <c r="E473" s="121"/>
      <c r="F473" s="121"/>
      <c r="G473" s="121"/>
      <c r="H473" s="121"/>
      <c r="I473" s="121"/>
      <c r="J473" s="121"/>
      <c r="K473" s="121"/>
      <c r="L473" s="121"/>
      <c r="M473" s="121"/>
      <c r="N473" s="121"/>
      <c r="O473" s="19"/>
    </row>
    <row r="474" spans="1:15" ht="12.75" customHeight="1" x14ac:dyDescent="0.15">
      <c r="A474" s="121"/>
      <c r="B474" s="121"/>
      <c r="C474" s="121"/>
      <c r="D474" s="121"/>
      <c r="E474" s="121"/>
      <c r="F474" s="121"/>
      <c r="G474" s="121"/>
      <c r="H474" s="121"/>
      <c r="I474" s="121"/>
      <c r="J474" s="121"/>
      <c r="K474" s="121"/>
      <c r="L474" s="121"/>
      <c r="M474" s="121"/>
      <c r="N474" s="121"/>
      <c r="O474" s="19"/>
    </row>
    <row r="475" spans="1:15" ht="12.75" customHeight="1" x14ac:dyDescent="0.15">
      <c r="A475" s="121"/>
      <c r="B475" s="121"/>
      <c r="C475" s="121"/>
      <c r="D475" s="121"/>
      <c r="E475" s="121"/>
      <c r="F475" s="121"/>
      <c r="G475" s="121"/>
      <c r="H475" s="121"/>
      <c r="I475" s="121"/>
      <c r="J475" s="121"/>
      <c r="K475" s="121"/>
      <c r="L475" s="121"/>
      <c r="M475" s="121"/>
      <c r="N475" s="121"/>
      <c r="O475" s="19"/>
    </row>
    <row r="476" spans="1:15" ht="12.75" customHeight="1" x14ac:dyDescent="0.15">
      <c r="A476" s="121"/>
      <c r="B476" s="121"/>
      <c r="C476" s="121"/>
      <c r="D476" s="121"/>
      <c r="E476" s="121"/>
      <c r="F476" s="121"/>
      <c r="G476" s="121"/>
      <c r="H476" s="121"/>
      <c r="I476" s="121"/>
      <c r="J476" s="121"/>
      <c r="K476" s="121"/>
      <c r="L476" s="121"/>
      <c r="M476" s="121"/>
      <c r="N476" s="121"/>
      <c r="O476" s="19"/>
    </row>
    <row r="477" spans="1:15" ht="12.75" customHeight="1" x14ac:dyDescent="0.15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  <c r="K477" s="121"/>
      <c r="L477" s="121"/>
      <c r="M477" s="121"/>
      <c r="N477" s="121"/>
      <c r="O477" s="19"/>
    </row>
    <row r="478" spans="1:15" ht="12.75" customHeight="1" x14ac:dyDescent="0.15">
      <c r="A478" s="121"/>
      <c r="B478" s="121"/>
      <c r="C478" s="121"/>
      <c r="D478" s="121"/>
      <c r="E478" s="121"/>
      <c r="F478" s="121"/>
      <c r="G478" s="121"/>
      <c r="H478" s="121"/>
      <c r="I478" s="121"/>
      <c r="J478" s="121"/>
      <c r="K478" s="121"/>
      <c r="L478" s="121"/>
      <c r="M478" s="121"/>
      <c r="N478" s="121"/>
      <c r="O478" s="19"/>
    </row>
    <row r="479" spans="1:15" ht="12.75" customHeight="1" x14ac:dyDescent="0.15">
      <c r="A479" s="121"/>
      <c r="B479" s="121"/>
      <c r="C479" s="121"/>
      <c r="D479" s="121"/>
      <c r="E479" s="121"/>
      <c r="F479" s="121"/>
      <c r="G479" s="121"/>
      <c r="H479" s="121"/>
      <c r="I479" s="121"/>
      <c r="J479" s="121"/>
      <c r="K479" s="121"/>
      <c r="L479" s="121"/>
      <c r="M479" s="121"/>
      <c r="N479" s="121"/>
      <c r="O479" s="19"/>
    </row>
    <row r="480" spans="1:15" ht="12.75" customHeight="1" x14ac:dyDescent="0.15">
      <c r="A480" s="121"/>
      <c r="B480" s="121"/>
      <c r="C480" s="121"/>
      <c r="D480" s="121"/>
      <c r="E480" s="121"/>
      <c r="F480" s="121"/>
      <c r="G480" s="121"/>
      <c r="H480" s="121"/>
      <c r="I480" s="121"/>
      <c r="J480" s="121"/>
      <c r="K480" s="121"/>
      <c r="L480" s="121"/>
      <c r="M480" s="121"/>
      <c r="N480" s="121"/>
      <c r="O480" s="19"/>
    </row>
    <row r="481" spans="1:15" ht="12.75" customHeight="1" x14ac:dyDescent="0.15">
      <c r="A481" s="121"/>
      <c r="B481" s="121"/>
      <c r="C481" s="121"/>
      <c r="D481" s="121"/>
      <c r="E481" s="121"/>
      <c r="F481" s="121"/>
      <c r="G481" s="121"/>
      <c r="H481" s="121"/>
      <c r="I481" s="121"/>
      <c r="J481" s="121"/>
      <c r="K481" s="121"/>
      <c r="L481" s="121"/>
      <c r="M481" s="121"/>
      <c r="N481" s="121"/>
      <c r="O481" s="19"/>
    </row>
    <row r="482" spans="1:15" ht="12.75" customHeight="1" x14ac:dyDescent="0.15">
      <c r="A482" s="121"/>
      <c r="B482" s="121"/>
      <c r="C482" s="121"/>
      <c r="D482" s="121"/>
      <c r="E482" s="121"/>
      <c r="F482" s="121"/>
      <c r="G482" s="121"/>
      <c r="H482" s="121"/>
      <c r="I482" s="121"/>
      <c r="J482" s="121"/>
      <c r="K482" s="121"/>
      <c r="L482" s="121"/>
      <c r="M482" s="121"/>
      <c r="N482" s="121"/>
      <c r="O482" s="19"/>
    </row>
    <row r="483" spans="1:15" ht="12.75" customHeight="1" x14ac:dyDescent="0.15">
      <c r="A483" s="121"/>
      <c r="B483" s="121"/>
      <c r="C483" s="121"/>
      <c r="D483" s="121"/>
      <c r="E483" s="121"/>
      <c r="F483" s="121"/>
      <c r="G483" s="121"/>
      <c r="H483" s="121"/>
      <c r="I483" s="121"/>
      <c r="J483" s="121"/>
      <c r="K483" s="121"/>
      <c r="L483" s="121"/>
      <c r="M483" s="121"/>
      <c r="N483" s="121"/>
      <c r="O483" s="19"/>
    </row>
    <row r="484" spans="1:15" ht="12.75" customHeight="1" x14ac:dyDescent="0.15">
      <c r="A484" s="121"/>
      <c r="B484" s="121"/>
      <c r="C484" s="121"/>
      <c r="D484" s="121"/>
      <c r="E484" s="121"/>
      <c r="F484" s="121"/>
      <c r="G484" s="121"/>
      <c r="H484" s="121"/>
      <c r="I484" s="121"/>
      <c r="J484" s="121"/>
      <c r="K484" s="121"/>
      <c r="L484" s="121"/>
      <c r="M484" s="121"/>
      <c r="N484" s="121"/>
      <c r="O484" s="19"/>
    </row>
    <row r="485" spans="1:15" ht="12.75" customHeight="1" x14ac:dyDescent="0.15">
      <c r="A485" s="121"/>
      <c r="B485" s="121"/>
      <c r="C485" s="121"/>
      <c r="D485" s="121"/>
      <c r="E485" s="121"/>
      <c r="F485" s="121"/>
      <c r="G485" s="121"/>
      <c r="H485" s="121"/>
      <c r="I485" s="121"/>
      <c r="J485" s="121"/>
      <c r="K485" s="121"/>
      <c r="L485" s="121"/>
      <c r="M485" s="121"/>
      <c r="N485" s="121"/>
      <c r="O485" s="19"/>
    </row>
    <row r="486" spans="1:15" ht="12.75" customHeight="1" x14ac:dyDescent="0.15">
      <c r="A486" s="121"/>
      <c r="B486" s="121"/>
      <c r="C486" s="121"/>
      <c r="D486" s="121"/>
      <c r="E486" s="121"/>
      <c r="F486" s="121"/>
      <c r="G486" s="121"/>
      <c r="H486" s="121"/>
      <c r="I486" s="121"/>
      <c r="J486" s="121"/>
      <c r="K486" s="121"/>
      <c r="L486" s="121"/>
      <c r="M486" s="121"/>
      <c r="N486" s="121"/>
      <c r="O486" s="19"/>
    </row>
    <row r="487" spans="1:15" ht="12.75" customHeight="1" x14ac:dyDescent="0.15">
      <c r="A487" s="121"/>
      <c r="B487" s="121"/>
      <c r="C487" s="121"/>
      <c r="D487" s="121"/>
      <c r="E487" s="121"/>
      <c r="F487" s="121"/>
      <c r="G487" s="121"/>
      <c r="H487" s="121"/>
      <c r="I487" s="121"/>
      <c r="J487" s="121"/>
      <c r="K487" s="121"/>
      <c r="L487" s="121"/>
      <c r="M487" s="121"/>
      <c r="N487" s="121"/>
      <c r="O487" s="19"/>
    </row>
    <row r="488" spans="1:15" ht="12.75" customHeight="1" x14ac:dyDescent="0.15">
      <c r="A488" s="121"/>
      <c r="B488" s="121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9"/>
    </row>
    <row r="489" spans="1:15" ht="12.75" customHeight="1" x14ac:dyDescent="0.15">
      <c r="A489" s="121"/>
      <c r="B489" s="121"/>
      <c r="C489" s="121"/>
      <c r="D489" s="121"/>
      <c r="E489" s="121"/>
      <c r="F489" s="121"/>
      <c r="G489" s="121"/>
      <c r="H489" s="121"/>
      <c r="I489" s="121"/>
      <c r="J489" s="121"/>
      <c r="K489" s="121"/>
      <c r="L489" s="121"/>
      <c r="M489" s="121"/>
      <c r="N489" s="121"/>
      <c r="O489" s="19"/>
    </row>
    <row r="490" spans="1:15" ht="12.75" customHeight="1" x14ac:dyDescent="0.15">
      <c r="A490" s="121"/>
      <c r="B490" s="121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9"/>
    </row>
    <row r="491" spans="1:15" ht="12.75" customHeight="1" x14ac:dyDescent="0.15">
      <c r="A491" s="121"/>
      <c r="B491" s="121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9"/>
    </row>
    <row r="492" spans="1:15" ht="12.75" customHeight="1" x14ac:dyDescent="0.15">
      <c r="A492" s="121"/>
      <c r="B492" s="121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9"/>
    </row>
    <row r="493" spans="1:15" ht="12.75" customHeight="1" x14ac:dyDescent="0.15">
      <c r="A493" s="121"/>
      <c r="B493" s="121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9"/>
    </row>
    <row r="494" spans="1:15" ht="12.75" customHeight="1" x14ac:dyDescent="0.15">
      <c r="A494" s="121"/>
      <c r="B494" s="121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9"/>
    </row>
    <row r="495" spans="1:15" ht="12.75" customHeight="1" x14ac:dyDescent="0.15">
      <c r="A495" s="121"/>
      <c r="B495" s="121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9"/>
    </row>
    <row r="496" spans="1:15" ht="12.75" customHeight="1" x14ac:dyDescent="0.15">
      <c r="A496" s="121"/>
      <c r="B496" s="121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9"/>
    </row>
    <row r="497" spans="1:15" ht="12.75" customHeight="1" x14ac:dyDescent="0.15">
      <c r="A497" s="121"/>
      <c r="B497" s="121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9"/>
    </row>
    <row r="498" spans="1:15" ht="12.75" customHeight="1" x14ac:dyDescent="0.15">
      <c r="A498" s="121"/>
      <c r="B498" s="121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9"/>
    </row>
    <row r="499" spans="1:15" ht="12.75" customHeight="1" x14ac:dyDescent="0.15">
      <c r="A499" s="121"/>
      <c r="B499" s="121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9"/>
    </row>
    <row r="500" spans="1:15" ht="12.75" customHeight="1" x14ac:dyDescent="0.15">
      <c r="A500" s="121"/>
      <c r="B500" s="121"/>
      <c r="C500" s="121"/>
      <c r="D500" s="121"/>
      <c r="E500" s="121"/>
      <c r="F500" s="121"/>
      <c r="G500" s="121"/>
      <c r="H500" s="121"/>
      <c r="I500" s="121"/>
      <c r="J500" s="121"/>
      <c r="K500" s="121"/>
      <c r="L500" s="121"/>
      <c r="M500" s="121"/>
      <c r="N500" s="121"/>
      <c r="O500" s="19"/>
    </row>
    <row r="501" spans="1:15" ht="12.75" customHeight="1" x14ac:dyDescent="0.15">
      <c r="A501" s="121"/>
      <c r="B501" s="121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9"/>
    </row>
    <row r="502" spans="1:15" ht="12.75" customHeight="1" x14ac:dyDescent="0.15">
      <c r="A502" s="121"/>
      <c r="B502" s="121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9"/>
    </row>
    <row r="503" spans="1:15" ht="12.75" customHeight="1" x14ac:dyDescent="0.15">
      <c r="A503" s="121"/>
      <c r="B503" s="121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9"/>
    </row>
    <row r="504" spans="1:15" ht="12.75" customHeight="1" x14ac:dyDescent="0.15">
      <c r="A504" s="121"/>
      <c r="B504" s="121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9"/>
    </row>
    <row r="505" spans="1:15" ht="12.75" customHeight="1" x14ac:dyDescent="0.15">
      <c r="A505" s="121"/>
      <c r="B505" s="121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9"/>
    </row>
    <row r="506" spans="1:15" ht="12.75" customHeight="1" x14ac:dyDescent="0.15">
      <c r="A506" s="121"/>
      <c r="B506" s="121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9"/>
    </row>
    <row r="507" spans="1:15" ht="12.75" customHeight="1" x14ac:dyDescent="0.15">
      <c r="A507" s="121"/>
      <c r="B507" s="121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9"/>
    </row>
    <row r="508" spans="1:15" ht="12.75" customHeight="1" x14ac:dyDescent="0.15">
      <c r="A508" s="121"/>
      <c r="B508" s="121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9"/>
    </row>
    <row r="509" spans="1:15" ht="12.75" customHeight="1" x14ac:dyDescent="0.15">
      <c r="A509" s="121"/>
      <c r="B509" s="121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9"/>
    </row>
    <row r="510" spans="1:15" ht="12.75" customHeight="1" x14ac:dyDescent="0.15">
      <c r="A510" s="121"/>
      <c r="B510" s="121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9"/>
    </row>
    <row r="511" spans="1:15" ht="12.75" customHeight="1" x14ac:dyDescent="0.15">
      <c r="A511" s="121"/>
      <c r="B511" s="121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9"/>
    </row>
    <row r="512" spans="1:15" ht="12.75" customHeight="1" x14ac:dyDescent="0.15">
      <c r="A512" s="121"/>
      <c r="B512" s="121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9"/>
    </row>
    <row r="513" spans="1:15" ht="12.75" customHeight="1" x14ac:dyDescent="0.15">
      <c r="A513" s="121"/>
      <c r="B513" s="121"/>
      <c r="C513" s="121"/>
      <c r="D513" s="121"/>
      <c r="E513" s="121"/>
      <c r="F513" s="121"/>
      <c r="G513" s="121"/>
      <c r="H513" s="121"/>
      <c r="I513" s="121"/>
      <c r="J513" s="121"/>
      <c r="K513" s="121"/>
      <c r="L513" s="121"/>
      <c r="M513" s="121"/>
      <c r="N513" s="121"/>
      <c r="O513" s="19"/>
    </row>
    <row r="514" spans="1:15" ht="12.75" customHeight="1" x14ac:dyDescent="0.15">
      <c r="A514" s="121"/>
      <c r="B514" s="121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9"/>
    </row>
    <row r="515" spans="1:15" ht="12.75" customHeight="1" x14ac:dyDescent="0.15">
      <c r="A515" s="121"/>
      <c r="B515" s="121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9"/>
    </row>
    <row r="516" spans="1:15" ht="12.75" customHeight="1" x14ac:dyDescent="0.15">
      <c r="A516" s="121"/>
      <c r="B516" s="121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9"/>
    </row>
    <row r="517" spans="1:15" ht="12.75" customHeight="1" x14ac:dyDescent="0.15">
      <c r="A517" s="121"/>
      <c r="B517" s="121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9"/>
    </row>
    <row r="518" spans="1:15" ht="12.75" customHeight="1" x14ac:dyDescent="0.15">
      <c r="A518" s="121"/>
      <c r="B518" s="121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9"/>
    </row>
    <row r="519" spans="1:15" ht="12.75" customHeight="1" x14ac:dyDescent="0.15">
      <c r="A519" s="121"/>
      <c r="B519" s="121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9"/>
    </row>
    <row r="520" spans="1:15" ht="12.75" customHeight="1" x14ac:dyDescent="0.15">
      <c r="A520" s="121"/>
      <c r="B520" s="121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9"/>
    </row>
    <row r="521" spans="1:15" ht="12.75" customHeight="1" x14ac:dyDescent="0.15">
      <c r="A521" s="121"/>
      <c r="B521" s="121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9"/>
    </row>
    <row r="522" spans="1:15" ht="12.75" customHeight="1" x14ac:dyDescent="0.15">
      <c r="A522" s="121"/>
      <c r="B522" s="121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9"/>
    </row>
    <row r="523" spans="1:15" ht="12.75" customHeight="1" x14ac:dyDescent="0.15">
      <c r="A523" s="121"/>
      <c r="B523" s="121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9"/>
    </row>
    <row r="524" spans="1:15" ht="12.75" customHeight="1" x14ac:dyDescent="0.15">
      <c r="A524" s="121"/>
      <c r="B524" s="121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9"/>
    </row>
    <row r="525" spans="1:15" ht="12.75" customHeight="1" x14ac:dyDescent="0.15">
      <c r="A525" s="121"/>
      <c r="B525" s="121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9"/>
    </row>
    <row r="526" spans="1:15" ht="12.75" customHeight="1" x14ac:dyDescent="0.15">
      <c r="A526" s="121"/>
      <c r="B526" s="121"/>
      <c r="C526" s="121"/>
      <c r="D526" s="121"/>
      <c r="E526" s="121"/>
      <c r="F526" s="121"/>
      <c r="G526" s="121"/>
      <c r="H526" s="121"/>
      <c r="I526" s="121"/>
      <c r="J526" s="121"/>
      <c r="K526" s="121"/>
      <c r="L526" s="121"/>
      <c r="M526" s="121"/>
      <c r="N526" s="121"/>
      <c r="O526" s="19"/>
    </row>
    <row r="527" spans="1:15" ht="12.75" customHeight="1" x14ac:dyDescent="0.15">
      <c r="A527" s="121"/>
      <c r="B527" s="121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9"/>
    </row>
    <row r="528" spans="1:15" ht="12.75" customHeight="1" x14ac:dyDescent="0.15">
      <c r="A528" s="121"/>
      <c r="B528" s="121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9"/>
    </row>
    <row r="529" spans="1:15" ht="12.75" customHeight="1" x14ac:dyDescent="0.15">
      <c r="A529" s="121"/>
      <c r="B529" s="121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9"/>
    </row>
    <row r="530" spans="1:15" ht="12.75" customHeight="1" x14ac:dyDescent="0.15">
      <c r="A530" s="121"/>
      <c r="B530" s="121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9"/>
    </row>
    <row r="531" spans="1:15" ht="12.75" customHeight="1" x14ac:dyDescent="0.15">
      <c r="A531" s="121"/>
      <c r="B531" s="121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9"/>
    </row>
    <row r="532" spans="1:15" ht="12.75" customHeight="1" x14ac:dyDescent="0.15">
      <c r="A532" s="121"/>
      <c r="B532" s="121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9"/>
    </row>
    <row r="533" spans="1:15" ht="12.75" customHeight="1" x14ac:dyDescent="0.15">
      <c r="A533" s="121"/>
      <c r="B533" s="121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9"/>
    </row>
    <row r="534" spans="1:15" ht="12.75" customHeight="1" x14ac:dyDescent="0.15">
      <c r="A534" s="121"/>
      <c r="B534" s="121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9"/>
    </row>
    <row r="535" spans="1:15" ht="12.75" customHeight="1" x14ac:dyDescent="0.15">
      <c r="A535" s="121"/>
      <c r="B535" s="121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9"/>
    </row>
    <row r="536" spans="1:15" ht="12.75" customHeight="1" x14ac:dyDescent="0.15">
      <c r="A536" s="121"/>
      <c r="B536" s="121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9"/>
    </row>
    <row r="537" spans="1:15" ht="12.75" customHeight="1" x14ac:dyDescent="0.15">
      <c r="A537" s="121"/>
      <c r="B537" s="121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9"/>
    </row>
    <row r="538" spans="1:15" ht="12.75" customHeight="1" x14ac:dyDescent="0.15">
      <c r="A538" s="121"/>
      <c r="B538" s="121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9"/>
    </row>
    <row r="539" spans="1:15" ht="12.75" customHeight="1" x14ac:dyDescent="0.15">
      <c r="A539" s="121"/>
      <c r="B539" s="121"/>
      <c r="C539" s="121"/>
      <c r="D539" s="121"/>
      <c r="E539" s="121"/>
      <c r="F539" s="121"/>
      <c r="G539" s="121"/>
      <c r="H539" s="121"/>
      <c r="I539" s="121"/>
      <c r="J539" s="121"/>
      <c r="K539" s="121"/>
      <c r="L539" s="121"/>
      <c r="M539" s="121"/>
      <c r="N539" s="121"/>
      <c r="O539" s="19"/>
    </row>
    <row r="540" spans="1:15" ht="12.75" customHeight="1" x14ac:dyDescent="0.15">
      <c r="A540" s="121"/>
      <c r="B540" s="121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9"/>
    </row>
    <row r="541" spans="1:15" ht="12.75" customHeight="1" x14ac:dyDescent="0.15">
      <c r="A541" s="121"/>
      <c r="B541" s="121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9"/>
    </row>
    <row r="542" spans="1:15" ht="12.75" customHeight="1" x14ac:dyDescent="0.15">
      <c r="A542" s="121"/>
      <c r="B542" s="121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9"/>
    </row>
    <row r="543" spans="1:15" ht="12.75" customHeight="1" x14ac:dyDescent="0.15">
      <c r="A543" s="121"/>
      <c r="B543" s="121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9"/>
    </row>
    <row r="544" spans="1:15" ht="12.75" customHeight="1" x14ac:dyDescent="0.15">
      <c r="A544" s="121"/>
      <c r="B544" s="121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9"/>
    </row>
    <row r="545" spans="1:15" ht="12.75" customHeight="1" x14ac:dyDescent="0.15">
      <c r="A545" s="121"/>
      <c r="B545" s="121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9"/>
    </row>
    <row r="546" spans="1:15" ht="12.75" customHeight="1" x14ac:dyDescent="0.15">
      <c r="A546" s="121"/>
      <c r="B546" s="121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9"/>
    </row>
    <row r="547" spans="1:15" ht="12.75" customHeight="1" x14ac:dyDescent="0.15">
      <c r="A547" s="121"/>
      <c r="B547" s="121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9"/>
    </row>
    <row r="548" spans="1:15" ht="12.75" customHeight="1" x14ac:dyDescent="0.15">
      <c r="A548" s="121"/>
      <c r="B548" s="121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9"/>
    </row>
    <row r="549" spans="1:15" ht="12.75" customHeight="1" x14ac:dyDescent="0.15">
      <c r="A549" s="121"/>
      <c r="B549" s="121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9"/>
    </row>
    <row r="550" spans="1:15" ht="12.75" customHeight="1" x14ac:dyDescent="0.15">
      <c r="A550" s="121"/>
      <c r="B550" s="121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9"/>
    </row>
    <row r="551" spans="1:15" ht="12.75" customHeight="1" x14ac:dyDescent="0.15">
      <c r="A551" s="121"/>
      <c r="B551" s="121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9"/>
    </row>
    <row r="552" spans="1:15" ht="12.75" customHeight="1" x14ac:dyDescent="0.15">
      <c r="A552" s="121"/>
      <c r="B552" s="121"/>
      <c r="C552" s="121"/>
      <c r="D552" s="121"/>
      <c r="E552" s="121"/>
      <c r="F552" s="121"/>
      <c r="G552" s="121"/>
      <c r="H552" s="121"/>
      <c r="I552" s="121"/>
      <c r="J552" s="121"/>
      <c r="K552" s="121"/>
      <c r="L552" s="121"/>
      <c r="M552" s="121"/>
      <c r="N552" s="121"/>
      <c r="O552" s="19"/>
    </row>
    <row r="553" spans="1:15" ht="12.75" customHeight="1" x14ac:dyDescent="0.15">
      <c r="A553" s="121"/>
      <c r="B553" s="121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9"/>
    </row>
    <row r="554" spans="1:15" ht="12.75" customHeight="1" x14ac:dyDescent="0.15">
      <c r="A554" s="121"/>
      <c r="B554" s="121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9"/>
    </row>
    <row r="555" spans="1:15" ht="12.75" customHeight="1" x14ac:dyDescent="0.15">
      <c r="A555" s="121"/>
      <c r="B555" s="121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9"/>
    </row>
    <row r="556" spans="1:15" ht="12.75" customHeight="1" x14ac:dyDescent="0.15">
      <c r="A556" s="121"/>
      <c r="B556" s="121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9"/>
    </row>
    <row r="557" spans="1:15" ht="12.75" customHeight="1" x14ac:dyDescent="0.15">
      <c r="A557" s="121"/>
      <c r="B557" s="121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9"/>
    </row>
    <row r="558" spans="1:15" ht="12.75" customHeight="1" x14ac:dyDescent="0.15">
      <c r="A558" s="121"/>
      <c r="B558" s="121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9"/>
    </row>
    <row r="559" spans="1:15" ht="12.75" customHeight="1" x14ac:dyDescent="0.15">
      <c r="A559" s="121"/>
      <c r="B559" s="121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9"/>
    </row>
    <row r="560" spans="1:15" ht="12.75" customHeight="1" x14ac:dyDescent="0.15">
      <c r="A560" s="121"/>
      <c r="B560" s="121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9"/>
    </row>
    <row r="561" spans="1:15" ht="12.75" customHeight="1" x14ac:dyDescent="0.15">
      <c r="A561" s="121"/>
      <c r="B561" s="121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9"/>
    </row>
    <row r="562" spans="1:15" ht="12.75" customHeight="1" x14ac:dyDescent="0.15">
      <c r="A562" s="121"/>
      <c r="B562" s="121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9"/>
    </row>
    <row r="563" spans="1:15" ht="12.75" customHeight="1" x14ac:dyDescent="0.15">
      <c r="A563" s="121"/>
      <c r="B563" s="121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9"/>
    </row>
    <row r="564" spans="1:15" ht="12.75" customHeight="1" x14ac:dyDescent="0.15">
      <c r="A564" s="121"/>
      <c r="B564" s="121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9"/>
    </row>
    <row r="565" spans="1:15" ht="12.75" customHeight="1" x14ac:dyDescent="0.15">
      <c r="A565" s="121"/>
      <c r="B565" s="121"/>
      <c r="C565" s="121"/>
      <c r="D565" s="121"/>
      <c r="E565" s="121"/>
      <c r="F565" s="121"/>
      <c r="G565" s="121"/>
      <c r="H565" s="121"/>
      <c r="I565" s="121"/>
      <c r="J565" s="121"/>
      <c r="K565" s="121"/>
      <c r="L565" s="121"/>
      <c r="M565" s="121"/>
      <c r="N565" s="121"/>
      <c r="O565" s="19"/>
    </row>
    <row r="566" spans="1:15" ht="12.75" customHeight="1" x14ac:dyDescent="0.15">
      <c r="A566" s="121"/>
      <c r="B566" s="121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9"/>
    </row>
    <row r="567" spans="1:15" ht="12.75" customHeight="1" x14ac:dyDescent="0.15">
      <c r="A567" s="121"/>
      <c r="B567" s="121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9"/>
    </row>
    <row r="568" spans="1:15" ht="12.75" customHeight="1" x14ac:dyDescent="0.15">
      <c r="A568" s="121"/>
      <c r="B568" s="121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9"/>
    </row>
    <row r="569" spans="1:15" ht="12.75" customHeight="1" x14ac:dyDescent="0.15">
      <c r="A569" s="121"/>
      <c r="B569" s="121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9"/>
    </row>
    <row r="570" spans="1:15" ht="12.75" customHeight="1" x14ac:dyDescent="0.15">
      <c r="A570" s="121"/>
      <c r="B570" s="121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9"/>
    </row>
    <row r="571" spans="1:15" ht="12.75" customHeight="1" x14ac:dyDescent="0.15">
      <c r="A571" s="121"/>
      <c r="B571" s="121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9"/>
    </row>
    <row r="572" spans="1:15" ht="12.75" customHeight="1" x14ac:dyDescent="0.15">
      <c r="A572" s="121"/>
      <c r="B572" s="121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9"/>
    </row>
    <row r="573" spans="1:15" ht="12.75" customHeight="1" x14ac:dyDescent="0.15">
      <c r="A573" s="121"/>
      <c r="B573" s="121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9"/>
    </row>
    <row r="574" spans="1:15" ht="12.75" customHeight="1" x14ac:dyDescent="0.15">
      <c r="A574" s="121"/>
      <c r="B574" s="121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9"/>
    </row>
    <row r="575" spans="1:15" ht="12.75" customHeight="1" x14ac:dyDescent="0.15">
      <c r="A575" s="121"/>
      <c r="B575" s="121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9"/>
    </row>
    <row r="576" spans="1:15" ht="12.75" customHeight="1" x14ac:dyDescent="0.15">
      <c r="A576" s="121"/>
      <c r="B576" s="121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9"/>
    </row>
    <row r="577" spans="1:15" ht="12.75" customHeight="1" x14ac:dyDescent="0.15">
      <c r="A577" s="121"/>
      <c r="B577" s="121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9"/>
    </row>
    <row r="578" spans="1:15" ht="12.75" customHeight="1" x14ac:dyDescent="0.15">
      <c r="A578" s="121"/>
      <c r="B578" s="121"/>
      <c r="C578" s="121"/>
      <c r="D578" s="121"/>
      <c r="E578" s="121"/>
      <c r="F578" s="121"/>
      <c r="G578" s="121"/>
      <c r="H578" s="121"/>
      <c r="I578" s="121"/>
      <c r="J578" s="121"/>
      <c r="K578" s="121"/>
      <c r="L578" s="121"/>
      <c r="M578" s="121"/>
      <c r="N578" s="121"/>
      <c r="O578" s="19"/>
    </row>
    <row r="579" spans="1:15" ht="12.75" customHeight="1" x14ac:dyDescent="0.15">
      <c r="A579" s="121"/>
      <c r="B579" s="121"/>
      <c r="C579" s="121"/>
      <c r="D579" s="121"/>
      <c r="E579" s="121"/>
      <c r="F579" s="121"/>
      <c r="G579" s="121"/>
      <c r="H579" s="121"/>
      <c r="I579" s="121"/>
      <c r="J579" s="121"/>
      <c r="K579" s="121"/>
      <c r="L579" s="121"/>
      <c r="M579" s="121"/>
      <c r="N579" s="121"/>
      <c r="O579" s="19"/>
    </row>
    <row r="580" spans="1:15" ht="12.75" customHeight="1" x14ac:dyDescent="0.15">
      <c r="A580" s="121"/>
      <c r="B580" s="121"/>
      <c r="C580" s="121"/>
      <c r="D580" s="121"/>
      <c r="E580" s="121"/>
      <c r="F580" s="121"/>
      <c r="G580" s="121"/>
      <c r="H580" s="121"/>
      <c r="I580" s="121"/>
      <c r="J580" s="121"/>
      <c r="K580" s="121"/>
      <c r="L580" s="121"/>
      <c r="M580" s="121"/>
      <c r="N580" s="121"/>
      <c r="O580" s="19"/>
    </row>
    <row r="581" spans="1:15" ht="12.75" customHeight="1" x14ac:dyDescent="0.15">
      <c r="A581" s="121"/>
      <c r="B581" s="121"/>
      <c r="C581" s="121"/>
      <c r="D581" s="121"/>
      <c r="E581" s="121"/>
      <c r="F581" s="121"/>
      <c r="G581" s="121"/>
      <c r="H581" s="121"/>
      <c r="I581" s="121"/>
      <c r="J581" s="121"/>
      <c r="K581" s="121"/>
      <c r="L581" s="121"/>
      <c r="M581" s="121"/>
      <c r="N581" s="121"/>
      <c r="O581" s="19"/>
    </row>
    <row r="582" spans="1:15" ht="12.75" customHeight="1" x14ac:dyDescent="0.15">
      <c r="A582" s="121"/>
      <c r="B582" s="121"/>
      <c r="C582" s="121"/>
      <c r="D582" s="121"/>
      <c r="E582" s="121"/>
      <c r="F582" s="121"/>
      <c r="G582" s="121"/>
      <c r="H582" s="121"/>
      <c r="I582" s="121"/>
      <c r="J582" s="121"/>
      <c r="K582" s="121"/>
      <c r="L582" s="121"/>
      <c r="M582" s="121"/>
      <c r="N582" s="121"/>
      <c r="O582" s="19"/>
    </row>
    <row r="583" spans="1:15" ht="12.75" customHeight="1" x14ac:dyDescent="0.15">
      <c r="A583" s="121"/>
      <c r="B583" s="121"/>
      <c r="C583" s="121"/>
      <c r="D583" s="121"/>
      <c r="E583" s="121"/>
      <c r="F583" s="121"/>
      <c r="G583" s="121"/>
      <c r="H583" s="121"/>
      <c r="I583" s="121"/>
      <c r="J583" s="121"/>
      <c r="K583" s="121"/>
      <c r="L583" s="121"/>
      <c r="M583" s="121"/>
      <c r="N583" s="121"/>
      <c r="O583" s="19"/>
    </row>
    <row r="584" spans="1:15" ht="12.75" customHeight="1" x14ac:dyDescent="0.15">
      <c r="A584" s="121"/>
      <c r="B584" s="121"/>
      <c r="C584" s="121"/>
      <c r="D584" s="121"/>
      <c r="E584" s="121"/>
      <c r="F584" s="121"/>
      <c r="G584" s="121"/>
      <c r="H584" s="121"/>
      <c r="I584" s="121"/>
      <c r="J584" s="121"/>
      <c r="K584" s="121"/>
      <c r="L584" s="121"/>
      <c r="M584" s="121"/>
      <c r="N584" s="121"/>
      <c r="O584" s="19"/>
    </row>
    <row r="585" spans="1:15" ht="12.75" customHeight="1" x14ac:dyDescent="0.15">
      <c r="A585" s="121"/>
      <c r="B585" s="121"/>
      <c r="C585" s="121"/>
      <c r="D585" s="121"/>
      <c r="E585" s="121"/>
      <c r="F585" s="121"/>
      <c r="G585" s="121"/>
      <c r="H585" s="121"/>
      <c r="I585" s="121"/>
      <c r="J585" s="121"/>
      <c r="K585" s="121"/>
      <c r="L585" s="121"/>
      <c r="M585" s="121"/>
      <c r="N585" s="121"/>
      <c r="O585" s="19"/>
    </row>
    <row r="586" spans="1:15" ht="12.75" customHeight="1" x14ac:dyDescent="0.15">
      <c r="A586" s="121"/>
      <c r="B586" s="121"/>
      <c r="C586" s="121"/>
      <c r="D586" s="121"/>
      <c r="E586" s="121"/>
      <c r="F586" s="121"/>
      <c r="G586" s="121"/>
      <c r="H586" s="121"/>
      <c r="I586" s="121"/>
      <c r="J586" s="121"/>
      <c r="K586" s="121"/>
      <c r="L586" s="121"/>
      <c r="M586" s="121"/>
      <c r="N586" s="121"/>
      <c r="O586" s="19"/>
    </row>
    <row r="587" spans="1:15" ht="12.75" customHeight="1" x14ac:dyDescent="0.15">
      <c r="A587" s="121"/>
      <c r="B587" s="121"/>
      <c r="C587" s="121"/>
      <c r="D587" s="121"/>
      <c r="E587" s="121"/>
      <c r="F587" s="121"/>
      <c r="G587" s="121"/>
      <c r="H587" s="121"/>
      <c r="I587" s="121"/>
      <c r="J587" s="121"/>
      <c r="K587" s="121"/>
      <c r="L587" s="121"/>
      <c r="M587" s="121"/>
      <c r="N587" s="121"/>
      <c r="O587" s="19"/>
    </row>
    <row r="588" spans="1:15" ht="12.75" customHeight="1" x14ac:dyDescent="0.15">
      <c r="A588" s="121"/>
      <c r="B588" s="121"/>
      <c r="C588" s="121"/>
      <c r="D588" s="121"/>
      <c r="E588" s="121"/>
      <c r="F588" s="121"/>
      <c r="G588" s="121"/>
      <c r="H588" s="121"/>
      <c r="I588" s="121"/>
      <c r="J588" s="121"/>
      <c r="K588" s="121"/>
      <c r="L588" s="121"/>
      <c r="M588" s="121"/>
      <c r="N588" s="121"/>
      <c r="O588" s="19"/>
    </row>
    <row r="589" spans="1:15" ht="12.75" customHeight="1" x14ac:dyDescent="0.15">
      <c r="A589" s="121"/>
      <c r="B589" s="121"/>
      <c r="C589" s="121"/>
      <c r="D589" s="121"/>
      <c r="E589" s="121"/>
      <c r="F589" s="121"/>
      <c r="G589" s="121"/>
      <c r="H589" s="121"/>
      <c r="I589" s="121"/>
      <c r="J589" s="121"/>
      <c r="K589" s="121"/>
      <c r="L589" s="121"/>
      <c r="M589" s="121"/>
      <c r="N589" s="121"/>
      <c r="O589" s="19"/>
    </row>
    <row r="590" spans="1:15" ht="12.75" customHeight="1" x14ac:dyDescent="0.15">
      <c r="A590" s="121"/>
      <c r="B590" s="121"/>
      <c r="C590" s="121"/>
      <c r="D590" s="121"/>
      <c r="E590" s="121"/>
      <c r="F590" s="121"/>
      <c r="G590" s="121"/>
      <c r="H590" s="121"/>
      <c r="I590" s="121"/>
      <c r="J590" s="121"/>
      <c r="K590" s="121"/>
      <c r="L590" s="121"/>
      <c r="M590" s="121"/>
      <c r="N590" s="121"/>
      <c r="O590" s="19"/>
    </row>
    <row r="591" spans="1:15" ht="12.75" customHeight="1" x14ac:dyDescent="0.15">
      <c r="A591" s="121"/>
      <c r="B591" s="121"/>
      <c r="C591" s="121"/>
      <c r="D591" s="121"/>
      <c r="E591" s="121"/>
      <c r="F591" s="121"/>
      <c r="G591" s="121"/>
      <c r="H591" s="121"/>
      <c r="I591" s="121"/>
      <c r="J591" s="121"/>
      <c r="K591" s="121"/>
      <c r="L591" s="121"/>
      <c r="M591" s="121"/>
      <c r="N591" s="121"/>
      <c r="O591" s="19"/>
    </row>
    <row r="592" spans="1:15" ht="12.75" customHeight="1" x14ac:dyDescent="0.15">
      <c r="A592" s="121"/>
      <c r="B592" s="121"/>
      <c r="C592" s="121"/>
      <c r="D592" s="121"/>
      <c r="E592" s="121"/>
      <c r="F592" s="121"/>
      <c r="G592" s="121"/>
      <c r="H592" s="121"/>
      <c r="I592" s="121"/>
      <c r="J592" s="121"/>
      <c r="K592" s="121"/>
      <c r="L592" s="121"/>
      <c r="M592" s="121"/>
      <c r="N592" s="121"/>
      <c r="O592" s="19"/>
    </row>
    <row r="593" spans="1:15" ht="12.75" customHeight="1" x14ac:dyDescent="0.15">
      <c r="A593" s="121"/>
      <c r="B593" s="121"/>
      <c r="C593" s="121"/>
      <c r="D593" s="121"/>
      <c r="E593" s="121"/>
      <c r="F593" s="121"/>
      <c r="G593" s="121"/>
      <c r="H593" s="121"/>
      <c r="I593" s="121"/>
      <c r="J593" s="121"/>
      <c r="K593" s="121"/>
      <c r="L593" s="121"/>
      <c r="M593" s="121"/>
      <c r="N593" s="121"/>
      <c r="O593" s="19"/>
    </row>
    <row r="594" spans="1:15" ht="12.75" customHeight="1" x14ac:dyDescent="0.15">
      <c r="A594" s="121"/>
      <c r="B594" s="121"/>
      <c r="C594" s="121"/>
      <c r="D594" s="121"/>
      <c r="E594" s="121"/>
      <c r="F594" s="121"/>
      <c r="G594" s="121"/>
      <c r="H594" s="121"/>
      <c r="I594" s="121"/>
      <c r="J594" s="121"/>
      <c r="K594" s="121"/>
      <c r="L594" s="121"/>
      <c r="M594" s="121"/>
      <c r="N594" s="121"/>
      <c r="O594" s="19"/>
    </row>
    <row r="595" spans="1:15" ht="12.75" customHeight="1" x14ac:dyDescent="0.15">
      <c r="A595" s="121"/>
      <c r="B595" s="121"/>
      <c r="C595" s="121"/>
      <c r="D595" s="121"/>
      <c r="E595" s="121"/>
      <c r="F595" s="121"/>
      <c r="G595" s="121"/>
      <c r="H595" s="121"/>
      <c r="I595" s="121"/>
      <c r="J595" s="121"/>
      <c r="K595" s="121"/>
      <c r="L595" s="121"/>
      <c r="M595" s="121"/>
      <c r="N595" s="121"/>
      <c r="O595" s="19"/>
    </row>
    <row r="596" spans="1:15" ht="12.75" customHeight="1" x14ac:dyDescent="0.15">
      <c r="A596" s="121"/>
      <c r="B596" s="121"/>
      <c r="C596" s="121"/>
      <c r="D596" s="121"/>
      <c r="E596" s="121"/>
      <c r="F596" s="121"/>
      <c r="G596" s="121"/>
      <c r="H596" s="121"/>
      <c r="I596" s="121"/>
      <c r="J596" s="121"/>
      <c r="K596" s="121"/>
      <c r="L596" s="121"/>
      <c r="M596" s="121"/>
      <c r="N596" s="121"/>
      <c r="O596" s="19"/>
    </row>
    <row r="597" spans="1:15" ht="12.75" customHeight="1" x14ac:dyDescent="0.15">
      <c r="A597" s="121"/>
      <c r="B597" s="121"/>
      <c r="C597" s="121"/>
      <c r="D597" s="121"/>
      <c r="E597" s="121"/>
      <c r="F597" s="121"/>
      <c r="G597" s="121"/>
      <c r="H597" s="121"/>
      <c r="I597" s="121"/>
      <c r="J597" s="121"/>
      <c r="K597" s="121"/>
      <c r="L597" s="121"/>
      <c r="M597" s="121"/>
      <c r="N597" s="121"/>
      <c r="O597" s="19"/>
    </row>
    <row r="598" spans="1:15" ht="12.75" customHeight="1" x14ac:dyDescent="0.15">
      <c r="A598" s="121"/>
      <c r="B598" s="121"/>
      <c r="C598" s="121"/>
      <c r="D598" s="121"/>
      <c r="E598" s="121"/>
      <c r="F598" s="121"/>
      <c r="G598" s="121"/>
      <c r="H598" s="121"/>
      <c r="I598" s="121"/>
      <c r="J598" s="121"/>
      <c r="K598" s="121"/>
      <c r="L598" s="121"/>
      <c r="M598" s="121"/>
      <c r="N598" s="121"/>
      <c r="O598" s="19"/>
    </row>
    <row r="599" spans="1:15" ht="12.75" customHeight="1" x14ac:dyDescent="0.15">
      <c r="A599" s="121"/>
      <c r="B599" s="121"/>
      <c r="C599" s="121"/>
      <c r="D599" s="121"/>
      <c r="E599" s="121"/>
      <c r="F599" s="121"/>
      <c r="G599" s="121"/>
      <c r="H599" s="121"/>
      <c r="I599" s="121"/>
      <c r="J599" s="121"/>
      <c r="K599" s="121"/>
      <c r="L599" s="121"/>
      <c r="M599" s="121"/>
      <c r="N599" s="121"/>
      <c r="O599" s="19"/>
    </row>
    <row r="600" spans="1:15" ht="12.75" customHeight="1" x14ac:dyDescent="0.15">
      <c r="A600" s="121"/>
      <c r="B600" s="121"/>
      <c r="C600" s="121"/>
      <c r="D600" s="121"/>
      <c r="E600" s="121"/>
      <c r="F600" s="121"/>
      <c r="G600" s="121"/>
      <c r="H600" s="121"/>
      <c r="I600" s="121"/>
      <c r="J600" s="121"/>
      <c r="K600" s="121"/>
      <c r="L600" s="121"/>
      <c r="M600" s="121"/>
      <c r="N600" s="121"/>
      <c r="O600" s="19"/>
    </row>
    <row r="601" spans="1:15" ht="12.75" customHeight="1" x14ac:dyDescent="0.15">
      <c r="A601" s="121"/>
      <c r="B601" s="121"/>
      <c r="C601" s="121"/>
      <c r="D601" s="121"/>
      <c r="E601" s="121"/>
      <c r="F601" s="121"/>
      <c r="G601" s="121"/>
      <c r="H601" s="121"/>
      <c r="I601" s="121"/>
      <c r="J601" s="121"/>
      <c r="K601" s="121"/>
      <c r="L601" s="121"/>
      <c r="M601" s="121"/>
      <c r="N601" s="121"/>
      <c r="O601" s="19"/>
    </row>
    <row r="602" spans="1:15" ht="12.75" customHeight="1" x14ac:dyDescent="0.15">
      <c r="A602" s="121"/>
      <c r="B602" s="121"/>
      <c r="C602" s="121"/>
      <c r="D602" s="121"/>
      <c r="E602" s="121"/>
      <c r="F602" s="121"/>
      <c r="G602" s="121"/>
      <c r="H602" s="121"/>
      <c r="I602" s="121"/>
      <c r="J602" s="121"/>
      <c r="K602" s="121"/>
      <c r="L602" s="121"/>
      <c r="M602" s="121"/>
      <c r="N602" s="121"/>
      <c r="O602" s="19"/>
    </row>
    <row r="603" spans="1:15" ht="12.75" customHeight="1" x14ac:dyDescent="0.15">
      <c r="A603" s="121"/>
      <c r="B603" s="121"/>
      <c r="C603" s="121"/>
      <c r="D603" s="121"/>
      <c r="E603" s="121"/>
      <c r="F603" s="121"/>
      <c r="G603" s="121"/>
      <c r="H603" s="121"/>
      <c r="I603" s="121"/>
      <c r="J603" s="121"/>
      <c r="K603" s="121"/>
      <c r="L603" s="121"/>
      <c r="M603" s="121"/>
      <c r="N603" s="121"/>
      <c r="O603" s="19"/>
    </row>
    <row r="604" spans="1:15" ht="12.75" customHeight="1" x14ac:dyDescent="0.15">
      <c r="A604" s="121"/>
      <c r="B604" s="121"/>
      <c r="C604" s="121"/>
      <c r="D604" s="121"/>
      <c r="E604" s="121"/>
      <c r="F604" s="121"/>
      <c r="G604" s="121"/>
      <c r="H604" s="121"/>
      <c r="I604" s="121"/>
      <c r="J604" s="121"/>
      <c r="K604" s="121"/>
      <c r="L604" s="121"/>
      <c r="M604" s="121"/>
      <c r="N604" s="121"/>
      <c r="O604" s="19"/>
    </row>
    <row r="605" spans="1:15" ht="12.75" customHeight="1" x14ac:dyDescent="0.15">
      <c r="A605" s="121"/>
      <c r="B605" s="121"/>
      <c r="C605" s="121"/>
      <c r="D605" s="121"/>
      <c r="E605" s="121"/>
      <c r="F605" s="121"/>
      <c r="G605" s="121"/>
      <c r="H605" s="121"/>
      <c r="I605" s="121"/>
      <c r="J605" s="121"/>
      <c r="K605" s="121"/>
      <c r="L605" s="121"/>
      <c r="M605" s="121"/>
      <c r="N605" s="121"/>
      <c r="O605" s="19"/>
    </row>
    <row r="606" spans="1:15" ht="12.75" customHeight="1" x14ac:dyDescent="0.15">
      <c r="A606" s="121"/>
      <c r="B606" s="121"/>
      <c r="C606" s="121"/>
      <c r="D606" s="121"/>
      <c r="E606" s="121"/>
      <c r="F606" s="121"/>
      <c r="G606" s="121"/>
      <c r="H606" s="121"/>
      <c r="I606" s="121"/>
      <c r="J606" s="121"/>
      <c r="K606" s="121"/>
      <c r="L606" s="121"/>
      <c r="M606" s="121"/>
      <c r="N606" s="121"/>
      <c r="O606" s="19"/>
    </row>
    <row r="607" spans="1:15" ht="12.75" customHeight="1" x14ac:dyDescent="0.15">
      <c r="A607" s="121"/>
      <c r="B607" s="121"/>
      <c r="C607" s="121"/>
      <c r="D607" s="121"/>
      <c r="E607" s="121"/>
      <c r="F607" s="121"/>
      <c r="G607" s="121"/>
      <c r="H607" s="121"/>
      <c r="I607" s="121"/>
      <c r="J607" s="121"/>
      <c r="K607" s="121"/>
      <c r="L607" s="121"/>
      <c r="M607" s="121"/>
      <c r="N607" s="121"/>
      <c r="O607" s="19"/>
    </row>
    <row r="608" spans="1:15" ht="12.75" customHeight="1" x14ac:dyDescent="0.15">
      <c r="A608" s="121"/>
      <c r="B608" s="121"/>
      <c r="C608" s="121"/>
      <c r="D608" s="121"/>
      <c r="E608" s="121"/>
      <c r="F608" s="121"/>
      <c r="G608" s="121"/>
      <c r="H608" s="121"/>
      <c r="I608" s="121"/>
      <c r="J608" s="121"/>
      <c r="K608" s="121"/>
      <c r="L608" s="121"/>
      <c r="M608" s="121"/>
      <c r="N608" s="121"/>
      <c r="O608" s="19"/>
    </row>
    <row r="609" spans="1:15" ht="12.75" customHeight="1" x14ac:dyDescent="0.15">
      <c r="A609" s="121"/>
      <c r="B609" s="121"/>
      <c r="C609" s="121"/>
      <c r="D609" s="121"/>
      <c r="E609" s="121"/>
      <c r="F609" s="121"/>
      <c r="G609" s="121"/>
      <c r="H609" s="121"/>
      <c r="I609" s="121"/>
      <c r="J609" s="121"/>
      <c r="K609" s="121"/>
      <c r="L609" s="121"/>
      <c r="M609" s="121"/>
      <c r="N609" s="121"/>
      <c r="O609" s="19"/>
    </row>
    <row r="610" spans="1:15" ht="12.75" customHeight="1" x14ac:dyDescent="0.15">
      <c r="A610" s="121"/>
      <c r="B610" s="121"/>
      <c r="C610" s="121"/>
      <c r="D610" s="121"/>
      <c r="E610" s="121"/>
      <c r="F610" s="121"/>
      <c r="G610" s="121"/>
      <c r="H610" s="121"/>
      <c r="I610" s="121"/>
      <c r="J610" s="121"/>
      <c r="K610" s="121"/>
      <c r="L610" s="121"/>
      <c r="M610" s="121"/>
      <c r="N610" s="121"/>
      <c r="O610" s="19"/>
    </row>
    <row r="611" spans="1:15" ht="12.75" customHeight="1" x14ac:dyDescent="0.15">
      <c r="A611" s="121"/>
      <c r="B611" s="121"/>
      <c r="C611" s="121"/>
      <c r="D611" s="121"/>
      <c r="E611" s="121"/>
      <c r="F611" s="121"/>
      <c r="G611" s="121"/>
      <c r="H611" s="121"/>
      <c r="I611" s="121"/>
      <c r="J611" s="121"/>
      <c r="K611" s="121"/>
      <c r="L611" s="121"/>
      <c r="M611" s="121"/>
      <c r="N611" s="121"/>
      <c r="O611" s="19"/>
    </row>
    <row r="612" spans="1:15" ht="12.75" customHeight="1" x14ac:dyDescent="0.15">
      <c r="A612" s="121"/>
      <c r="B612" s="121"/>
      <c r="C612" s="121"/>
      <c r="D612" s="121"/>
      <c r="E612" s="121"/>
      <c r="F612" s="121"/>
      <c r="G612" s="121"/>
      <c r="H612" s="121"/>
      <c r="I612" s="121"/>
      <c r="J612" s="121"/>
      <c r="K612" s="121"/>
      <c r="L612" s="121"/>
      <c r="M612" s="121"/>
      <c r="N612" s="121"/>
      <c r="O612" s="19"/>
    </row>
    <row r="613" spans="1:15" ht="12.75" customHeight="1" x14ac:dyDescent="0.15">
      <c r="A613" s="121"/>
      <c r="B613" s="121"/>
      <c r="C613" s="121"/>
      <c r="D613" s="121"/>
      <c r="E613" s="121"/>
      <c r="F613" s="121"/>
      <c r="G613" s="121"/>
      <c r="H613" s="121"/>
      <c r="I613" s="121"/>
      <c r="J613" s="121"/>
      <c r="K613" s="121"/>
      <c r="L613" s="121"/>
      <c r="M613" s="121"/>
      <c r="N613" s="121"/>
      <c r="O613" s="19"/>
    </row>
    <row r="614" spans="1:15" ht="12.75" customHeight="1" x14ac:dyDescent="0.15">
      <c r="A614" s="121"/>
      <c r="B614" s="121"/>
      <c r="C614" s="121"/>
      <c r="D614" s="121"/>
      <c r="E614" s="121"/>
      <c r="F614" s="121"/>
      <c r="G614" s="121"/>
      <c r="H614" s="121"/>
      <c r="I614" s="121"/>
      <c r="J614" s="121"/>
      <c r="K614" s="121"/>
      <c r="L614" s="121"/>
      <c r="M614" s="121"/>
      <c r="N614" s="121"/>
      <c r="O614" s="19"/>
    </row>
    <row r="615" spans="1:15" ht="12.75" customHeight="1" x14ac:dyDescent="0.15">
      <c r="A615" s="121"/>
      <c r="B615" s="121"/>
      <c r="C615" s="121"/>
      <c r="D615" s="121"/>
      <c r="E615" s="121"/>
      <c r="F615" s="121"/>
      <c r="G615" s="121"/>
      <c r="H615" s="121"/>
      <c r="I615" s="121"/>
      <c r="J615" s="121"/>
      <c r="K615" s="121"/>
      <c r="L615" s="121"/>
      <c r="M615" s="121"/>
      <c r="N615" s="121"/>
      <c r="O615" s="19"/>
    </row>
    <row r="616" spans="1:15" ht="12.75" customHeight="1" x14ac:dyDescent="0.15">
      <c r="A616" s="121"/>
      <c r="B616" s="121"/>
      <c r="C616" s="121"/>
      <c r="D616" s="121"/>
      <c r="E616" s="121"/>
      <c r="F616" s="121"/>
      <c r="G616" s="121"/>
      <c r="H616" s="121"/>
      <c r="I616" s="121"/>
      <c r="J616" s="121"/>
      <c r="K616" s="121"/>
      <c r="L616" s="121"/>
      <c r="M616" s="121"/>
      <c r="N616" s="121"/>
      <c r="O616" s="19"/>
    </row>
    <row r="617" spans="1:15" ht="12.75" customHeight="1" x14ac:dyDescent="0.15">
      <c r="A617" s="121"/>
      <c r="B617" s="121"/>
      <c r="C617" s="121"/>
      <c r="D617" s="121"/>
      <c r="E617" s="121"/>
      <c r="F617" s="121"/>
      <c r="G617" s="121"/>
      <c r="H617" s="121"/>
      <c r="I617" s="121"/>
      <c r="J617" s="121"/>
      <c r="K617" s="121"/>
      <c r="L617" s="121"/>
      <c r="M617" s="121"/>
      <c r="N617" s="121"/>
      <c r="O617" s="19"/>
    </row>
    <row r="618" spans="1:15" ht="12.75" customHeight="1" x14ac:dyDescent="0.15">
      <c r="A618" s="121"/>
      <c r="B618" s="121"/>
      <c r="C618" s="121"/>
      <c r="D618" s="121"/>
      <c r="E618" s="121"/>
      <c r="F618" s="121"/>
      <c r="G618" s="121"/>
      <c r="H618" s="121"/>
      <c r="I618" s="121"/>
      <c r="J618" s="121"/>
      <c r="K618" s="121"/>
      <c r="L618" s="121"/>
      <c r="M618" s="121"/>
      <c r="N618" s="121"/>
      <c r="O618" s="19"/>
    </row>
    <row r="619" spans="1:15" ht="12.75" customHeight="1" x14ac:dyDescent="0.15">
      <c r="A619" s="121"/>
      <c r="B619" s="121"/>
      <c r="C619" s="121"/>
      <c r="D619" s="121"/>
      <c r="E619" s="121"/>
      <c r="F619" s="121"/>
      <c r="G619" s="121"/>
      <c r="H619" s="121"/>
      <c r="I619" s="121"/>
      <c r="J619" s="121"/>
      <c r="K619" s="121"/>
      <c r="L619" s="121"/>
      <c r="M619" s="121"/>
      <c r="N619" s="121"/>
      <c r="O619" s="19"/>
    </row>
    <row r="620" spans="1:15" ht="12.75" customHeight="1" x14ac:dyDescent="0.15">
      <c r="A620" s="121"/>
      <c r="B620" s="121"/>
      <c r="C620" s="121"/>
      <c r="D620" s="121"/>
      <c r="E620" s="121"/>
      <c r="F620" s="121"/>
      <c r="G620" s="121"/>
      <c r="H620" s="121"/>
      <c r="I620" s="121"/>
      <c r="J620" s="121"/>
      <c r="K620" s="121"/>
      <c r="L620" s="121"/>
      <c r="M620" s="121"/>
      <c r="N620" s="121"/>
      <c r="O620" s="19"/>
    </row>
    <row r="621" spans="1:15" ht="12.75" customHeight="1" x14ac:dyDescent="0.15">
      <c r="A621" s="121"/>
      <c r="B621" s="121"/>
      <c r="C621" s="121"/>
      <c r="D621" s="121"/>
      <c r="E621" s="121"/>
      <c r="F621" s="121"/>
      <c r="G621" s="121"/>
      <c r="H621" s="121"/>
      <c r="I621" s="121"/>
      <c r="J621" s="121"/>
      <c r="K621" s="121"/>
      <c r="L621" s="121"/>
      <c r="M621" s="121"/>
      <c r="N621" s="121"/>
      <c r="O621" s="19"/>
    </row>
    <row r="622" spans="1:15" ht="12.75" customHeight="1" x14ac:dyDescent="0.15">
      <c r="A622" s="121"/>
      <c r="B622" s="121"/>
      <c r="C622" s="121"/>
      <c r="D622" s="121"/>
      <c r="E622" s="121"/>
      <c r="F622" s="121"/>
      <c r="G622" s="121"/>
      <c r="H622" s="121"/>
      <c r="I622" s="121"/>
      <c r="J622" s="121"/>
      <c r="K622" s="121"/>
      <c r="L622" s="121"/>
      <c r="M622" s="121"/>
      <c r="N622" s="121"/>
      <c r="O622" s="19"/>
    </row>
    <row r="623" spans="1:15" ht="12.75" customHeight="1" x14ac:dyDescent="0.15">
      <c r="A623" s="121"/>
      <c r="B623" s="121"/>
      <c r="C623" s="121"/>
      <c r="D623" s="121"/>
      <c r="E623" s="121"/>
      <c r="F623" s="121"/>
      <c r="G623" s="121"/>
      <c r="H623" s="121"/>
      <c r="I623" s="121"/>
      <c r="J623" s="121"/>
      <c r="K623" s="121"/>
      <c r="L623" s="121"/>
      <c r="M623" s="121"/>
      <c r="N623" s="121"/>
      <c r="O623" s="19"/>
    </row>
    <row r="624" spans="1:15" ht="12.75" customHeight="1" x14ac:dyDescent="0.15">
      <c r="A624" s="121"/>
      <c r="B624" s="121"/>
      <c r="C624" s="121"/>
      <c r="D624" s="121"/>
      <c r="E624" s="121"/>
      <c r="F624" s="121"/>
      <c r="G624" s="121"/>
      <c r="H624" s="121"/>
      <c r="I624" s="121"/>
      <c r="J624" s="121"/>
      <c r="K624" s="121"/>
      <c r="L624" s="121"/>
      <c r="M624" s="121"/>
      <c r="N624" s="121"/>
      <c r="O624" s="19"/>
    </row>
    <row r="625" spans="1:15" ht="12.75" customHeight="1" x14ac:dyDescent="0.15">
      <c r="A625" s="121"/>
      <c r="B625" s="121"/>
      <c r="C625" s="121"/>
      <c r="D625" s="121"/>
      <c r="E625" s="121"/>
      <c r="F625" s="121"/>
      <c r="G625" s="121"/>
      <c r="H625" s="121"/>
      <c r="I625" s="121"/>
      <c r="J625" s="121"/>
      <c r="K625" s="121"/>
      <c r="L625" s="121"/>
      <c r="M625" s="121"/>
      <c r="N625" s="121"/>
      <c r="O625" s="19"/>
    </row>
    <row r="626" spans="1:15" ht="12.75" customHeight="1" x14ac:dyDescent="0.15">
      <c r="A626" s="121"/>
      <c r="B626" s="121"/>
      <c r="C626" s="121"/>
      <c r="D626" s="121"/>
      <c r="E626" s="121"/>
      <c r="F626" s="121"/>
      <c r="G626" s="121"/>
      <c r="H626" s="121"/>
      <c r="I626" s="121"/>
      <c r="J626" s="121"/>
      <c r="K626" s="121"/>
      <c r="L626" s="121"/>
      <c r="M626" s="121"/>
      <c r="N626" s="121"/>
      <c r="O626" s="19"/>
    </row>
    <row r="627" spans="1:15" ht="12.75" customHeight="1" x14ac:dyDescent="0.15">
      <c r="A627" s="121"/>
      <c r="B627" s="121"/>
      <c r="C627" s="121"/>
      <c r="D627" s="121"/>
      <c r="E627" s="121"/>
      <c r="F627" s="121"/>
      <c r="G627" s="121"/>
      <c r="H627" s="121"/>
      <c r="I627" s="121"/>
      <c r="J627" s="121"/>
      <c r="K627" s="121"/>
      <c r="L627" s="121"/>
      <c r="M627" s="121"/>
      <c r="N627" s="121"/>
      <c r="O627" s="19"/>
    </row>
    <row r="628" spans="1:15" ht="12.75" customHeight="1" x14ac:dyDescent="0.15">
      <c r="A628" s="121"/>
      <c r="B628" s="121"/>
      <c r="C628" s="121"/>
      <c r="D628" s="121"/>
      <c r="E628" s="121"/>
      <c r="F628" s="121"/>
      <c r="G628" s="121"/>
      <c r="H628" s="121"/>
      <c r="I628" s="121"/>
      <c r="J628" s="121"/>
      <c r="K628" s="121"/>
      <c r="L628" s="121"/>
      <c r="M628" s="121"/>
      <c r="N628" s="121"/>
      <c r="O628" s="19"/>
    </row>
    <row r="629" spans="1:15" ht="12.75" customHeight="1" x14ac:dyDescent="0.15">
      <c r="A629" s="121"/>
      <c r="B629" s="121"/>
      <c r="C629" s="121"/>
      <c r="D629" s="121"/>
      <c r="E629" s="121"/>
      <c r="F629" s="121"/>
      <c r="G629" s="121"/>
      <c r="H629" s="121"/>
      <c r="I629" s="121"/>
      <c r="J629" s="121"/>
      <c r="K629" s="121"/>
      <c r="L629" s="121"/>
      <c r="M629" s="121"/>
      <c r="N629" s="121"/>
      <c r="O629" s="19"/>
    </row>
    <row r="630" spans="1:15" ht="12.75" customHeight="1" x14ac:dyDescent="0.15">
      <c r="A630" s="121"/>
      <c r="B630" s="121"/>
      <c r="C630" s="121"/>
      <c r="D630" s="121"/>
      <c r="E630" s="121"/>
      <c r="F630" s="121"/>
      <c r="G630" s="121"/>
      <c r="H630" s="121"/>
      <c r="I630" s="121"/>
      <c r="J630" s="121"/>
      <c r="K630" s="121"/>
      <c r="L630" s="121"/>
      <c r="M630" s="121"/>
      <c r="N630" s="121"/>
      <c r="O630" s="19"/>
    </row>
    <row r="631" spans="1:15" ht="12.75" customHeight="1" x14ac:dyDescent="0.15">
      <c r="A631" s="121"/>
      <c r="B631" s="121"/>
      <c r="C631" s="121"/>
      <c r="D631" s="121"/>
      <c r="E631" s="121"/>
      <c r="F631" s="121"/>
      <c r="G631" s="121"/>
      <c r="H631" s="121"/>
      <c r="I631" s="121"/>
      <c r="J631" s="121"/>
      <c r="K631" s="121"/>
      <c r="L631" s="121"/>
      <c r="M631" s="121"/>
      <c r="N631" s="121"/>
      <c r="O631" s="19"/>
    </row>
    <row r="632" spans="1:15" ht="12.75" customHeight="1" x14ac:dyDescent="0.15">
      <c r="A632" s="121"/>
      <c r="B632" s="121"/>
      <c r="C632" s="121"/>
      <c r="D632" s="121"/>
      <c r="E632" s="121"/>
      <c r="F632" s="121"/>
      <c r="G632" s="121"/>
      <c r="H632" s="121"/>
      <c r="I632" s="121"/>
      <c r="J632" s="121"/>
      <c r="K632" s="121"/>
      <c r="L632" s="121"/>
      <c r="M632" s="121"/>
      <c r="N632" s="121"/>
      <c r="O632" s="19"/>
    </row>
    <row r="633" spans="1:15" ht="12.75" customHeight="1" x14ac:dyDescent="0.15">
      <c r="A633" s="121"/>
      <c r="B633" s="121"/>
      <c r="C633" s="121"/>
      <c r="D633" s="121"/>
      <c r="E633" s="121"/>
      <c r="F633" s="121"/>
      <c r="G633" s="121"/>
      <c r="H633" s="121"/>
      <c r="I633" s="121"/>
      <c r="J633" s="121"/>
      <c r="K633" s="121"/>
      <c r="L633" s="121"/>
      <c r="M633" s="121"/>
      <c r="N633" s="121"/>
      <c r="O633" s="19"/>
    </row>
    <row r="634" spans="1:15" ht="12.75" customHeight="1" x14ac:dyDescent="0.15">
      <c r="A634" s="121"/>
      <c r="B634" s="121"/>
      <c r="C634" s="121"/>
      <c r="D634" s="121"/>
      <c r="E634" s="121"/>
      <c r="F634" s="121"/>
      <c r="G634" s="121"/>
      <c r="H634" s="121"/>
      <c r="I634" s="121"/>
      <c r="J634" s="121"/>
      <c r="K634" s="121"/>
      <c r="L634" s="121"/>
      <c r="M634" s="121"/>
      <c r="N634" s="121"/>
      <c r="O634" s="19"/>
    </row>
    <row r="635" spans="1:15" ht="12.75" customHeight="1" x14ac:dyDescent="0.15">
      <c r="A635" s="121"/>
      <c r="B635" s="121"/>
      <c r="C635" s="121"/>
      <c r="D635" s="121"/>
      <c r="E635" s="121"/>
      <c r="F635" s="121"/>
      <c r="G635" s="121"/>
      <c r="H635" s="121"/>
      <c r="I635" s="121"/>
      <c r="J635" s="121"/>
      <c r="K635" s="121"/>
      <c r="L635" s="121"/>
      <c r="M635" s="121"/>
      <c r="N635" s="121"/>
      <c r="O635" s="19"/>
    </row>
    <row r="636" spans="1:15" ht="12.75" customHeight="1" x14ac:dyDescent="0.15">
      <c r="A636" s="121"/>
      <c r="B636" s="121"/>
      <c r="C636" s="121"/>
      <c r="D636" s="121"/>
      <c r="E636" s="121"/>
      <c r="F636" s="121"/>
      <c r="G636" s="121"/>
      <c r="H636" s="121"/>
      <c r="I636" s="121"/>
      <c r="J636" s="121"/>
      <c r="K636" s="121"/>
      <c r="L636" s="121"/>
      <c r="M636" s="121"/>
      <c r="N636" s="121"/>
      <c r="O636" s="19"/>
    </row>
    <row r="637" spans="1:15" ht="12.75" customHeight="1" x14ac:dyDescent="0.15">
      <c r="A637" s="121"/>
      <c r="B637" s="121"/>
      <c r="C637" s="121"/>
      <c r="D637" s="121"/>
      <c r="E637" s="121"/>
      <c r="F637" s="121"/>
      <c r="G637" s="121"/>
      <c r="H637" s="121"/>
      <c r="I637" s="121"/>
      <c r="J637" s="121"/>
      <c r="K637" s="121"/>
      <c r="L637" s="121"/>
      <c r="M637" s="121"/>
      <c r="N637" s="121"/>
      <c r="O637" s="19"/>
    </row>
    <row r="638" spans="1:15" ht="12.75" customHeight="1" x14ac:dyDescent="0.15">
      <c r="A638" s="121"/>
      <c r="B638" s="121"/>
      <c r="C638" s="121"/>
      <c r="D638" s="121"/>
      <c r="E638" s="121"/>
      <c r="F638" s="121"/>
      <c r="G638" s="121"/>
      <c r="H638" s="121"/>
      <c r="I638" s="121"/>
      <c r="J638" s="121"/>
      <c r="K638" s="121"/>
      <c r="L638" s="121"/>
      <c r="M638" s="121"/>
      <c r="N638" s="121"/>
      <c r="O638" s="19"/>
    </row>
    <row r="639" spans="1:15" ht="12.75" customHeight="1" x14ac:dyDescent="0.15">
      <c r="A639" s="121"/>
      <c r="B639" s="121"/>
      <c r="C639" s="121"/>
      <c r="D639" s="121"/>
      <c r="E639" s="121"/>
      <c r="F639" s="121"/>
      <c r="G639" s="121"/>
      <c r="H639" s="121"/>
      <c r="I639" s="121"/>
      <c r="J639" s="121"/>
      <c r="K639" s="121"/>
      <c r="L639" s="121"/>
      <c r="M639" s="121"/>
      <c r="N639" s="121"/>
      <c r="O639" s="19"/>
    </row>
    <row r="640" spans="1:15" ht="12.75" customHeight="1" x14ac:dyDescent="0.15">
      <c r="A640" s="121"/>
      <c r="B640" s="121"/>
      <c r="C640" s="121"/>
      <c r="D640" s="121"/>
      <c r="E640" s="121"/>
      <c r="F640" s="121"/>
      <c r="G640" s="121"/>
      <c r="H640" s="121"/>
      <c r="I640" s="121"/>
      <c r="J640" s="121"/>
      <c r="K640" s="121"/>
      <c r="L640" s="121"/>
      <c r="M640" s="121"/>
      <c r="N640" s="121"/>
      <c r="O640" s="19"/>
    </row>
    <row r="641" spans="1:15" ht="12.75" customHeight="1" x14ac:dyDescent="0.15">
      <c r="A641" s="121"/>
      <c r="B641" s="121"/>
      <c r="C641" s="121"/>
      <c r="D641" s="121"/>
      <c r="E641" s="121"/>
      <c r="F641" s="121"/>
      <c r="G641" s="121"/>
      <c r="H641" s="121"/>
      <c r="I641" s="121"/>
      <c r="J641" s="121"/>
      <c r="K641" s="121"/>
      <c r="L641" s="121"/>
      <c r="M641" s="121"/>
      <c r="N641" s="121"/>
      <c r="O641" s="19"/>
    </row>
    <row r="642" spans="1:15" ht="12.75" customHeight="1" x14ac:dyDescent="0.15">
      <c r="A642" s="121"/>
      <c r="B642" s="121"/>
      <c r="C642" s="121"/>
      <c r="D642" s="121"/>
      <c r="E642" s="121"/>
      <c r="F642" s="121"/>
      <c r="G642" s="121"/>
      <c r="H642" s="121"/>
      <c r="I642" s="121"/>
      <c r="J642" s="121"/>
      <c r="K642" s="121"/>
      <c r="L642" s="121"/>
      <c r="M642" s="121"/>
      <c r="N642" s="121"/>
      <c r="O642" s="19"/>
    </row>
    <row r="643" spans="1:15" ht="12.75" customHeight="1" x14ac:dyDescent="0.15">
      <c r="A643" s="121"/>
      <c r="B643" s="121"/>
      <c r="C643" s="121"/>
      <c r="D643" s="121"/>
      <c r="E643" s="121"/>
      <c r="F643" s="121"/>
      <c r="G643" s="121"/>
      <c r="H643" s="121"/>
      <c r="I643" s="121"/>
      <c r="J643" s="121"/>
      <c r="K643" s="121"/>
      <c r="L643" s="121"/>
      <c r="M643" s="121"/>
      <c r="N643" s="121"/>
      <c r="O643" s="19"/>
    </row>
    <row r="644" spans="1:15" ht="12.75" customHeight="1" x14ac:dyDescent="0.15">
      <c r="A644" s="121"/>
      <c r="B644" s="121"/>
      <c r="C644" s="121"/>
      <c r="D644" s="121"/>
      <c r="E644" s="121"/>
      <c r="F644" s="121"/>
      <c r="G644" s="121"/>
      <c r="H644" s="121"/>
      <c r="I644" s="121"/>
      <c r="J644" s="121"/>
      <c r="K644" s="121"/>
      <c r="L644" s="121"/>
      <c r="M644" s="121"/>
      <c r="N644" s="121"/>
      <c r="O644" s="19"/>
    </row>
    <row r="645" spans="1:15" ht="12.75" customHeight="1" x14ac:dyDescent="0.15">
      <c r="A645" s="121"/>
      <c r="B645" s="121"/>
      <c r="C645" s="121"/>
      <c r="D645" s="121"/>
      <c r="E645" s="121"/>
      <c r="F645" s="121"/>
      <c r="G645" s="121"/>
      <c r="H645" s="121"/>
      <c r="I645" s="121"/>
      <c r="J645" s="121"/>
      <c r="K645" s="121"/>
      <c r="L645" s="121"/>
      <c r="M645" s="121"/>
      <c r="N645" s="121"/>
      <c r="O645" s="19"/>
    </row>
    <row r="646" spans="1:15" ht="12.75" customHeight="1" x14ac:dyDescent="0.15">
      <c r="A646" s="121"/>
      <c r="B646" s="121"/>
      <c r="C646" s="121"/>
      <c r="D646" s="121"/>
      <c r="E646" s="121"/>
      <c r="F646" s="121"/>
      <c r="G646" s="121"/>
      <c r="H646" s="121"/>
      <c r="I646" s="121"/>
      <c r="J646" s="121"/>
      <c r="K646" s="121"/>
      <c r="L646" s="121"/>
      <c r="M646" s="121"/>
      <c r="N646" s="121"/>
      <c r="O646" s="19"/>
    </row>
    <row r="647" spans="1:15" ht="12.75" customHeight="1" x14ac:dyDescent="0.15">
      <c r="A647" s="121"/>
      <c r="B647" s="121"/>
      <c r="C647" s="121"/>
      <c r="D647" s="121"/>
      <c r="E647" s="121"/>
      <c r="F647" s="121"/>
      <c r="G647" s="121"/>
      <c r="H647" s="121"/>
      <c r="I647" s="121"/>
      <c r="J647" s="121"/>
      <c r="K647" s="121"/>
      <c r="L647" s="121"/>
      <c r="M647" s="121"/>
      <c r="N647" s="121"/>
      <c r="O647" s="19"/>
    </row>
    <row r="648" spans="1:15" ht="12.75" customHeight="1" x14ac:dyDescent="0.15">
      <c r="A648" s="121"/>
      <c r="B648" s="121"/>
      <c r="C648" s="121"/>
      <c r="D648" s="121"/>
      <c r="E648" s="121"/>
      <c r="F648" s="121"/>
      <c r="G648" s="121"/>
      <c r="H648" s="121"/>
      <c r="I648" s="121"/>
      <c r="J648" s="121"/>
      <c r="K648" s="121"/>
      <c r="L648" s="121"/>
      <c r="M648" s="121"/>
      <c r="N648" s="121"/>
      <c r="O648" s="19"/>
    </row>
    <row r="649" spans="1:15" ht="12.75" customHeight="1" x14ac:dyDescent="0.15">
      <c r="A649" s="121"/>
      <c r="B649" s="121"/>
      <c r="C649" s="121"/>
      <c r="D649" s="121"/>
      <c r="E649" s="121"/>
      <c r="F649" s="121"/>
      <c r="G649" s="121"/>
      <c r="H649" s="121"/>
      <c r="I649" s="121"/>
      <c r="J649" s="121"/>
      <c r="K649" s="121"/>
      <c r="L649" s="121"/>
      <c r="M649" s="121"/>
      <c r="N649" s="121"/>
      <c r="O649" s="19"/>
    </row>
    <row r="650" spans="1:15" ht="12.75" customHeight="1" x14ac:dyDescent="0.15">
      <c r="A650" s="121"/>
      <c r="B650" s="121"/>
      <c r="C650" s="121"/>
      <c r="D650" s="121"/>
      <c r="E650" s="121"/>
      <c r="F650" s="121"/>
      <c r="G650" s="121"/>
      <c r="H650" s="121"/>
      <c r="I650" s="121"/>
      <c r="J650" s="121"/>
      <c r="K650" s="121"/>
      <c r="L650" s="121"/>
      <c r="M650" s="121"/>
      <c r="N650" s="121"/>
      <c r="O650" s="19"/>
    </row>
    <row r="651" spans="1:15" ht="12.75" customHeight="1" x14ac:dyDescent="0.15">
      <c r="A651" s="121"/>
      <c r="B651" s="121"/>
      <c r="C651" s="121"/>
      <c r="D651" s="121"/>
      <c r="E651" s="121"/>
      <c r="F651" s="121"/>
      <c r="G651" s="121"/>
      <c r="H651" s="121"/>
      <c r="I651" s="121"/>
      <c r="J651" s="121"/>
      <c r="K651" s="121"/>
      <c r="L651" s="121"/>
      <c r="M651" s="121"/>
      <c r="N651" s="121"/>
      <c r="O651" s="19"/>
    </row>
    <row r="652" spans="1:15" ht="12.75" customHeight="1" x14ac:dyDescent="0.15">
      <c r="A652" s="121"/>
      <c r="B652" s="121"/>
      <c r="C652" s="121"/>
      <c r="D652" s="121"/>
      <c r="E652" s="121"/>
      <c r="F652" s="121"/>
      <c r="G652" s="121"/>
      <c r="H652" s="121"/>
      <c r="I652" s="121"/>
      <c r="J652" s="121"/>
      <c r="K652" s="121"/>
      <c r="L652" s="121"/>
      <c r="M652" s="121"/>
      <c r="N652" s="121"/>
      <c r="O652" s="19"/>
    </row>
    <row r="653" spans="1:15" ht="12.75" customHeight="1" x14ac:dyDescent="0.15">
      <c r="A653" s="121"/>
      <c r="B653" s="121"/>
      <c r="C653" s="121"/>
      <c r="D653" s="121"/>
      <c r="E653" s="121"/>
      <c r="F653" s="121"/>
      <c r="G653" s="121"/>
      <c r="H653" s="121"/>
      <c r="I653" s="121"/>
      <c r="J653" s="121"/>
      <c r="K653" s="121"/>
      <c r="L653" s="121"/>
      <c r="M653" s="121"/>
      <c r="N653" s="121"/>
      <c r="O653" s="19"/>
    </row>
    <row r="654" spans="1:15" ht="12.75" customHeight="1" x14ac:dyDescent="0.15">
      <c r="A654" s="121"/>
      <c r="B654" s="121"/>
      <c r="C654" s="121"/>
      <c r="D654" s="121"/>
      <c r="E654" s="121"/>
      <c r="F654" s="121"/>
      <c r="G654" s="121"/>
      <c r="H654" s="121"/>
      <c r="I654" s="121"/>
      <c r="J654" s="121"/>
      <c r="K654" s="121"/>
      <c r="L654" s="121"/>
      <c r="M654" s="121"/>
      <c r="N654" s="121"/>
      <c r="O654" s="19"/>
    </row>
    <row r="655" spans="1:15" ht="12.75" customHeight="1" x14ac:dyDescent="0.15">
      <c r="A655" s="121"/>
      <c r="B655" s="121"/>
      <c r="C655" s="121"/>
      <c r="D655" s="121"/>
      <c r="E655" s="121"/>
      <c r="F655" s="121"/>
      <c r="G655" s="121"/>
      <c r="H655" s="121"/>
      <c r="I655" s="121"/>
      <c r="J655" s="121"/>
      <c r="K655" s="121"/>
      <c r="L655" s="121"/>
      <c r="M655" s="121"/>
      <c r="N655" s="121"/>
      <c r="O655" s="19"/>
    </row>
    <row r="656" spans="1:15" ht="12.75" customHeight="1" x14ac:dyDescent="0.15">
      <c r="A656" s="121"/>
      <c r="B656" s="121"/>
      <c r="C656" s="121"/>
      <c r="D656" s="121"/>
      <c r="E656" s="121"/>
      <c r="F656" s="121"/>
      <c r="G656" s="121"/>
      <c r="H656" s="121"/>
      <c r="I656" s="121"/>
      <c r="J656" s="121"/>
      <c r="K656" s="121"/>
      <c r="L656" s="121"/>
      <c r="M656" s="121"/>
      <c r="N656" s="121"/>
      <c r="O656" s="19"/>
    </row>
    <row r="657" spans="1:15" ht="12.75" customHeight="1" x14ac:dyDescent="0.15">
      <c r="A657" s="121"/>
      <c r="B657" s="121"/>
      <c r="C657" s="121"/>
      <c r="D657" s="121"/>
      <c r="E657" s="121"/>
      <c r="F657" s="121"/>
      <c r="G657" s="121"/>
      <c r="H657" s="121"/>
      <c r="I657" s="121"/>
      <c r="J657" s="121"/>
      <c r="K657" s="121"/>
      <c r="L657" s="121"/>
      <c r="M657" s="121"/>
      <c r="N657" s="121"/>
      <c r="O657" s="19"/>
    </row>
    <row r="658" spans="1:15" ht="12.75" customHeight="1" x14ac:dyDescent="0.15">
      <c r="A658" s="121"/>
      <c r="B658" s="121"/>
      <c r="C658" s="121"/>
      <c r="D658" s="121"/>
      <c r="E658" s="121"/>
      <c r="F658" s="121"/>
      <c r="G658" s="121"/>
      <c r="H658" s="121"/>
      <c r="I658" s="121"/>
      <c r="J658" s="121"/>
      <c r="K658" s="121"/>
      <c r="L658" s="121"/>
      <c r="M658" s="121"/>
      <c r="N658" s="121"/>
      <c r="O658" s="19"/>
    </row>
    <row r="659" spans="1:15" ht="12.75" customHeight="1" x14ac:dyDescent="0.15">
      <c r="A659" s="121"/>
      <c r="B659" s="121"/>
      <c r="C659" s="121"/>
      <c r="D659" s="121"/>
      <c r="E659" s="121"/>
      <c r="F659" s="121"/>
      <c r="G659" s="121"/>
      <c r="H659" s="121"/>
      <c r="I659" s="121"/>
      <c r="J659" s="121"/>
      <c r="K659" s="121"/>
      <c r="L659" s="121"/>
      <c r="M659" s="121"/>
      <c r="N659" s="121"/>
      <c r="O659" s="19"/>
    </row>
    <row r="660" spans="1:15" ht="12.75" customHeight="1" x14ac:dyDescent="0.15">
      <c r="A660" s="121"/>
      <c r="B660" s="121"/>
      <c r="C660" s="121"/>
      <c r="D660" s="121"/>
      <c r="E660" s="121"/>
      <c r="F660" s="121"/>
      <c r="G660" s="121"/>
      <c r="H660" s="121"/>
      <c r="I660" s="121"/>
      <c r="J660" s="121"/>
      <c r="K660" s="121"/>
      <c r="L660" s="121"/>
      <c r="M660" s="121"/>
      <c r="N660" s="121"/>
      <c r="O660" s="19"/>
    </row>
    <row r="661" spans="1:15" ht="12.75" customHeight="1" x14ac:dyDescent="0.15">
      <c r="A661" s="121"/>
      <c r="B661" s="121"/>
      <c r="C661" s="121"/>
      <c r="D661" s="121"/>
      <c r="E661" s="121"/>
      <c r="F661" s="121"/>
      <c r="G661" s="121"/>
      <c r="H661" s="121"/>
      <c r="I661" s="121"/>
      <c r="J661" s="121"/>
      <c r="K661" s="121"/>
      <c r="L661" s="121"/>
      <c r="M661" s="121"/>
      <c r="N661" s="121"/>
      <c r="O661" s="19"/>
    </row>
    <row r="662" spans="1:15" ht="12.75" customHeight="1" x14ac:dyDescent="0.15">
      <c r="A662" s="121"/>
      <c r="B662" s="121"/>
      <c r="C662" s="121"/>
      <c r="D662" s="121"/>
      <c r="E662" s="121"/>
      <c r="F662" s="121"/>
      <c r="G662" s="121"/>
      <c r="H662" s="121"/>
      <c r="I662" s="121"/>
      <c r="J662" s="121"/>
      <c r="K662" s="121"/>
      <c r="L662" s="121"/>
      <c r="M662" s="121"/>
      <c r="N662" s="121"/>
      <c r="O662" s="19"/>
    </row>
    <row r="663" spans="1:15" ht="12.75" customHeight="1" x14ac:dyDescent="0.15">
      <c r="A663" s="121"/>
      <c r="B663" s="121"/>
      <c r="C663" s="121"/>
      <c r="D663" s="121"/>
      <c r="E663" s="121"/>
      <c r="F663" s="121"/>
      <c r="G663" s="121"/>
      <c r="H663" s="121"/>
      <c r="I663" s="121"/>
      <c r="J663" s="121"/>
      <c r="K663" s="121"/>
      <c r="L663" s="121"/>
      <c r="M663" s="121"/>
      <c r="N663" s="121"/>
      <c r="O663" s="19"/>
    </row>
    <row r="664" spans="1:15" ht="12.75" customHeight="1" x14ac:dyDescent="0.15">
      <c r="A664" s="121"/>
      <c r="B664" s="121"/>
      <c r="C664" s="121"/>
      <c r="D664" s="121"/>
      <c r="E664" s="121"/>
      <c r="F664" s="121"/>
      <c r="G664" s="121"/>
      <c r="H664" s="121"/>
      <c r="I664" s="121"/>
      <c r="J664" s="121"/>
      <c r="K664" s="121"/>
      <c r="L664" s="121"/>
      <c r="M664" s="121"/>
      <c r="N664" s="121"/>
      <c r="O664" s="19"/>
    </row>
    <row r="665" spans="1:15" ht="12.75" customHeight="1" x14ac:dyDescent="0.15">
      <c r="A665" s="121"/>
      <c r="B665" s="121"/>
      <c r="C665" s="121"/>
      <c r="D665" s="121"/>
      <c r="E665" s="121"/>
      <c r="F665" s="121"/>
      <c r="G665" s="121"/>
      <c r="H665" s="121"/>
      <c r="I665" s="121"/>
      <c r="J665" s="121"/>
      <c r="K665" s="121"/>
      <c r="L665" s="121"/>
      <c r="M665" s="121"/>
      <c r="N665" s="121"/>
      <c r="O665" s="19"/>
    </row>
    <row r="666" spans="1:15" ht="12.75" customHeight="1" x14ac:dyDescent="0.15">
      <c r="A666" s="121"/>
      <c r="B666" s="121"/>
      <c r="C666" s="121"/>
      <c r="D666" s="121"/>
      <c r="E666" s="121"/>
      <c r="F666" s="121"/>
      <c r="G666" s="121"/>
      <c r="H666" s="121"/>
      <c r="I666" s="121"/>
      <c r="J666" s="121"/>
      <c r="K666" s="121"/>
      <c r="L666" s="121"/>
      <c r="M666" s="121"/>
      <c r="N666" s="121"/>
      <c r="O666" s="19"/>
    </row>
    <row r="667" spans="1:15" ht="12.75" customHeight="1" x14ac:dyDescent="0.15">
      <c r="A667" s="121"/>
      <c r="B667" s="121"/>
      <c r="C667" s="121"/>
      <c r="D667" s="121"/>
      <c r="E667" s="121"/>
      <c r="F667" s="121"/>
      <c r="G667" s="121"/>
      <c r="H667" s="121"/>
      <c r="I667" s="121"/>
      <c r="J667" s="121"/>
      <c r="K667" s="121"/>
      <c r="L667" s="121"/>
      <c r="M667" s="121"/>
      <c r="N667" s="121"/>
      <c r="O667" s="19"/>
    </row>
    <row r="668" spans="1:15" ht="12.75" customHeight="1" x14ac:dyDescent="0.15">
      <c r="A668" s="121"/>
      <c r="B668" s="121"/>
      <c r="C668" s="121"/>
      <c r="D668" s="121"/>
      <c r="E668" s="121"/>
      <c r="F668" s="121"/>
      <c r="G668" s="121"/>
      <c r="H668" s="121"/>
      <c r="I668" s="121"/>
      <c r="J668" s="121"/>
      <c r="K668" s="121"/>
      <c r="L668" s="121"/>
      <c r="M668" s="121"/>
      <c r="N668" s="121"/>
      <c r="O668" s="19"/>
    </row>
    <row r="669" spans="1:15" ht="12.75" customHeight="1" x14ac:dyDescent="0.15">
      <c r="A669" s="121"/>
      <c r="B669" s="121"/>
      <c r="C669" s="121"/>
      <c r="D669" s="121"/>
      <c r="E669" s="121"/>
      <c r="F669" s="121"/>
      <c r="G669" s="121"/>
      <c r="H669" s="121"/>
      <c r="I669" s="121"/>
      <c r="J669" s="121"/>
      <c r="K669" s="121"/>
      <c r="L669" s="121"/>
      <c r="M669" s="121"/>
      <c r="N669" s="121"/>
      <c r="O669" s="19"/>
    </row>
    <row r="670" spans="1:15" ht="12.75" customHeight="1" x14ac:dyDescent="0.15">
      <c r="A670" s="121"/>
      <c r="B670" s="121"/>
      <c r="C670" s="121"/>
      <c r="D670" s="121"/>
      <c r="E670" s="121"/>
      <c r="F670" s="121"/>
      <c r="G670" s="121"/>
      <c r="H670" s="121"/>
      <c r="I670" s="121"/>
      <c r="J670" s="121"/>
      <c r="K670" s="121"/>
      <c r="L670" s="121"/>
      <c r="M670" s="121"/>
      <c r="N670" s="121"/>
      <c r="O670" s="19"/>
    </row>
    <row r="671" spans="1:15" ht="12.75" customHeight="1" x14ac:dyDescent="0.15">
      <c r="A671" s="121"/>
      <c r="B671" s="121"/>
      <c r="C671" s="121"/>
      <c r="D671" s="121"/>
      <c r="E671" s="121"/>
      <c r="F671" s="121"/>
      <c r="G671" s="121"/>
      <c r="H671" s="121"/>
      <c r="I671" s="121"/>
      <c r="J671" s="121"/>
      <c r="K671" s="121"/>
      <c r="L671" s="121"/>
      <c r="M671" s="121"/>
      <c r="N671" s="121"/>
      <c r="O671" s="19"/>
    </row>
    <row r="672" spans="1:15" ht="12.75" customHeight="1" x14ac:dyDescent="0.15">
      <c r="A672" s="121"/>
      <c r="B672" s="121"/>
      <c r="C672" s="121"/>
      <c r="D672" s="121"/>
      <c r="E672" s="121"/>
      <c r="F672" s="121"/>
      <c r="G672" s="121"/>
      <c r="H672" s="121"/>
      <c r="I672" s="121"/>
      <c r="J672" s="121"/>
      <c r="K672" s="121"/>
      <c r="L672" s="121"/>
      <c r="M672" s="121"/>
      <c r="N672" s="121"/>
      <c r="O672" s="19"/>
    </row>
    <row r="673" spans="1:15" ht="12.75" customHeight="1" x14ac:dyDescent="0.15">
      <c r="A673" s="121"/>
      <c r="B673" s="121"/>
      <c r="C673" s="121"/>
      <c r="D673" s="121"/>
      <c r="E673" s="121"/>
      <c r="F673" s="121"/>
      <c r="G673" s="121"/>
      <c r="H673" s="121"/>
      <c r="I673" s="121"/>
      <c r="J673" s="121"/>
      <c r="K673" s="121"/>
      <c r="L673" s="121"/>
      <c r="M673" s="121"/>
      <c r="N673" s="121"/>
      <c r="O673" s="19"/>
    </row>
    <row r="674" spans="1:15" ht="12.75" customHeight="1" x14ac:dyDescent="0.15">
      <c r="A674" s="121"/>
      <c r="B674" s="121"/>
      <c r="C674" s="121"/>
      <c r="D674" s="121"/>
      <c r="E674" s="121"/>
      <c r="F674" s="121"/>
      <c r="G674" s="121"/>
      <c r="H674" s="121"/>
      <c r="I674" s="121"/>
      <c r="J674" s="121"/>
      <c r="K674" s="121"/>
      <c r="L674" s="121"/>
      <c r="M674" s="121"/>
      <c r="N674" s="121"/>
      <c r="O674" s="19"/>
    </row>
    <row r="675" spans="1:15" ht="12.75" customHeight="1" x14ac:dyDescent="0.15">
      <c r="A675" s="121"/>
      <c r="B675" s="121"/>
      <c r="C675" s="121"/>
      <c r="D675" s="121"/>
      <c r="E675" s="121"/>
      <c r="F675" s="121"/>
      <c r="G675" s="121"/>
      <c r="H675" s="121"/>
      <c r="I675" s="121"/>
      <c r="J675" s="121"/>
      <c r="K675" s="121"/>
      <c r="L675" s="121"/>
      <c r="M675" s="121"/>
      <c r="N675" s="121"/>
      <c r="O675" s="19"/>
    </row>
    <row r="676" spans="1:15" ht="12.75" customHeight="1" x14ac:dyDescent="0.15">
      <c r="A676" s="121"/>
      <c r="B676" s="121"/>
      <c r="C676" s="121"/>
      <c r="D676" s="121"/>
      <c r="E676" s="121"/>
      <c r="F676" s="121"/>
      <c r="G676" s="121"/>
      <c r="H676" s="121"/>
      <c r="I676" s="121"/>
      <c r="J676" s="121"/>
      <c r="K676" s="121"/>
      <c r="L676" s="121"/>
      <c r="M676" s="121"/>
      <c r="N676" s="121"/>
      <c r="O676" s="19"/>
    </row>
    <row r="677" spans="1:15" ht="12.75" customHeight="1" x14ac:dyDescent="0.15">
      <c r="A677" s="121"/>
      <c r="B677" s="121"/>
      <c r="C677" s="121"/>
      <c r="D677" s="121"/>
      <c r="E677" s="121"/>
      <c r="F677" s="121"/>
      <c r="G677" s="121"/>
      <c r="H677" s="121"/>
      <c r="I677" s="121"/>
      <c r="J677" s="121"/>
      <c r="K677" s="121"/>
      <c r="L677" s="121"/>
      <c r="M677" s="121"/>
      <c r="N677" s="121"/>
      <c r="O677" s="19"/>
    </row>
    <row r="678" spans="1:15" ht="12.75" customHeight="1" x14ac:dyDescent="0.15">
      <c r="A678" s="121"/>
      <c r="B678" s="121"/>
      <c r="C678" s="121"/>
      <c r="D678" s="121"/>
      <c r="E678" s="121"/>
      <c r="F678" s="121"/>
      <c r="G678" s="121"/>
      <c r="H678" s="121"/>
      <c r="I678" s="121"/>
      <c r="J678" s="121"/>
      <c r="K678" s="121"/>
      <c r="L678" s="121"/>
      <c r="M678" s="121"/>
      <c r="N678" s="121"/>
      <c r="O678" s="19"/>
    </row>
    <row r="679" spans="1:15" ht="12.75" customHeight="1" x14ac:dyDescent="0.15">
      <c r="A679" s="121"/>
      <c r="B679" s="121"/>
      <c r="C679" s="121"/>
      <c r="D679" s="121"/>
      <c r="E679" s="121"/>
      <c r="F679" s="121"/>
      <c r="G679" s="121"/>
      <c r="H679" s="121"/>
      <c r="I679" s="121"/>
      <c r="J679" s="121"/>
      <c r="K679" s="121"/>
      <c r="L679" s="121"/>
      <c r="M679" s="121"/>
      <c r="N679" s="121"/>
      <c r="O679" s="19"/>
    </row>
    <row r="680" spans="1:15" ht="12.75" customHeight="1" x14ac:dyDescent="0.15">
      <c r="A680" s="121"/>
      <c r="B680" s="121"/>
      <c r="C680" s="121"/>
      <c r="D680" s="121"/>
      <c r="E680" s="121"/>
      <c r="F680" s="121"/>
      <c r="G680" s="121"/>
      <c r="H680" s="121"/>
      <c r="I680" s="121"/>
      <c r="J680" s="121"/>
      <c r="K680" s="121"/>
      <c r="L680" s="121"/>
      <c r="M680" s="121"/>
      <c r="N680" s="121"/>
      <c r="O680" s="19"/>
    </row>
    <row r="681" spans="1:15" ht="12.75" customHeight="1" x14ac:dyDescent="0.15">
      <c r="A681" s="121"/>
      <c r="B681" s="121"/>
      <c r="C681" s="121"/>
      <c r="D681" s="121"/>
      <c r="E681" s="121"/>
      <c r="F681" s="121"/>
      <c r="G681" s="121"/>
      <c r="H681" s="121"/>
      <c r="I681" s="121"/>
      <c r="J681" s="121"/>
      <c r="K681" s="121"/>
      <c r="L681" s="121"/>
      <c r="M681" s="121"/>
      <c r="N681" s="121"/>
      <c r="O681" s="19"/>
    </row>
    <row r="682" spans="1:15" ht="12.75" customHeight="1" x14ac:dyDescent="0.15">
      <c r="A682" s="121"/>
      <c r="B682" s="121"/>
      <c r="C682" s="121"/>
      <c r="D682" s="121"/>
      <c r="E682" s="121"/>
      <c r="F682" s="121"/>
      <c r="G682" s="121"/>
      <c r="H682" s="121"/>
      <c r="I682" s="121"/>
      <c r="J682" s="121"/>
      <c r="K682" s="121"/>
      <c r="L682" s="121"/>
      <c r="M682" s="121"/>
      <c r="N682" s="121"/>
      <c r="O682" s="19"/>
    </row>
    <row r="683" spans="1:15" ht="12.75" customHeight="1" x14ac:dyDescent="0.15">
      <c r="A683" s="121"/>
      <c r="B683" s="121"/>
      <c r="C683" s="121"/>
      <c r="D683" s="121"/>
      <c r="E683" s="121"/>
      <c r="F683" s="121"/>
      <c r="G683" s="121"/>
      <c r="H683" s="121"/>
      <c r="I683" s="121"/>
      <c r="J683" s="121"/>
      <c r="K683" s="121"/>
      <c r="L683" s="121"/>
      <c r="M683" s="121"/>
      <c r="N683" s="121"/>
      <c r="O683" s="19"/>
    </row>
    <row r="684" spans="1:15" ht="12.75" customHeight="1" x14ac:dyDescent="0.15">
      <c r="A684" s="121"/>
      <c r="B684" s="121"/>
      <c r="C684" s="121"/>
      <c r="D684" s="121"/>
      <c r="E684" s="121"/>
      <c r="F684" s="121"/>
      <c r="G684" s="121"/>
      <c r="H684" s="121"/>
      <c r="I684" s="121"/>
      <c r="J684" s="121"/>
      <c r="K684" s="121"/>
      <c r="L684" s="121"/>
      <c r="M684" s="121"/>
      <c r="N684" s="121"/>
      <c r="O684" s="19"/>
    </row>
    <row r="685" spans="1:15" ht="12.75" customHeight="1" x14ac:dyDescent="0.15">
      <c r="A685" s="121"/>
      <c r="B685" s="121"/>
      <c r="C685" s="121"/>
      <c r="D685" s="121"/>
      <c r="E685" s="121"/>
      <c r="F685" s="121"/>
      <c r="G685" s="121"/>
      <c r="H685" s="121"/>
      <c r="I685" s="121"/>
      <c r="J685" s="121"/>
      <c r="K685" s="121"/>
      <c r="L685" s="121"/>
      <c r="M685" s="121"/>
      <c r="N685" s="121"/>
      <c r="O685" s="19"/>
    </row>
    <row r="686" spans="1:15" ht="12.75" customHeight="1" x14ac:dyDescent="0.15">
      <c r="A686" s="121"/>
      <c r="B686" s="121"/>
      <c r="C686" s="121"/>
      <c r="D686" s="121"/>
      <c r="E686" s="121"/>
      <c r="F686" s="121"/>
      <c r="G686" s="121"/>
      <c r="H686" s="121"/>
      <c r="I686" s="121"/>
      <c r="J686" s="121"/>
      <c r="K686" s="121"/>
      <c r="L686" s="121"/>
      <c r="M686" s="121"/>
      <c r="N686" s="121"/>
      <c r="O686" s="19"/>
    </row>
    <row r="687" spans="1:15" ht="12.75" customHeight="1" x14ac:dyDescent="0.15">
      <c r="A687" s="121"/>
      <c r="B687" s="121"/>
      <c r="C687" s="121"/>
      <c r="D687" s="121"/>
      <c r="E687" s="121"/>
      <c r="F687" s="121"/>
      <c r="G687" s="121"/>
      <c r="H687" s="121"/>
      <c r="I687" s="121"/>
      <c r="J687" s="121"/>
      <c r="K687" s="121"/>
      <c r="L687" s="121"/>
      <c r="M687" s="121"/>
      <c r="N687" s="121"/>
      <c r="O687" s="19"/>
    </row>
    <row r="688" spans="1:15" ht="12.75" customHeight="1" x14ac:dyDescent="0.15">
      <c r="A688" s="121"/>
      <c r="B688" s="121"/>
      <c r="C688" s="121"/>
      <c r="D688" s="121"/>
      <c r="E688" s="121"/>
      <c r="F688" s="121"/>
      <c r="G688" s="121"/>
      <c r="H688" s="121"/>
      <c r="I688" s="121"/>
      <c r="J688" s="121"/>
      <c r="K688" s="121"/>
      <c r="L688" s="121"/>
      <c r="M688" s="121"/>
      <c r="N688" s="121"/>
      <c r="O688" s="19"/>
    </row>
    <row r="689" spans="1:15" ht="12.75" customHeight="1" x14ac:dyDescent="0.15">
      <c r="A689" s="121"/>
      <c r="B689" s="121"/>
      <c r="C689" s="121"/>
      <c r="D689" s="121"/>
      <c r="E689" s="121"/>
      <c r="F689" s="121"/>
      <c r="G689" s="121"/>
      <c r="H689" s="121"/>
      <c r="I689" s="121"/>
      <c r="J689" s="121"/>
      <c r="K689" s="121"/>
      <c r="L689" s="121"/>
      <c r="M689" s="121"/>
      <c r="N689" s="121"/>
      <c r="O689" s="19"/>
    </row>
    <row r="690" spans="1:15" ht="12.75" customHeight="1" x14ac:dyDescent="0.15">
      <c r="A690" s="121"/>
      <c r="B690" s="121"/>
      <c r="C690" s="121"/>
      <c r="D690" s="121"/>
      <c r="E690" s="121"/>
      <c r="F690" s="121"/>
      <c r="G690" s="121"/>
      <c r="H690" s="121"/>
      <c r="I690" s="121"/>
      <c r="J690" s="121"/>
      <c r="K690" s="121"/>
      <c r="L690" s="121"/>
      <c r="M690" s="121"/>
      <c r="N690" s="121"/>
      <c r="O690" s="19"/>
    </row>
    <row r="691" spans="1:15" ht="12.75" customHeight="1" x14ac:dyDescent="0.15">
      <c r="A691" s="121"/>
      <c r="B691" s="121"/>
      <c r="C691" s="121"/>
      <c r="D691" s="121"/>
      <c r="E691" s="121"/>
      <c r="F691" s="121"/>
      <c r="G691" s="121"/>
      <c r="H691" s="121"/>
      <c r="I691" s="121"/>
      <c r="J691" s="121"/>
      <c r="K691" s="121"/>
      <c r="L691" s="121"/>
      <c r="M691" s="121"/>
      <c r="N691" s="121"/>
      <c r="O691" s="19"/>
    </row>
    <row r="692" spans="1:15" ht="12.75" customHeight="1" x14ac:dyDescent="0.15">
      <c r="A692" s="121"/>
      <c r="B692" s="121"/>
      <c r="C692" s="121"/>
      <c r="D692" s="121"/>
      <c r="E692" s="121"/>
      <c r="F692" s="121"/>
      <c r="G692" s="121"/>
      <c r="H692" s="121"/>
      <c r="I692" s="121"/>
      <c r="J692" s="121"/>
      <c r="K692" s="121"/>
      <c r="L692" s="121"/>
      <c r="M692" s="121"/>
      <c r="N692" s="121"/>
      <c r="O692" s="19"/>
    </row>
    <row r="693" spans="1:15" ht="12.75" customHeight="1" x14ac:dyDescent="0.15">
      <c r="A693" s="121"/>
      <c r="B693" s="121"/>
      <c r="C693" s="121"/>
      <c r="D693" s="121"/>
      <c r="E693" s="121"/>
      <c r="F693" s="121"/>
      <c r="G693" s="121"/>
      <c r="H693" s="121"/>
      <c r="I693" s="121"/>
      <c r="J693" s="121"/>
      <c r="K693" s="121"/>
      <c r="L693" s="121"/>
      <c r="M693" s="121"/>
      <c r="N693" s="121"/>
      <c r="O693" s="19"/>
    </row>
    <row r="694" spans="1:15" ht="12.75" customHeight="1" x14ac:dyDescent="0.15">
      <c r="A694" s="121"/>
      <c r="B694" s="121"/>
      <c r="C694" s="121"/>
      <c r="D694" s="121"/>
      <c r="E694" s="121"/>
      <c r="F694" s="121"/>
      <c r="G694" s="121"/>
      <c r="H694" s="121"/>
      <c r="I694" s="121"/>
      <c r="J694" s="121"/>
      <c r="K694" s="121"/>
      <c r="L694" s="121"/>
      <c r="M694" s="121"/>
      <c r="N694" s="121"/>
      <c r="O694" s="19"/>
    </row>
    <row r="695" spans="1:15" ht="12.75" customHeight="1" x14ac:dyDescent="0.15">
      <c r="A695" s="121"/>
      <c r="B695" s="121"/>
      <c r="C695" s="121"/>
      <c r="D695" s="121"/>
      <c r="E695" s="121"/>
      <c r="F695" s="121"/>
      <c r="G695" s="121"/>
      <c r="H695" s="121"/>
      <c r="I695" s="121"/>
      <c r="J695" s="121"/>
      <c r="K695" s="121"/>
      <c r="L695" s="121"/>
      <c r="M695" s="121"/>
      <c r="N695" s="121"/>
      <c r="O695" s="19"/>
    </row>
    <row r="696" spans="1:15" ht="12.75" customHeight="1" x14ac:dyDescent="0.15">
      <c r="A696" s="121"/>
      <c r="B696" s="121"/>
      <c r="C696" s="121"/>
      <c r="D696" s="121"/>
      <c r="E696" s="121"/>
      <c r="F696" s="121"/>
      <c r="G696" s="121"/>
      <c r="H696" s="121"/>
      <c r="I696" s="121"/>
      <c r="J696" s="121"/>
      <c r="K696" s="121"/>
      <c r="L696" s="121"/>
      <c r="M696" s="121"/>
      <c r="N696" s="121"/>
      <c r="O696" s="19"/>
    </row>
    <row r="697" spans="1:15" ht="12.75" customHeight="1" x14ac:dyDescent="0.15">
      <c r="A697" s="121"/>
      <c r="B697" s="121"/>
      <c r="C697" s="121"/>
      <c r="D697" s="121"/>
      <c r="E697" s="121"/>
      <c r="F697" s="121"/>
      <c r="G697" s="121"/>
      <c r="H697" s="121"/>
      <c r="I697" s="121"/>
      <c r="J697" s="121"/>
      <c r="K697" s="121"/>
      <c r="L697" s="121"/>
      <c r="M697" s="121"/>
      <c r="N697" s="121"/>
      <c r="O697" s="19"/>
    </row>
    <row r="698" spans="1:15" ht="12.75" customHeight="1" x14ac:dyDescent="0.15">
      <c r="A698" s="121"/>
      <c r="B698" s="121"/>
      <c r="C698" s="121"/>
      <c r="D698" s="121"/>
      <c r="E698" s="121"/>
      <c r="F698" s="121"/>
      <c r="G698" s="121"/>
      <c r="H698" s="121"/>
      <c r="I698" s="121"/>
      <c r="J698" s="121"/>
      <c r="K698" s="121"/>
      <c r="L698" s="121"/>
      <c r="M698" s="121"/>
      <c r="N698" s="121"/>
      <c r="O698" s="19"/>
    </row>
    <row r="699" spans="1:15" ht="12.75" customHeight="1" x14ac:dyDescent="0.15">
      <c r="A699" s="121"/>
      <c r="B699" s="121"/>
      <c r="C699" s="121"/>
      <c r="D699" s="121"/>
      <c r="E699" s="121"/>
      <c r="F699" s="121"/>
      <c r="G699" s="121"/>
      <c r="H699" s="121"/>
      <c r="I699" s="121"/>
      <c r="J699" s="121"/>
      <c r="K699" s="121"/>
      <c r="L699" s="121"/>
      <c r="M699" s="121"/>
      <c r="N699" s="121"/>
      <c r="O699" s="19"/>
    </row>
    <row r="700" spans="1:15" ht="12.75" customHeight="1" x14ac:dyDescent="0.15">
      <c r="A700" s="121"/>
      <c r="B700" s="121"/>
      <c r="C700" s="121"/>
      <c r="D700" s="121"/>
      <c r="E700" s="121"/>
      <c r="F700" s="121"/>
      <c r="G700" s="121"/>
      <c r="H700" s="121"/>
      <c r="I700" s="121"/>
      <c r="J700" s="121"/>
      <c r="K700" s="121"/>
      <c r="L700" s="121"/>
      <c r="M700" s="121"/>
      <c r="N700" s="121"/>
      <c r="O700" s="19"/>
    </row>
    <row r="701" spans="1:15" ht="12.75" customHeight="1" x14ac:dyDescent="0.15">
      <c r="A701" s="121"/>
      <c r="B701" s="121"/>
      <c r="C701" s="121"/>
      <c r="D701" s="121"/>
      <c r="E701" s="121"/>
      <c r="F701" s="121"/>
      <c r="G701" s="121"/>
      <c r="H701" s="121"/>
      <c r="I701" s="121"/>
      <c r="J701" s="121"/>
      <c r="K701" s="121"/>
      <c r="L701" s="121"/>
      <c r="M701" s="121"/>
      <c r="N701" s="121"/>
      <c r="O701" s="19"/>
    </row>
    <row r="702" spans="1:15" ht="12.75" customHeight="1" x14ac:dyDescent="0.15">
      <c r="A702" s="121"/>
      <c r="B702" s="121"/>
      <c r="C702" s="121"/>
      <c r="D702" s="121"/>
      <c r="E702" s="121"/>
      <c r="F702" s="121"/>
      <c r="G702" s="121"/>
      <c r="H702" s="121"/>
      <c r="I702" s="121"/>
      <c r="J702" s="121"/>
      <c r="K702" s="121"/>
      <c r="L702" s="121"/>
      <c r="M702" s="121"/>
      <c r="N702" s="121"/>
      <c r="O702" s="19"/>
    </row>
    <row r="703" spans="1:15" ht="12.75" customHeight="1" x14ac:dyDescent="0.15">
      <c r="A703" s="121"/>
      <c r="B703" s="121"/>
      <c r="C703" s="121"/>
      <c r="D703" s="121"/>
      <c r="E703" s="121"/>
      <c r="F703" s="121"/>
      <c r="G703" s="121"/>
      <c r="H703" s="121"/>
      <c r="I703" s="121"/>
      <c r="J703" s="121"/>
      <c r="K703" s="121"/>
      <c r="L703" s="121"/>
      <c r="M703" s="121"/>
      <c r="N703" s="121"/>
      <c r="O703" s="19"/>
    </row>
    <row r="704" spans="1:15" ht="12.75" customHeight="1" x14ac:dyDescent="0.15">
      <c r="A704" s="121"/>
      <c r="B704" s="121"/>
      <c r="C704" s="121"/>
      <c r="D704" s="121"/>
      <c r="E704" s="121"/>
      <c r="F704" s="121"/>
      <c r="G704" s="121"/>
      <c r="H704" s="121"/>
      <c r="I704" s="121"/>
      <c r="J704" s="121"/>
      <c r="K704" s="121"/>
      <c r="L704" s="121"/>
      <c r="M704" s="121"/>
      <c r="N704" s="121"/>
      <c r="O704" s="19"/>
    </row>
    <row r="705" spans="1:15" ht="12.75" customHeight="1" x14ac:dyDescent="0.15">
      <c r="A705" s="121"/>
      <c r="B705" s="121"/>
      <c r="C705" s="121"/>
      <c r="D705" s="121"/>
      <c r="E705" s="121"/>
      <c r="F705" s="121"/>
      <c r="G705" s="121"/>
      <c r="H705" s="121"/>
      <c r="I705" s="121"/>
      <c r="J705" s="121"/>
      <c r="K705" s="121"/>
      <c r="L705" s="121"/>
      <c r="M705" s="121"/>
      <c r="N705" s="121"/>
      <c r="O705" s="19"/>
    </row>
    <row r="706" spans="1:15" ht="12.75" customHeight="1" x14ac:dyDescent="0.15">
      <c r="A706" s="121"/>
      <c r="B706" s="121"/>
      <c r="C706" s="121"/>
      <c r="D706" s="121"/>
      <c r="E706" s="121"/>
      <c r="F706" s="121"/>
      <c r="G706" s="121"/>
      <c r="H706" s="121"/>
      <c r="I706" s="121"/>
      <c r="J706" s="121"/>
      <c r="K706" s="121"/>
      <c r="L706" s="121"/>
      <c r="M706" s="121"/>
      <c r="N706" s="121"/>
      <c r="O706" s="19"/>
    </row>
    <row r="707" spans="1:15" ht="12.75" customHeight="1" x14ac:dyDescent="0.15">
      <c r="A707" s="121"/>
      <c r="B707" s="121"/>
      <c r="C707" s="121"/>
      <c r="D707" s="121"/>
      <c r="E707" s="121"/>
      <c r="F707" s="121"/>
      <c r="G707" s="121"/>
      <c r="H707" s="121"/>
      <c r="I707" s="121"/>
      <c r="J707" s="121"/>
      <c r="K707" s="121"/>
      <c r="L707" s="121"/>
      <c r="M707" s="121"/>
      <c r="N707" s="121"/>
      <c r="O707" s="19"/>
    </row>
    <row r="708" spans="1:15" ht="12.75" customHeight="1" x14ac:dyDescent="0.15">
      <c r="A708" s="121"/>
      <c r="B708" s="121"/>
      <c r="C708" s="121"/>
      <c r="D708" s="121"/>
      <c r="E708" s="121"/>
      <c r="F708" s="121"/>
      <c r="G708" s="121"/>
      <c r="H708" s="121"/>
      <c r="I708" s="121"/>
      <c r="J708" s="121"/>
      <c r="K708" s="121"/>
      <c r="L708" s="121"/>
      <c r="M708" s="121"/>
      <c r="N708" s="121"/>
      <c r="O708" s="19"/>
    </row>
    <row r="709" spans="1:15" ht="12.75" customHeight="1" x14ac:dyDescent="0.15">
      <c r="A709" s="121"/>
      <c r="B709" s="121"/>
      <c r="C709" s="121"/>
      <c r="D709" s="121"/>
      <c r="E709" s="121"/>
      <c r="F709" s="121"/>
      <c r="G709" s="121"/>
      <c r="H709" s="121"/>
      <c r="I709" s="121"/>
      <c r="J709" s="121"/>
      <c r="K709" s="121"/>
      <c r="L709" s="121"/>
      <c r="M709" s="121"/>
      <c r="N709" s="121"/>
      <c r="O709" s="19"/>
    </row>
    <row r="710" spans="1:15" ht="12.75" customHeight="1" x14ac:dyDescent="0.15">
      <c r="A710" s="121"/>
      <c r="B710" s="121"/>
      <c r="C710" s="121"/>
      <c r="D710" s="121"/>
      <c r="E710" s="121"/>
      <c r="F710" s="121"/>
      <c r="G710" s="121"/>
      <c r="H710" s="121"/>
      <c r="I710" s="121"/>
      <c r="J710" s="121"/>
      <c r="K710" s="121"/>
      <c r="L710" s="121"/>
      <c r="M710" s="121"/>
      <c r="N710" s="121"/>
      <c r="O710" s="19"/>
    </row>
    <row r="711" spans="1:15" ht="12.75" customHeight="1" x14ac:dyDescent="0.15">
      <c r="A711" s="121"/>
      <c r="B711" s="121"/>
      <c r="C711" s="121"/>
      <c r="D711" s="121"/>
      <c r="E711" s="121"/>
      <c r="F711" s="121"/>
      <c r="G711" s="121"/>
      <c r="H711" s="121"/>
      <c r="I711" s="121"/>
      <c r="J711" s="121"/>
      <c r="K711" s="121"/>
      <c r="L711" s="121"/>
      <c r="M711" s="121"/>
      <c r="N711" s="121"/>
      <c r="O711" s="19"/>
    </row>
    <row r="712" spans="1:15" ht="12.75" customHeight="1" x14ac:dyDescent="0.15">
      <c r="A712" s="121"/>
      <c r="B712" s="121"/>
      <c r="C712" s="121"/>
      <c r="D712" s="121"/>
      <c r="E712" s="121"/>
      <c r="F712" s="121"/>
      <c r="G712" s="121"/>
      <c r="H712" s="121"/>
      <c r="I712" s="121"/>
      <c r="J712" s="121"/>
      <c r="K712" s="121"/>
      <c r="L712" s="121"/>
      <c r="M712" s="121"/>
      <c r="N712" s="121"/>
      <c r="O712" s="19"/>
    </row>
    <row r="713" spans="1:15" ht="12.75" customHeight="1" x14ac:dyDescent="0.15">
      <c r="A713" s="121"/>
      <c r="B713" s="121"/>
      <c r="C713" s="121"/>
      <c r="D713" s="121"/>
      <c r="E713" s="121"/>
      <c r="F713" s="121"/>
      <c r="G713" s="121"/>
      <c r="H713" s="121"/>
      <c r="I713" s="121"/>
      <c r="J713" s="121"/>
      <c r="K713" s="121"/>
      <c r="L713" s="121"/>
      <c r="M713" s="121"/>
      <c r="N713" s="121"/>
      <c r="O713" s="19"/>
    </row>
    <row r="714" spans="1:15" ht="12.75" customHeight="1" x14ac:dyDescent="0.15">
      <c r="A714" s="121"/>
      <c r="B714" s="121"/>
      <c r="C714" s="121"/>
      <c r="D714" s="121"/>
      <c r="E714" s="121"/>
      <c r="F714" s="121"/>
      <c r="G714" s="121"/>
      <c r="H714" s="121"/>
      <c r="I714" s="121"/>
      <c r="J714" s="121"/>
      <c r="K714" s="121"/>
      <c r="L714" s="121"/>
      <c r="M714" s="121"/>
      <c r="N714" s="121"/>
      <c r="O714" s="19"/>
    </row>
    <row r="715" spans="1:15" ht="12.75" customHeight="1" x14ac:dyDescent="0.15">
      <c r="A715" s="121"/>
      <c r="B715" s="121"/>
      <c r="C715" s="121"/>
      <c r="D715" s="121"/>
      <c r="E715" s="121"/>
      <c r="F715" s="121"/>
      <c r="G715" s="121"/>
      <c r="H715" s="121"/>
      <c r="I715" s="121"/>
      <c r="J715" s="121"/>
      <c r="K715" s="121"/>
      <c r="L715" s="121"/>
      <c r="M715" s="121"/>
      <c r="N715" s="121"/>
      <c r="O715" s="19"/>
    </row>
    <row r="716" spans="1:15" ht="12.75" customHeight="1" x14ac:dyDescent="0.15">
      <c r="A716" s="121"/>
      <c r="B716" s="121"/>
      <c r="C716" s="121"/>
      <c r="D716" s="121"/>
      <c r="E716" s="121"/>
      <c r="F716" s="121"/>
      <c r="G716" s="121"/>
      <c r="H716" s="121"/>
      <c r="I716" s="121"/>
      <c r="J716" s="121"/>
      <c r="K716" s="121"/>
      <c r="L716" s="121"/>
      <c r="M716" s="121"/>
      <c r="N716" s="121"/>
      <c r="O716" s="19"/>
    </row>
    <row r="717" spans="1:15" ht="12.75" customHeight="1" x14ac:dyDescent="0.15">
      <c r="A717" s="121"/>
      <c r="B717" s="121"/>
      <c r="C717" s="121"/>
      <c r="D717" s="121"/>
      <c r="E717" s="121"/>
      <c r="F717" s="121"/>
      <c r="G717" s="121"/>
      <c r="H717" s="121"/>
      <c r="I717" s="121"/>
      <c r="J717" s="121"/>
      <c r="K717" s="121"/>
      <c r="L717" s="121"/>
      <c r="M717" s="121"/>
      <c r="N717" s="121"/>
      <c r="O717" s="19"/>
    </row>
    <row r="718" spans="1:15" ht="12.75" customHeight="1" x14ac:dyDescent="0.15">
      <c r="A718" s="121"/>
      <c r="B718" s="121"/>
      <c r="C718" s="121"/>
      <c r="D718" s="121"/>
      <c r="E718" s="121"/>
      <c r="F718" s="121"/>
      <c r="G718" s="121"/>
      <c r="H718" s="121"/>
      <c r="I718" s="121"/>
      <c r="J718" s="121"/>
      <c r="K718" s="121"/>
      <c r="L718" s="121"/>
      <c r="M718" s="121"/>
      <c r="N718" s="121"/>
      <c r="O718" s="19"/>
    </row>
    <row r="719" spans="1:15" ht="12.75" customHeight="1" x14ac:dyDescent="0.15">
      <c r="A719" s="121"/>
      <c r="B719" s="121"/>
      <c r="C719" s="121"/>
      <c r="D719" s="121"/>
      <c r="E719" s="121"/>
      <c r="F719" s="121"/>
      <c r="G719" s="121"/>
      <c r="H719" s="121"/>
      <c r="I719" s="121"/>
      <c r="J719" s="121"/>
      <c r="K719" s="121"/>
      <c r="L719" s="121"/>
      <c r="M719" s="121"/>
      <c r="N719" s="121"/>
      <c r="O719" s="19"/>
    </row>
    <row r="720" spans="1:15" ht="12.75" customHeight="1" x14ac:dyDescent="0.15">
      <c r="A720" s="121"/>
      <c r="B720" s="121"/>
      <c r="C720" s="121"/>
      <c r="D720" s="121"/>
      <c r="E720" s="121"/>
      <c r="F720" s="121"/>
      <c r="G720" s="121"/>
      <c r="H720" s="121"/>
      <c r="I720" s="121"/>
      <c r="J720" s="121"/>
      <c r="K720" s="121"/>
      <c r="L720" s="121"/>
      <c r="M720" s="121"/>
      <c r="N720" s="121"/>
      <c r="O720" s="19"/>
    </row>
    <row r="721" spans="1:15" ht="12.75" customHeight="1" x14ac:dyDescent="0.15">
      <c r="A721" s="121"/>
      <c r="B721" s="121"/>
      <c r="C721" s="121"/>
      <c r="D721" s="121"/>
      <c r="E721" s="121"/>
      <c r="F721" s="121"/>
      <c r="G721" s="121"/>
      <c r="H721" s="121"/>
      <c r="I721" s="121"/>
      <c r="J721" s="121"/>
      <c r="K721" s="121"/>
      <c r="L721" s="121"/>
      <c r="M721" s="121"/>
      <c r="N721" s="121"/>
      <c r="O721" s="19"/>
    </row>
    <row r="722" spans="1:15" ht="12.75" customHeight="1" x14ac:dyDescent="0.15">
      <c r="A722" s="121"/>
      <c r="B722" s="121"/>
      <c r="C722" s="121"/>
      <c r="D722" s="121"/>
      <c r="E722" s="121"/>
      <c r="F722" s="121"/>
      <c r="G722" s="121"/>
      <c r="H722" s="121"/>
      <c r="I722" s="121"/>
      <c r="J722" s="121"/>
      <c r="K722" s="121"/>
      <c r="L722" s="121"/>
      <c r="M722" s="121"/>
      <c r="N722" s="121"/>
      <c r="O722" s="19"/>
    </row>
    <row r="723" spans="1:15" ht="12.75" customHeight="1" x14ac:dyDescent="0.15">
      <c r="A723" s="121"/>
      <c r="B723" s="121"/>
      <c r="C723" s="121"/>
      <c r="D723" s="121"/>
      <c r="E723" s="121"/>
      <c r="F723" s="121"/>
      <c r="G723" s="121"/>
      <c r="H723" s="121"/>
      <c r="I723" s="121"/>
      <c r="J723" s="121"/>
      <c r="K723" s="121"/>
      <c r="L723" s="121"/>
      <c r="M723" s="121"/>
      <c r="N723" s="121"/>
      <c r="O723" s="19"/>
    </row>
    <row r="724" spans="1:15" ht="12.75" customHeight="1" x14ac:dyDescent="0.15">
      <c r="A724" s="121"/>
      <c r="B724" s="121"/>
      <c r="C724" s="121"/>
      <c r="D724" s="121"/>
      <c r="E724" s="121"/>
      <c r="F724" s="121"/>
      <c r="G724" s="121"/>
      <c r="H724" s="121"/>
      <c r="I724" s="121"/>
      <c r="J724" s="121"/>
      <c r="K724" s="121"/>
      <c r="L724" s="121"/>
      <c r="M724" s="121"/>
      <c r="N724" s="121"/>
      <c r="O724" s="19"/>
    </row>
    <row r="725" spans="1:15" ht="12.75" customHeight="1" x14ac:dyDescent="0.15">
      <c r="A725" s="121"/>
      <c r="B725" s="121"/>
      <c r="C725" s="121"/>
      <c r="D725" s="121"/>
      <c r="E725" s="121"/>
      <c r="F725" s="121"/>
      <c r="G725" s="121"/>
      <c r="H725" s="121"/>
      <c r="I725" s="121"/>
      <c r="J725" s="121"/>
      <c r="K725" s="121"/>
      <c r="L725" s="121"/>
      <c r="M725" s="121"/>
      <c r="N725" s="121"/>
      <c r="O725" s="19"/>
    </row>
    <row r="726" spans="1:15" ht="12.75" customHeight="1" x14ac:dyDescent="0.15">
      <c r="A726" s="121"/>
      <c r="B726" s="121"/>
      <c r="C726" s="121"/>
      <c r="D726" s="121"/>
      <c r="E726" s="121"/>
      <c r="F726" s="121"/>
      <c r="G726" s="121"/>
      <c r="H726" s="121"/>
      <c r="I726" s="121"/>
      <c r="J726" s="121"/>
      <c r="K726" s="121"/>
      <c r="L726" s="121"/>
      <c r="M726" s="121"/>
      <c r="N726" s="121"/>
      <c r="O726" s="19"/>
    </row>
    <row r="727" spans="1:15" ht="12.75" customHeight="1" x14ac:dyDescent="0.15">
      <c r="A727" s="121"/>
      <c r="B727" s="121"/>
      <c r="C727" s="121"/>
      <c r="D727" s="121"/>
      <c r="E727" s="121"/>
      <c r="F727" s="121"/>
      <c r="G727" s="121"/>
      <c r="H727" s="121"/>
      <c r="I727" s="121"/>
      <c r="J727" s="121"/>
      <c r="K727" s="121"/>
      <c r="L727" s="121"/>
      <c r="M727" s="121"/>
      <c r="N727" s="121"/>
      <c r="O727" s="19"/>
    </row>
    <row r="728" spans="1:15" ht="12.75" customHeight="1" x14ac:dyDescent="0.15">
      <c r="A728" s="121"/>
      <c r="B728" s="121"/>
      <c r="C728" s="121"/>
      <c r="D728" s="121"/>
      <c r="E728" s="121"/>
      <c r="F728" s="121"/>
      <c r="G728" s="121"/>
      <c r="H728" s="121"/>
      <c r="I728" s="121"/>
      <c r="J728" s="121"/>
      <c r="K728" s="121"/>
      <c r="L728" s="121"/>
      <c r="M728" s="121"/>
      <c r="N728" s="121"/>
      <c r="O728" s="19"/>
    </row>
    <row r="729" spans="1:15" ht="12.75" customHeight="1" x14ac:dyDescent="0.15">
      <c r="A729" s="121"/>
      <c r="B729" s="121"/>
      <c r="C729" s="121"/>
      <c r="D729" s="121"/>
      <c r="E729" s="121"/>
      <c r="F729" s="121"/>
      <c r="G729" s="121"/>
      <c r="H729" s="121"/>
      <c r="I729" s="121"/>
      <c r="J729" s="121"/>
      <c r="K729" s="121"/>
      <c r="L729" s="121"/>
      <c r="M729" s="121"/>
      <c r="N729" s="121"/>
      <c r="O729" s="19"/>
    </row>
    <row r="730" spans="1:15" ht="12.75" customHeight="1" x14ac:dyDescent="0.15">
      <c r="A730" s="121"/>
      <c r="B730" s="121"/>
      <c r="C730" s="121"/>
      <c r="D730" s="121"/>
      <c r="E730" s="121"/>
      <c r="F730" s="121"/>
      <c r="G730" s="121"/>
      <c r="H730" s="121"/>
      <c r="I730" s="121"/>
      <c r="J730" s="121"/>
      <c r="K730" s="121"/>
      <c r="L730" s="121"/>
      <c r="M730" s="121"/>
      <c r="N730" s="121"/>
      <c r="O730" s="19"/>
    </row>
    <row r="731" spans="1:15" ht="12.75" customHeight="1" x14ac:dyDescent="0.15">
      <c r="A731" s="121"/>
      <c r="B731" s="121"/>
      <c r="C731" s="121"/>
      <c r="D731" s="121"/>
      <c r="E731" s="121"/>
      <c r="F731" s="121"/>
      <c r="G731" s="121"/>
      <c r="H731" s="121"/>
      <c r="I731" s="121"/>
      <c r="J731" s="121"/>
      <c r="K731" s="121"/>
      <c r="L731" s="121"/>
      <c r="M731" s="121"/>
      <c r="N731" s="121"/>
      <c r="O731" s="19"/>
    </row>
    <row r="732" spans="1:15" ht="12.75" customHeight="1" x14ac:dyDescent="0.15">
      <c r="A732" s="121"/>
      <c r="B732" s="121"/>
      <c r="C732" s="121"/>
      <c r="D732" s="121"/>
      <c r="E732" s="121"/>
      <c r="F732" s="121"/>
      <c r="G732" s="121"/>
      <c r="H732" s="121"/>
      <c r="I732" s="121"/>
      <c r="J732" s="121"/>
      <c r="K732" s="121"/>
      <c r="L732" s="121"/>
      <c r="M732" s="121"/>
      <c r="N732" s="121"/>
      <c r="O732" s="19"/>
    </row>
    <row r="733" spans="1:15" ht="12.75" customHeight="1" x14ac:dyDescent="0.15">
      <c r="A733" s="121"/>
      <c r="B733" s="121"/>
      <c r="C733" s="121"/>
      <c r="D733" s="121"/>
      <c r="E733" s="121"/>
      <c r="F733" s="121"/>
      <c r="G733" s="121"/>
      <c r="H733" s="121"/>
      <c r="I733" s="121"/>
      <c r="J733" s="121"/>
      <c r="K733" s="121"/>
      <c r="L733" s="121"/>
      <c r="M733" s="121"/>
      <c r="N733" s="121"/>
      <c r="O733" s="19"/>
    </row>
    <row r="734" spans="1:15" ht="12.75" customHeight="1" x14ac:dyDescent="0.15">
      <c r="A734" s="121"/>
      <c r="B734" s="121"/>
      <c r="C734" s="121"/>
      <c r="D734" s="121"/>
      <c r="E734" s="121"/>
      <c r="F734" s="121"/>
      <c r="G734" s="121"/>
      <c r="H734" s="121"/>
      <c r="I734" s="121"/>
      <c r="J734" s="121"/>
      <c r="K734" s="121"/>
      <c r="L734" s="121"/>
      <c r="M734" s="121"/>
      <c r="N734" s="121"/>
      <c r="O734" s="19"/>
    </row>
    <row r="735" spans="1:15" ht="12.75" customHeight="1" x14ac:dyDescent="0.15">
      <c r="A735" s="121"/>
      <c r="B735" s="121"/>
      <c r="C735" s="121"/>
      <c r="D735" s="121"/>
      <c r="E735" s="121"/>
      <c r="F735" s="121"/>
      <c r="G735" s="121"/>
      <c r="H735" s="121"/>
      <c r="I735" s="121"/>
      <c r="J735" s="121"/>
      <c r="K735" s="121"/>
      <c r="L735" s="121"/>
      <c r="M735" s="121"/>
      <c r="N735" s="121"/>
      <c r="O735" s="19"/>
    </row>
    <row r="736" spans="1:15" ht="12.75" customHeight="1" x14ac:dyDescent="0.15">
      <c r="A736" s="121"/>
      <c r="B736" s="121"/>
      <c r="C736" s="121"/>
      <c r="D736" s="121"/>
      <c r="E736" s="121"/>
      <c r="F736" s="121"/>
      <c r="G736" s="121"/>
      <c r="H736" s="121"/>
      <c r="I736" s="121"/>
      <c r="J736" s="121"/>
      <c r="K736" s="121"/>
      <c r="L736" s="121"/>
      <c r="M736" s="121"/>
      <c r="N736" s="121"/>
      <c r="O736" s="19"/>
    </row>
    <row r="737" spans="1:15" ht="12.75" customHeight="1" x14ac:dyDescent="0.15">
      <c r="A737" s="121"/>
      <c r="B737" s="121"/>
      <c r="C737" s="121"/>
      <c r="D737" s="121"/>
      <c r="E737" s="121"/>
      <c r="F737" s="121"/>
      <c r="G737" s="121"/>
      <c r="H737" s="121"/>
      <c r="I737" s="121"/>
      <c r="J737" s="121"/>
      <c r="K737" s="121"/>
      <c r="L737" s="121"/>
      <c r="M737" s="121"/>
      <c r="N737" s="121"/>
      <c r="O737" s="19"/>
    </row>
    <row r="738" spans="1:15" ht="12.75" customHeight="1" x14ac:dyDescent="0.15">
      <c r="A738" s="121"/>
      <c r="B738" s="121"/>
      <c r="C738" s="121"/>
      <c r="D738" s="121"/>
      <c r="E738" s="121"/>
      <c r="F738" s="121"/>
      <c r="G738" s="121"/>
      <c r="H738" s="121"/>
      <c r="I738" s="121"/>
      <c r="J738" s="121"/>
      <c r="K738" s="121"/>
      <c r="L738" s="121"/>
      <c r="M738" s="121"/>
      <c r="N738" s="121"/>
      <c r="O738" s="19"/>
    </row>
    <row r="739" spans="1:15" ht="12.75" customHeight="1" x14ac:dyDescent="0.15">
      <c r="A739" s="121"/>
      <c r="B739" s="121"/>
      <c r="C739" s="121"/>
      <c r="D739" s="121"/>
      <c r="E739" s="121"/>
      <c r="F739" s="121"/>
      <c r="G739" s="121"/>
      <c r="H739" s="121"/>
      <c r="I739" s="121"/>
      <c r="J739" s="121"/>
      <c r="K739" s="121"/>
      <c r="L739" s="121"/>
      <c r="M739" s="121"/>
      <c r="N739" s="121"/>
      <c r="O739" s="19"/>
    </row>
    <row r="740" spans="1:15" ht="12.75" customHeight="1" x14ac:dyDescent="0.15">
      <c r="A740" s="121"/>
      <c r="B740" s="121"/>
      <c r="C740" s="121"/>
      <c r="D740" s="121"/>
      <c r="E740" s="121"/>
      <c r="F740" s="121"/>
      <c r="G740" s="121"/>
      <c r="H740" s="121"/>
      <c r="I740" s="121"/>
      <c r="J740" s="121"/>
      <c r="K740" s="121"/>
      <c r="L740" s="121"/>
      <c r="M740" s="121"/>
      <c r="N740" s="121"/>
      <c r="O740" s="19"/>
    </row>
    <row r="741" spans="1:15" ht="12.75" customHeight="1" x14ac:dyDescent="0.15">
      <c r="A741" s="121"/>
      <c r="B741" s="121"/>
      <c r="C741" s="121"/>
      <c r="D741" s="121"/>
      <c r="E741" s="121"/>
      <c r="F741" s="121"/>
      <c r="G741" s="121"/>
      <c r="H741" s="121"/>
      <c r="I741" s="121"/>
      <c r="J741" s="121"/>
      <c r="K741" s="121"/>
      <c r="L741" s="121"/>
      <c r="M741" s="121"/>
      <c r="N741" s="121"/>
      <c r="O741" s="19"/>
    </row>
    <row r="742" spans="1:15" ht="12.75" customHeight="1" x14ac:dyDescent="0.15">
      <c r="A742" s="121"/>
      <c r="B742" s="121"/>
      <c r="C742" s="121"/>
      <c r="D742" s="121"/>
      <c r="E742" s="121"/>
      <c r="F742" s="121"/>
      <c r="G742" s="121"/>
      <c r="H742" s="121"/>
      <c r="I742" s="121"/>
      <c r="J742" s="121"/>
      <c r="K742" s="121"/>
      <c r="L742" s="121"/>
      <c r="M742" s="121"/>
      <c r="N742" s="121"/>
      <c r="O742" s="19"/>
    </row>
    <row r="743" spans="1:15" ht="12.75" customHeight="1" x14ac:dyDescent="0.15">
      <c r="A743" s="121"/>
      <c r="B743" s="121"/>
      <c r="C743" s="121"/>
      <c r="D743" s="121"/>
      <c r="E743" s="121"/>
      <c r="F743" s="121"/>
      <c r="G743" s="121"/>
      <c r="H743" s="121"/>
      <c r="I743" s="121"/>
      <c r="J743" s="121"/>
      <c r="K743" s="121"/>
      <c r="L743" s="121"/>
      <c r="M743" s="121"/>
      <c r="N743" s="121"/>
      <c r="O743" s="19"/>
    </row>
    <row r="744" spans="1:15" ht="12.75" customHeight="1" x14ac:dyDescent="0.15">
      <c r="A744" s="121"/>
      <c r="B744" s="121"/>
      <c r="C744" s="121"/>
      <c r="D744" s="121"/>
      <c r="E744" s="121"/>
      <c r="F744" s="121"/>
      <c r="G744" s="121"/>
      <c r="H744" s="121"/>
      <c r="I744" s="121"/>
      <c r="J744" s="121"/>
      <c r="K744" s="121"/>
      <c r="L744" s="121"/>
      <c r="M744" s="121"/>
      <c r="N744" s="121"/>
      <c r="O744" s="19"/>
    </row>
    <row r="745" spans="1:15" ht="12.75" customHeight="1" x14ac:dyDescent="0.15">
      <c r="A745" s="121"/>
      <c r="B745" s="121"/>
      <c r="C745" s="121"/>
      <c r="D745" s="121"/>
      <c r="E745" s="121"/>
      <c r="F745" s="121"/>
      <c r="G745" s="121"/>
      <c r="H745" s="121"/>
      <c r="I745" s="121"/>
      <c r="J745" s="121"/>
      <c r="K745" s="121"/>
      <c r="L745" s="121"/>
      <c r="M745" s="121"/>
      <c r="N745" s="121"/>
      <c r="O745" s="19"/>
    </row>
    <row r="746" spans="1:15" ht="12.75" customHeight="1" x14ac:dyDescent="0.15">
      <c r="A746" s="121"/>
      <c r="B746" s="121"/>
      <c r="C746" s="121"/>
      <c r="D746" s="121"/>
      <c r="E746" s="121"/>
      <c r="F746" s="121"/>
      <c r="G746" s="121"/>
      <c r="H746" s="121"/>
      <c r="I746" s="121"/>
      <c r="J746" s="121"/>
      <c r="K746" s="121"/>
      <c r="L746" s="121"/>
      <c r="M746" s="121"/>
      <c r="N746" s="121"/>
      <c r="O746" s="19"/>
    </row>
    <row r="747" spans="1:15" ht="12.75" customHeight="1" x14ac:dyDescent="0.15">
      <c r="A747" s="121"/>
      <c r="B747" s="121"/>
      <c r="C747" s="121"/>
      <c r="D747" s="121"/>
      <c r="E747" s="121"/>
      <c r="F747" s="121"/>
      <c r="G747" s="121"/>
      <c r="H747" s="121"/>
      <c r="I747" s="121"/>
      <c r="J747" s="121"/>
      <c r="K747" s="121"/>
      <c r="L747" s="121"/>
      <c r="M747" s="121"/>
      <c r="N747" s="121"/>
      <c r="O747" s="19"/>
    </row>
    <row r="748" spans="1:15" ht="12.75" customHeight="1" x14ac:dyDescent="0.15">
      <c r="A748" s="121"/>
      <c r="B748" s="121"/>
      <c r="C748" s="121"/>
      <c r="D748" s="121"/>
      <c r="E748" s="121"/>
      <c r="F748" s="121"/>
      <c r="G748" s="121"/>
      <c r="H748" s="121"/>
      <c r="I748" s="121"/>
      <c r="J748" s="121"/>
      <c r="K748" s="121"/>
      <c r="L748" s="121"/>
      <c r="M748" s="121"/>
      <c r="N748" s="121"/>
      <c r="O748" s="19"/>
    </row>
    <row r="749" spans="1:15" ht="12.75" customHeight="1" x14ac:dyDescent="0.15">
      <c r="A749" s="121"/>
      <c r="B749" s="121"/>
      <c r="C749" s="121"/>
      <c r="D749" s="121"/>
      <c r="E749" s="121"/>
      <c r="F749" s="121"/>
      <c r="G749" s="121"/>
      <c r="H749" s="121"/>
      <c r="I749" s="121"/>
      <c r="J749" s="121"/>
      <c r="K749" s="121"/>
      <c r="L749" s="121"/>
      <c r="M749" s="121"/>
      <c r="N749" s="121"/>
      <c r="O749" s="19"/>
    </row>
    <row r="750" spans="1:15" ht="12.75" customHeight="1" x14ac:dyDescent="0.15">
      <c r="A750" s="121"/>
      <c r="B750" s="121"/>
      <c r="C750" s="121"/>
      <c r="D750" s="121"/>
      <c r="E750" s="121"/>
      <c r="F750" s="121"/>
      <c r="G750" s="121"/>
      <c r="H750" s="121"/>
      <c r="I750" s="121"/>
      <c r="J750" s="121"/>
      <c r="K750" s="121"/>
      <c r="L750" s="121"/>
      <c r="M750" s="121"/>
      <c r="N750" s="121"/>
      <c r="O750" s="19"/>
    </row>
    <row r="751" spans="1:15" ht="12.75" customHeight="1" x14ac:dyDescent="0.15">
      <c r="A751" s="121"/>
      <c r="B751" s="121"/>
      <c r="C751" s="121"/>
      <c r="D751" s="121"/>
      <c r="E751" s="121"/>
      <c r="F751" s="121"/>
      <c r="G751" s="121"/>
      <c r="H751" s="121"/>
      <c r="I751" s="121"/>
      <c r="J751" s="121"/>
      <c r="K751" s="121"/>
      <c r="L751" s="121"/>
      <c r="M751" s="121"/>
      <c r="N751" s="121"/>
      <c r="O751" s="19"/>
    </row>
    <row r="752" spans="1:15" ht="12.75" customHeight="1" x14ac:dyDescent="0.15">
      <c r="A752" s="121"/>
      <c r="B752" s="121"/>
      <c r="C752" s="121"/>
      <c r="D752" s="121"/>
      <c r="E752" s="121"/>
      <c r="F752" s="121"/>
      <c r="G752" s="121"/>
      <c r="H752" s="121"/>
      <c r="I752" s="121"/>
      <c r="J752" s="121"/>
      <c r="K752" s="121"/>
      <c r="L752" s="121"/>
      <c r="M752" s="121"/>
      <c r="N752" s="121"/>
      <c r="O752" s="19"/>
    </row>
    <row r="753" spans="1:15" ht="12.75" customHeight="1" x14ac:dyDescent="0.15">
      <c r="A753" s="121"/>
      <c r="B753" s="121"/>
      <c r="C753" s="121"/>
      <c r="D753" s="121"/>
      <c r="E753" s="121"/>
      <c r="F753" s="121"/>
      <c r="G753" s="121"/>
      <c r="H753" s="121"/>
      <c r="I753" s="121"/>
      <c r="J753" s="121"/>
      <c r="K753" s="121"/>
      <c r="L753" s="121"/>
      <c r="M753" s="121"/>
      <c r="N753" s="121"/>
      <c r="O753" s="19"/>
    </row>
    <row r="754" spans="1:15" ht="12.75" customHeight="1" x14ac:dyDescent="0.15">
      <c r="A754" s="121"/>
      <c r="B754" s="121"/>
      <c r="C754" s="121"/>
      <c r="D754" s="121"/>
      <c r="E754" s="121"/>
      <c r="F754" s="121"/>
      <c r="G754" s="121"/>
      <c r="H754" s="121"/>
      <c r="I754" s="121"/>
      <c r="J754" s="121"/>
      <c r="K754" s="121"/>
      <c r="L754" s="121"/>
      <c r="M754" s="121"/>
      <c r="N754" s="121"/>
      <c r="O754" s="19"/>
    </row>
    <row r="755" spans="1:15" ht="12.75" customHeight="1" x14ac:dyDescent="0.15">
      <c r="A755" s="121"/>
      <c r="B755" s="121"/>
      <c r="C755" s="121"/>
      <c r="D755" s="121"/>
      <c r="E755" s="121"/>
      <c r="F755" s="121"/>
      <c r="G755" s="121"/>
      <c r="H755" s="121"/>
      <c r="I755" s="121"/>
      <c r="J755" s="121"/>
      <c r="K755" s="121"/>
      <c r="L755" s="121"/>
      <c r="M755" s="121"/>
      <c r="N755" s="121"/>
      <c r="O755" s="19"/>
    </row>
    <row r="756" spans="1:15" ht="12.75" customHeight="1" x14ac:dyDescent="0.15">
      <c r="A756" s="121"/>
      <c r="B756" s="121"/>
      <c r="C756" s="121"/>
      <c r="D756" s="121"/>
      <c r="E756" s="121"/>
      <c r="F756" s="121"/>
      <c r="G756" s="121"/>
      <c r="H756" s="121"/>
      <c r="I756" s="121"/>
      <c r="J756" s="121"/>
      <c r="K756" s="121"/>
      <c r="L756" s="121"/>
      <c r="M756" s="121"/>
      <c r="N756" s="121"/>
      <c r="O756" s="19"/>
    </row>
    <row r="757" spans="1:15" ht="12.75" customHeight="1" x14ac:dyDescent="0.15">
      <c r="A757" s="121"/>
      <c r="B757" s="121"/>
      <c r="C757" s="121"/>
      <c r="D757" s="121"/>
      <c r="E757" s="121"/>
      <c r="F757" s="121"/>
      <c r="G757" s="121"/>
      <c r="H757" s="121"/>
      <c r="I757" s="121"/>
      <c r="J757" s="121"/>
      <c r="K757" s="121"/>
      <c r="L757" s="121"/>
      <c r="M757" s="121"/>
      <c r="N757" s="121"/>
      <c r="O757" s="19"/>
    </row>
    <row r="758" spans="1:15" ht="12.75" customHeight="1" x14ac:dyDescent="0.15">
      <c r="A758" s="121"/>
      <c r="B758" s="121"/>
      <c r="C758" s="121"/>
      <c r="D758" s="121"/>
      <c r="E758" s="121"/>
      <c r="F758" s="121"/>
      <c r="G758" s="121"/>
      <c r="H758" s="121"/>
      <c r="I758" s="121"/>
      <c r="J758" s="121"/>
      <c r="K758" s="121"/>
      <c r="L758" s="121"/>
      <c r="M758" s="121"/>
      <c r="N758" s="121"/>
      <c r="O758" s="19"/>
    </row>
    <row r="759" spans="1:15" ht="12.75" customHeight="1" x14ac:dyDescent="0.15">
      <c r="A759" s="121"/>
      <c r="B759" s="121"/>
      <c r="C759" s="121"/>
      <c r="D759" s="121"/>
      <c r="E759" s="121"/>
      <c r="F759" s="121"/>
      <c r="G759" s="121"/>
      <c r="H759" s="121"/>
      <c r="I759" s="121"/>
      <c r="J759" s="121"/>
      <c r="K759" s="121"/>
      <c r="L759" s="121"/>
      <c r="M759" s="121"/>
      <c r="N759" s="121"/>
      <c r="O759" s="19"/>
    </row>
    <row r="760" spans="1:15" ht="12.75" customHeight="1" x14ac:dyDescent="0.15">
      <c r="A760" s="121"/>
      <c r="B760" s="121"/>
      <c r="C760" s="121"/>
      <c r="D760" s="121"/>
      <c r="E760" s="121"/>
      <c r="F760" s="121"/>
      <c r="G760" s="121"/>
      <c r="H760" s="121"/>
      <c r="I760" s="121"/>
      <c r="J760" s="121"/>
      <c r="K760" s="121"/>
      <c r="L760" s="121"/>
      <c r="M760" s="121"/>
      <c r="N760" s="121"/>
      <c r="O760" s="19"/>
    </row>
    <row r="761" spans="1:15" ht="12.75" customHeight="1" x14ac:dyDescent="0.15">
      <c r="A761" s="121"/>
      <c r="B761" s="121"/>
      <c r="C761" s="121"/>
      <c r="D761" s="121"/>
      <c r="E761" s="121"/>
      <c r="F761" s="121"/>
      <c r="G761" s="121"/>
      <c r="H761" s="121"/>
      <c r="I761" s="121"/>
      <c r="J761" s="121"/>
      <c r="K761" s="121"/>
      <c r="L761" s="121"/>
      <c r="M761" s="121"/>
      <c r="N761" s="121"/>
      <c r="O761" s="19"/>
    </row>
    <row r="762" spans="1:15" ht="12.75" customHeight="1" x14ac:dyDescent="0.15">
      <c r="A762" s="121"/>
      <c r="B762" s="121"/>
      <c r="C762" s="121"/>
      <c r="D762" s="121"/>
      <c r="E762" s="121"/>
      <c r="F762" s="121"/>
      <c r="G762" s="121"/>
      <c r="H762" s="121"/>
      <c r="I762" s="121"/>
      <c r="J762" s="121"/>
      <c r="K762" s="121"/>
      <c r="L762" s="121"/>
      <c r="M762" s="121"/>
      <c r="N762" s="121"/>
      <c r="O762" s="19"/>
    </row>
    <row r="763" spans="1:15" ht="12.75" customHeight="1" x14ac:dyDescent="0.15">
      <c r="A763" s="121"/>
      <c r="B763" s="121"/>
      <c r="C763" s="121"/>
      <c r="D763" s="121"/>
      <c r="E763" s="121"/>
      <c r="F763" s="121"/>
      <c r="G763" s="121"/>
      <c r="H763" s="121"/>
      <c r="I763" s="121"/>
      <c r="J763" s="121"/>
      <c r="K763" s="121"/>
      <c r="L763" s="121"/>
      <c r="M763" s="121"/>
      <c r="N763" s="121"/>
      <c r="O763" s="19"/>
    </row>
    <row r="764" spans="1:15" ht="12.75" customHeight="1" x14ac:dyDescent="0.15">
      <c r="A764" s="121"/>
      <c r="B764" s="121"/>
      <c r="C764" s="121"/>
      <c r="D764" s="121"/>
      <c r="E764" s="121"/>
      <c r="F764" s="121"/>
      <c r="G764" s="121"/>
      <c r="H764" s="121"/>
      <c r="I764" s="121"/>
      <c r="J764" s="121"/>
      <c r="K764" s="121"/>
      <c r="L764" s="121"/>
      <c r="M764" s="121"/>
      <c r="N764" s="121"/>
      <c r="O764" s="19"/>
    </row>
    <row r="765" spans="1:15" ht="12.75" customHeight="1" x14ac:dyDescent="0.15">
      <c r="A765" s="121"/>
      <c r="B765" s="121"/>
      <c r="C765" s="121"/>
      <c r="D765" s="121"/>
      <c r="E765" s="121"/>
      <c r="F765" s="121"/>
      <c r="G765" s="121"/>
      <c r="H765" s="121"/>
      <c r="I765" s="121"/>
      <c r="J765" s="121"/>
      <c r="K765" s="121"/>
      <c r="L765" s="121"/>
      <c r="M765" s="121"/>
      <c r="N765" s="121"/>
      <c r="O765" s="19"/>
    </row>
    <row r="766" spans="1:15" ht="12.75" customHeight="1" x14ac:dyDescent="0.15">
      <c r="A766" s="121"/>
      <c r="B766" s="121"/>
      <c r="C766" s="121"/>
      <c r="D766" s="121"/>
      <c r="E766" s="121"/>
      <c r="F766" s="121"/>
      <c r="G766" s="121"/>
      <c r="H766" s="121"/>
      <c r="I766" s="121"/>
      <c r="J766" s="121"/>
      <c r="K766" s="121"/>
      <c r="L766" s="121"/>
      <c r="M766" s="121"/>
      <c r="N766" s="121"/>
      <c r="O766" s="19"/>
    </row>
    <row r="767" spans="1:15" ht="12.75" customHeight="1" x14ac:dyDescent="0.15">
      <c r="A767" s="121"/>
      <c r="B767" s="121"/>
      <c r="C767" s="121"/>
      <c r="D767" s="121"/>
      <c r="E767" s="121"/>
      <c r="F767" s="121"/>
      <c r="G767" s="121"/>
      <c r="H767" s="121"/>
      <c r="I767" s="121"/>
      <c r="J767" s="121"/>
      <c r="K767" s="121"/>
      <c r="L767" s="121"/>
      <c r="M767" s="121"/>
      <c r="N767" s="121"/>
      <c r="O767" s="19"/>
    </row>
    <row r="768" spans="1:15" ht="12.75" customHeight="1" x14ac:dyDescent="0.15">
      <c r="A768" s="121"/>
      <c r="B768" s="121"/>
      <c r="C768" s="121"/>
      <c r="D768" s="121"/>
      <c r="E768" s="121"/>
      <c r="F768" s="121"/>
      <c r="G768" s="121"/>
      <c r="H768" s="121"/>
      <c r="I768" s="121"/>
      <c r="J768" s="121"/>
      <c r="K768" s="121"/>
      <c r="L768" s="121"/>
      <c r="M768" s="121"/>
      <c r="N768" s="121"/>
      <c r="O768" s="19"/>
    </row>
    <row r="769" spans="1:15" ht="12.75" customHeight="1" x14ac:dyDescent="0.15">
      <c r="A769" s="121"/>
      <c r="B769" s="121"/>
      <c r="C769" s="121"/>
      <c r="D769" s="121"/>
      <c r="E769" s="121"/>
      <c r="F769" s="121"/>
      <c r="G769" s="121"/>
      <c r="H769" s="121"/>
      <c r="I769" s="121"/>
      <c r="J769" s="121"/>
      <c r="K769" s="121"/>
      <c r="L769" s="121"/>
      <c r="M769" s="121"/>
      <c r="N769" s="121"/>
      <c r="O769" s="19"/>
    </row>
    <row r="770" spans="1:15" ht="12.75" customHeight="1" x14ac:dyDescent="0.15">
      <c r="A770" s="121"/>
      <c r="B770" s="121"/>
      <c r="C770" s="121"/>
      <c r="D770" s="121"/>
      <c r="E770" s="121"/>
      <c r="F770" s="121"/>
      <c r="G770" s="121"/>
      <c r="H770" s="121"/>
      <c r="I770" s="121"/>
      <c r="J770" s="121"/>
      <c r="K770" s="121"/>
      <c r="L770" s="121"/>
      <c r="M770" s="121"/>
      <c r="N770" s="121"/>
      <c r="O770" s="19"/>
    </row>
    <row r="771" spans="1:15" ht="12.75" customHeight="1" x14ac:dyDescent="0.15">
      <c r="A771" s="121"/>
      <c r="B771" s="121"/>
      <c r="C771" s="121"/>
      <c r="D771" s="121"/>
      <c r="E771" s="121"/>
      <c r="F771" s="121"/>
      <c r="G771" s="121"/>
      <c r="H771" s="121"/>
      <c r="I771" s="121"/>
      <c r="J771" s="121"/>
      <c r="K771" s="121"/>
      <c r="L771" s="121"/>
      <c r="M771" s="121"/>
      <c r="N771" s="121"/>
      <c r="O771" s="19"/>
    </row>
    <row r="772" spans="1:15" ht="12.75" customHeight="1" x14ac:dyDescent="0.15">
      <c r="A772" s="121"/>
      <c r="B772" s="121"/>
      <c r="C772" s="121"/>
      <c r="D772" s="121"/>
      <c r="E772" s="121"/>
      <c r="F772" s="121"/>
      <c r="G772" s="121"/>
      <c r="H772" s="121"/>
      <c r="I772" s="121"/>
      <c r="J772" s="121"/>
      <c r="K772" s="121"/>
      <c r="L772" s="121"/>
      <c r="M772" s="121"/>
      <c r="N772" s="121"/>
      <c r="O772" s="19"/>
    </row>
    <row r="773" spans="1:15" ht="12.75" customHeight="1" x14ac:dyDescent="0.15">
      <c r="A773" s="121"/>
      <c r="B773" s="121"/>
      <c r="C773" s="121"/>
      <c r="D773" s="121"/>
      <c r="E773" s="121"/>
      <c r="F773" s="121"/>
      <c r="G773" s="121"/>
      <c r="H773" s="121"/>
      <c r="I773" s="121"/>
      <c r="J773" s="121"/>
      <c r="K773" s="121"/>
      <c r="L773" s="121"/>
      <c r="M773" s="121"/>
      <c r="N773" s="121"/>
      <c r="O773" s="19"/>
    </row>
    <row r="774" spans="1:15" ht="12.75" customHeight="1" x14ac:dyDescent="0.15">
      <c r="A774" s="121"/>
      <c r="B774" s="121"/>
      <c r="C774" s="121"/>
      <c r="D774" s="121"/>
      <c r="E774" s="121"/>
      <c r="F774" s="121"/>
      <c r="G774" s="121"/>
      <c r="H774" s="121"/>
      <c r="I774" s="121"/>
      <c r="J774" s="121"/>
      <c r="K774" s="121"/>
      <c r="L774" s="121"/>
      <c r="M774" s="121"/>
      <c r="N774" s="121"/>
      <c r="O774" s="19"/>
    </row>
    <row r="775" spans="1:15" ht="12.75" customHeight="1" x14ac:dyDescent="0.15">
      <c r="A775" s="121"/>
      <c r="B775" s="121"/>
      <c r="C775" s="121"/>
      <c r="D775" s="121"/>
      <c r="E775" s="121"/>
      <c r="F775" s="121"/>
      <c r="G775" s="121"/>
      <c r="H775" s="121"/>
      <c r="I775" s="121"/>
      <c r="J775" s="121"/>
      <c r="K775" s="121"/>
      <c r="L775" s="121"/>
      <c r="M775" s="121"/>
      <c r="N775" s="121"/>
      <c r="O775" s="19"/>
    </row>
    <row r="776" spans="1:15" ht="12.75" customHeight="1" x14ac:dyDescent="0.15">
      <c r="A776" s="121"/>
      <c r="B776" s="121"/>
      <c r="C776" s="121"/>
      <c r="D776" s="121"/>
      <c r="E776" s="121"/>
      <c r="F776" s="121"/>
      <c r="G776" s="121"/>
      <c r="H776" s="121"/>
      <c r="I776" s="121"/>
      <c r="J776" s="121"/>
      <c r="K776" s="121"/>
      <c r="L776" s="121"/>
      <c r="M776" s="121"/>
      <c r="N776" s="121"/>
      <c r="O776" s="19"/>
    </row>
    <row r="777" spans="1:15" ht="12.75" customHeight="1" x14ac:dyDescent="0.15">
      <c r="A777" s="121"/>
      <c r="B777" s="121"/>
      <c r="C777" s="121"/>
      <c r="D777" s="121"/>
      <c r="E777" s="121"/>
      <c r="F777" s="121"/>
      <c r="G777" s="121"/>
      <c r="H777" s="121"/>
      <c r="I777" s="121"/>
      <c r="J777" s="121"/>
      <c r="K777" s="121"/>
      <c r="L777" s="121"/>
      <c r="M777" s="121"/>
      <c r="N777" s="121"/>
      <c r="O777" s="19"/>
    </row>
    <row r="778" spans="1:15" ht="12.75" customHeight="1" x14ac:dyDescent="0.15">
      <c r="A778" s="121"/>
      <c r="B778" s="121"/>
      <c r="C778" s="121"/>
      <c r="D778" s="121"/>
      <c r="E778" s="121"/>
      <c r="F778" s="121"/>
      <c r="G778" s="121"/>
      <c r="H778" s="121"/>
      <c r="I778" s="121"/>
      <c r="J778" s="121"/>
      <c r="K778" s="121"/>
      <c r="L778" s="121"/>
      <c r="M778" s="121"/>
      <c r="N778" s="121"/>
      <c r="O778" s="19"/>
    </row>
    <row r="779" spans="1:15" ht="12.75" customHeight="1" x14ac:dyDescent="0.15">
      <c r="A779" s="121"/>
      <c r="B779" s="121"/>
      <c r="C779" s="121"/>
      <c r="D779" s="121"/>
      <c r="E779" s="121"/>
      <c r="F779" s="121"/>
      <c r="G779" s="121"/>
      <c r="H779" s="121"/>
      <c r="I779" s="121"/>
      <c r="J779" s="121"/>
      <c r="K779" s="121"/>
      <c r="L779" s="121"/>
      <c r="M779" s="121"/>
      <c r="N779" s="121"/>
      <c r="O779" s="19"/>
    </row>
    <row r="780" spans="1:15" ht="12.75" customHeight="1" x14ac:dyDescent="0.15">
      <c r="A780" s="121"/>
      <c r="B780" s="121"/>
      <c r="C780" s="121"/>
      <c r="D780" s="121"/>
      <c r="E780" s="121"/>
      <c r="F780" s="121"/>
      <c r="G780" s="121"/>
      <c r="H780" s="121"/>
      <c r="I780" s="121"/>
      <c r="J780" s="121"/>
      <c r="K780" s="121"/>
      <c r="L780" s="121"/>
      <c r="M780" s="121"/>
      <c r="N780" s="121"/>
      <c r="O780" s="19"/>
    </row>
    <row r="781" spans="1:15" ht="12.75" customHeight="1" x14ac:dyDescent="0.15">
      <c r="A781" s="121"/>
      <c r="B781" s="121"/>
      <c r="C781" s="121"/>
      <c r="D781" s="121"/>
      <c r="E781" s="121"/>
      <c r="F781" s="121"/>
      <c r="G781" s="121"/>
      <c r="H781" s="121"/>
      <c r="I781" s="121"/>
      <c r="J781" s="121"/>
      <c r="K781" s="121"/>
      <c r="L781" s="121"/>
      <c r="M781" s="121"/>
      <c r="N781" s="121"/>
      <c r="O781" s="19"/>
    </row>
    <row r="782" spans="1:15" ht="12.75" customHeight="1" x14ac:dyDescent="0.15">
      <c r="A782" s="121"/>
      <c r="B782" s="121"/>
      <c r="C782" s="121"/>
      <c r="D782" s="121"/>
      <c r="E782" s="121"/>
      <c r="F782" s="121"/>
      <c r="G782" s="121"/>
      <c r="H782" s="121"/>
      <c r="I782" s="121"/>
      <c r="J782" s="121"/>
      <c r="K782" s="121"/>
      <c r="L782" s="121"/>
      <c r="M782" s="121"/>
      <c r="N782" s="121"/>
      <c r="O782" s="19"/>
    </row>
    <row r="783" spans="1:15" ht="12.75" customHeight="1" x14ac:dyDescent="0.15">
      <c r="A783" s="121"/>
      <c r="B783" s="121"/>
      <c r="C783" s="121"/>
      <c r="D783" s="121"/>
      <c r="E783" s="121"/>
      <c r="F783" s="121"/>
      <c r="G783" s="121"/>
      <c r="H783" s="121"/>
      <c r="I783" s="121"/>
      <c r="J783" s="121"/>
      <c r="K783" s="121"/>
      <c r="L783" s="121"/>
      <c r="M783" s="121"/>
      <c r="N783" s="121"/>
      <c r="O783" s="19"/>
    </row>
    <row r="784" spans="1:15" ht="12.75" customHeight="1" x14ac:dyDescent="0.15">
      <c r="A784" s="121"/>
      <c r="B784" s="121"/>
      <c r="C784" s="121"/>
      <c r="D784" s="121"/>
      <c r="E784" s="121"/>
      <c r="F784" s="121"/>
      <c r="G784" s="121"/>
      <c r="H784" s="121"/>
      <c r="I784" s="121"/>
      <c r="J784" s="121"/>
      <c r="K784" s="121"/>
      <c r="L784" s="121"/>
      <c r="M784" s="121"/>
      <c r="N784" s="121"/>
      <c r="O784" s="19"/>
    </row>
    <row r="785" spans="1:15" ht="12.75" customHeight="1" x14ac:dyDescent="0.15">
      <c r="A785" s="121"/>
      <c r="B785" s="121"/>
      <c r="C785" s="121"/>
      <c r="D785" s="121"/>
      <c r="E785" s="121"/>
      <c r="F785" s="121"/>
      <c r="G785" s="121"/>
      <c r="H785" s="121"/>
      <c r="I785" s="121"/>
      <c r="J785" s="121"/>
      <c r="K785" s="121"/>
      <c r="L785" s="121"/>
      <c r="M785" s="121"/>
      <c r="N785" s="121"/>
      <c r="O785" s="19"/>
    </row>
    <row r="786" spans="1:15" ht="12.75" customHeight="1" x14ac:dyDescent="0.15">
      <c r="A786" s="121"/>
      <c r="B786" s="121"/>
      <c r="C786" s="121"/>
      <c r="D786" s="121"/>
      <c r="E786" s="121"/>
      <c r="F786" s="121"/>
      <c r="G786" s="121"/>
      <c r="H786" s="121"/>
      <c r="I786" s="121"/>
      <c r="J786" s="121"/>
      <c r="K786" s="121"/>
      <c r="L786" s="121"/>
      <c r="M786" s="121"/>
      <c r="N786" s="121"/>
      <c r="O786" s="19"/>
    </row>
    <row r="787" spans="1:15" ht="12.75" customHeight="1" x14ac:dyDescent="0.15">
      <c r="A787" s="121"/>
      <c r="B787" s="121"/>
      <c r="C787" s="121"/>
      <c r="D787" s="121"/>
      <c r="E787" s="121"/>
      <c r="F787" s="121"/>
      <c r="G787" s="121"/>
      <c r="H787" s="121"/>
      <c r="I787" s="121"/>
      <c r="J787" s="121"/>
      <c r="K787" s="121"/>
      <c r="L787" s="121"/>
      <c r="M787" s="121"/>
      <c r="N787" s="121"/>
      <c r="O787" s="19"/>
    </row>
    <row r="788" spans="1:15" ht="12.75" customHeight="1" x14ac:dyDescent="0.15">
      <c r="A788" s="121"/>
      <c r="B788" s="121"/>
      <c r="C788" s="121"/>
      <c r="D788" s="121"/>
      <c r="E788" s="121"/>
      <c r="F788" s="121"/>
      <c r="G788" s="121"/>
      <c r="H788" s="121"/>
      <c r="I788" s="121"/>
      <c r="J788" s="121"/>
      <c r="K788" s="121"/>
      <c r="L788" s="121"/>
      <c r="M788" s="121"/>
      <c r="N788" s="121"/>
      <c r="O788" s="19"/>
    </row>
    <row r="789" spans="1:15" ht="12.75" customHeight="1" x14ac:dyDescent="0.15">
      <c r="A789" s="121"/>
      <c r="B789" s="121"/>
      <c r="C789" s="121"/>
      <c r="D789" s="121"/>
      <c r="E789" s="121"/>
      <c r="F789" s="121"/>
      <c r="G789" s="121"/>
      <c r="H789" s="121"/>
      <c r="I789" s="121"/>
      <c r="J789" s="121"/>
      <c r="K789" s="121"/>
      <c r="L789" s="121"/>
      <c r="M789" s="121"/>
      <c r="N789" s="121"/>
      <c r="O789" s="19"/>
    </row>
    <row r="790" spans="1:15" ht="12.75" customHeight="1" x14ac:dyDescent="0.15">
      <c r="A790" s="121"/>
      <c r="B790" s="121"/>
      <c r="C790" s="121"/>
      <c r="D790" s="121"/>
      <c r="E790" s="121"/>
      <c r="F790" s="121"/>
      <c r="G790" s="121"/>
      <c r="H790" s="121"/>
      <c r="I790" s="121"/>
      <c r="J790" s="121"/>
      <c r="K790" s="121"/>
      <c r="L790" s="121"/>
      <c r="M790" s="121"/>
      <c r="N790" s="121"/>
      <c r="O790" s="19"/>
    </row>
    <row r="791" spans="1:15" ht="12.75" customHeight="1" x14ac:dyDescent="0.15">
      <c r="A791" s="121"/>
      <c r="B791" s="121"/>
      <c r="C791" s="121"/>
      <c r="D791" s="121"/>
      <c r="E791" s="121"/>
      <c r="F791" s="121"/>
      <c r="G791" s="121"/>
      <c r="H791" s="121"/>
      <c r="I791" s="121"/>
      <c r="J791" s="121"/>
      <c r="K791" s="121"/>
      <c r="L791" s="121"/>
      <c r="M791" s="121"/>
      <c r="N791" s="121"/>
      <c r="O791" s="19"/>
    </row>
    <row r="792" spans="1:15" ht="12.75" customHeight="1" x14ac:dyDescent="0.15">
      <c r="A792" s="121"/>
      <c r="B792" s="121"/>
      <c r="C792" s="121"/>
      <c r="D792" s="121"/>
      <c r="E792" s="121"/>
      <c r="F792" s="121"/>
      <c r="G792" s="121"/>
      <c r="H792" s="121"/>
      <c r="I792" s="121"/>
      <c r="J792" s="121"/>
      <c r="K792" s="121"/>
      <c r="L792" s="121"/>
      <c r="M792" s="121"/>
      <c r="N792" s="121"/>
      <c r="O792" s="19"/>
    </row>
    <row r="793" spans="1:15" ht="12.75" customHeight="1" x14ac:dyDescent="0.15">
      <c r="A793" s="121"/>
      <c r="B793" s="121"/>
      <c r="C793" s="121"/>
      <c r="D793" s="121"/>
      <c r="E793" s="121"/>
      <c r="F793" s="121"/>
      <c r="G793" s="121"/>
      <c r="H793" s="121"/>
      <c r="I793" s="121"/>
      <c r="J793" s="121"/>
      <c r="K793" s="121"/>
      <c r="L793" s="121"/>
      <c r="M793" s="121"/>
      <c r="N793" s="121"/>
      <c r="O793" s="19"/>
    </row>
    <row r="794" spans="1:15" ht="12.75" customHeight="1" x14ac:dyDescent="0.15">
      <c r="A794" s="121"/>
      <c r="B794" s="121"/>
      <c r="C794" s="121"/>
      <c r="D794" s="121"/>
      <c r="E794" s="121"/>
      <c r="F794" s="121"/>
      <c r="G794" s="121"/>
      <c r="H794" s="121"/>
      <c r="I794" s="121"/>
      <c r="J794" s="121"/>
      <c r="K794" s="121"/>
      <c r="L794" s="121"/>
      <c r="M794" s="121"/>
      <c r="N794" s="121"/>
      <c r="O794" s="19"/>
    </row>
    <row r="795" spans="1:15" ht="12.75" customHeight="1" x14ac:dyDescent="0.15">
      <c r="A795" s="121"/>
      <c r="B795" s="121"/>
      <c r="C795" s="121"/>
      <c r="D795" s="121"/>
      <c r="E795" s="121"/>
      <c r="F795" s="121"/>
      <c r="G795" s="121"/>
      <c r="H795" s="121"/>
      <c r="I795" s="121"/>
      <c r="J795" s="121"/>
      <c r="K795" s="121"/>
      <c r="L795" s="121"/>
      <c r="M795" s="121"/>
      <c r="N795" s="121"/>
      <c r="O795" s="19"/>
    </row>
    <row r="796" spans="1:15" ht="12.75" customHeight="1" x14ac:dyDescent="0.15">
      <c r="A796" s="121"/>
      <c r="B796" s="121"/>
      <c r="C796" s="121"/>
      <c r="D796" s="121"/>
      <c r="E796" s="121"/>
      <c r="F796" s="121"/>
      <c r="G796" s="121"/>
      <c r="H796" s="121"/>
      <c r="I796" s="121"/>
      <c r="J796" s="121"/>
      <c r="K796" s="121"/>
      <c r="L796" s="121"/>
      <c r="M796" s="121"/>
      <c r="N796" s="121"/>
      <c r="O796" s="19"/>
    </row>
    <row r="797" spans="1:15" ht="12.75" customHeight="1" x14ac:dyDescent="0.15">
      <c r="A797" s="121"/>
      <c r="B797" s="121"/>
      <c r="C797" s="121"/>
      <c r="D797" s="121"/>
      <c r="E797" s="121"/>
      <c r="F797" s="121"/>
      <c r="G797" s="121"/>
      <c r="H797" s="121"/>
      <c r="I797" s="121"/>
      <c r="J797" s="121"/>
      <c r="K797" s="121"/>
      <c r="L797" s="121"/>
      <c r="M797" s="121"/>
      <c r="N797" s="121"/>
      <c r="O797" s="19"/>
    </row>
    <row r="798" spans="1:15" ht="12.75" customHeight="1" x14ac:dyDescent="0.15">
      <c r="A798" s="121"/>
      <c r="B798" s="121"/>
      <c r="C798" s="121"/>
      <c r="D798" s="121"/>
      <c r="E798" s="121"/>
      <c r="F798" s="121"/>
      <c r="G798" s="121"/>
      <c r="H798" s="121"/>
      <c r="I798" s="121"/>
      <c r="J798" s="121"/>
      <c r="K798" s="121"/>
      <c r="L798" s="121"/>
      <c r="M798" s="121"/>
      <c r="N798" s="121"/>
      <c r="O798" s="19"/>
    </row>
    <row r="799" spans="1:15" ht="12.75" customHeight="1" x14ac:dyDescent="0.15">
      <c r="A799" s="121"/>
      <c r="B799" s="121"/>
      <c r="C799" s="121"/>
      <c r="D799" s="121"/>
      <c r="E799" s="121"/>
      <c r="F799" s="121"/>
      <c r="G799" s="121"/>
      <c r="H799" s="121"/>
      <c r="I799" s="121"/>
      <c r="J799" s="121"/>
      <c r="K799" s="121"/>
      <c r="L799" s="121"/>
      <c r="M799" s="121"/>
      <c r="N799" s="121"/>
      <c r="O799" s="19"/>
    </row>
    <row r="800" spans="1:15" ht="12.75" customHeight="1" x14ac:dyDescent="0.15">
      <c r="A800" s="121"/>
      <c r="B800" s="121"/>
      <c r="C800" s="121"/>
      <c r="D800" s="121"/>
      <c r="E800" s="121"/>
      <c r="F800" s="121"/>
      <c r="G800" s="121"/>
      <c r="H800" s="121"/>
      <c r="I800" s="121"/>
      <c r="J800" s="121"/>
      <c r="K800" s="121"/>
      <c r="L800" s="121"/>
      <c r="M800" s="121"/>
      <c r="N800" s="121"/>
      <c r="O800" s="19"/>
    </row>
    <row r="801" spans="1:15" ht="12.75" customHeight="1" x14ac:dyDescent="0.15">
      <c r="A801" s="121"/>
      <c r="B801" s="121"/>
      <c r="C801" s="121"/>
      <c r="D801" s="121"/>
      <c r="E801" s="121"/>
      <c r="F801" s="121"/>
      <c r="G801" s="121"/>
      <c r="H801" s="121"/>
      <c r="I801" s="121"/>
      <c r="J801" s="121"/>
      <c r="K801" s="121"/>
      <c r="L801" s="121"/>
      <c r="M801" s="121"/>
      <c r="N801" s="121"/>
      <c r="O801" s="19"/>
    </row>
    <row r="802" spans="1:15" ht="12.75" customHeight="1" x14ac:dyDescent="0.15">
      <c r="A802" s="121"/>
      <c r="B802" s="121"/>
      <c r="C802" s="121"/>
      <c r="D802" s="121"/>
      <c r="E802" s="121"/>
      <c r="F802" s="121"/>
      <c r="G802" s="121"/>
      <c r="H802" s="121"/>
      <c r="I802" s="121"/>
      <c r="J802" s="121"/>
      <c r="K802" s="121"/>
      <c r="L802" s="121"/>
      <c r="M802" s="121"/>
      <c r="N802" s="121"/>
      <c r="O802" s="19"/>
    </row>
    <row r="803" spans="1:15" ht="12.75" customHeight="1" x14ac:dyDescent="0.15">
      <c r="A803" s="121"/>
      <c r="B803" s="121"/>
      <c r="C803" s="121"/>
      <c r="D803" s="121"/>
      <c r="E803" s="121"/>
      <c r="F803" s="121"/>
      <c r="G803" s="121"/>
      <c r="H803" s="121"/>
      <c r="I803" s="121"/>
      <c r="J803" s="121"/>
      <c r="K803" s="121"/>
      <c r="L803" s="121"/>
      <c r="M803" s="121"/>
      <c r="N803" s="121"/>
      <c r="O803" s="19"/>
    </row>
    <row r="804" spans="1:15" ht="12.75" customHeight="1" x14ac:dyDescent="0.15">
      <c r="A804" s="121"/>
      <c r="B804" s="121"/>
      <c r="C804" s="121"/>
      <c r="D804" s="121"/>
      <c r="E804" s="121"/>
      <c r="F804" s="121"/>
      <c r="G804" s="121"/>
      <c r="H804" s="121"/>
      <c r="I804" s="121"/>
      <c r="J804" s="121"/>
      <c r="K804" s="121"/>
      <c r="L804" s="121"/>
      <c r="M804" s="121"/>
      <c r="N804" s="121"/>
      <c r="O804" s="19"/>
    </row>
    <row r="805" spans="1:15" ht="12.75" customHeight="1" x14ac:dyDescent="0.15">
      <c r="A805" s="121"/>
      <c r="B805" s="121"/>
      <c r="C805" s="121"/>
      <c r="D805" s="121"/>
      <c r="E805" s="121"/>
      <c r="F805" s="121"/>
      <c r="G805" s="121"/>
      <c r="H805" s="121"/>
      <c r="I805" s="121"/>
      <c r="J805" s="121"/>
      <c r="K805" s="121"/>
      <c r="L805" s="121"/>
      <c r="M805" s="121"/>
      <c r="N805" s="121"/>
      <c r="O805" s="19"/>
    </row>
    <row r="806" spans="1:15" ht="12.75" customHeight="1" x14ac:dyDescent="0.15">
      <c r="A806" s="121"/>
      <c r="B806" s="121"/>
      <c r="C806" s="121"/>
      <c r="D806" s="121"/>
      <c r="E806" s="121"/>
      <c r="F806" s="121"/>
      <c r="G806" s="121"/>
      <c r="H806" s="121"/>
      <c r="I806" s="121"/>
      <c r="J806" s="121"/>
      <c r="K806" s="121"/>
      <c r="L806" s="121"/>
      <c r="M806" s="121"/>
      <c r="N806" s="121"/>
      <c r="O806" s="19"/>
    </row>
    <row r="807" spans="1:15" ht="12.75" customHeight="1" x14ac:dyDescent="0.15">
      <c r="A807" s="121"/>
      <c r="B807" s="121"/>
      <c r="C807" s="121"/>
      <c r="D807" s="121"/>
      <c r="E807" s="121"/>
      <c r="F807" s="121"/>
      <c r="G807" s="121"/>
      <c r="H807" s="121"/>
      <c r="I807" s="121"/>
      <c r="J807" s="121"/>
      <c r="K807" s="121"/>
      <c r="L807" s="121"/>
      <c r="M807" s="121"/>
      <c r="N807" s="121"/>
      <c r="O807" s="19"/>
    </row>
    <row r="808" spans="1:15" ht="12.75" customHeight="1" x14ac:dyDescent="0.15">
      <c r="A808" s="121"/>
      <c r="B808" s="121"/>
      <c r="C808" s="121"/>
      <c r="D808" s="121"/>
      <c r="E808" s="121"/>
      <c r="F808" s="121"/>
      <c r="G808" s="121"/>
      <c r="H808" s="121"/>
      <c r="I808" s="121"/>
      <c r="J808" s="121"/>
      <c r="K808" s="121"/>
      <c r="L808" s="121"/>
      <c r="M808" s="121"/>
      <c r="N808" s="121"/>
      <c r="O808" s="19"/>
    </row>
    <row r="809" spans="1:15" ht="12.75" customHeight="1" x14ac:dyDescent="0.15">
      <c r="A809" s="121"/>
      <c r="B809" s="121"/>
      <c r="C809" s="121"/>
      <c r="D809" s="121"/>
      <c r="E809" s="121"/>
      <c r="F809" s="121"/>
      <c r="G809" s="121"/>
      <c r="H809" s="121"/>
      <c r="I809" s="121"/>
      <c r="J809" s="121"/>
      <c r="K809" s="121"/>
      <c r="L809" s="121"/>
      <c r="M809" s="121"/>
      <c r="N809" s="121"/>
      <c r="O809" s="19"/>
    </row>
    <row r="810" spans="1:15" ht="12.75" customHeight="1" x14ac:dyDescent="0.15">
      <c r="A810" s="121"/>
      <c r="B810" s="121"/>
      <c r="C810" s="121"/>
      <c r="D810" s="121"/>
      <c r="E810" s="121"/>
      <c r="F810" s="121"/>
      <c r="G810" s="121"/>
      <c r="H810" s="121"/>
      <c r="I810" s="121"/>
      <c r="J810" s="121"/>
      <c r="K810" s="121"/>
      <c r="L810" s="121"/>
      <c r="M810" s="121"/>
      <c r="N810" s="121"/>
      <c r="O810" s="19"/>
    </row>
    <row r="811" spans="1:15" ht="12.75" customHeight="1" x14ac:dyDescent="0.15">
      <c r="A811" s="121"/>
      <c r="B811" s="121"/>
      <c r="C811" s="121"/>
      <c r="D811" s="121"/>
      <c r="E811" s="121"/>
      <c r="F811" s="121"/>
      <c r="G811" s="121"/>
      <c r="H811" s="121"/>
      <c r="I811" s="121"/>
      <c r="J811" s="121"/>
      <c r="K811" s="121"/>
      <c r="L811" s="121"/>
      <c r="M811" s="121"/>
      <c r="N811" s="121"/>
      <c r="O811" s="19"/>
    </row>
    <row r="812" spans="1:15" ht="12.75" customHeight="1" x14ac:dyDescent="0.15">
      <c r="A812" s="121"/>
      <c r="B812" s="121"/>
      <c r="C812" s="121"/>
      <c r="D812" s="121"/>
      <c r="E812" s="121"/>
      <c r="F812" s="121"/>
      <c r="G812" s="121"/>
      <c r="H812" s="121"/>
      <c r="I812" s="121"/>
      <c r="J812" s="121"/>
      <c r="K812" s="121"/>
      <c r="L812" s="121"/>
      <c r="M812" s="121"/>
      <c r="N812" s="121"/>
      <c r="O812" s="19"/>
    </row>
    <row r="813" spans="1:15" ht="12.75" customHeight="1" x14ac:dyDescent="0.15">
      <c r="A813" s="121"/>
      <c r="B813" s="121"/>
      <c r="C813" s="121"/>
      <c r="D813" s="121"/>
      <c r="E813" s="121"/>
      <c r="F813" s="121"/>
      <c r="G813" s="121"/>
      <c r="H813" s="121"/>
      <c r="I813" s="121"/>
      <c r="J813" s="121"/>
      <c r="K813" s="121"/>
      <c r="L813" s="121"/>
      <c r="M813" s="121"/>
      <c r="N813" s="121"/>
      <c r="O813" s="19"/>
    </row>
    <row r="814" spans="1:15" ht="12.75" customHeight="1" x14ac:dyDescent="0.15">
      <c r="A814" s="121"/>
      <c r="B814" s="121"/>
      <c r="C814" s="121"/>
      <c r="D814" s="121"/>
      <c r="E814" s="121"/>
      <c r="F814" s="121"/>
      <c r="G814" s="121"/>
      <c r="H814" s="121"/>
      <c r="I814" s="121"/>
      <c r="J814" s="121"/>
      <c r="K814" s="121"/>
      <c r="L814" s="121"/>
      <c r="M814" s="121"/>
      <c r="N814" s="121"/>
      <c r="O814" s="19"/>
    </row>
    <row r="815" spans="1:15" ht="12.75" customHeight="1" x14ac:dyDescent="0.15">
      <c r="A815" s="121"/>
      <c r="B815" s="121"/>
      <c r="C815" s="121"/>
      <c r="D815" s="121"/>
      <c r="E815" s="121"/>
      <c r="F815" s="121"/>
      <c r="G815" s="121"/>
      <c r="H815" s="121"/>
      <c r="I815" s="121"/>
      <c r="J815" s="121"/>
      <c r="K815" s="121"/>
      <c r="L815" s="121"/>
      <c r="M815" s="121"/>
      <c r="N815" s="121"/>
      <c r="O815" s="19"/>
    </row>
    <row r="816" spans="1:15" ht="12.75" customHeight="1" x14ac:dyDescent="0.15">
      <c r="A816" s="121"/>
      <c r="B816" s="121"/>
      <c r="C816" s="121"/>
      <c r="D816" s="121"/>
      <c r="E816" s="121"/>
      <c r="F816" s="121"/>
      <c r="G816" s="121"/>
      <c r="H816" s="121"/>
      <c r="I816" s="121"/>
      <c r="J816" s="121"/>
      <c r="K816" s="121"/>
      <c r="L816" s="121"/>
      <c r="M816" s="121"/>
      <c r="N816" s="121"/>
      <c r="O816" s="19"/>
    </row>
    <row r="817" spans="1:15" ht="12.75" customHeight="1" x14ac:dyDescent="0.15">
      <c r="A817" s="121"/>
      <c r="B817" s="121"/>
      <c r="C817" s="121"/>
      <c r="D817" s="121"/>
      <c r="E817" s="121"/>
      <c r="F817" s="121"/>
      <c r="G817" s="121"/>
      <c r="H817" s="121"/>
      <c r="I817" s="121"/>
      <c r="J817" s="121"/>
      <c r="K817" s="121"/>
      <c r="L817" s="121"/>
      <c r="M817" s="121"/>
      <c r="N817" s="121"/>
      <c r="O817" s="19"/>
    </row>
    <row r="818" spans="1:15" ht="12.75" customHeight="1" x14ac:dyDescent="0.15">
      <c r="A818" s="121"/>
      <c r="B818" s="121"/>
      <c r="C818" s="121"/>
      <c r="D818" s="121"/>
      <c r="E818" s="121"/>
      <c r="F818" s="121"/>
      <c r="G818" s="121"/>
      <c r="H818" s="121"/>
      <c r="I818" s="121"/>
      <c r="J818" s="121"/>
      <c r="K818" s="121"/>
      <c r="L818" s="121"/>
      <c r="M818" s="121"/>
      <c r="N818" s="121"/>
      <c r="O818" s="19"/>
    </row>
    <row r="819" spans="1:15" ht="12.75" customHeight="1" x14ac:dyDescent="0.15">
      <c r="A819" s="121"/>
      <c r="B819" s="121"/>
      <c r="C819" s="121"/>
      <c r="D819" s="121"/>
      <c r="E819" s="121"/>
      <c r="F819" s="121"/>
      <c r="G819" s="121"/>
      <c r="H819" s="121"/>
      <c r="I819" s="121"/>
      <c r="J819" s="121"/>
      <c r="K819" s="121"/>
      <c r="L819" s="121"/>
      <c r="M819" s="121"/>
      <c r="N819" s="121"/>
      <c r="O819" s="19"/>
    </row>
    <row r="820" spans="1:15" ht="12.75" customHeight="1" x14ac:dyDescent="0.15">
      <c r="A820" s="121"/>
      <c r="B820" s="121"/>
      <c r="C820" s="121"/>
      <c r="D820" s="121"/>
      <c r="E820" s="121"/>
      <c r="F820" s="121"/>
      <c r="G820" s="121"/>
      <c r="H820" s="121"/>
      <c r="I820" s="121"/>
      <c r="J820" s="121"/>
      <c r="K820" s="121"/>
      <c r="L820" s="121"/>
      <c r="M820" s="121"/>
      <c r="N820" s="121"/>
      <c r="O820" s="19"/>
    </row>
    <row r="821" spans="1:15" ht="12.75" customHeight="1" x14ac:dyDescent="0.15">
      <c r="A821" s="121"/>
      <c r="B821" s="121"/>
      <c r="C821" s="121"/>
      <c r="D821" s="121"/>
      <c r="E821" s="121"/>
      <c r="F821" s="121"/>
      <c r="G821" s="121"/>
      <c r="H821" s="121"/>
      <c r="I821" s="121"/>
      <c r="J821" s="121"/>
      <c r="K821" s="121"/>
      <c r="L821" s="121"/>
      <c r="M821" s="121"/>
      <c r="N821" s="121"/>
      <c r="O821" s="19"/>
    </row>
    <row r="822" spans="1:15" ht="12.75" customHeight="1" x14ac:dyDescent="0.15">
      <c r="A822" s="121"/>
      <c r="B822" s="121"/>
      <c r="C822" s="121"/>
      <c r="D822" s="121"/>
      <c r="E822" s="121"/>
      <c r="F822" s="121"/>
      <c r="G822" s="121"/>
      <c r="H822" s="121"/>
      <c r="I822" s="121"/>
      <c r="J822" s="121"/>
      <c r="K822" s="121"/>
      <c r="L822" s="121"/>
      <c r="M822" s="121"/>
      <c r="N822" s="121"/>
      <c r="O822" s="19"/>
    </row>
    <row r="823" spans="1:15" ht="12.75" customHeight="1" x14ac:dyDescent="0.15">
      <c r="A823" s="121"/>
      <c r="B823" s="121"/>
      <c r="C823" s="121"/>
      <c r="D823" s="121"/>
      <c r="E823" s="121"/>
      <c r="F823" s="121"/>
      <c r="G823" s="121"/>
      <c r="H823" s="121"/>
      <c r="I823" s="121"/>
      <c r="J823" s="121"/>
      <c r="K823" s="121"/>
      <c r="L823" s="121"/>
      <c r="M823" s="121"/>
      <c r="N823" s="121"/>
      <c r="O823" s="19"/>
    </row>
    <row r="824" spans="1:15" ht="12.75" customHeight="1" x14ac:dyDescent="0.15">
      <c r="A824" s="121"/>
      <c r="B824" s="121"/>
      <c r="C824" s="121"/>
      <c r="D824" s="121"/>
      <c r="E824" s="121"/>
      <c r="F824" s="121"/>
      <c r="G824" s="121"/>
      <c r="H824" s="121"/>
      <c r="I824" s="121"/>
      <c r="J824" s="121"/>
      <c r="K824" s="121"/>
      <c r="L824" s="121"/>
      <c r="M824" s="121"/>
      <c r="N824" s="121"/>
      <c r="O824" s="19"/>
    </row>
    <row r="825" spans="1:15" ht="12.75" customHeight="1" x14ac:dyDescent="0.15">
      <c r="A825" s="121"/>
      <c r="B825" s="121"/>
      <c r="C825" s="121"/>
      <c r="D825" s="121"/>
      <c r="E825" s="121"/>
      <c r="F825" s="121"/>
      <c r="G825" s="121"/>
      <c r="H825" s="121"/>
      <c r="I825" s="121"/>
      <c r="J825" s="121"/>
      <c r="K825" s="121"/>
      <c r="L825" s="121"/>
      <c r="M825" s="121"/>
      <c r="N825" s="121"/>
      <c r="O825" s="19"/>
    </row>
    <row r="826" spans="1:15" ht="12.75" customHeight="1" x14ac:dyDescent="0.15">
      <c r="A826" s="121"/>
      <c r="B826" s="121"/>
      <c r="C826" s="121"/>
      <c r="D826" s="121"/>
      <c r="E826" s="121"/>
      <c r="F826" s="121"/>
      <c r="G826" s="121"/>
      <c r="H826" s="121"/>
      <c r="I826" s="121"/>
      <c r="J826" s="121"/>
      <c r="K826" s="121"/>
      <c r="L826" s="121"/>
      <c r="M826" s="121"/>
      <c r="N826" s="121"/>
      <c r="O826" s="19"/>
    </row>
    <row r="827" spans="1:15" ht="12.75" customHeight="1" x14ac:dyDescent="0.15">
      <c r="A827" s="121"/>
      <c r="B827" s="121"/>
      <c r="C827" s="121"/>
      <c r="D827" s="121"/>
      <c r="E827" s="121"/>
      <c r="F827" s="121"/>
      <c r="G827" s="121"/>
      <c r="H827" s="121"/>
      <c r="I827" s="121"/>
      <c r="J827" s="121"/>
      <c r="K827" s="121"/>
      <c r="L827" s="121"/>
      <c r="M827" s="121"/>
      <c r="N827" s="121"/>
      <c r="O827" s="19"/>
    </row>
    <row r="828" spans="1:15" ht="12.75" customHeight="1" x14ac:dyDescent="0.15">
      <c r="A828" s="121"/>
      <c r="B828" s="121"/>
      <c r="C828" s="121"/>
      <c r="D828" s="121"/>
      <c r="E828" s="121"/>
      <c r="F828" s="121"/>
      <c r="G828" s="121"/>
      <c r="H828" s="121"/>
      <c r="I828" s="121"/>
      <c r="J828" s="121"/>
      <c r="K828" s="121"/>
      <c r="L828" s="121"/>
      <c r="M828" s="121"/>
      <c r="N828" s="121"/>
      <c r="O828" s="19"/>
    </row>
    <row r="829" spans="1:15" ht="12.75" customHeight="1" x14ac:dyDescent="0.15">
      <c r="A829" s="121"/>
      <c r="B829" s="121"/>
      <c r="C829" s="121"/>
      <c r="D829" s="121"/>
      <c r="E829" s="121"/>
      <c r="F829" s="121"/>
      <c r="G829" s="121"/>
      <c r="H829" s="121"/>
      <c r="I829" s="121"/>
      <c r="J829" s="121"/>
      <c r="K829" s="121"/>
      <c r="L829" s="121"/>
      <c r="M829" s="121"/>
      <c r="N829" s="121"/>
      <c r="O829" s="19"/>
    </row>
    <row r="830" spans="1:15" ht="12.75" customHeight="1" x14ac:dyDescent="0.15">
      <c r="A830" s="121"/>
      <c r="B830" s="121"/>
      <c r="C830" s="121"/>
      <c r="D830" s="121"/>
      <c r="E830" s="121"/>
      <c r="F830" s="121"/>
      <c r="G830" s="121"/>
      <c r="H830" s="121"/>
      <c r="I830" s="121"/>
      <c r="J830" s="121"/>
      <c r="K830" s="121"/>
      <c r="L830" s="121"/>
      <c r="M830" s="121"/>
      <c r="N830" s="121"/>
      <c r="O830" s="19"/>
    </row>
    <row r="831" spans="1:15" ht="12.75" customHeight="1" x14ac:dyDescent="0.15">
      <c r="A831" s="121"/>
      <c r="B831" s="121"/>
      <c r="C831" s="121"/>
      <c r="D831" s="121"/>
      <c r="E831" s="121"/>
      <c r="F831" s="121"/>
      <c r="G831" s="121"/>
      <c r="H831" s="121"/>
      <c r="I831" s="121"/>
      <c r="J831" s="121"/>
      <c r="K831" s="121"/>
      <c r="L831" s="121"/>
      <c r="M831" s="121"/>
      <c r="N831" s="121"/>
      <c r="O831" s="19"/>
    </row>
    <row r="832" spans="1:15" ht="12.75" customHeight="1" x14ac:dyDescent="0.15">
      <c r="A832" s="121"/>
      <c r="B832" s="121"/>
      <c r="C832" s="121"/>
      <c r="D832" s="121"/>
      <c r="E832" s="121"/>
      <c r="F832" s="121"/>
      <c r="G832" s="121"/>
      <c r="H832" s="121"/>
      <c r="I832" s="121"/>
      <c r="J832" s="121"/>
      <c r="K832" s="121"/>
      <c r="L832" s="121"/>
      <c r="M832" s="121"/>
      <c r="N832" s="121"/>
      <c r="O832" s="19"/>
    </row>
    <row r="833" spans="1:15" ht="12.75" customHeight="1" x14ac:dyDescent="0.15">
      <c r="A833" s="121"/>
      <c r="B833" s="121"/>
      <c r="C833" s="121"/>
      <c r="D833" s="121"/>
      <c r="E833" s="121"/>
      <c r="F833" s="121"/>
      <c r="G833" s="121"/>
      <c r="H833" s="121"/>
      <c r="I833" s="121"/>
      <c r="J833" s="121"/>
      <c r="K833" s="121"/>
      <c r="L833" s="121"/>
      <c r="M833" s="121"/>
      <c r="N833" s="121"/>
      <c r="O833" s="19"/>
    </row>
    <row r="834" spans="1:15" ht="12.75" customHeight="1" x14ac:dyDescent="0.15">
      <c r="A834" s="121"/>
      <c r="B834" s="121"/>
      <c r="C834" s="121"/>
      <c r="D834" s="121"/>
      <c r="E834" s="121"/>
      <c r="F834" s="121"/>
      <c r="G834" s="121"/>
      <c r="H834" s="121"/>
      <c r="I834" s="121"/>
      <c r="J834" s="121"/>
      <c r="K834" s="121"/>
      <c r="L834" s="121"/>
      <c r="M834" s="121"/>
      <c r="N834" s="121"/>
      <c r="O834" s="19"/>
    </row>
    <row r="835" spans="1:15" ht="12.75" customHeight="1" x14ac:dyDescent="0.15">
      <c r="A835" s="121"/>
      <c r="B835" s="121"/>
      <c r="C835" s="121"/>
      <c r="D835" s="121"/>
      <c r="E835" s="121"/>
      <c r="F835" s="121"/>
      <c r="G835" s="121"/>
      <c r="H835" s="121"/>
      <c r="I835" s="121"/>
      <c r="J835" s="121"/>
      <c r="K835" s="121"/>
      <c r="L835" s="121"/>
      <c r="M835" s="121"/>
      <c r="N835" s="121"/>
      <c r="O835" s="19"/>
    </row>
    <row r="836" spans="1:15" ht="12.75" customHeight="1" x14ac:dyDescent="0.15">
      <c r="A836" s="121"/>
      <c r="B836" s="121"/>
      <c r="C836" s="121"/>
      <c r="D836" s="121"/>
      <c r="E836" s="121"/>
      <c r="F836" s="121"/>
      <c r="G836" s="121"/>
      <c r="H836" s="121"/>
      <c r="I836" s="121"/>
      <c r="J836" s="121"/>
      <c r="K836" s="121"/>
      <c r="L836" s="121"/>
      <c r="M836" s="121"/>
      <c r="N836" s="121"/>
      <c r="O836" s="19"/>
    </row>
    <row r="837" spans="1:15" ht="12.75" customHeight="1" x14ac:dyDescent="0.15">
      <c r="A837" s="121"/>
      <c r="B837" s="121"/>
      <c r="C837" s="121"/>
      <c r="D837" s="121"/>
      <c r="E837" s="121"/>
      <c r="F837" s="121"/>
      <c r="G837" s="121"/>
      <c r="H837" s="121"/>
      <c r="I837" s="121"/>
      <c r="J837" s="121"/>
      <c r="K837" s="121"/>
      <c r="L837" s="121"/>
      <c r="M837" s="121"/>
      <c r="N837" s="121"/>
      <c r="O837" s="19"/>
    </row>
    <row r="838" spans="1:15" ht="12.75" customHeight="1" x14ac:dyDescent="0.15">
      <c r="A838" s="121"/>
      <c r="B838" s="121"/>
      <c r="C838" s="121"/>
      <c r="D838" s="121"/>
      <c r="E838" s="121"/>
      <c r="F838" s="121"/>
      <c r="G838" s="121"/>
      <c r="H838" s="121"/>
      <c r="I838" s="121"/>
      <c r="J838" s="121"/>
      <c r="K838" s="121"/>
      <c r="L838" s="121"/>
      <c r="M838" s="121"/>
      <c r="N838" s="121"/>
      <c r="O838" s="19"/>
    </row>
    <row r="839" spans="1:15" ht="12.75" customHeight="1" x14ac:dyDescent="0.15">
      <c r="A839" s="121"/>
      <c r="B839" s="121"/>
      <c r="C839" s="121"/>
      <c r="D839" s="121"/>
      <c r="E839" s="121"/>
      <c r="F839" s="121"/>
      <c r="G839" s="121"/>
      <c r="H839" s="121"/>
      <c r="I839" s="121"/>
      <c r="J839" s="121"/>
      <c r="K839" s="121"/>
      <c r="L839" s="121"/>
      <c r="M839" s="121"/>
      <c r="N839" s="121"/>
      <c r="O839" s="19"/>
    </row>
    <row r="840" spans="1:15" ht="12.75" customHeight="1" x14ac:dyDescent="0.15">
      <c r="A840" s="121"/>
      <c r="B840" s="121"/>
      <c r="C840" s="121"/>
      <c r="D840" s="121"/>
      <c r="E840" s="121"/>
      <c r="F840" s="121"/>
      <c r="G840" s="121"/>
      <c r="H840" s="121"/>
      <c r="I840" s="121"/>
      <c r="J840" s="121"/>
      <c r="K840" s="121"/>
      <c r="L840" s="121"/>
      <c r="M840" s="121"/>
      <c r="N840" s="121"/>
      <c r="O840" s="19"/>
    </row>
    <row r="841" spans="1:15" ht="12.75" customHeight="1" x14ac:dyDescent="0.15">
      <c r="A841" s="121"/>
      <c r="B841" s="121"/>
      <c r="C841" s="121"/>
      <c r="D841" s="121"/>
      <c r="E841" s="121"/>
      <c r="F841" s="121"/>
      <c r="G841" s="121"/>
      <c r="H841" s="121"/>
      <c r="I841" s="121"/>
      <c r="J841" s="121"/>
      <c r="K841" s="121"/>
      <c r="L841" s="121"/>
      <c r="M841" s="121"/>
      <c r="N841" s="121"/>
      <c r="O841" s="19"/>
    </row>
    <row r="842" spans="1:15" ht="12.75" customHeight="1" x14ac:dyDescent="0.15">
      <c r="A842" s="121"/>
      <c r="B842" s="121"/>
      <c r="C842" s="121"/>
      <c r="D842" s="121"/>
      <c r="E842" s="121"/>
      <c r="F842" s="121"/>
      <c r="G842" s="121"/>
      <c r="H842" s="121"/>
      <c r="I842" s="121"/>
      <c r="J842" s="121"/>
      <c r="K842" s="121"/>
      <c r="L842" s="121"/>
      <c r="M842" s="121"/>
      <c r="N842" s="121"/>
      <c r="O842" s="19"/>
    </row>
    <row r="843" spans="1:15" ht="12.75" customHeight="1" x14ac:dyDescent="0.15">
      <c r="A843" s="121"/>
      <c r="B843" s="121"/>
      <c r="C843" s="121"/>
      <c r="D843" s="121"/>
      <c r="E843" s="121"/>
      <c r="F843" s="121"/>
      <c r="G843" s="121"/>
      <c r="H843" s="121"/>
      <c r="I843" s="121"/>
      <c r="J843" s="121"/>
      <c r="K843" s="121"/>
      <c r="L843" s="121"/>
      <c r="M843" s="121"/>
      <c r="N843" s="121"/>
      <c r="O843" s="19"/>
    </row>
    <row r="844" spans="1:15" ht="12.75" customHeight="1" x14ac:dyDescent="0.15">
      <c r="A844" s="121"/>
      <c r="B844" s="121"/>
      <c r="C844" s="121"/>
      <c r="D844" s="121"/>
      <c r="E844" s="121"/>
      <c r="F844" s="121"/>
      <c r="G844" s="121"/>
      <c r="H844" s="121"/>
      <c r="I844" s="121"/>
      <c r="J844" s="121"/>
      <c r="K844" s="121"/>
      <c r="L844" s="121"/>
      <c r="M844" s="121"/>
      <c r="N844" s="121"/>
      <c r="O844" s="19"/>
    </row>
    <row r="845" spans="1:15" ht="12.75" customHeight="1" x14ac:dyDescent="0.15">
      <c r="A845" s="121"/>
      <c r="B845" s="121"/>
      <c r="C845" s="121"/>
      <c r="D845" s="121"/>
      <c r="E845" s="121"/>
      <c r="F845" s="121"/>
      <c r="G845" s="121"/>
      <c r="H845" s="121"/>
      <c r="I845" s="121"/>
      <c r="J845" s="121"/>
      <c r="K845" s="121"/>
      <c r="L845" s="121"/>
      <c r="M845" s="121"/>
      <c r="N845" s="121"/>
      <c r="O845" s="19"/>
    </row>
    <row r="846" spans="1:15" ht="12.75" customHeight="1" x14ac:dyDescent="0.15">
      <c r="A846" s="121"/>
      <c r="B846" s="121"/>
      <c r="C846" s="121"/>
      <c r="D846" s="121"/>
      <c r="E846" s="121"/>
      <c r="F846" s="121"/>
      <c r="G846" s="121"/>
      <c r="H846" s="121"/>
      <c r="I846" s="121"/>
      <c r="J846" s="121"/>
      <c r="K846" s="121"/>
      <c r="L846" s="121"/>
      <c r="M846" s="121"/>
      <c r="N846" s="121"/>
      <c r="O846" s="19"/>
    </row>
    <row r="847" spans="1:15" ht="12.75" customHeight="1" x14ac:dyDescent="0.15">
      <c r="A847" s="121"/>
      <c r="B847" s="121"/>
      <c r="C847" s="121"/>
      <c r="D847" s="121"/>
      <c r="E847" s="121"/>
      <c r="F847" s="121"/>
      <c r="G847" s="121"/>
      <c r="H847" s="121"/>
      <c r="I847" s="121"/>
      <c r="J847" s="121"/>
      <c r="K847" s="121"/>
      <c r="L847" s="121"/>
      <c r="M847" s="121"/>
      <c r="N847" s="121"/>
      <c r="O847" s="19"/>
    </row>
    <row r="848" spans="1:15" ht="12.75" customHeight="1" x14ac:dyDescent="0.15">
      <c r="A848" s="121"/>
      <c r="B848" s="121"/>
      <c r="C848" s="121"/>
      <c r="D848" s="121"/>
      <c r="E848" s="121"/>
      <c r="F848" s="121"/>
      <c r="G848" s="121"/>
      <c r="H848" s="121"/>
      <c r="I848" s="121"/>
      <c r="J848" s="121"/>
      <c r="K848" s="121"/>
      <c r="L848" s="121"/>
      <c r="M848" s="121"/>
      <c r="N848" s="121"/>
      <c r="O848" s="19"/>
    </row>
    <row r="849" spans="1:15" ht="12.75" customHeight="1" x14ac:dyDescent="0.15">
      <c r="A849" s="121"/>
      <c r="B849" s="121"/>
      <c r="C849" s="121"/>
      <c r="D849" s="121"/>
      <c r="E849" s="121"/>
      <c r="F849" s="121"/>
      <c r="G849" s="121"/>
      <c r="H849" s="121"/>
      <c r="I849" s="121"/>
      <c r="J849" s="121"/>
      <c r="K849" s="121"/>
      <c r="L849" s="121"/>
      <c r="M849" s="121"/>
      <c r="N849" s="121"/>
      <c r="O849" s="19"/>
    </row>
    <row r="850" spans="1:15" ht="12.75" customHeight="1" x14ac:dyDescent="0.15">
      <c r="A850" s="121"/>
      <c r="B850" s="121"/>
      <c r="C850" s="121"/>
      <c r="D850" s="121"/>
      <c r="E850" s="121"/>
      <c r="F850" s="121"/>
      <c r="G850" s="121"/>
      <c r="H850" s="121"/>
      <c r="I850" s="121"/>
      <c r="J850" s="121"/>
      <c r="K850" s="121"/>
      <c r="L850" s="121"/>
      <c r="M850" s="121"/>
      <c r="N850" s="121"/>
      <c r="O850" s="19"/>
    </row>
    <row r="851" spans="1:15" ht="12.75" customHeight="1" x14ac:dyDescent="0.15">
      <c r="A851" s="121"/>
      <c r="B851" s="121"/>
      <c r="C851" s="121"/>
      <c r="D851" s="121"/>
      <c r="E851" s="121"/>
      <c r="F851" s="121"/>
      <c r="G851" s="121"/>
      <c r="H851" s="121"/>
      <c r="I851" s="121"/>
      <c r="J851" s="121"/>
      <c r="K851" s="121"/>
      <c r="L851" s="121"/>
      <c r="M851" s="121"/>
      <c r="N851" s="121"/>
      <c r="O851" s="19"/>
    </row>
    <row r="852" spans="1:15" ht="12.75" customHeight="1" x14ac:dyDescent="0.15">
      <c r="A852" s="121"/>
      <c r="B852" s="121"/>
      <c r="C852" s="121"/>
      <c r="D852" s="121"/>
      <c r="E852" s="121"/>
      <c r="F852" s="121"/>
      <c r="G852" s="121"/>
      <c r="H852" s="121"/>
      <c r="I852" s="121"/>
      <c r="J852" s="121"/>
      <c r="K852" s="121"/>
      <c r="L852" s="121"/>
      <c r="M852" s="121"/>
      <c r="N852" s="121"/>
      <c r="O852" s="19"/>
    </row>
    <row r="853" spans="1:15" ht="12.75" customHeight="1" x14ac:dyDescent="0.15">
      <c r="A853" s="121"/>
      <c r="B853" s="121"/>
      <c r="C853" s="121"/>
      <c r="D853" s="121"/>
      <c r="E853" s="121"/>
      <c r="F853" s="121"/>
      <c r="G853" s="121"/>
      <c r="H853" s="121"/>
      <c r="I853" s="121"/>
      <c r="J853" s="121"/>
      <c r="K853" s="121"/>
      <c r="L853" s="121"/>
      <c r="M853" s="121"/>
      <c r="N853" s="121"/>
      <c r="O853" s="19"/>
    </row>
    <row r="854" spans="1:15" ht="12.75" customHeight="1" x14ac:dyDescent="0.15">
      <c r="A854" s="121"/>
      <c r="B854" s="121"/>
      <c r="C854" s="121"/>
      <c r="D854" s="121"/>
      <c r="E854" s="121"/>
      <c r="F854" s="121"/>
      <c r="G854" s="121"/>
      <c r="H854" s="121"/>
      <c r="I854" s="121"/>
      <c r="J854" s="121"/>
      <c r="K854" s="121"/>
      <c r="L854" s="121"/>
      <c r="M854" s="121"/>
      <c r="N854" s="121"/>
      <c r="O854" s="19"/>
    </row>
    <row r="855" spans="1:15" ht="12.75" customHeight="1" x14ac:dyDescent="0.15">
      <c r="A855" s="121"/>
      <c r="B855" s="121"/>
      <c r="C855" s="121"/>
      <c r="D855" s="121"/>
      <c r="E855" s="121"/>
      <c r="F855" s="121"/>
      <c r="G855" s="121"/>
      <c r="H855" s="121"/>
      <c r="I855" s="121"/>
      <c r="J855" s="121"/>
      <c r="K855" s="121"/>
      <c r="L855" s="121"/>
      <c r="M855" s="121"/>
      <c r="N855" s="121"/>
      <c r="O855" s="19"/>
    </row>
    <row r="856" spans="1:15" ht="12.75" customHeight="1" x14ac:dyDescent="0.15">
      <c r="A856" s="121"/>
      <c r="B856" s="121"/>
      <c r="C856" s="121"/>
      <c r="D856" s="121"/>
      <c r="E856" s="121"/>
      <c r="F856" s="121"/>
      <c r="G856" s="121"/>
      <c r="H856" s="121"/>
      <c r="I856" s="121"/>
      <c r="J856" s="121"/>
      <c r="K856" s="121"/>
      <c r="L856" s="121"/>
      <c r="M856" s="121"/>
      <c r="N856" s="121"/>
      <c r="O856" s="19"/>
    </row>
    <row r="857" spans="1:15" ht="12.75" customHeight="1" x14ac:dyDescent="0.15">
      <c r="A857" s="121"/>
      <c r="B857" s="121"/>
      <c r="C857" s="121"/>
      <c r="D857" s="121"/>
      <c r="E857" s="121"/>
      <c r="F857" s="121"/>
      <c r="G857" s="121"/>
      <c r="H857" s="121"/>
      <c r="I857" s="121"/>
      <c r="J857" s="121"/>
      <c r="K857" s="121"/>
      <c r="L857" s="121"/>
      <c r="M857" s="121"/>
      <c r="N857" s="121"/>
      <c r="O857" s="19"/>
    </row>
    <row r="858" spans="1:15" ht="12.75" customHeight="1" x14ac:dyDescent="0.15">
      <c r="A858" s="121"/>
      <c r="B858" s="121"/>
      <c r="C858" s="121"/>
      <c r="D858" s="121"/>
      <c r="E858" s="121"/>
      <c r="F858" s="121"/>
      <c r="G858" s="121"/>
      <c r="H858" s="121"/>
      <c r="I858" s="121"/>
      <c r="J858" s="121"/>
      <c r="K858" s="121"/>
      <c r="L858" s="121"/>
      <c r="M858" s="121"/>
      <c r="N858" s="121"/>
      <c r="O858" s="19"/>
    </row>
    <row r="859" spans="1:15" ht="12.75" customHeight="1" x14ac:dyDescent="0.15">
      <c r="A859" s="121"/>
      <c r="B859" s="121"/>
      <c r="C859" s="121"/>
      <c r="D859" s="121"/>
      <c r="E859" s="121"/>
      <c r="F859" s="121"/>
      <c r="G859" s="121"/>
      <c r="H859" s="121"/>
      <c r="I859" s="121"/>
      <c r="J859" s="121"/>
      <c r="K859" s="121"/>
      <c r="L859" s="121"/>
      <c r="M859" s="121"/>
      <c r="N859" s="121"/>
      <c r="O859" s="19"/>
    </row>
    <row r="860" spans="1:15" ht="12.75" customHeight="1" x14ac:dyDescent="0.15">
      <c r="A860" s="121"/>
      <c r="B860" s="121"/>
      <c r="C860" s="121"/>
      <c r="D860" s="121"/>
      <c r="E860" s="121"/>
      <c r="F860" s="121"/>
      <c r="G860" s="121"/>
      <c r="H860" s="121"/>
      <c r="I860" s="121"/>
      <c r="J860" s="121"/>
      <c r="K860" s="121"/>
      <c r="L860" s="121"/>
      <c r="M860" s="121"/>
      <c r="N860" s="121"/>
      <c r="O860" s="19"/>
    </row>
    <row r="861" spans="1:15" ht="12.75" customHeight="1" x14ac:dyDescent="0.15">
      <c r="A861" s="121"/>
      <c r="B861" s="121"/>
      <c r="C861" s="121"/>
      <c r="D861" s="121"/>
      <c r="E861" s="121"/>
      <c r="F861" s="121"/>
      <c r="G861" s="121"/>
      <c r="H861" s="121"/>
      <c r="I861" s="121"/>
      <c r="J861" s="121"/>
      <c r="K861" s="121"/>
      <c r="L861" s="121"/>
      <c r="M861" s="121"/>
      <c r="N861" s="121"/>
      <c r="O861" s="19"/>
    </row>
    <row r="862" spans="1:15" ht="12.75" customHeight="1" x14ac:dyDescent="0.15">
      <c r="A862" s="121"/>
      <c r="B862" s="121"/>
      <c r="C862" s="121"/>
      <c r="D862" s="121"/>
      <c r="E862" s="121"/>
      <c r="F862" s="121"/>
      <c r="G862" s="121"/>
      <c r="H862" s="121"/>
      <c r="I862" s="121"/>
      <c r="J862" s="121"/>
      <c r="K862" s="121"/>
      <c r="L862" s="121"/>
      <c r="M862" s="121"/>
      <c r="N862" s="121"/>
      <c r="O862" s="19"/>
    </row>
    <row r="863" spans="1:15" ht="12.75" customHeight="1" x14ac:dyDescent="0.15">
      <c r="A863" s="121"/>
      <c r="B863" s="121"/>
      <c r="C863" s="121"/>
      <c r="D863" s="121"/>
      <c r="E863" s="121"/>
      <c r="F863" s="121"/>
      <c r="G863" s="121"/>
      <c r="H863" s="121"/>
      <c r="I863" s="121"/>
      <c r="J863" s="121"/>
      <c r="K863" s="121"/>
      <c r="L863" s="121"/>
      <c r="M863" s="121"/>
      <c r="N863" s="121"/>
      <c r="O863" s="19"/>
    </row>
    <row r="864" spans="1:15" ht="12.75" customHeight="1" x14ac:dyDescent="0.15">
      <c r="A864" s="121"/>
      <c r="B864" s="121"/>
      <c r="C864" s="121"/>
      <c r="D864" s="121"/>
      <c r="E864" s="121"/>
      <c r="F864" s="121"/>
      <c r="G864" s="121"/>
      <c r="H864" s="121"/>
      <c r="I864" s="121"/>
      <c r="J864" s="121"/>
      <c r="K864" s="121"/>
      <c r="L864" s="121"/>
      <c r="M864" s="121"/>
      <c r="N864" s="121"/>
      <c r="O864" s="19"/>
    </row>
    <row r="865" spans="1:15" ht="12.75" customHeight="1" x14ac:dyDescent="0.15">
      <c r="A865" s="121"/>
      <c r="B865" s="121"/>
      <c r="C865" s="121"/>
      <c r="D865" s="121"/>
      <c r="E865" s="121"/>
      <c r="F865" s="121"/>
      <c r="G865" s="121"/>
      <c r="H865" s="121"/>
      <c r="I865" s="121"/>
      <c r="J865" s="121"/>
      <c r="K865" s="121"/>
      <c r="L865" s="121"/>
      <c r="M865" s="121"/>
      <c r="N865" s="121"/>
      <c r="O865" s="19"/>
    </row>
    <row r="866" spans="1:15" ht="12.75" customHeight="1" x14ac:dyDescent="0.15">
      <c r="A866" s="121"/>
      <c r="B866" s="121"/>
      <c r="C866" s="121"/>
      <c r="D866" s="121"/>
      <c r="E866" s="121"/>
      <c r="F866" s="121"/>
      <c r="G866" s="121"/>
      <c r="H866" s="121"/>
      <c r="I866" s="121"/>
      <c r="J866" s="121"/>
      <c r="K866" s="121"/>
      <c r="L866" s="121"/>
      <c r="M866" s="121"/>
      <c r="N866" s="121"/>
      <c r="O866" s="19"/>
    </row>
    <row r="867" spans="1:15" ht="12.75" customHeight="1" x14ac:dyDescent="0.15">
      <c r="A867" s="121"/>
      <c r="B867" s="121"/>
      <c r="C867" s="121"/>
      <c r="D867" s="121"/>
      <c r="E867" s="121"/>
      <c r="F867" s="121"/>
      <c r="G867" s="121"/>
      <c r="H867" s="121"/>
      <c r="I867" s="121"/>
      <c r="J867" s="121"/>
      <c r="K867" s="121"/>
      <c r="L867" s="121"/>
      <c r="M867" s="121"/>
      <c r="N867" s="121"/>
      <c r="O867" s="19"/>
    </row>
    <row r="868" spans="1:15" ht="12.75" customHeight="1" x14ac:dyDescent="0.15">
      <c r="A868" s="121"/>
      <c r="B868" s="121"/>
      <c r="C868" s="121"/>
      <c r="D868" s="121"/>
      <c r="E868" s="121"/>
      <c r="F868" s="121"/>
      <c r="G868" s="121"/>
      <c r="H868" s="121"/>
      <c r="I868" s="121"/>
      <c r="J868" s="121"/>
      <c r="K868" s="121"/>
      <c r="L868" s="121"/>
      <c r="M868" s="121"/>
      <c r="N868" s="121"/>
      <c r="O868" s="19"/>
    </row>
    <row r="869" spans="1:15" ht="12.75" customHeight="1" x14ac:dyDescent="0.15">
      <c r="A869" s="121"/>
      <c r="B869" s="121"/>
      <c r="C869" s="121"/>
      <c r="D869" s="121"/>
      <c r="E869" s="121"/>
      <c r="F869" s="121"/>
      <c r="G869" s="121"/>
      <c r="H869" s="121"/>
      <c r="I869" s="121"/>
      <c r="J869" s="121"/>
      <c r="K869" s="121"/>
      <c r="L869" s="121"/>
      <c r="M869" s="121"/>
      <c r="N869" s="121"/>
      <c r="O869" s="19"/>
    </row>
    <row r="870" spans="1:15" ht="12.75" customHeight="1" x14ac:dyDescent="0.15">
      <c r="A870" s="121"/>
      <c r="B870" s="121"/>
      <c r="C870" s="121"/>
      <c r="D870" s="121"/>
      <c r="E870" s="121"/>
      <c r="F870" s="121"/>
      <c r="G870" s="121"/>
      <c r="H870" s="121"/>
      <c r="I870" s="121"/>
      <c r="J870" s="121"/>
      <c r="K870" s="121"/>
      <c r="L870" s="121"/>
      <c r="M870" s="121"/>
      <c r="N870" s="121"/>
      <c r="O870" s="19"/>
    </row>
    <row r="871" spans="1:15" ht="12.75" customHeight="1" x14ac:dyDescent="0.15">
      <c r="A871" s="121"/>
      <c r="B871" s="121"/>
      <c r="C871" s="121"/>
      <c r="D871" s="121"/>
      <c r="E871" s="121"/>
      <c r="F871" s="121"/>
      <c r="G871" s="121"/>
      <c r="H871" s="121"/>
      <c r="I871" s="121"/>
      <c r="J871" s="121"/>
      <c r="K871" s="121"/>
      <c r="L871" s="121"/>
      <c r="M871" s="121"/>
      <c r="N871" s="121"/>
      <c r="O871" s="19"/>
    </row>
    <row r="872" spans="1:15" ht="12.75" customHeight="1" x14ac:dyDescent="0.15">
      <c r="A872" s="121"/>
      <c r="B872" s="121"/>
      <c r="C872" s="121"/>
      <c r="D872" s="121"/>
      <c r="E872" s="121"/>
      <c r="F872" s="121"/>
      <c r="G872" s="121"/>
      <c r="H872" s="121"/>
      <c r="I872" s="121"/>
      <c r="J872" s="121"/>
      <c r="K872" s="121"/>
      <c r="L872" s="121"/>
      <c r="M872" s="121"/>
      <c r="N872" s="121"/>
      <c r="O872" s="19"/>
    </row>
    <row r="873" spans="1:15" ht="12.75" customHeight="1" x14ac:dyDescent="0.15">
      <c r="A873" s="121"/>
      <c r="B873" s="121"/>
      <c r="C873" s="121"/>
      <c r="D873" s="121"/>
      <c r="E873" s="121"/>
      <c r="F873" s="121"/>
      <c r="G873" s="121"/>
      <c r="H873" s="121"/>
      <c r="I873" s="121"/>
      <c r="J873" s="121"/>
      <c r="K873" s="121"/>
      <c r="L873" s="121"/>
      <c r="M873" s="121"/>
      <c r="N873" s="121"/>
      <c r="O873" s="19"/>
    </row>
    <row r="874" spans="1:15" ht="12.75" customHeight="1" x14ac:dyDescent="0.15">
      <c r="A874" s="121"/>
      <c r="B874" s="121"/>
      <c r="C874" s="121"/>
      <c r="D874" s="121"/>
      <c r="E874" s="121"/>
      <c r="F874" s="121"/>
      <c r="G874" s="121"/>
      <c r="H874" s="121"/>
      <c r="I874" s="121"/>
      <c r="J874" s="121"/>
      <c r="K874" s="121"/>
      <c r="L874" s="121"/>
      <c r="M874" s="121"/>
      <c r="N874" s="121"/>
      <c r="O874" s="19"/>
    </row>
    <row r="875" spans="1:15" ht="12.75" customHeight="1" x14ac:dyDescent="0.15">
      <c r="A875" s="121"/>
      <c r="B875" s="121"/>
      <c r="C875" s="121"/>
      <c r="D875" s="121"/>
      <c r="E875" s="121"/>
      <c r="F875" s="121"/>
      <c r="G875" s="121"/>
      <c r="H875" s="121"/>
      <c r="I875" s="121"/>
      <c r="J875" s="121"/>
      <c r="K875" s="121"/>
      <c r="L875" s="121"/>
      <c r="M875" s="121"/>
      <c r="N875" s="121"/>
      <c r="O875" s="19"/>
    </row>
    <row r="876" spans="1:15" ht="12.75" customHeight="1" x14ac:dyDescent="0.15">
      <c r="A876" s="121"/>
      <c r="B876" s="121"/>
      <c r="C876" s="121"/>
      <c r="D876" s="121"/>
      <c r="E876" s="121"/>
      <c r="F876" s="121"/>
      <c r="G876" s="121"/>
      <c r="H876" s="121"/>
      <c r="I876" s="121"/>
      <c r="J876" s="121"/>
      <c r="K876" s="121"/>
      <c r="L876" s="121"/>
      <c r="M876" s="121"/>
      <c r="N876" s="121"/>
      <c r="O876" s="19"/>
    </row>
    <row r="877" spans="1:15" ht="12.75" customHeight="1" x14ac:dyDescent="0.15">
      <c r="A877" s="121"/>
      <c r="B877" s="121"/>
      <c r="C877" s="121"/>
      <c r="D877" s="121"/>
      <c r="E877" s="121"/>
      <c r="F877" s="121"/>
      <c r="G877" s="121"/>
      <c r="H877" s="121"/>
      <c r="I877" s="121"/>
      <c r="J877" s="121"/>
      <c r="K877" s="121"/>
      <c r="L877" s="121"/>
      <c r="M877" s="121"/>
      <c r="N877" s="121"/>
      <c r="O877" s="19"/>
    </row>
    <row r="878" spans="1:15" ht="12.75" customHeight="1" x14ac:dyDescent="0.15">
      <c r="A878" s="121"/>
      <c r="B878" s="121"/>
      <c r="C878" s="121"/>
      <c r="D878" s="121"/>
      <c r="E878" s="121"/>
      <c r="F878" s="121"/>
      <c r="G878" s="121"/>
      <c r="H878" s="121"/>
      <c r="I878" s="121"/>
      <c r="J878" s="121"/>
      <c r="K878" s="121"/>
      <c r="L878" s="121"/>
      <c r="M878" s="121"/>
      <c r="N878" s="121"/>
      <c r="O878" s="19"/>
    </row>
    <row r="879" spans="1:15" ht="12.75" customHeight="1" x14ac:dyDescent="0.15">
      <c r="A879" s="121"/>
      <c r="B879" s="121"/>
      <c r="C879" s="121"/>
      <c r="D879" s="121"/>
      <c r="E879" s="121"/>
      <c r="F879" s="121"/>
      <c r="G879" s="121"/>
      <c r="H879" s="121"/>
      <c r="I879" s="121"/>
      <c r="J879" s="121"/>
      <c r="K879" s="121"/>
      <c r="L879" s="121"/>
      <c r="M879" s="121"/>
      <c r="N879" s="121"/>
      <c r="O879" s="19"/>
    </row>
    <row r="880" spans="1:15" ht="12.75" customHeight="1" x14ac:dyDescent="0.15">
      <c r="A880" s="121"/>
      <c r="B880" s="121"/>
      <c r="C880" s="121"/>
      <c r="D880" s="121"/>
      <c r="E880" s="121"/>
      <c r="F880" s="121"/>
      <c r="G880" s="121"/>
      <c r="H880" s="121"/>
      <c r="I880" s="121"/>
      <c r="J880" s="121"/>
      <c r="K880" s="121"/>
      <c r="L880" s="121"/>
      <c r="M880" s="121"/>
      <c r="N880" s="121"/>
      <c r="O880" s="19"/>
    </row>
    <row r="881" spans="1:15" ht="12.75" customHeight="1" x14ac:dyDescent="0.15">
      <c r="A881" s="121"/>
      <c r="B881" s="121"/>
      <c r="C881" s="121"/>
      <c r="D881" s="121"/>
      <c r="E881" s="121"/>
      <c r="F881" s="121"/>
      <c r="G881" s="121"/>
      <c r="H881" s="121"/>
      <c r="I881" s="121"/>
      <c r="J881" s="121"/>
      <c r="K881" s="121"/>
      <c r="L881" s="121"/>
      <c r="M881" s="121"/>
      <c r="N881" s="121"/>
      <c r="O881" s="19"/>
    </row>
    <row r="882" spans="1:15" ht="12.75" customHeight="1" x14ac:dyDescent="0.15">
      <c r="A882" s="121"/>
      <c r="B882" s="121"/>
      <c r="C882" s="121"/>
      <c r="D882" s="121"/>
      <c r="E882" s="121"/>
      <c r="F882" s="121"/>
      <c r="G882" s="121"/>
      <c r="H882" s="121"/>
      <c r="I882" s="121"/>
      <c r="J882" s="121"/>
      <c r="K882" s="121"/>
      <c r="L882" s="121"/>
      <c r="M882" s="121"/>
      <c r="N882" s="121"/>
      <c r="O882" s="19"/>
    </row>
    <row r="883" spans="1:15" ht="12.75" customHeight="1" x14ac:dyDescent="0.15">
      <c r="A883" s="121"/>
      <c r="B883" s="121"/>
      <c r="C883" s="121"/>
      <c r="D883" s="121"/>
      <c r="E883" s="121"/>
      <c r="F883" s="121"/>
      <c r="G883" s="121"/>
      <c r="H883" s="121"/>
      <c r="I883" s="121"/>
      <c r="J883" s="121"/>
      <c r="K883" s="121"/>
      <c r="L883" s="121"/>
      <c r="M883" s="121"/>
      <c r="N883" s="121"/>
      <c r="O883" s="19"/>
    </row>
    <row r="884" spans="1:15" ht="12.75" customHeight="1" x14ac:dyDescent="0.15">
      <c r="A884" s="121"/>
      <c r="B884" s="121"/>
      <c r="C884" s="121"/>
      <c r="D884" s="121"/>
      <c r="E884" s="121"/>
      <c r="F884" s="121"/>
      <c r="G884" s="121"/>
      <c r="H884" s="121"/>
      <c r="I884" s="121"/>
      <c r="J884" s="121"/>
      <c r="K884" s="121"/>
      <c r="L884" s="121"/>
      <c r="M884" s="121"/>
      <c r="N884" s="121"/>
      <c r="O884" s="19"/>
    </row>
    <row r="885" spans="1:15" ht="12.75" customHeight="1" x14ac:dyDescent="0.15">
      <c r="A885" s="121"/>
      <c r="B885" s="121"/>
      <c r="C885" s="121"/>
      <c r="D885" s="121"/>
      <c r="E885" s="121"/>
      <c r="F885" s="121"/>
      <c r="G885" s="121"/>
      <c r="H885" s="121"/>
      <c r="I885" s="121"/>
      <c r="J885" s="121"/>
      <c r="K885" s="121"/>
      <c r="L885" s="121"/>
      <c r="M885" s="121"/>
      <c r="N885" s="121"/>
      <c r="O885" s="19"/>
    </row>
    <row r="886" spans="1:15" ht="12.75" customHeight="1" x14ac:dyDescent="0.15">
      <c r="A886" s="121"/>
      <c r="B886" s="121"/>
      <c r="C886" s="121"/>
      <c r="D886" s="121"/>
      <c r="E886" s="121"/>
      <c r="F886" s="121"/>
      <c r="G886" s="121"/>
      <c r="H886" s="121"/>
      <c r="I886" s="121"/>
      <c r="J886" s="121"/>
      <c r="K886" s="121"/>
      <c r="L886" s="121"/>
      <c r="M886" s="121"/>
      <c r="N886" s="121"/>
      <c r="O886" s="19"/>
    </row>
    <row r="887" spans="1:15" ht="12.75" customHeight="1" x14ac:dyDescent="0.15">
      <c r="A887" s="121"/>
      <c r="B887" s="121"/>
      <c r="C887" s="121"/>
      <c r="D887" s="121"/>
      <c r="E887" s="121"/>
      <c r="F887" s="121"/>
      <c r="G887" s="121"/>
      <c r="H887" s="121"/>
      <c r="I887" s="121"/>
      <c r="J887" s="121"/>
      <c r="K887" s="121"/>
      <c r="L887" s="121"/>
      <c r="M887" s="121"/>
      <c r="N887" s="121"/>
      <c r="O887" s="19"/>
    </row>
    <row r="888" spans="1:15" ht="12.75" customHeight="1" x14ac:dyDescent="0.15">
      <c r="A888" s="121"/>
      <c r="B888" s="121"/>
      <c r="C888" s="121"/>
      <c r="D888" s="121"/>
      <c r="E888" s="121"/>
      <c r="F888" s="121"/>
      <c r="G888" s="121"/>
      <c r="H888" s="121"/>
      <c r="I888" s="121"/>
      <c r="J888" s="121"/>
      <c r="K888" s="121"/>
      <c r="L888" s="121"/>
      <c r="M888" s="121"/>
      <c r="N888" s="121"/>
      <c r="O888" s="19"/>
    </row>
    <row r="889" spans="1:15" ht="12.75" customHeight="1" x14ac:dyDescent="0.15">
      <c r="A889" s="121"/>
      <c r="B889" s="121"/>
      <c r="C889" s="121"/>
      <c r="D889" s="121"/>
      <c r="E889" s="121"/>
      <c r="F889" s="121"/>
      <c r="G889" s="121"/>
      <c r="H889" s="121"/>
      <c r="I889" s="121"/>
      <c r="J889" s="121"/>
      <c r="K889" s="121"/>
      <c r="L889" s="121"/>
      <c r="M889" s="121"/>
      <c r="N889" s="121"/>
      <c r="O889" s="19"/>
    </row>
    <row r="890" spans="1:15" ht="12.75" customHeight="1" x14ac:dyDescent="0.15">
      <c r="A890" s="121"/>
      <c r="B890" s="121"/>
      <c r="C890" s="121"/>
      <c r="D890" s="121"/>
      <c r="E890" s="121"/>
      <c r="F890" s="121"/>
      <c r="G890" s="121"/>
      <c r="H890" s="121"/>
      <c r="I890" s="121"/>
      <c r="J890" s="121"/>
      <c r="K890" s="121"/>
      <c r="L890" s="121"/>
      <c r="M890" s="121"/>
      <c r="N890" s="121"/>
      <c r="O890" s="19"/>
    </row>
    <row r="891" spans="1:15" ht="12.75" customHeight="1" x14ac:dyDescent="0.15">
      <c r="A891" s="121"/>
      <c r="B891" s="121"/>
      <c r="C891" s="121"/>
      <c r="D891" s="121"/>
      <c r="E891" s="121"/>
      <c r="F891" s="121"/>
      <c r="G891" s="121"/>
      <c r="H891" s="121"/>
      <c r="I891" s="121"/>
      <c r="J891" s="121"/>
      <c r="K891" s="121"/>
      <c r="L891" s="121"/>
      <c r="M891" s="121"/>
      <c r="N891" s="121"/>
      <c r="O891" s="19"/>
    </row>
    <row r="892" spans="1:15" ht="12.75" customHeight="1" x14ac:dyDescent="0.15">
      <c r="A892" s="121"/>
      <c r="B892" s="121"/>
      <c r="C892" s="121"/>
      <c r="D892" s="121"/>
      <c r="E892" s="121"/>
      <c r="F892" s="121"/>
      <c r="G892" s="121"/>
      <c r="H892" s="121"/>
      <c r="I892" s="121"/>
      <c r="J892" s="121"/>
      <c r="K892" s="121"/>
      <c r="L892" s="121"/>
      <c r="M892" s="121"/>
      <c r="N892" s="121"/>
      <c r="O892" s="19"/>
    </row>
    <row r="893" spans="1:15" ht="12.75" customHeight="1" x14ac:dyDescent="0.15">
      <c r="A893" s="121"/>
      <c r="B893" s="121"/>
      <c r="C893" s="121"/>
      <c r="D893" s="121"/>
      <c r="E893" s="121"/>
      <c r="F893" s="121"/>
      <c r="G893" s="121"/>
      <c r="H893" s="121"/>
      <c r="I893" s="121"/>
      <c r="J893" s="121"/>
      <c r="K893" s="121"/>
      <c r="L893" s="121"/>
      <c r="M893" s="121"/>
      <c r="N893" s="121"/>
      <c r="O893" s="19"/>
    </row>
    <row r="894" spans="1:15" ht="12.75" customHeight="1" x14ac:dyDescent="0.15">
      <c r="A894" s="121"/>
      <c r="B894" s="121"/>
      <c r="C894" s="121"/>
      <c r="D894" s="121"/>
      <c r="E894" s="121"/>
      <c r="F894" s="121"/>
      <c r="G894" s="121"/>
      <c r="H894" s="121"/>
      <c r="I894" s="121"/>
      <c r="J894" s="121"/>
      <c r="K894" s="121"/>
      <c r="L894" s="121"/>
      <c r="M894" s="121"/>
      <c r="N894" s="121"/>
      <c r="O894" s="19"/>
    </row>
    <row r="895" spans="1:15" ht="12.75" customHeight="1" x14ac:dyDescent="0.15">
      <c r="A895" s="121"/>
      <c r="B895" s="121"/>
      <c r="C895" s="121"/>
      <c r="D895" s="121"/>
      <c r="E895" s="121"/>
      <c r="F895" s="121"/>
      <c r="G895" s="121"/>
      <c r="H895" s="121"/>
      <c r="I895" s="121"/>
      <c r="J895" s="121"/>
      <c r="K895" s="121"/>
      <c r="L895" s="121"/>
      <c r="M895" s="121"/>
      <c r="N895" s="121"/>
      <c r="O895" s="19"/>
    </row>
    <row r="896" spans="1:15" ht="12.75" customHeight="1" x14ac:dyDescent="0.15">
      <c r="A896" s="121"/>
      <c r="B896" s="121"/>
      <c r="C896" s="121"/>
      <c r="D896" s="121"/>
      <c r="E896" s="121"/>
      <c r="F896" s="121"/>
      <c r="G896" s="121"/>
      <c r="H896" s="121"/>
      <c r="I896" s="121"/>
      <c r="J896" s="121"/>
      <c r="K896" s="121"/>
      <c r="L896" s="121"/>
      <c r="M896" s="121"/>
      <c r="N896" s="121"/>
      <c r="O896" s="19"/>
    </row>
    <row r="897" spans="1:15" ht="12.75" customHeight="1" x14ac:dyDescent="0.15">
      <c r="A897" s="121"/>
      <c r="B897" s="121"/>
      <c r="C897" s="121"/>
      <c r="D897" s="121"/>
      <c r="E897" s="121"/>
      <c r="F897" s="121"/>
      <c r="G897" s="121"/>
      <c r="H897" s="121"/>
      <c r="I897" s="121"/>
      <c r="J897" s="121"/>
      <c r="K897" s="121"/>
      <c r="L897" s="121"/>
      <c r="M897" s="121"/>
      <c r="N897" s="121"/>
      <c r="O897" s="19"/>
    </row>
    <row r="898" spans="1:15" ht="12.75" customHeight="1" x14ac:dyDescent="0.15">
      <c r="A898" s="121"/>
      <c r="B898" s="121"/>
      <c r="C898" s="121"/>
      <c r="D898" s="121"/>
      <c r="E898" s="121"/>
      <c r="F898" s="121"/>
      <c r="G898" s="121"/>
      <c r="H898" s="121"/>
      <c r="I898" s="121"/>
      <c r="J898" s="121"/>
      <c r="K898" s="121"/>
      <c r="L898" s="121"/>
      <c r="M898" s="121"/>
      <c r="N898" s="121"/>
      <c r="O898" s="19"/>
    </row>
    <row r="899" spans="1:15" ht="12.75" customHeight="1" x14ac:dyDescent="0.15">
      <c r="A899" s="121"/>
      <c r="B899" s="121"/>
      <c r="C899" s="121"/>
      <c r="D899" s="121"/>
      <c r="E899" s="121"/>
      <c r="F899" s="121"/>
      <c r="G899" s="121"/>
      <c r="H899" s="121"/>
      <c r="I899" s="121"/>
      <c r="J899" s="121"/>
      <c r="K899" s="121"/>
      <c r="L899" s="121"/>
      <c r="M899" s="121"/>
      <c r="N899" s="121"/>
      <c r="O899" s="19"/>
    </row>
    <row r="900" spans="1:15" ht="12.75" customHeight="1" x14ac:dyDescent="0.15">
      <c r="A900" s="121"/>
      <c r="B900" s="121"/>
      <c r="C900" s="121"/>
      <c r="D900" s="121"/>
      <c r="E900" s="121"/>
      <c r="F900" s="121"/>
      <c r="G900" s="121"/>
      <c r="H900" s="121"/>
      <c r="I900" s="121"/>
      <c r="J900" s="121"/>
      <c r="K900" s="121"/>
      <c r="L900" s="121"/>
      <c r="M900" s="121"/>
      <c r="N900" s="121"/>
      <c r="O900" s="19"/>
    </row>
    <row r="901" spans="1:15" ht="12.75" customHeight="1" x14ac:dyDescent="0.15">
      <c r="A901" s="121"/>
      <c r="B901" s="121"/>
      <c r="C901" s="121"/>
      <c r="D901" s="121"/>
      <c r="E901" s="121"/>
      <c r="F901" s="121"/>
      <c r="G901" s="121"/>
      <c r="H901" s="121"/>
      <c r="I901" s="121"/>
      <c r="J901" s="121"/>
      <c r="K901" s="121"/>
      <c r="L901" s="121"/>
      <c r="M901" s="121"/>
      <c r="N901" s="121"/>
      <c r="O901" s="19"/>
    </row>
    <row r="902" spans="1:15" ht="12.75" customHeight="1" x14ac:dyDescent="0.15">
      <c r="A902" s="121"/>
      <c r="B902" s="121"/>
      <c r="C902" s="121"/>
      <c r="D902" s="121"/>
      <c r="E902" s="121"/>
      <c r="F902" s="121"/>
      <c r="G902" s="121"/>
      <c r="H902" s="121"/>
      <c r="I902" s="121"/>
      <c r="J902" s="121"/>
      <c r="K902" s="121"/>
      <c r="L902" s="121"/>
      <c r="M902" s="121"/>
      <c r="N902" s="121"/>
      <c r="O902" s="19"/>
    </row>
    <row r="903" spans="1:15" ht="12.75" customHeight="1" x14ac:dyDescent="0.15">
      <c r="A903" s="121"/>
      <c r="B903" s="121"/>
      <c r="C903" s="121"/>
      <c r="D903" s="121"/>
      <c r="E903" s="121"/>
      <c r="F903" s="121"/>
      <c r="G903" s="121"/>
      <c r="H903" s="121"/>
      <c r="I903" s="121"/>
      <c r="J903" s="121"/>
      <c r="K903" s="121"/>
      <c r="L903" s="121"/>
      <c r="M903" s="121"/>
      <c r="N903" s="121"/>
      <c r="O903" s="19"/>
    </row>
    <row r="904" spans="1:15" ht="12.75" customHeight="1" x14ac:dyDescent="0.15">
      <c r="A904" s="121"/>
      <c r="B904" s="121"/>
      <c r="C904" s="121"/>
      <c r="D904" s="121"/>
      <c r="E904" s="121"/>
      <c r="F904" s="121"/>
      <c r="G904" s="121"/>
      <c r="H904" s="121"/>
      <c r="I904" s="121"/>
      <c r="J904" s="121"/>
      <c r="K904" s="121"/>
      <c r="L904" s="121"/>
      <c r="M904" s="121"/>
      <c r="N904" s="121"/>
      <c r="O904" s="19"/>
    </row>
    <row r="905" spans="1:15" ht="12.75" customHeight="1" x14ac:dyDescent="0.15">
      <c r="A905" s="121"/>
      <c r="B905" s="121"/>
      <c r="C905" s="121"/>
      <c r="D905" s="121"/>
      <c r="E905" s="121"/>
      <c r="F905" s="121"/>
      <c r="G905" s="121"/>
      <c r="H905" s="121"/>
      <c r="I905" s="121"/>
      <c r="J905" s="121"/>
      <c r="K905" s="121"/>
      <c r="L905" s="121"/>
      <c r="M905" s="121"/>
      <c r="N905" s="121"/>
      <c r="O905" s="19"/>
    </row>
    <row r="906" spans="1:15" ht="12.75" customHeight="1" x14ac:dyDescent="0.15">
      <c r="A906" s="121"/>
      <c r="B906" s="121"/>
      <c r="C906" s="121"/>
      <c r="D906" s="121"/>
      <c r="E906" s="121"/>
      <c r="F906" s="121"/>
      <c r="G906" s="121"/>
      <c r="H906" s="121"/>
      <c r="I906" s="121"/>
      <c r="J906" s="121"/>
      <c r="K906" s="121"/>
      <c r="L906" s="121"/>
      <c r="M906" s="121"/>
      <c r="N906" s="121"/>
      <c r="O906" s="19"/>
    </row>
    <row r="907" spans="1:15" ht="12.75" customHeight="1" x14ac:dyDescent="0.15">
      <c r="A907" s="121"/>
      <c r="B907" s="121"/>
      <c r="C907" s="121"/>
      <c r="D907" s="121"/>
      <c r="E907" s="121"/>
      <c r="F907" s="121"/>
      <c r="G907" s="121"/>
      <c r="H907" s="121"/>
      <c r="I907" s="121"/>
      <c r="J907" s="121"/>
      <c r="K907" s="121"/>
      <c r="L907" s="121"/>
      <c r="M907" s="121"/>
      <c r="N907" s="121"/>
      <c r="O907" s="19"/>
    </row>
    <row r="908" spans="1:15" ht="12.75" customHeight="1" x14ac:dyDescent="0.15">
      <c r="A908" s="121"/>
      <c r="B908" s="121"/>
      <c r="C908" s="121"/>
      <c r="D908" s="121"/>
      <c r="E908" s="121"/>
      <c r="F908" s="121"/>
      <c r="G908" s="121"/>
      <c r="H908" s="121"/>
      <c r="I908" s="121"/>
      <c r="J908" s="121"/>
      <c r="K908" s="121"/>
      <c r="L908" s="121"/>
      <c r="M908" s="121"/>
      <c r="N908" s="121"/>
      <c r="O908" s="19"/>
    </row>
    <row r="909" spans="1:15" ht="12.75" customHeight="1" x14ac:dyDescent="0.15">
      <c r="A909" s="121"/>
      <c r="B909" s="121"/>
      <c r="C909" s="121"/>
      <c r="D909" s="121"/>
      <c r="E909" s="121"/>
      <c r="F909" s="121"/>
      <c r="G909" s="121"/>
      <c r="H909" s="121"/>
      <c r="I909" s="121"/>
      <c r="J909" s="121"/>
      <c r="K909" s="121"/>
      <c r="L909" s="121"/>
      <c r="M909" s="121"/>
      <c r="N909" s="121"/>
      <c r="O909" s="19"/>
    </row>
    <row r="910" spans="1:15" ht="12.75" customHeight="1" x14ac:dyDescent="0.15">
      <c r="A910" s="121"/>
      <c r="B910" s="121"/>
      <c r="C910" s="121"/>
      <c r="D910" s="121"/>
      <c r="E910" s="121"/>
      <c r="F910" s="121"/>
      <c r="G910" s="121"/>
      <c r="H910" s="121"/>
      <c r="I910" s="121"/>
      <c r="J910" s="121"/>
      <c r="K910" s="121"/>
      <c r="L910" s="121"/>
      <c r="M910" s="121"/>
      <c r="N910" s="121"/>
      <c r="O910" s="19"/>
    </row>
    <row r="911" spans="1:15" ht="12.75" customHeight="1" x14ac:dyDescent="0.15">
      <c r="A911" s="121"/>
      <c r="B911" s="121"/>
      <c r="C911" s="121"/>
      <c r="D911" s="121"/>
      <c r="E911" s="121"/>
      <c r="F911" s="121"/>
      <c r="G911" s="121"/>
      <c r="H911" s="121"/>
      <c r="I911" s="121"/>
      <c r="J911" s="121"/>
      <c r="K911" s="121"/>
      <c r="L911" s="121"/>
      <c r="M911" s="121"/>
      <c r="N911" s="121"/>
      <c r="O911" s="19"/>
    </row>
    <row r="912" spans="1:15" ht="12.75" customHeight="1" x14ac:dyDescent="0.15">
      <c r="A912" s="121"/>
      <c r="B912" s="121"/>
      <c r="C912" s="121"/>
      <c r="D912" s="121"/>
      <c r="E912" s="121"/>
      <c r="F912" s="121"/>
      <c r="G912" s="121"/>
      <c r="H912" s="121"/>
      <c r="I912" s="121"/>
      <c r="J912" s="121"/>
      <c r="K912" s="121"/>
      <c r="L912" s="121"/>
      <c r="M912" s="121"/>
      <c r="N912" s="121"/>
      <c r="O912" s="19"/>
    </row>
    <row r="913" spans="1:15" ht="12.75" customHeight="1" x14ac:dyDescent="0.15">
      <c r="A913" s="121"/>
      <c r="B913" s="121"/>
      <c r="C913" s="121"/>
      <c r="D913" s="121"/>
      <c r="E913" s="121"/>
      <c r="F913" s="121"/>
      <c r="G913" s="121"/>
      <c r="H913" s="121"/>
      <c r="I913" s="121"/>
      <c r="J913" s="121"/>
      <c r="K913" s="121"/>
      <c r="L913" s="121"/>
      <c r="M913" s="121"/>
      <c r="N913" s="121"/>
      <c r="O913" s="19"/>
    </row>
    <row r="914" spans="1:15" ht="12.75" customHeight="1" x14ac:dyDescent="0.15">
      <c r="A914" s="121"/>
      <c r="B914" s="121"/>
      <c r="C914" s="121"/>
      <c r="D914" s="121"/>
      <c r="E914" s="121"/>
      <c r="F914" s="121"/>
      <c r="G914" s="121"/>
      <c r="H914" s="121"/>
      <c r="I914" s="121"/>
      <c r="J914" s="121"/>
      <c r="K914" s="121"/>
      <c r="L914" s="121"/>
      <c r="M914" s="121"/>
      <c r="N914" s="121"/>
      <c r="O914" s="19"/>
    </row>
    <row r="915" spans="1:15" ht="12.75" customHeight="1" x14ac:dyDescent="0.15">
      <c r="A915" s="121"/>
      <c r="B915" s="121"/>
      <c r="C915" s="121"/>
      <c r="D915" s="121"/>
      <c r="E915" s="121"/>
      <c r="F915" s="121"/>
      <c r="G915" s="121"/>
      <c r="H915" s="121"/>
      <c r="I915" s="121"/>
      <c r="J915" s="121"/>
      <c r="K915" s="121"/>
      <c r="L915" s="121"/>
      <c r="M915" s="121"/>
      <c r="N915" s="121"/>
      <c r="O915" s="19"/>
    </row>
    <row r="916" spans="1:15" ht="12.75" customHeight="1" x14ac:dyDescent="0.15">
      <c r="A916" s="121"/>
      <c r="B916" s="121"/>
      <c r="C916" s="121"/>
      <c r="D916" s="121"/>
      <c r="E916" s="121"/>
      <c r="F916" s="121"/>
      <c r="G916" s="121"/>
      <c r="H916" s="121"/>
      <c r="I916" s="121"/>
      <c r="J916" s="121"/>
      <c r="K916" s="121"/>
      <c r="L916" s="121"/>
      <c r="M916" s="121"/>
      <c r="N916" s="121"/>
      <c r="O916" s="19"/>
    </row>
    <row r="917" spans="1:15" ht="12.75" customHeight="1" x14ac:dyDescent="0.15">
      <c r="A917" s="121"/>
      <c r="B917" s="121"/>
      <c r="C917" s="121"/>
      <c r="D917" s="121"/>
      <c r="E917" s="121"/>
      <c r="F917" s="121"/>
      <c r="G917" s="121"/>
      <c r="H917" s="121"/>
      <c r="I917" s="121"/>
      <c r="J917" s="121"/>
      <c r="K917" s="121"/>
      <c r="L917" s="121"/>
      <c r="M917" s="121"/>
      <c r="N917" s="121"/>
      <c r="O917" s="19"/>
    </row>
    <row r="918" spans="1:15" ht="12.75" customHeight="1" x14ac:dyDescent="0.15">
      <c r="A918" s="121"/>
      <c r="B918" s="121"/>
      <c r="C918" s="121"/>
      <c r="D918" s="121"/>
      <c r="E918" s="121"/>
      <c r="F918" s="121"/>
      <c r="G918" s="121"/>
      <c r="H918" s="121"/>
      <c r="I918" s="121"/>
      <c r="J918" s="121"/>
      <c r="K918" s="121"/>
      <c r="L918" s="121"/>
      <c r="M918" s="121"/>
      <c r="N918" s="121"/>
      <c r="O918" s="19"/>
    </row>
    <row r="919" spans="1:15" ht="12.75" customHeight="1" x14ac:dyDescent="0.15">
      <c r="A919" s="121"/>
      <c r="B919" s="121"/>
      <c r="C919" s="121"/>
      <c r="D919" s="121"/>
      <c r="E919" s="121"/>
      <c r="F919" s="121"/>
      <c r="G919" s="121"/>
      <c r="H919" s="121"/>
      <c r="I919" s="121"/>
      <c r="J919" s="121"/>
      <c r="K919" s="121"/>
      <c r="L919" s="121"/>
      <c r="M919" s="121"/>
      <c r="N919" s="121"/>
      <c r="O919" s="19"/>
    </row>
    <row r="920" spans="1:15" ht="12.75" customHeight="1" x14ac:dyDescent="0.15">
      <c r="A920" s="121"/>
      <c r="B920" s="121"/>
      <c r="C920" s="121"/>
      <c r="D920" s="121"/>
      <c r="E920" s="121"/>
      <c r="F920" s="121"/>
      <c r="G920" s="121"/>
      <c r="H920" s="121"/>
      <c r="I920" s="121"/>
      <c r="J920" s="121"/>
      <c r="K920" s="121"/>
      <c r="L920" s="121"/>
      <c r="M920" s="121"/>
      <c r="N920" s="121"/>
      <c r="O920" s="19"/>
    </row>
    <row r="921" spans="1:15" ht="12.75" customHeight="1" x14ac:dyDescent="0.15">
      <c r="A921" s="121"/>
      <c r="B921" s="121"/>
      <c r="C921" s="121"/>
      <c r="D921" s="121"/>
      <c r="E921" s="121"/>
      <c r="F921" s="121"/>
      <c r="G921" s="121"/>
      <c r="H921" s="121"/>
      <c r="I921" s="121"/>
      <c r="J921" s="121"/>
      <c r="K921" s="121"/>
      <c r="L921" s="121"/>
      <c r="M921" s="121"/>
      <c r="N921" s="121"/>
      <c r="O921" s="19"/>
    </row>
    <row r="922" spans="1:15" ht="12.75" customHeight="1" x14ac:dyDescent="0.15">
      <c r="A922" s="121"/>
      <c r="B922" s="121"/>
      <c r="C922" s="121"/>
      <c r="D922" s="121"/>
      <c r="E922" s="121"/>
      <c r="F922" s="121"/>
      <c r="G922" s="121"/>
      <c r="H922" s="121"/>
      <c r="I922" s="121"/>
      <c r="J922" s="121"/>
      <c r="K922" s="121"/>
      <c r="L922" s="121"/>
      <c r="M922" s="121"/>
      <c r="N922" s="121"/>
      <c r="O922" s="19"/>
    </row>
    <row r="923" spans="1:15" ht="12.75" customHeight="1" x14ac:dyDescent="0.15">
      <c r="A923" s="121"/>
      <c r="B923" s="121"/>
      <c r="C923" s="121"/>
      <c r="D923" s="121"/>
      <c r="E923" s="121"/>
      <c r="F923" s="121"/>
      <c r="G923" s="121"/>
      <c r="H923" s="121"/>
      <c r="I923" s="121"/>
      <c r="J923" s="121"/>
      <c r="K923" s="121"/>
      <c r="L923" s="121"/>
      <c r="M923" s="121"/>
      <c r="N923" s="121"/>
      <c r="O923" s="19"/>
    </row>
    <row r="924" spans="1:15" ht="12.75" customHeight="1" x14ac:dyDescent="0.15">
      <c r="A924" s="121"/>
      <c r="B924" s="121"/>
      <c r="C924" s="121"/>
      <c r="D924" s="121"/>
      <c r="E924" s="121"/>
      <c r="F924" s="121"/>
      <c r="G924" s="121"/>
      <c r="H924" s="121"/>
      <c r="I924" s="121"/>
      <c r="J924" s="121"/>
      <c r="K924" s="121"/>
      <c r="L924" s="121"/>
      <c r="M924" s="121"/>
      <c r="N924" s="121"/>
      <c r="O924" s="19"/>
    </row>
    <row r="925" spans="1:15" ht="12.75" customHeight="1" x14ac:dyDescent="0.15">
      <c r="A925" s="121"/>
      <c r="B925" s="121"/>
      <c r="C925" s="121"/>
      <c r="D925" s="121"/>
      <c r="E925" s="121"/>
      <c r="F925" s="121"/>
      <c r="G925" s="121"/>
      <c r="H925" s="121"/>
      <c r="I925" s="121"/>
      <c r="J925" s="121"/>
      <c r="K925" s="121"/>
      <c r="L925" s="121"/>
      <c r="M925" s="121"/>
      <c r="N925" s="121"/>
      <c r="O925" s="19"/>
    </row>
    <row r="926" spans="1:15" ht="12.75" customHeight="1" x14ac:dyDescent="0.15">
      <c r="A926" s="121"/>
      <c r="B926" s="121"/>
      <c r="C926" s="121"/>
      <c r="D926" s="121"/>
      <c r="E926" s="121"/>
      <c r="F926" s="121"/>
      <c r="G926" s="121"/>
      <c r="H926" s="121"/>
      <c r="I926" s="121"/>
      <c r="J926" s="121"/>
      <c r="K926" s="121"/>
      <c r="L926" s="121"/>
      <c r="M926" s="121"/>
      <c r="N926" s="121"/>
      <c r="O926" s="19"/>
    </row>
    <row r="927" spans="1:15" ht="12.75" customHeight="1" x14ac:dyDescent="0.15">
      <c r="A927" s="121"/>
      <c r="B927" s="121"/>
      <c r="C927" s="121"/>
      <c r="D927" s="121"/>
      <c r="E927" s="121"/>
      <c r="F927" s="121"/>
      <c r="G927" s="121"/>
      <c r="H927" s="121"/>
      <c r="I927" s="121"/>
      <c r="J927" s="121"/>
      <c r="K927" s="121"/>
      <c r="L927" s="121"/>
      <c r="M927" s="121"/>
      <c r="N927" s="121"/>
      <c r="O927" s="19"/>
    </row>
    <row r="928" spans="1:15" ht="12.75" customHeight="1" x14ac:dyDescent="0.15">
      <c r="A928" s="121"/>
      <c r="B928" s="121"/>
      <c r="C928" s="121"/>
      <c r="D928" s="121"/>
      <c r="E928" s="121"/>
      <c r="F928" s="121"/>
      <c r="G928" s="121"/>
      <c r="H928" s="121"/>
      <c r="I928" s="121"/>
      <c r="J928" s="121"/>
      <c r="K928" s="121"/>
      <c r="L928" s="121"/>
      <c r="M928" s="121"/>
      <c r="N928" s="121"/>
      <c r="O928" s="19"/>
    </row>
    <row r="929" spans="1:15" ht="12.75" customHeight="1" x14ac:dyDescent="0.15">
      <c r="A929" s="121"/>
      <c r="B929" s="121"/>
      <c r="C929" s="121"/>
      <c r="D929" s="121"/>
      <c r="E929" s="121"/>
      <c r="F929" s="121"/>
      <c r="G929" s="121"/>
      <c r="H929" s="121"/>
      <c r="I929" s="121"/>
      <c r="J929" s="121"/>
      <c r="K929" s="121"/>
      <c r="L929" s="121"/>
      <c r="M929" s="121"/>
      <c r="N929" s="121"/>
      <c r="O929" s="19"/>
    </row>
    <row r="930" spans="1:15" ht="12.75" customHeight="1" x14ac:dyDescent="0.15">
      <c r="A930" s="121"/>
      <c r="B930" s="121"/>
      <c r="C930" s="121"/>
      <c r="D930" s="121"/>
      <c r="E930" s="121"/>
      <c r="F930" s="121"/>
      <c r="G930" s="121"/>
      <c r="H930" s="121"/>
      <c r="I930" s="121"/>
      <c r="J930" s="121"/>
      <c r="K930" s="121"/>
      <c r="L930" s="121"/>
      <c r="M930" s="121"/>
      <c r="N930" s="121"/>
      <c r="O930" s="19"/>
    </row>
    <row r="931" spans="1:15" ht="12.75" customHeight="1" x14ac:dyDescent="0.15">
      <c r="A931" s="121"/>
      <c r="B931" s="121"/>
      <c r="C931" s="121"/>
      <c r="D931" s="121"/>
      <c r="E931" s="121"/>
      <c r="F931" s="121"/>
      <c r="G931" s="121"/>
      <c r="H931" s="121"/>
      <c r="I931" s="121"/>
      <c r="J931" s="121"/>
      <c r="K931" s="121"/>
      <c r="L931" s="121"/>
      <c r="M931" s="121"/>
      <c r="N931" s="121"/>
      <c r="O931" s="19"/>
    </row>
    <row r="932" spans="1:15" ht="12.75" customHeight="1" x14ac:dyDescent="0.15">
      <c r="A932" s="121"/>
      <c r="B932" s="121"/>
      <c r="C932" s="121"/>
      <c r="D932" s="121"/>
      <c r="E932" s="121"/>
      <c r="F932" s="121"/>
      <c r="G932" s="121"/>
      <c r="H932" s="121"/>
      <c r="I932" s="121"/>
      <c r="J932" s="121"/>
      <c r="K932" s="121"/>
      <c r="L932" s="121"/>
      <c r="M932" s="121"/>
      <c r="N932" s="121"/>
      <c r="O932" s="19"/>
    </row>
    <row r="933" spans="1:15" ht="12.75" customHeight="1" x14ac:dyDescent="0.15">
      <c r="A933" s="121"/>
      <c r="B933" s="121"/>
      <c r="C933" s="121"/>
      <c r="D933" s="121"/>
      <c r="E933" s="121"/>
      <c r="F933" s="121"/>
      <c r="G933" s="121"/>
      <c r="H933" s="121"/>
      <c r="I933" s="121"/>
      <c r="J933" s="121"/>
      <c r="K933" s="121"/>
      <c r="L933" s="121"/>
      <c r="M933" s="121"/>
      <c r="N933" s="121"/>
      <c r="O933" s="19"/>
    </row>
    <row r="934" spans="1:15" ht="12.75" customHeight="1" x14ac:dyDescent="0.15">
      <c r="A934" s="121"/>
      <c r="B934" s="121"/>
      <c r="C934" s="121"/>
      <c r="D934" s="121"/>
      <c r="E934" s="121"/>
      <c r="F934" s="121"/>
      <c r="G934" s="121"/>
      <c r="H934" s="121"/>
      <c r="I934" s="121"/>
      <c r="J934" s="121"/>
      <c r="K934" s="121"/>
      <c r="L934" s="121"/>
      <c r="M934" s="121"/>
      <c r="N934" s="121"/>
      <c r="O934" s="19"/>
    </row>
    <row r="935" spans="1:15" ht="12.75" customHeight="1" x14ac:dyDescent="0.15">
      <c r="A935" s="121"/>
      <c r="B935" s="121"/>
      <c r="C935" s="121"/>
      <c r="D935" s="121"/>
      <c r="E935" s="121"/>
      <c r="F935" s="121"/>
      <c r="G935" s="121"/>
      <c r="H935" s="121"/>
      <c r="I935" s="121"/>
      <c r="J935" s="121"/>
      <c r="K935" s="121"/>
      <c r="L935" s="121"/>
      <c r="M935" s="121"/>
      <c r="N935" s="121"/>
      <c r="O935" s="19"/>
    </row>
    <row r="936" spans="1:15" ht="12.75" customHeight="1" x14ac:dyDescent="0.15">
      <c r="A936" s="121"/>
      <c r="B936" s="121"/>
      <c r="C936" s="121"/>
      <c r="D936" s="121"/>
      <c r="E936" s="121"/>
      <c r="F936" s="121"/>
      <c r="G936" s="121"/>
      <c r="H936" s="121"/>
      <c r="I936" s="121"/>
      <c r="J936" s="121"/>
      <c r="K936" s="121"/>
      <c r="L936" s="121"/>
      <c r="M936" s="121"/>
      <c r="N936" s="121"/>
      <c r="O936" s="19"/>
    </row>
    <row r="937" spans="1:15" ht="12.75" customHeight="1" x14ac:dyDescent="0.15">
      <c r="A937" s="121"/>
      <c r="B937" s="121"/>
      <c r="C937" s="121"/>
      <c r="D937" s="121"/>
      <c r="E937" s="121"/>
      <c r="F937" s="121"/>
      <c r="G937" s="121"/>
      <c r="H937" s="121"/>
      <c r="I937" s="121"/>
      <c r="J937" s="121"/>
      <c r="K937" s="121"/>
      <c r="L937" s="121"/>
      <c r="M937" s="121"/>
      <c r="N937" s="121"/>
      <c r="O937" s="19"/>
    </row>
    <row r="938" spans="1:15" ht="12.75" customHeight="1" x14ac:dyDescent="0.15">
      <c r="A938" s="121"/>
      <c r="B938" s="121"/>
      <c r="C938" s="121"/>
      <c r="D938" s="121"/>
      <c r="E938" s="121"/>
      <c r="F938" s="121"/>
      <c r="G938" s="121"/>
      <c r="H938" s="121"/>
      <c r="I938" s="121"/>
      <c r="J938" s="121"/>
      <c r="K938" s="121"/>
      <c r="L938" s="121"/>
      <c r="M938" s="121"/>
      <c r="N938" s="121"/>
      <c r="O938" s="19"/>
    </row>
    <row r="939" spans="1:15" ht="12.75" customHeight="1" x14ac:dyDescent="0.15">
      <c r="A939" s="121"/>
      <c r="B939" s="121"/>
      <c r="C939" s="121"/>
      <c r="D939" s="121"/>
      <c r="E939" s="121"/>
      <c r="F939" s="121"/>
      <c r="G939" s="121"/>
      <c r="H939" s="121"/>
      <c r="I939" s="121"/>
      <c r="J939" s="121"/>
      <c r="K939" s="121"/>
      <c r="L939" s="121"/>
      <c r="M939" s="121"/>
      <c r="N939" s="121"/>
      <c r="O939" s="19"/>
    </row>
    <row r="940" spans="1:15" ht="12.75" customHeight="1" x14ac:dyDescent="0.15">
      <c r="A940" s="121"/>
      <c r="B940" s="121"/>
      <c r="C940" s="121"/>
      <c r="D940" s="121"/>
      <c r="E940" s="121"/>
      <c r="F940" s="121"/>
      <c r="G940" s="121"/>
      <c r="H940" s="121"/>
      <c r="I940" s="121"/>
      <c r="J940" s="121"/>
      <c r="K940" s="121"/>
      <c r="L940" s="121"/>
      <c r="M940" s="121"/>
      <c r="N940" s="121"/>
      <c r="O940" s="19"/>
    </row>
    <row r="941" spans="1:15" ht="12.75" customHeight="1" x14ac:dyDescent="0.15">
      <c r="A941" s="121"/>
      <c r="B941" s="121"/>
      <c r="C941" s="121"/>
      <c r="D941" s="121"/>
      <c r="E941" s="121"/>
      <c r="F941" s="121"/>
      <c r="G941" s="121"/>
      <c r="H941" s="121"/>
      <c r="I941" s="121"/>
      <c r="J941" s="121"/>
      <c r="K941" s="121"/>
      <c r="L941" s="121"/>
      <c r="M941" s="121"/>
      <c r="N941" s="121"/>
      <c r="O941" s="19"/>
    </row>
    <row r="942" spans="1:15" ht="12.75" customHeight="1" x14ac:dyDescent="0.15">
      <c r="A942" s="121"/>
      <c r="B942" s="121"/>
      <c r="C942" s="121"/>
      <c r="D942" s="121"/>
      <c r="E942" s="121"/>
      <c r="F942" s="121"/>
      <c r="G942" s="121"/>
      <c r="H942" s="121"/>
      <c r="I942" s="121"/>
      <c r="J942" s="121"/>
      <c r="K942" s="121"/>
      <c r="L942" s="121"/>
      <c r="M942" s="121"/>
      <c r="N942" s="121"/>
      <c r="O942" s="19"/>
    </row>
    <row r="943" spans="1:15" ht="12.75" customHeight="1" x14ac:dyDescent="0.15">
      <c r="A943" s="121"/>
      <c r="B943" s="121"/>
      <c r="C943" s="121"/>
      <c r="D943" s="121"/>
      <c r="E943" s="121"/>
      <c r="F943" s="121"/>
      <c r="G943" s="121"/>
      <c r="H943" s="121"/>
      <c r="I943" s="121"/>
      <c r="J943" s="121"/>
      <c r="K943" s="121"/>
      <c r="L943" s="121"/>
      <c r="M943" s="121"/>
      <c r="N943" s="121"/>
      <c r="O943" s="19"/>
    </row>
    <row r="944" spans="1:15" ht="12.75" customHeight="1" x14ac:dyDescent="0.15">
      <c r="A944" s="121"/>
      <c r="B944" s="121"/>
      <c r="C944" s="121"/>
      <c r="D944" s="121"/>
      <c r="E944" s="121"/>
      <c r="F944" s="121"/>
      <c r="G944" s="121"/>
      <c r="H944" s="121"/>
      <c r="I944" s="121"/>
      <c r="J944" s="121"/>
      <c r="K944" s="121"/>
      <c r="L944" s="121"/>
      <c r="M944" s="121"/>
      <c r="N944" s="121"/>
      <c r="O944" s="19"/>
    </row>
    <row r="945" spans="1:15" ht="12.75" customHeight="1" x14ac:dyDescent="0.15">
      <c r="A945" s="121"/>
      <c r="B945" s="121"/>
      <c r="C945" s="121"/>
      <c r="D945" s="121"/>
      <c r="E945" s="121"/>
      <c r="F945" s="121"/>
      <c r="G945" s="121"/>
      <c r="H945" s="121"/>
      <c r="I945" s="121"/>
      <c r="J945" s="121"/>
      <c r="K945" s="121"/>
      <c r="L945" s="121"/>
      <c r="M945" s="121"/>
      <c r="N945" s="121"/>
      <c r="O945" s="19"/>
    </row>
    <row r="946" spans="1:15" ht="12.75" customHeight="1" x14ac:dyDescent="0.15">
      <c r="A946" s="121"/>
      <c r="B946" s="121"/>
      <c r="C946" s="121"/>
      <c r="D946" s="121"/>
      <c r="E946" s="121"/>
      <c r="F946" s="121"/>
      <c r="G946" s="121"/>
      <c r="H946" s="121"/>
      <c r="I946" s="121"/>
      <c r="J946" s="121"/>
      <c r="K946" s="121"/>
      <c r="L946" s="121"/>
      <c r="M946" s="121"/>
      <c r="N946" s="121"/>
      <c r="O946" s="19"/>
    </row>
    <row r="947" spans="1:15" ht="12.75" customHeight="1" x14ac:dyDescent="0.15">
      <c r="A947" s="121"/>
      <c r="B947" s="121"/>
      <c r="C947" s="121"/>
      <c r="D947" s="121"/>
      <c r="E947" s="121"/>
      <c r="F947" s="121"/>
      <c r="G947" s="121"/>
      <c r="H947" s="121"/>
      <c r="I947" s="121"/>
      <c r="J947" s="121"/>
      <c r="K947" s="121"/>
      <c r="L947" s="121"/>
      <c r="M947" s="121"/>
      <c r="N947" s="121"/>
      <c r="O947" s="19"/>
    </row>
    <row r="948" spans="1:15" ht="12.75" customHeight="1" x14ac:dyDescent="0.15">
      <c r="A948" s="121"/>
      <c r="B948" s="121"/>
      <c r="C948" s="121"/>
      <c r="D948" s="121"/>
      <c r="E948" s="121"/>
      <c r="F948" s="121"/>
      <c r="G948" s="121"/>
      <c r="H948" s="121"/>
      <c r="I948" s="121"/>
      <c r="J948" s="121"/>
      <c r="K948" s="121"/>
      <c r="L948" s="121"/>
      <c r="M948" s="121"/>
      <c r="N948" s="121"/>
      <c r="O948" s="19"/>
    </row>
    <row r="949" spans="1:15" ht="12.75" customHeight="1" x14ac:dyDescent="0.15">
      <c r="A949" s="121"/>
      <c r="B949" s="121"/>
      <c r="C949" s="121"/>
      <c r="D949" s="121"/>
      <c r="E949" s="121"/>
      <c r="F949" s="121"/>
      <c r="G949" s="121"/>
      <c r="H949" s="121"/>
      <c r="I949" s="121"/>
      <c r="J949" s="121"/>
      <c r="K949" s="121"/>
      <c r="L949" s="121"/>
      <c r="M949" s="121"/>
      <c r="N949" s="121"/>
      <c r="O949" s="19"/>
    </row>
    <row r="950" spans="1:15" ht="12.75" customHeight="1" x14ac:dyDescent="0.15">
      <c r="A950" s="121"/>
      <c r="B950" s="121"/>
      <c r="C950" s="121"/>
      <c r="D950" s="121"/>
      <c r="E950" s="121"/>
      <c r="F950" s="121"/>
      <c r="G950" s="121"/>
      <c r="H950" s="121"/>
      <c r="I950" s="121"/>
      <c r="J950" s="121"/>
      <c r="K950" s="121"/>
      <c r="L950" s="121"/>
      <c r="M950" s="121"/>
      <c r="N950" s="121"/>
      <c r="O950" s="19"/>
    </row>
    <row r="951" spans="1:15" ht="12.75" customHeight="1" x14ac:dyDescent="0.15">
      <c r="A951" s="121"/>
      <c r="B951" s="121"/>
      <c r="C951" s="121"/>
      <c r="D951" s="121"/>
      <c r="E951" s="121"/>
      <c r="F951" s="121"/>
      <c r="G951" s="121"/>
      <c r="H951" s="121"/>
      <c r="I951" s="121"/>
      <c r="J951" s="121"/>
      <c r="K951" s="121"/>
      <c r="L951" s="121"/>
      <c r="M951" s="121"/>
      <c r="N951" s="121"/>
      <c r="O951" s="19"/>
    </row>
    <row r="952" spans="1:15" ht="12.75" customHeight="1" x14ac:dyDescent="0.15">
      <c r="A952" s="121"/>
      <c r="B952" s="121"/>
      <c r="C952" s="121"/>
      <c r="D952" s="121"/>
      <c r="E952" s="121"/>
      <c r="F952" s="121"/>
      <c r="G952" s="121"/>
      <c r="H952" s="121"/>
      <c r="I952" s="121"/>
      <c r="J952" s="121"/>
      <c r="K952" s="121"/>
      <c r="L952" s="121"/>
      <c r="M952" s="121"/>
      <c r="N952" s="121"/>
      <c r="O952" s="19"/>
    </row>
    <row r="953" spans="1:15" ht="12.75" customHeight="1" x14ac:dyDescent="0.15">
      <c r="A953" s="121"/>
      <c r="B953" s="121"/>
      <c r="C953" s="121"/>
      <c r="D953" s="121"/>
      <c r="E953" s="121"/>
      <c r="F953" s="121"/>
      <c r="G953" s="121"/>
      <c r="H953" s="121"/>
      <c r="I953" s="121"/>
      <c r="J953" s="121"/>
      <c r="K953" s="121"/>
      <c r="L953" s="121"/>
      <c r="M953" s="121"/>
      <c r="N953" s="121"/>
      <c r="O953" s="19"/>
    </row>
    <row r="954" spans="1:15" ht="12.75" customHeight="1" x14ac:dyDescent="0.15">
      <c r="A954" s="121"/>
      <c r="B954" s="121"/>
      <c r="C954" s="121"/>
      <c r="D954" s="121"/>
      <c r="E954" s="121"/>
      <c r="F954" s="121"/>
      <c r="G954" s="121"/>
      <c r="H954" s="121"/>
      <c r="I954" s="121"/>
      <c r="J954" s="121"/>
      <c r="K954" s="121"/>
      <c r="L954" s="121"/>
      <c r="M954" s="121"/>
      <c r="N954" s="121"/>
      <c r="O954" s="19"/>
    </row>
    <row r="955" spans="1:15" ht="12.75" customHeight="1" x14ac:dyDescent="0.15">
      <c r="A955" s="121"/>
      <c r="B955" s="121"/>
      <c r="C955" s="121"/>
      <c r="D955" s="121"/>
      <c r="E955" s="121"/>
      <c r="F955" s="121"/>
      <c r="G955" s="121"/>
      <c r="H955" s="121"/>
      <c r="I955" s="121"/>
      <c r="J955" s="121"/>
      <c r="K955" s="121"/>
      <c r="L955" s="121"/>
      <c r="M955" s="121"/>
      <c r="N955" s="121"/>
      <c r="O955" s="19"/>
    </row>
    <row r="956" spans="1:15" ht="12.75" customHeight="1" x14ac:dyDescent="0.15">
      <c r="A956" s="121"/>
      <c r="B956" s="121"/>
      <c r="C956" s="121"/>
      <c r="D956" s="121"/>
      <c r="E956" s="121"/>
      <c r="F956" s="121"/>
      <c r="G956" s="121"/>
      <c r="H956" s="121"/>
      <c r="I956" s="121"/>
      <c r="J956" s="121"/>
      <c r="K956" s="121"/>
      <c r="L956" s="121"/>
      <c r="M956" s="121"/>
      <c r="N956" s="121"/>
      <c r="O956" s="19"/>
    </row>
    <row r="957" spans="1:15" ht="12.75" customHeight="1" x14ac:dyDescent="0.15">
      <c r="A957" s="121"/>
      <c r="B957" s="121"/>
      <c r="C957" s="121"/>
      <c r="D957" s="121"/>
      <c r="E957" s="121"/>
      <c r="F957" s="121"/>
      <c r="G957" s="121"/>
      <c r="H957" s="121"/>
      <c r="I957" s="121"/>
      <c r="J957" s="121"/>
      <c r="K957" s="121"/>
      <c r="L957" s="121"/>
      <c r="M957" s="121"/>
      <c r="N957" s="121"/>
      <c r="O957" s="19"/>
    </row>
    <row r="958" spans="1:15" ht="12.75" customHeight="1" x14ac:dyDescent="0.15">
      <c r="A958" s="121"/>
      <c r="B958" s="121"/>
      <c r="C958" s="121"/>
      <c r="D958" s="121"/>
      <c r="E958" s="121"/>
      <c r="F958" s="121"/>
      <c r="G958" s="121"/>
      <c r="H958" s="121"/>
      <c r="I958" s="121"/>
      <c r="J958" s="121"/>
      <c r="K958" s="121"/>
      <c r="L958" s="121"/>
      <c r="M958" s="121"/>
      <c r="N958" s="121"/>
      <c r="O958" s="19"/>
    </row>
    <row r="959" spans="1:15" ht="12.75" customHeight="1" x14ac:dyDescent="0.15">
      <c r="A959" s="121"/>
      <c r="B959" s="121"/>
      <c r="C959" s="121"/>
      <c r="D959" s="121"/>
      <c r="E959" s="121"/>
      <c r="F959" s="121"/>
      <c r="G959" s="121"/>
      <c r="H959" s="121"/>
      <c r="I959" s="121"/>
      <c r="J959" s="121"/>
      <c r="K959" s="121"/>
      <c r="L959" s="121"/>
      <c r="M959" s="121"/>
      <c r="N959" s="121"/>
      <c r="O959" s="19"/>
    </row>
    <row r="960" spans="1:15" ht="12.75" customHeight="1" x14ac:dyDescent="0.15">
      <c r="A960" s="121"/>
      <c r="B960" s="121"/>
      <c r="C960" s="121"/>
      <c r="D960" s="121"/>
      <c r="E960" s="121"/>
      <c r="F960" s="121"/>
      <c r="G960" s="121"/>
      <c r="H960" s="121"/>
      <c r="I960" s="121"/>
      <c r="J960" s="121"/>
      <c r="K960" s="121"/>
      <c r="L960" s="121"/>
      <c r="M960" s="121"/>
      <c r="N960" s="121"/>
      <c r="O960" s="19"/>
    </row>
    <row r="961" spans="1:15" ht="12.75" customHeight="1" x14ac:dyDescent="0.15">
      <c r="A961" s="121"/>
      <c r="B961" s="121"/>
      <c r="C961" s="121"/>
      <c r="D961" s="121"/>
      <c r="E961" s="121"/>
      <c r="F961" s="121"/>
      <c r="G961" s="121"/>
      <c r="H961" s="121"/>
      <c r="I961" s="121"/>
      <c r="J961" s="121"/>
      <c r="K961" s="121"/>
      <c r="L961" s="121"/>
      <c r="M961" s="121"/>
      <c r="N961" s="121"/>
      <c r="O961" s="19"/>
    </row>
    <row r="962" spans="1:15" ht="12.75" customHeight="1" x14ac:dyDescent="0.15">
      <c r="A962" s="121"/>
      <c r="B962" s="121"/>
      <c r="C962" s="121"/>
      <c r="D962" s="121"/>
      <c r="E962" s="121"/>
      <c r="F962" s="121"/>
      <c r="G962" s="121"/>
      <c r="H962" s="121"/>
      <c r="I962" s="121"/>
      <c r="J962" s="121"/>
      <c r="K962" s="121"/>
      <c r="L962" s="121"/>
      <c r="M962" s="121"/>
      <c r="N962" s="121"/>
      <c r="O962" s="19"/>
    </row>
    <row r="963" spans="1:15" ht="12.75" customHeight="1" x14ac:dyDescent="0.15">
      <c r="A963" s="121"/>
      <c r="B963" s="121"/>
      <c r="C963" s="121"/>
      <c r="D963" s="121"/>
      <c r="E963" s="121"/>
      <c r="F963" s="121"/>
      <c r="G963" s="121"/>
      <c r="H963" s="121"/>
      <c r="I963" s="121"/>
      <c r="J963" s="121"/>
      <c r="K963" s="121"/>
      <c r="L963" s="121"/>
      <c r="M963" s="121"/>
      <c r="N963" s="121"/>
      <c r="O963" s="19"/>
    </row>
    <row r="964" spans="1:15" ht="12.75" customHeight="1" x14ac:dyDescent="0.15">
      <c r="A964" s="121"/>
      <c r="B964" s="121"/>
      <c r="C964" s="121"/>
      <c r="D964" s="121"/>
      <c r="E964" s="121"/>
      <c r="F964" s="121"/>
      <c r="G964" s="121"/>
      <c r="H964" s="121"/>
      <c r="I964" s="121"/>
      <c r="J964" s="121"/>
      <c r="K964" s="121"/>
      <c r="L964" s="121"/>
      <c r="M964" s="121"/>
      <c r="N964" s="121"/>
      <c r="O964" s="19"/>
    </row>
    <row r="965" spans="1:15" ht="12.75" customHeight="1" x14ac:dyDescent="0.15">
      <c r="A965" s="121"/>
      <c r="B965" s="121"/>
      <c r="C965" s="121"/>
      <c r="D965" s="121"/>
      <c r="E965" s="121"/>
      <c r="F965" s="121"/>
      <c r="G965" s="121"/>
      <c r="H965" s="121"/>
      <c r="I965" s="121"/>
      <c r="J965" s="121"/>
      <c r="K965" s="121"/>
      <c r="L965" s="121"/>
      <c r="M965" s="121"/>
      <c r="N965" s="121"/>
      <c r="O965" s="19"/>
    </row>
    <row r="966" spans="1:15" ht="12.75" customHeight="1" x14ac:dyDescent="0.15">
      <c r="A966" s="121"/>
      <c r="B966" s="121"/>
      <c r="C966" s="121"/>
      <c r="D966" s="121"/>
      <c r="E966" s="121"/>
      <c r="F966" s="121"/>
      <c r="G966" s="121"/>
      <c r="H966" s="121"/>
      <c r="I966" s="121"/>
      <c r="J966" s="121"/>
      <c r="K966" s="121"/>
      <c r="L966" s="121"/>
      <c r="M966" s="121"/>
      <c r="N966" s="121"/>
      <c r="O966" s="19"/>
    </row>
    <row r="967" spans="1:15" ht="12.75" customHeight="1" x14ac:dyDescent="0.15">
      <c r="A967" s="121"/>
      <c r="B967" s="121"/>
      <c r="C967" s="121"/>
      <c r="D967" s="121"/>
      <c r="E967" s="121"/>
      <c r="F967" s="121"/>
      <c r="G967" s="121"/>
      <c r="H967" s="121"/>
      <c r="I967" s="121"/>
      <c r="J967" s="121"/>
      <c r="K967" s="121"/>
      <c r="L967" s="121"/>
      <c r="M967" s="121"/>
      <c r="N967" s="121"/>
      <c r="O967" s="19"/>
    </row>
    <row r="968" spans="1:15" ht="12.75" customHeight="1" x14ac:dyDescent="0.15">
      <c r="A968" s="121"/>
      <c r="B968" s="121"/>
      <c r="C968" s="121"/>
      <c r="D968" s="121"/>
      <c r="E968" s="121"/>
      <c r="F968" s="121"/>
      <c r="G968" s="121"/>
      <c r="H968" s="121"/>
      <c r="I968" s="121"/>
      <c r="J968" s="121"/>
      <c r="K968" s="121"/>
      <c r="L968" s="121"/>
      <c r="M968" s="121"/>
      <c r="N968" s="121"/>
      <c r="O968" s="19"/>
    </row>
    <row r="969" spans="1:15" ht="12.75" customHeight="1" x14ac:dyDescent="0.15">
      <c r="A969" s="121"/>
      <c r="B969" s="121"/>
      <c r="C969" s="121"/>
      <c r="D969" s="121"/>
      <c r="E969" s="121"/>
      <c r="F969" s="121"/>
      <c r="G969" s="121"/>
      <c r="H969" s="121"/>
      <c r="I969" s="121"/>
      <c r="J969" s="121"/>
      <c r="K969" s="121"/>
      <c r="L969" s="121"/>
      <c r="M969" s="121"/>
      <c r="N969" s="121"/>
      <c r="O969" s="19"/>
    </row>
    <row r="970" spans="1:15" ht="12.75" customHeight="1" x14ac:dyDescent="0.15">
      <c r="A970" s="121"/>
      <c r="B970" s="121"/>
      <c r="C970" s="121"/>
      <c r="D970" s="121"/>
      <c r="E970" s="121"/>
      <c r="F970" s="121"/>
      <c r="G970" s="121"/>
      <c r="H970" s="121"/>
      <c r="I970" s="121"/>
      <c r="J970" s="121"/>
      <c r="K970" s="121"/>
      <c r="L970" s="121"/>
      <c r="M970" s="121"/>
      <c r="N970" s="121"/>
      <c r="O970" s="19"/>
    </row>
    <row r="971" spans="1:15" ht="12.75" customHeight="1" x14ac:dyDescent="0.15">
      <c r="A971" s="121"/>
      <c r="B971" s="121"/>
      <c r="C971" s="121"/>
      <c r="D971" s="121"/>
      <c r="E971" s="121"/>
      <c r="F971" s="121"/>
      <c r="G971" s="121"/>
      <c r="H971" s="121"/>
      <c r="I971" s="121"/>
      <c r="J971" s="121"/>
      <c r="K971" s="121"/>
      <c r="L971" s="121"/>
      <c r="M971" s="121"/>
      <c r="N971" s="121"/>
      <c r="O971" s="19"/>
    </row>
    <row r="972" spans="1:15" ht="12.75" customHeight="1" x14ac:dyDescent="0.15">
      <c r="A972" s="121"/>
      <c r="B972" s="121"/>
      <c r="C972" s="121"/>
      <c r="D972" s="121"/>
      <c r="E972" s="121"/>
      <c r="F972" s="121"/>
      <c r="G972" s="121"/>
      <c r="H972" s="121"/>
      <c r="I972" s="121"/>
      <c r="J972" s="121"/>
      <c r="K972" s="121"/>
      <c r="L972" s="121"/>
      <c r="M972" s="121"/>
      <c r="N972" s="121"/>
      <c r="O972" s="19"/>
    </row>
    <row r="973" spans="1:15" ht="12.75" customHeight="1" x14ac:dyDescent="0.15">
      <c r="A973" s="121"/>
      <c r="B973" s="121"/>
      <c r="C973" s="121"/>
      <c r="D973" s="121"/>
      <c r="E973" s="121"/>
      <c r="F973" s="121"/>
      <c r="G973" s="121"/>
      <c r="H973" s="121"/>
      <c r="I973" s="121"/>
      <c r="J973" s="121"/>
      <c r="K973" s="121"/>
      <c r="L973" s="121"/>
      <c r="M973" s="121"/>
      <c r="N973" s="121"/>
      <c r="O973" s="19"/>
    </row>
    <row r="974" spans="1:15" ht="12.75" customHeight="1" x14ac:dyDescent="0.15">
      <c r="A974" s="121"/>
      <c r="B974" s="121"/>
      <c r="C974" s="121"/>
      <c r="D974" s="121"/>
      <c r="E974" s="121"/>
      <c r="F974" s="121"/>
      <c r="G974" s="121"/>
      <c r="H974" s="121"/>
      <c r="I974" s="121"/>
      <c r="J974" s="121"/>
      <c r="K974" s="121"/>
      <c r="L974" s="121"/>
      <c r="M974" s="121"/>
      <c r="N974" s="121"/>
      <c r="O974" s="19"/>
    </row>
    <row r="975" spans="1:15" ht="12.75" customHeight="1" x14ac:dyDescent="0.15">
      <c r="A975" s="121"/>
      <c r="B975" s="121"/>
      <c r="C975" s="121"/>
      <c r="D975" s="121"/>
      <c r="E975" s="121"/>
      <c r="F975" s="121"/>
      <c r="G975" s="121"/>
      <c r="H975" s="121"/>
      <c r="I975" s="121"/>
      <c r="J975" s="121"/>
      <c r="K975" s="121"/>
      <c r="L975" s="121"/>
      <c r="M975" s="121"/>
      <c r="N975" s="121"/>
      <c r="O975" s="19"/>
    </row>
    <row r="976" spans="1:15" ht="12.75" customHeight="1" x14ac:dyDescent="0.15">
      <c r="A976" s="121"/>
      <c r="B976" s="121"/>
      <c r="C976" s="121"/>
      <c r="D976" s="121"/>
      <c r="E976" s="121"/>
      <c r="F976" s="121"/>
      <c r="G976" s="121"/>
      <c r="H976" s="121"/>
      <c r="I976" s="121"/>
      <c r="J976" s="121"/>
      <c r="K976" s="121"/>
      <c r="L976" s="121"/>
      <c r="M976" s="121"/>
      <c r="N976" s="121"/>
      <c r="O976" s="19"/>
    </row>
    <row r="977" spans="1:15" ht="12.75" customHeight="1" x14ac:dyDescent="0.15">
      <c r="A977" s="121"/>
      <c r="B977" s="121"/>
      <c r="C977" s="121"/>
      <c r="D977" s="121"/>
      <c r="E977" s="121"/>
      <c r="F977" s="121"/>
      <c r="G977" s="121"/>
      <c r="H977" s="121"/>
      <c r="I977" s="121"/>
      <c r="J977" s="121"/>
      <c r="K977" s="121"/>
      <c r="L977" s="121"/>
      <c r="M977" s="121"/>
      <c r="N977" s="121"/>
      <c r="O977" s="19"/>
    </row>
    <row r="978" spans="1:15" ht="12.75" customHeight="1" x14ac:dyDescent="0.15">
      <c r="A978" s="121"/>
      <c r="B978" s="121"/>
      <c r="C978" s="121"/>
      <c r="D978" s="121"/>
      <c r="E978" s="121"/>
      <c r="F978" s="121"/>
      <c r="G978" s="121"/>
      <c r="H978" s="121"/>
      <c r="I978" s="121"/>
      <c r="J978" s="121"/>
      <c r="K978" s="121"/>
      <c r="L978" s="121"/>
      <c r="M978" s="121"/>
      <c r="N978" s="121"/>
      <c r="O978" s="19"/>
    </row>
    <row r="979" spans="1:15" ht="12.75" customHeight="1" x14ac:dyDescent="0.15">
      <c r="A979" s="121"/>
      <c r="B979" s="121"/>
      <c r="C979" s="121"/>
      <c r="D979" s="121"/>
      <c r="E979" s="121"/>
      <c r="F979" s="121"/>
      <c r="G979" s="121"/>
      <c r="H979" s="121"/>
      <c r="I979" s="121"/>
      <c r="J979" s="121"/>
      <c r="K979" s="121"/>
      <c r="L979" s="121"/>
      <c r="M979" s="121"/>
      <c r="N979" s="121"/>
      <c r="O979" s="19"/>
    </row>
    <row r="980" spans="1:15" ht="12.75" customHeight="1" x14ac:dyDescent="0.15">
      <c r="A980" s="121"/>
      <c r="B980" s="121"/>
      <c r="C980" s="121"/>
      <c r="D980" s="121"/>
      <c r="E980" s="121"/>
      <c r="F980" s="121"/>
      <c r="G980" s="121"/>
      <c r="H980" s="121"/>
      <c r="I980" s="121"/>
      <c r="J980" s="121"/>
      <c r="K980" s="121"/>
      <c r="L980" s="121"/>
      <c r="M980" s="121"/>
      <c r="N980" s="121"/>
      <c r="O980" s="19"/>
    </row>
    <row r="981" spans="1:15" ht="12.75" customHeight="1" x14ac:dyDescent="0.15">
      <c r="A981" s="121"/>
      <c r="B981" s="121"/>
      <c r="C981" s="121"/>
      <c r="D981" s="121"/>
      <c r="E981" s="121"/>
      <c r="F981" s="121"/>
      <c r="G981" s="121"/>
      <c r="H981" s="121"/>
      <c r="I981" s="121"/>
      <c r="J981" s="121"/>
      <c r="K981" s="121"/>
      <c r="L981" s="121"/>
      <c r="M981" s="121"/>
      <c r="N981" s="121"/>
      <c r="O981" s="19"/>
    </row>
    <row r="982" spans="1:15" ht="12.75" customHeight="1" x14ac:dyDescent="0.15">
      <c r="A982" s="121"/>
      <c r="B982" s="121"/>
      <c r="C982" s="121"/>
      <c r="D982" s="121"/>
      <c r="E982" s="121"/>
      <c r="F982" s="121"/>
      <c r="G982" s="121"/>
      <c r="H982" s="121"/>
      <c r="I982" s="121"/>
      <c r="J982" s="121"/>
      <c r="K982" s="121"/>
      <c r="L982" s="121"/>
      <c r="M982" s="121"/>
      <c r="N982" s="121"/>
      <c r="O982" s="19"/>
    </row>
    <row r="983" spans="1:15" ht="12.75" customHeight="1" x14ac:dyDescent="0.15">
      <c r="A983" s="121"/>
      <c r="B983" s="121"/>
      <c r="C983" s="121"/>
      <c r="D983" s="121"/>
      <c r="E983" s="121"/>
      <c r="F983" s="121"/>
      <c r="G983" s="121"/>
      <c r="H983" s="121"/>
      <c r="I983" s="121"/>
      <c r="J983" s="121"/>
      <c r="K983" s="121"/>
      <c r="L983" s="121"/>
      <c r="M983" s="121"/>
      <c r="N983" s="121"/>
      <c r="O983" s="19"/>
    </row>
    <row r="984" spans="1:15" ht="12.75" customHeight="1" x14ac:dyDescent="0.15">
      <c r="A984" s="121"/>
      <c r="B984" s="121"/>
      <c r="C984" s="121"/>
      <c r="D984" s="121"/>
      <c r="E984" s="121"/>
      <c r="F984" s="121"/>
      <c r="G984" s="121"/>
      <c r="H984" s="121"/>
      <c r="I984" s="121"/>
      <c r="J984" s="121"/>
      <c r="K984" s="121"/>
      <c r="L984" s="121"/>
      <c r="M984" s="121"/>
      <c r="N984" s="121"/>
      <c r="O984" s="19"/>
    </row>
    <row r="985" spans="1:15" ht="12.75" customHeight="1" x14ac:dyDescent="0.15">
      <c r="A985" s="121"/>
      <c r="B985" s="121"/>
      <c r="C985" s="121"/>
      <c r="D985" s="121"/>
      <c r="E985" s="121"/>
      <c r="F985" s="121"/>
      <c r="G985" s="121"/>
      <c r="H985" s="121"/>
      <c r="I985" s="121"/>
      <c r="J985" s="121"/>
      <c r="K985" s="121"/>
      <c r="L985" s="121"/>
      <c r="M985" s="121"/>
      <c r="N985" s="121"/>
      <c r="O985" s="19"/>
    </row>
    <row r="986" spans="1:15" ht="12.75" customHeight="1" x14ac:dyDescent="0.15">
      <c r="A986" s="121"/>
      <c r="B986" s="121"/>
      <c r="C986" s="121"/>
      <c r="D986" s="121"/>
      <c r="E986" s="121"/>
      <c r="F986" s="121"/>
      <c r="G986" s="121"/>
      <c r="H986" s="121"/>
      <c r="I986" s="121"/>
      <c r="J986" s="121"/>
      <c r="K986" s="121"/>
      <c r="L986" s="121"/>
      <c r="M986" s="121"/>
      <c r="N986" s="121"/>
      <c r="O986" s="19"/>
    </row>
    <row r="987" spans="1:15" ht="12.75" customHeight="1" x14ac:dyDescent="0.15">
      <c r="A987" s="121"/>
      <c r="B987" s="121"/>
      <c r="C987" s="121"/>
      <c r="D987" s="121"/>
      <c r="E987" s="121"/>
      <c r="F987" s="121"/>
      <c r="G987" s="121"/>
      <c r="H987" s="121"/>
      <c r="I987" s="121"/>
      <c r="J987" s="121"/>
      <c r="K987" s="121"/>
      <c r="L987" s="121"/>
      <c r="M987" s="121"/>
      <c r="N987" s="121"/>
      <c r="O987" s="19"/>
    </row>
    <row r="988" spans="1:15" ht="12.75" customHeight="1" x14ac:dyDescent="0.15">
      <c r="A988" s="121"/>
      <c r="B988" s="121"/>
      <c r="C988" s="121"/>
      <c r="D988" s="121"/>
      <c r="E988" s="121"/>
      <c r="F988" s="121"/>
      <c r="G988" s="121"/>
      <c r="H988" s="121"/>
      <c r="I988" s="121"/>
      <c r="J988" s="121"/>
      <c r="K988" s="121"/>
      <c r="L988" s="121"/>
      <c r="M988" s="121"/>
      <c r="N988" s="121"/>
      <c r="O988" s="19"/>
    </row>
    <row r="989" spans="1:15" ht="12.75" customHeight="1" x14ac:dyDescent="0.15">
      <c r="A989" s="121"/>
      <c r="B989" s="121"/>
      <c r="C989" s="121"/>
      <c r="D989" s="121"/>
      <c r="E989" s="121"/>
      <c r="F989" s="121"/>
      <c r="G989" s="121"/>
      <c r="H989" s="121"/>
      <c r="I989" s="121"/>
      <c r="J989" s="121"/>
      <c r="K989" s="121"/>
      <c r="L989" s="121"/>
      <c r="M989" s="121"/>
      <c r="N989" s="121"/>
      <c r="O989" s="19"/>
    </row>
    <row r="990" spans="1:15" ht="12.75" customHeight="1" x14ac:dyDescent="0.15">
      <c r="A990" s="121"/>
      <c r="B990" s="121"/>
      <c r="C990" s="121"/>
      <c r="D990" s="121"/>
      <c r="E990" s="121"/>
      <c r="F990" s="121"/>
      <c r="G990" s="121"/>
      <c r="H990" s="121"/>
      <c r="I990" s="121"/>
      <c r="J990" s="121"/>
      <c r="K990" s="121"/>
      <c r="L990" s="121"/>
      <c r="M990" s="121"/>
      <c r="N990" s="121"/>
      <c r="O990" s="19"/>
    </row>
    <row r="991" spans="1:15" ht="12.75" customHeight="1" x14ac:dyDescent="0.15">
      <c r="A991" s="121"/>
      <c r="B991" s="121"/>
      <c r="C991" s="121"/>
      <c r="D991" s="121"/>
      <c r="E991" s="121"/>
      <c r="F991" s="121"/>
      <c r="G991" s="121"/>
      <c r="H991" s="121"/>
      <c r="I991" s="121"/>
      <c r="J991" s="121"/>
      <c r="K991" s="121"/>
      <c r="L991" s="121"/>
      <c r="M991" s="121"/>
      <c r="N991" s="121"/>
      <c r="O991" s="19"/>
    </row>
    <row r="992" spans="1:15" ht="12.75" customHeight="1" x14ac:dyDescent="0.15">
      <c r="A992" s="121"/>
      <c r="B992" s="121"/>
      <c r="C992" s="121"/>
      <c r="D992" s="121"/>
      <c r="E992" s="121"/>
      <c r="F992" s="121"/>
      <c r="G992" s="121"/>
      <c r="H992" s="121"/>
      <c r="I992" s="121"/>
      <c r="J992" s="121"/>
      <c r="K992" s="121"/>
      <c r="L992" s="121"/>
      <c r="M992" s="121"/>
      <c r="N992" s="121"/>
      <c r="O992" s="19"/>
    </row>
    <row r="993" spans="1:15" ht="12.75" customHeight="1" x14ac:dyDescent="0.15">
      <c r="A993" s="121"/>
      <c r="B993" s="121"/>
      <c r="C993" s="121"/>
      <c r="D993" s="121"/>
      <c r="E993" s="121"/>
      <c r="F993" s="121"/>
      <c r="G993" s="121"/>
      <c r="H993" s="121"/>
      <c r="I993" s="121"/>
      <c r="J993" s="121"/>
      <c r="K993" s="121"/>
      <c r="L993" s="121"/>
      <c r="M993" s="121"/>
      <c r="N993" s="121"/>
      <c r="O993" s="19"/>
    </row>
    <row r="994" spans="1:15" ht="12.75" customHeight="1" x14ac:dyDescent="0.15">
      <c r="A994" s="121"/>
      <c r="B994" s="121"/>
      <c r="C994" s="121"/>
      <c r="D994" s="121"/>
      <c r="E994" s="121"/>
      <c r="F994" s="121"/>
      <c r="G994" s="121"/>
      <c r="H994" s="121"/>
      <c r="I994" s="121"/>
      <c r="J994" s="121"/>
      <c r="K994" s="121"/>
      <c r="L994" s="121"/>
      <c r="M994" s="121"/>
      <c r="N994" s="121"/>
      <c r="O994" s="19"/>
    </row>
    <row r="995" spans="1:15" ht="12.75" customHeight="1" x14ac:dyDescent="0.15">
      <c r="A995" s="121"/>
      <c r="B995" s="121"/>
      <c r="C995" s="121"/>
      <c r="D995" s="121"/>
      <c r="E995" s="121"/>
      <c r="F995" s="121"/>
      <c r="G995" s="121"/>
      <c r="H995" s="121"/>
      <c r="I995" s="121"/>
      <c r="J995" s="121"/>
      <c r="K995" s="121"/>
      <c r="L995" s="121"/>
      <c r="M995" s="121"/>
      <c r="N995" s="121"/>
      <c r="O995" s="19"/>
    </row>
    <row r="996" spans="1:15" ht="12.75" customHeight="1" x14ac:dyDescent="0.15">
      <c r="A996" s="121"/>
      <c r="B996" s="121"/>
      <c r="C996" s="121"/>
      <c r="D996" s="121"/>
      <c r="E996" s="121"/>
      <c r="F996" s="121"/>
      <c r="G996" s="121"/>
      <c r="H996" s="121"/>
      <c r="I996" s="121"/>
      <c r="J996" s="121"/>
      <c r="K996" s="121"/>
      <c r="L996" s="121"/>
      <c r="M996" s="121"/>
      <c r="N996" s="121"/>
      <c r="O996" s="19"/>
    </row>
    <row r="997" spans="1:15" ht="12.75" customHeight="1" x14ac:dyDescent="0.15">
      <c r="A997" s="121"/>
      <c r="B997" s="121"/>
      <c r="C997" s="121"/>
      <c r="D997" s="121"/>
      <c r="E997" s="121"/>
      <c r="F997" s="121"/>
      <c r="G997" s="121"/>
      <c r="H997" s="121"/>
      <c r="I997" s="121"/>
      <c r="J997" s="121"/>
      <c r="K997" s="121"/>
      <c r="L997" s="121"/>
      <c r="M997" s="121"/>
      <c r="N997" s="121"/>
      <c r="O997" s="19"/>
    </row>
    <row r="998" spans="1:15" ht="12.75" customHeight="1" x14ac:dyDescent="0.15">
      <c r="A998" s="121"/>
      <c r="B998" s="121"/>
      <c r="C998" s="121"/>
      <c r="D998" s="121"/>
      <c r="E998" s="121"/>
      <c r="F998" s="121"/>
      <c r="G998" s="121"/>
      <c r="H998" s="121"/>
      <c r="I998" s="121"/>
      <c r="J998" s="121"/>
      <c r="K998" s="121"/>
      <c r="L998" s="121"/>
      <c r="M998" s="121"/>
      <c r="N998" s="121"/>
      <c r="O998" s="19"/>
    </row>
    <row r="999" spans="1:15" ht="12.75" customHeight="1" x14ac:dyDescent="0.15">
      <c r="A999" s="121"/>
      <c r="B999" s="121"/>
      <c r="C999" s="121"/>
      <c r="D999" s="121"/>
      <c r="E999" s="121"/>
      <c r="F999" s="121"/>
      <c r="G999" s="121"/>
      <c r="H999" s="121"/>
      <c r="I999" s="121"/>
      <c r="J999" s="121"/>
      <c r="K999" s="121"/>
      <c r="L999" s="121"/>
      <c r="M999" s="121"/>
      <c r="N999" s="121"/>
      <c r="O999" s="19"/>
    </row>
    <row r="1000" spans="1:15" ht="12.75" customHeight="1" x14ac:dyDescent="0.15">
      <c r="A1000" s="121"/>
      <c r="B1000" s="121"/>
      <c r="C1000" s="121"/>
      <c r="D1000" s="121"/>
      <c r="E1000" s="121"/>
      <c r="F1000" s="121"/>
      <c r="G1000" s="121"/>
      <c r="H1000" s="121"/>
      <c r="I1000" s="121"/>
      <c r="J1000" s="121"/>
      <c r="K1000" s="121"/>
      <c r="L1000" s="121"/>
      <c r="M1000" s="121"/>
      <c r="N1000" s="121"/>
      <c r="O1000" s="19"/>
    </row>
    <row r="1001" spans="1:15" ht="12.75" customHeight="1" x14ac:dyDescent="0.15">
      <c r="A1001" s="121"/>
      <c r="B1001" s="121"/>
      <c r="C1001" s="121"/>
      <c r="D1001" s="121"/>
      <c r="E1001" s="121"/>
      <c r="F1001" s="121"/>
      <c r="G1001" s="121"/>
      <c r="H1001" s="121"/>
      <c r="I1001" s="121"/>
      <c r="J1001" s="121"/>
      <c r="K1001" s="121"/>
      <c r="L1001" s="121"/>
      <c r="M1001" s="121"/>
      <c r="N1001" s="121"/>
      <c r="O1001" s="19"/>
    </row>
    <row r="1002" spans="1:15" ht="12.75" customHeight="1" x14ac:dyDescent="0.15">
      <c r="A1002" s="121"/>
      <c r="B1002" s="121"/>
      <c r="C1002" s="121"/>
      <c r="D1002" s="121"/>
      <c r="E1002" s="121"/>
      <c r="F1002" s="121"/>
      <c r="G1002" s="121"/>
      <c r="H1002" s="121"/>
      <c r="I1002" s="121"/>
      <c r="J1002" s="121"/>
      <c r="K1002" s="121"/>
      <c r="L1002" s="121"/>
      <c r="M1002" s="121"/>
      <c r="N1002" s="121"/>
      <c r="O1002" s="19"/>
    </row>
    <row r="1003" spans="1:15" ht="12.75" customHeight="1" x14ac:dyDescent="0.15">
      <c r="A1003" s="121"/>
      <c r="B1003" s="121"/>
      <c r="C1003" s="121"/>
      <c r="D1003" s="121"/>
      <c r="E1003" s="121"/>
      <c r="F1003" s="121"/>
      <c r="G1003" s="121"/>
      <c r="H1003" s="121"/>
      <c r="I1003" s="121"/>
      <c r="J1003" s="121"/>
      <c r="K1003" s="121"/>
      <c r="L1003" s="121"/>
      <c r="M1003" s="121"/>
      <c r="N1003" s="121"/>
      <c r="O1003" s="19"/>
    </row>
    <row r="1004" spans="1:15" ht="12.75" customHeight="1" x14ac:dyDescent="0.15">
      <c r="A1004" s="121"/>
      <c r="B1004" s="121"/>
      <c r="C1004" s="121"/>
      <c r="D1004" s="121"/>
      <c r="E1004" s="121"/>
      <c r="F1004" s="121"/>
      <c r="G1004" s="121"/>
      <c r="H1004" s="121"/>
      <c r="I1004" s="121"/>
      <c r="J1004" s="121"/>
      <c r="K1004" s="121"/>
      <c r="L1004" s="121"/>
      <c r="M1004" s="121"/>
      <c r="N1004" s="121"/>
      <c r="O1004" s="19"/>
    </row>
    <row r="1005" spans="1:15" ht="12.75" customHeight="1" x14ac:dyDescent="0.15">
      <c r="A1005" s="121"/>
      <c r="B1005" s="121"/>
      <c r="C1005" s="121"/>
      <c r="D1005" s="121"/>
      <c r="E1005" s="121"/>
      <c r="F1005" s="121"/>
      <c r="G1005" s="121"/>
      <c r="H1005" s="121"/>
      <c r="I1005" s="121"/>
      <c r="J1005" s="121"/>
      <c r="K1005" s="121"/>
      <c r="L1005" s="121"/>
      <c r="M1005" s="121"/>
      <c r="N1005" s="121"/>
      <c r="O1005" s="19"/>
    </row>
    <row r="1006" spans="1:15" ht="12.75" customHeight="1" x14ac:dyDescent="0.15">
      <c r="A1006" s="121"/>
      <c r="B1006" s="121"/>
      <c r="C1006" s="121"/>
      <c r="D1006" s="121"/>
      <c r="E1006" s="121"/>
      <c r="F1006" s="121"/>
      <c r="G1006" s="121"/>
      <c r="H1006" s="121"/>
      <c r="I1006" s="121"/>
      <c r="J1006" s="121"/>
      <c r="K1006" s="121"/>
      <c r="L1006" s="121"/>
      <c r="M1006" s="121"/>
      <c r="N1006" s="121"/>
      <c r="O1006" s="19"/>
    </row>
    <row r="1007" spans="1:15" ht="12.75" customHeight="1" x14ac:dyDescent="0.15">
      <c r="A1007" s="121"/>
      <c r="B1007" s="121"/>
      <c r="C1007" s="121"/>
      <c r="D1007" s="121"/>
      <c r="E1007" s="121"/>
      <c r="F1007" s="121"/>
      <c r="G1007" s="121"/>
      <c r="H1007" s="121"/>
      <c r="I1007" s="121"/>
      <c r="J1007" s="121"/>
      <c r="K1007" s="121"/>
      <c r="L1007" s="121"/>
      <c r="M1007" s="121"/>
      <c r="N1007" s="121"/>
      <c r="O1007" s="19"/>
    </row>
    <row r="1008" spans="1:15" ht="12.75" customHeight="1" x14ac:dyDescent="0.15">
      <c r="A1008" s="121"/>
      <c r="B1008" s="121"/>
      <c r="C1008" s="121"/>
      <c r="D1008" s="121"/>
      <c r="E1008" s="121"/>
      <c r="F1008" s="121"/>
      <c r="G1008" s="121"/>
      <c r="H1008" s="121"/>
      <c r="I1008" s="121"/>
      <c r="J1008" s="121"/>
      <c r="K1008" s="121"/>
      <c r="L1008" s="121"/>
      <c r="M1008" s="121"/>
      <c r="N1008" s="121"/>
      <c r="O1008" s="19"/>
    </row>
    <row r="1009" spans="1:15" ht="12.75" customHeight="1" x14ac:dyDescent="0.15">
      <c r="A1009" s="121"/>
      <c r="B1009" s="121"/>
      <c r="C1009" s="121"/>
      <c r="D1009" s="121"/>
      <c r="E1009" s="121"/>
      <c r="F1009" s="121"/>
      <c r="G1009" s="121"/>
      <c r="H1009" s="121"/>
      <c r="I1009" s="121"/>
      <c r="J1009" s="121"/>
      <c r="K1009" s="121"/>
      <c r="L1009" s="121"/>
      <c r="M1009" s="121"/>
      <c r="N1009" s="121"/>
      <c r="O1009" s="19"/>
    </row>
    <row r="1010" spans="1:15" ht="12.75" customHeight="1" x14ac:dyDescent="0.15">
      <c r="A1010" s="121"/>
      <c r="B1010" s="121"/>
      <c r="C1010" s="121"/>
      <c r="D1010" s="121"/>
      <c r="E1010" s="121"/>
      <c r="F1010" s="121"/>
      <c r="G1010" s="121"/>
      <c r="H1010" s="121"/>
      <c r="I1010" s="121"/>
      <c r="J1010" s="121"/>
      <c r="K1010" s="121"/>
      <c r="L1010" s="121"/>
      <c r="M1010" s="121"/>
      <c r="N1010" s="121"/>
      <c r="O1010" s="19"/>
    </row>
    <row r="1011" spans="1:15" ht="12.75" customHeight="1" x14ac:dyDescent="0.15">
      <c r="A1011" s="121"/>
      <c r="B1011" s="121"/>
      <c r="C1011" s="121"/>
      <c r="D1011" s="121"/>
      <c r="E1011" s="121"/>
      <c r="F1011" s="121"/>
      <c r="G1011" s="121"/>
      <c r="H1011" s="121"/>
      <c r="I1011" s="121"/>
      <c r="J1011" s="121"/>
      <c r="K1011" s="121"/>
      <c r="L1011" s="121"/>
      <c r="M1011" s="121"/>
      <c r="N1011" s="121"/>
      <c r="O1011" s="19"/>
    </row>
    <row r="1012" spans="1:15" ht="12.75" customHeight="1" x14ac:dyDescent="0.15">
      <c r="A1012" s="121"/>
      <c r="B1012" s="121"/>
      <c r="C1012" s="121"/>
      <c r="D1012" s="121"/>
      <c r="E1012" s="121"/>
      <c r="F1012" s="121"/>
      <c r="G1012" s="121"/>
      <c r="H1012" s="121"/>
      <c r="I1012" s="121"/>
      <c r="J1012" s="121"/>
      <c r="K1012" s="121"/>
      <c r="L1012" s="121"/>
      <c r="M1012" s="121"/>
      <c r="N1012" s="121"/>
      <c r="O1012" s="19"/>
    </row>
    <row r="1013" spans="1:15" ht="12.75" customHeight="1" x14ac:dyDescent="0.15">
      <c r="A1013" s="121"/>
      <c r="B1013" s="121"/>
      <c r="C1013" s="121"/>
      <c r="D1013" s="121"/>
      <c r="E1013" s="121"/>
      <c r="F1013" s="121"/>
      <c r="G1013" s="121"/>
      <c r="H1013" s="121"/>
      <c r="I1013" s="121"/>
      <c r="J1013" s="121"/>
      <c r="K1013" s="121"/>
      <c r="L1013" s="121"/>
      <c r="M1013" s="121"/>
      <c r="N1013" s="121"/>
      <c r="O1013" s="19"/>
    </row>
    <row r="1014" spans="1:15" ht="12.75" customHeight="1" x14ac:dyDescent="0.15">
      <c r="A1014" s="121"/>
      <c r="B1014" s="121"/>
      <c r="C1014" s="121"/>
      <c r="D1014" s="121"/>
      <c r="E1014" s="121"/>
      <c r="F1014" s="121"/>
      <c r="G1014" s="121"/>
      <c r="H1014" s="121"/>
      <c r="I1014" s="121"/>
      <c r="J1014" s="121"/>
      <c r="K1014" s="121"/>
      <c r="L1014" s="121"/>
      <c r="M1014" s="121"/>
      <c r="N1014" s="121"/>
      <c r="O1014" s="19"/>
    </row>
    <row r="1015" spans="1:15" ht="12.75" customHeight="1" x14ac:dyDescent="0.15">
      <c r="A1015" s="121"/>
      <c r="B1015" s="121"/>
      <c r="C1015" s="121"/>
      <c r="D1015" s="121"/>
      <c r="E1015" s="121"/>
      <c r="F1015" s="121"/>
      <c r="G1015" s="121"/>
      <c r="H1015" s="121"/>
      <c r="I1015" s="121"/>
      <c r="J1015" s="121"/>
      <c r="K1015" s="121"/>
      <c r="L1015" s="121"/>
      <c r="M1015" s="121"/>
      <c r="N1015" s="121"/>
      <c r="O1015" s="19"/>
    </row>
    <row r="1016" spans="1:15" ht="12.75" customHeight="1" x14ac:dyDescent="0.15">
      <c r="A1016" s="121"/>
      <c r="B1016" s="121"/>
      <c r="C1016" s="121"/>
      <c r="D1016" s="121"/>
      <c r="E1016" s="121"/>
      <c r="F1016" s="121"/>
      <c r="G1016" s="121"/>
      <c r="H1016" s="121"/>
      <c r="I1016" s="121"/>
      <c r="J1016" s="121"/>
      <c r="K1016" s="121"/>
      <c r="L1016" s="121"/>
      <c r="M1016" s="121"/>
      <c r="N1016" s="121"/>
      <c r="O1016" s="19"/>
    </row>
    <row r="1017" spans="1:15" ht="12.75" customHeight="1" x14ac:dyDescent="0.15">
      <c r="A1017" s="121"/>
      <c r="B1017" s="121"/>
      <c r="C1017" s="121"/>
      <c r="D1017" s="121"/>
      <c r="E1017" s="121"/>
      <c r="F1017" s="121"/>
      <c r="G1017" s="121"/>
      <c r="H1017" s="121"/>
      <c r="I1017" s="121"/>
      <c r="J1017" s="121"/>
      <c r="K1017" s="121"/>
      <c r="L1017" s="121"/>
      <c r="M1017" s="121"/>
      <c r="N1017" s="121"/>
      <c r="O1017" s="19"/>
    </row>
    <row r="1018" spans="1:15" ht="12.75" customHeight="1" x14ac:dyDescent="0.15">
      <c r="A1018" s="121"/>
      <c r="B1018" s="121"/>
      <c r="C1018" s="121"/>
      <c r="D1018" s="121"/>
      <c r="E1018" s="121"/>
      <c r="F1018" s="121"/>
      <c r="G1018" s="121"/>
      <c r="H1018" s="121"/>
      <c r="I1018" s="121"/>
      <c r="J1018" s="121"/>
      <c r="K1018" s="121"/>
      <c r="L1018" s="121"/>
      <c r="M1018" s="121"/>
      <c r="N1018" s="121"/>
      <c r="O1018" s="19"/>
    </row>
    <row r="1019" spans="1:15" ht="12.75" customHeight="1" x14ac:dyDescent="0.15">
      <c r="A1019" s="121"/>
      <c r="B1019" s="121"/>
      <c r="C1019" s="121"/>
      <c r="D1019" s="121"/>
      <c r="E1019" s="121"/>
      <c r="F1019" s="121"/>
      <c r="G1019" s="121"/>
      <c r="H1019" s="121"/>
      <c r="I1019" s="121"/>
      <c r="J1019" s="121"/>
      <c r="K1019" s="121"/>
      <c r="L1019" s="121"/>
      <c r="M1019" s="121"/>
      <c r="N1019" s="121"/>
      <c r="O1019" s="19"/>
    </row>
    <row r="1020" spans="1:15" ht="12.75" customHeight="1" x14ac:dyDescent="0.15">
      <c r="A1020" s="121"/>
      <c r="B1020" s="121"/>
      <c r="C1020" s="121"/>
      <c r="D1020" s="121"/>
      <c r="E1020" s="121"/>
      <c r="F1020" s="121"/>
      <c r="G1020" s="121"/>
      <c r="H1020" s="121"/>
      <c r="I1020" s="121"/>
      <c r="J1020" s="121"/>
      <c r="K1020" s="121"/>
      <c r="L1020" s="121"/>
      <c r="M1020" s="121"/>
      <c r="N1020" s="121"/>
      <c r="O1020" s="19"/>
    </row>
    <row r="1021" spans="1:15" ht="12.75" customHeight="1" x14ac:dyDescent="0.15">
      <c r="A1021" s="121"/>
      <c r="B1021" s="121"/>
      <c r="C1021" s="121"/>
      <c r="D1021" s="121"/>
      <c r="E1021" s="121"/>
      <c r="F1021" s="121"/>
      <c r="G1021" s="121"/>
      <c r="H1021" s="121"/>
      <c r="I1021" s="121"/>
      <c r="J1021" s="121"/>
      <c r="K1021" s="121"/>
      <c r="L1021" s="121"/>
      <c r="M1021" s="121"/>
      <c r="N1021" s="121"/>
      <c r="O1021" s="19"/>
    </row>
    <row r="1022" spans="1:15" ht="12.75" customHeight="1" x14ac:dyDescent="0.15">
      <c r="A1022" s="121"/>
      <c r="B1022" s="121"/>
      <c r="C1022" s="121"/>
      <c r="D1022" s="121"/>
      <c r="E1022" s="121"/>
      <c r="F1022" s="121"/>
      <c r="G1022" s="121"/>
      <c r="H1022" s="121"/>
      <c r="I1022" s="121"/>
      <c r="J1022" s="121"/>
      <c r="K1022" s="121"/>
      <c r="L1022" s="121"/>
      <c r="M1022" s="121"/>
      <c r="N1022" s="121"/>
      <c r="O1022" s="19"/>
    </row>
    <row r="1023" spans="1:15" ht="12.75" customHeight="1" x14ac:dyDescent="0.15">
      <c r="A1023" s="121"/>
      <c r="B1023" s="121"/>
      <c r="C1023" s="121"/>
      <c r="D1023" s="121"/>
      <c r="E1023" s="121"/>
      <c r="F1023" s="121"/>
      <c r="G1023" s="121"/>
      <c r="H1023" s="121"/>
      <c r="I1023" s="121"/>
      <c r="J1023" s="121"/>
      <c r="K1023" s="121"/>
      <c r="L1023" s="121"/>
      <c r="M1023" s="121"/>
      <c r="N1023" s="121"/>
      <c r="O1023" s="19"/>
    </row>
    <row r="1024" spans="1:15" ht="12.75" customHeight="1" x14ac:dyDescent="0.15">
      <c r="A1024" s="121"/>
      <c r="B1024" s="121"/>
      <c r="C1024" s="121"/>
      <c r="D1024" s="121"/>
      <c r="E1024" s="121"/>
      <c r="F1024" s="121"/>
      <c r="G1024" s="121"/>
      <c r="H1024" s="121"/>
      <c r="I1024" s="121"/>
      <c r="J1024" s="121"/>
      <c r="K1024" s="121"/>
      <c r="L1024" s="121"/>
      <c r="M1024" s="121"/>
      <c r="N1024" s="121"/>
      <c r="O1024" s="19"/>
    </row>
    <row r="1025" spans="1:15" ht="12.75" customHeight="1" x14ac:dyDescent="0.15">
      <c r="A1025" s="121"/>
      <c r="B1025" s="121"/>
      <c r="C1025" s="121"/>
      <c r="D1025" s="121"/>
      <c r="E1025" s="121"/>
      <c r="F1025" s="121"/>
      <c r="G1025" s="121"/>
      <c r="H1025" s="121"/>
      <c r="I1025" s="121"/>
      <c r="J1025" s="121"/>
      <c r="K1025" s="121"/>
      <c r="L1025" s="121"/>
      <c r="M1025" s="121"/>
      <c r="N1025" s="121"/>
      <c r="O1025" s="19"/>
    </row>
    <row r="1026" spans="1:15" ht="12.75" customHeight="1" x14ac:dyDescent="0.15">
      <c r="A1026" s="121"/>
      <c r="B1026" s="121"/>
      <c r="C1026" s="121"/>
      <c r="D1026" s="121"/>
      <c r="E1026" s="121"/>
      <c r="F1026" s="121"/>
      <c r="G1026" s="121"/>
      <c r="H1026" s="121"/>
      <c r="I1026" s="121"/>
      <c r="J1026" s="121"/>
      <c r="K1026" s="121"/>
      <c r="L1026" s="121"/>
      <c r="M1026" s="121"/>
      <c r="N1026" s="121"/>
      <c r="O1026" s="19"/>
    </row>
    <row r="1027" spans="1:15" ht="12.75" customHeight="1" x14ac:dyDescent="0.15">
      <c r="A1027" s="121"/>
      <c r="B1027" s="121"/>
      <c r="C1027" s="121"/>
      <c r="D1027" s="121"/>
      <c r="E1027" s="121"/>
      <c r="F1027" s="121"/>
      <c r="G1027" s="121"/>
      <c r="H1027" s="121"/>
      <c r="I1027" s="121"/>
      <c r="J1027" s="121"/>
      <c r="K1027" s="121"/>
      <c r="L1027" s="121"/>
      <c r="M1027" s="121"/>
      <c r="N1027" s="121"/>
      <c r="O1027" s="19"/>
    </row>
    <row r="1028" spans="1:15" ht="12.75" customHeight="1" x14ac:dyDescent="0.15">
      <c r="A1028" s="121"/>
      <c r="B1028" s="121"/>
      <c r="C1028" s="121"/>
      <c r="D1028" s="121"/>
      <c r="E1028" s="121"/>
      <c r="F1028" s="121"/>
      <c r="G1028" s="121"/>
      <c r="H1028" s="121"/>
      <c r="I1028" s="121"/>
      <c r="J1028" s="121"/>
      <c r="K1028" s="121"/>
      <c r="L1028" s="121"/>
      <c r="M1028" s="121"/>
      <c r="N1028" s="121"/>
      <c r="O1028" s="19"/>
    </row>
    <row r="1029" spans="1:15" ht="12.75" customHeight="1" x14ac:dyDescent="0.15">
      <c r="A1029" s="121"/>
      <c r="B1029" s="121"/>
      <c r="C1029" s="121"/>
      <c r="D1029" s="121"/>
      <c r="E1029" s="121"/>
      <c r="F1029" s="121"/>
      <c r="G1029" s="121"/>
      <c r="H1029" s="121"/>
      <c r="I1029" s="121"/>
      <c r="J1029" s="121"/>
      <c r="K1029" s="121"/>
      <c r="L1029" s="121"/>
      <c r="M1029" s="121"/>
      <c r="N1029" s="121"/>
      <c r="O1029" s="19"/>
    </row>
    <row r="1030" spans="1:15" ht="12.75" customHeight="1" x14ac:dyDescent="0.15">
      <c r="A1030" s="121"/>
      <c r="B1030" s="121"/>
      <c r="C1030" s="121"/>
      <c r="D1030" s="121"/>
      <c r="E1030" s="121"/>
      <c r="F1030" s="121"/>
      <c r="G1030" s="121"/>
      <c r="H1030" s="121"/>
      <c r="I1030" s="121"/>
      <c r="J1030" s="121"/>
      <c r="K1030" s="121"/>
      <c r="L1030" s="121"/>
      <c r="M1030" s="121"/>
      <c r="N1030" s="121"/>
      <c r="O1030" s="19"/>
    </row>
    <row r="1031" spans="1:15" ht="12.75" customHeight="1" x14ac:dyDescent="0.15">
      <c r="A1031" s="121"/>
      <c r="B1031" s="121"/>
      <c r="C1031" s="121"/>
      <c r="D1031" s="121"/>
      <c r="E1031" s="121"/>
      <c r="F1031" s="121"/>
      <c r="G1031" s="121"/>
      <c r="H1031" s="121"/>
      <c r="I1031" s="121"/>
      <c r="J1031" s="121"/>
      <c r="K1031" s="121"/>
      <c r="L1031" s="121"/>
      <c r="M1031" s="121"/>
      <c r="N1031" s="121"/>
      <c r="O1031" s="19"/>
    </row>
    <row r="1032" spans="1:15" ht="12.75" customHeight="1" x14ac:dyDescent="0.15">
      <c r="A1032" s="121"/>
      <c r="B1032" s="121"/>
      <c r="C1032" s="121"/>
      <c r="D1032" s="121"/>
      <c r="E1032" s="121"/>
      <c r="F1032" s="121"/>
      <c r="G1032" s="121"/>
      <c r="H1032" s="121"/>
      <c r="I1032" s="121"/>
      <c r="J1032" s="121"/>
      <c r="K1032" s="121"/>
      <c r="L1032" s="121"/>
      <c r="M1032" s="121"/>
      <c r="N1032" s="121"/>
      <c r="O1032" s="19"/>
    </row>
    <row r="1033" spans="1:15" ht="12.75" customHeight="1" x14ac:dyDescent="0.15">
      <c r="A1033" s="121"/>
      <c r="B1033" s="121"/>
      <c r="C1033" s="121"/>
      <c r="D1033" s="121"/>
      <c r="E1033" s="121"/>
      <c r="F1033" s="121"/>
      <c r="G1033" s="121"/>
      <c r="H1033" s="121"/>
      <c r="I1033" s="121"/>
      <c r="J1033" s="121"/>
      <c r="K1033" s="121"/>
      <c r="L1033" s="121"/>
      <c r="M1033" s="121"/>
      <c r="N1033" s="121"/>
      <c r="O1033" s="19"/>
    </row>
    <row r="1034" spans="1:15" ht="12.75" customHeight="1" x14ac:dyDescent="0.15">
      <c r="A1034" s="121"/>
      <c r="B1034" s="121"/>
      <c r="C1034" s="121"/>
      <c r="D1034" s="121"/>
      <c r="E1034" s="121"/>
      <c r="F1034" s="121"/>
      <c r="G1034" s="121"/>
      <c r="H1034" s="121"/>
      <c r="I1034" s="121"/>
      <c r="J1034" s="121"/>
      <c r="K1034" s="121"/>
      <c r="L1034" s="121"/>
      <c r="M1034" s="121"/>
      <c r="N1034" s="121"/>
      <c r="O1034" s="19"/>
    </row>
    <row r="1035" spans="1:15" ht="12.75" customHeight="1" x14ac:dyDescent="0.15">
      <c r="A1035" s="121"/>
      <c r="B1035" s="121"/>
      <c r="C1035" s="121"/>
      <c r="D1035" s="121"/>
      <c r="E1035" s="121"/>
      <c r="F1035" s="121"/>
      <c r="G1035" s="121"/>
      <c r="H1035" s="121"/>
      <c r="I1035" s="121"/>
      <c r="J1035" s="121"/>
      <c r="K1035" s="121"/>
      <c r="L1035" s="121"/>
      <c r="M1035" s="121"/>
      <c r="N1035" s="121"/>
      <c r="O1035" s="19"/>
    </row>
    <row r="1036" spans="1:15" ht="12.75" customHeight="1" x14ac:dyDescent="0.15">
      <c r="A1036" s="121"/>
      <c r="B1036" s="121"/>
      <c r="C1036" s="121"/>
      <c r="D1036" s="121"/>
      <c r="E1036" s="121"/>
      <c r="F1036" s="121"/>
      <c r="G1036" s="121"/>
      <c r="H1036" s="121"/>
      <c r="I1036" s="121"/>
      <c r="J1036" s="121"/>
      <c r="K1036" s="121"/>
      <c r="L1036" s="121"/>
      <c r="M1036" s="121"/>
      <c r="N1036" s="121"/>
      <c r="O1036" s="19"/>
    </row>
    <row r="1037" spans="1:15" ht="12.75" customHeight="1" x14ac:dyDescent="0.15">
      <c r="A1037" s="121"/>
      <c r="B1037" s="121"/>
      <c r="C1037" s="121"/>
      <c r="D1037" s="121"/>
      <c r="E1037" s="121"/>
      <c r="F1037" s="121"/>
      <c r="G1037" s="121"/>
      <c r="H1037" s="121"/>
      <c r="I1037" s="121"/>
      <c r="J1037" s="121"/>
      <c r="K1037" s="121"/>
      <c r="L1037" s="121"/>
      <c r="M1037" s="121"/>
      <c r="N1037" s="121"/>
      <c r="O1037" s="19"/>
    </row>
    <row r="1038" spans="1:15" ht="12.75" customHeight="1" x14ac:dyDescent="0.15">
      <c r="A1038" s="121"/>
      <c r="B1038" s="121"/>
      <c r="C1038" s="121"/>
      <c r="D1038" s="121"/>
      <c r="E1038" s="121"/>
      <c r="F1038" s="121"/>
      <c r="G1038" s="121"/>
      <c r="H1038" s="121"/>
      <c r="I1038" s="121"/>
      <c r="J1038" s="121"/>
      <c r="K1038" s="121"/>
      <c r="L1038" s="121"/>
      <c r="M1038" s="121"/>
      <c r="N1038" s="121"/>
      <c r="O1038" s="19"/>
    </row>
    <row r="1039" spans="1:15" ht="12.75" customHeight="1" x14ac:dyDescent="0.15">
      <c r="A1039" s="121"/>
      <c r="B1039" s="121"/>
      <c r="C1039" s="121"/>
      <c r="D1039" s="121"/>
      <c r="E1039" s="121"/>
      <c r="F1039" s="121"/>
      <c r="G1039" s="121"/>
      <c r="H1039" s="121"/>
      <c r="I1039" s="121"/>
      <c r="J1039" s="121"/>
      <c r="K1039" s="121"/>
      <c r="L1039" s="121"/>
      <c r="M1039" s="121"/>
      <c r="N1039" s="121"/>
      <c r="O1039" s="19"/>
    </row>
    <row r="1040" spans="1:15" ht="12.75" customHeight="1" x14ac:dyDescent="0.15">
      <c r="A1040" s="121"/>
      <c r="B1040" s="121"/>
      <c r="C1040" s="121"/>
      <c r="D1040" s="121"/>
      <c r="E1040" s="121"/>
      <c r="F1040" s="121"/>
      <c r="G1040" s="121"/>
      <c r="H1040" s="121"/>
      <c r="I1040" s="121"/>
      <c r="J1040" s="121"/>
      <c r="K1040" s="121"/>
      <c r="L1040" s="121"/>
      <c r="M1040" s="121"/>
      <c r="N1040" s="121"/>
      <c r="O1040" s="19"/>
    </row>
    <row r="1041" spans="1:15" ht="12.75" customHeight="1" x14ac:dyDescent="0.15">
      <c r="A1041" s="121"/>
      <c r="B1041" s="121"/>
      <c r="C1041" s="121"/>
      <c r="D1041" s="121"/>
      <c r="E1041" s="121"/>
      <c r="F1041" s="121"/>
      <c r="G1041" s="121"/>
      <c r="H1041" s="121"/>
      <c r="I1041" s="121"/>
      <c r="J1041" s="121"/>
      <c r="K1041" s="121"/>
      <c r="L1041" s="121"/>
      <c r="M1041" s="121"/>
      <c r="N1041" s="121"/>
      <c r="O1041" s="19"/>
    </row>
    <row r="1042" spans="1:15" ht="12.75" customHeight="1" x14ac:dyDescent="0.15">
      <c r="A1042" s="121"/>
      <c r="B1042" s="121"/>
      <c r="C1042" s="121"/>
      <c r="D1042" s="121"/>
      <c r="E1042" s="121"/>
      <c r="F1042" s="121"/>
      <c r="G1042" s="121"/>
      <c r="H1042" s="121"/>
      <c r="I1042" s="121"/>
      <c r="J1042" s="121"/>
      <c r="K1042" s="121"/>
      <c r="L1042" s="121"/>
      <c r="M1042" s="121"/>
      <c r="N1042" s="121"/>
      <c r="O1042" s="19"/>
    </row>
    <row r="1043" spans="1:15" ht="12.75" customHeight="1" x14ac:dyDescent="0.15">
      <c r="A1043" s="121"/>
      <c r="B1043" s="121"/>
      <c r="C1043" s="121"/>
      <c r="D1043" s="121"/>
      <c r="E1043" s="121"/>
      <c r="F1043" s="121"/>
      <c r="G1043" s="121"/>
      <c r="H1043" s="121"/>
      <c r="I1043" s="121"/>
      <c r="J1043" s="121"/>
      <c r="K1043" s="121"/>
      <c r="L1043" s="121"/>
      <c r="M1043" s="121"/>
      <c r="N1043" s="121"/>
      <c r="O1043" s="19"/>
    </row>
    <row r="1044" spans="1:15" ht="12.75" customHeight="1" x14ac:dyDescent="0.15">
      <c r="A1044" s="121"/>
      <c r="B1044" s="121"/>
      <c r="C1044" s="121"/>
      <c r="D1044" s="121"/>
      <c r="E1044" s="121"/>
      <c r="F1044" s="121"/>
      <c r="G1044" s="121"/>
      <c r="H1044" s="121"/>
      <c r="I1044" s="121"/>
      <c r="J1044" s="121"/>
      <c r="K1044" s="121"/>
      <c r="L1044" s="121"/>
      <c r="M1044" s="121"/>
      <c r="N1044" s="121"/>
      <c r="O1044" s="19"/>
    </row>
    <row r="1045" spans="1:15" ht="12.75" customHeight="1" x14ac:dyDescent="0.15">
      <c r="A1045" s="121"/>
      <c r="B1045" s="121"/>
      <c r="C1045" s="121"/>
      <c r="D1045" s="121"/>
      <c r="E1045" s="121"/>
      <c r="F1045" s="121"/>
      <c r="G1045" s="121"/>
      <c r="H1045" s="121"/>
      <c r="I1045" s="121"/>
      <c r="J1045" s="121"/>
      <c r="K1045" s="121"/>
      <c r="L1045" s="121"/>
      <c r="M1045" s="121"/>
      <c r="N1045" s="121"/>
      <c r="O1045" s="19"/>
    </row>
    <row r="1046" spans="1:15" ht="12.75" customHeight="1" x14ac:dyDescent="0.15">
      <c r="A1046" s="121"/>
      <c r="B1046" s="121"/>
      <c r="C1046" s="121"/>
      <c r="D1046" s="121"/>
      <c r="E1046" s="121"/>
      <c r="F1046" s="121"/>
      <c r="G1046" s="121"/>
      <c r="H1046" s="121"/>
      <c r="I1046" s="121"/>
      <c r="J1046" s="121"/>
      <c r="K1046" s="121"/>
      <c r="L1046" s="121"/>
      <c r="M1046" s="121"/>
      <c r="N1046" s="121"/>
      <c r="O1046" s="19"/>
    </row>
    <row r="1047" spans="1:15" ht="12.75" customHeight="1" x14ac:dyDescent="0.15">
      <c r="A1047" s="121"/>
      <c r="B1047" s="121"/>
      <c r="C1047" s="121"/>
      <c r="D1047" s="121"/>
      <c r="E1047" s="121"/>
      <c r="F1047" s="121"/>
      <c r="G1047" s="121"/>
      <c r="H1047" s="121"/>
      <c r="I1047" s="121"/>
      <c r="J1047" s="121"/>
      <c r="K1047" s="121"/>
      <c r="L1047" s="121"/>
      <c r="M1047" s="121"/>
      <c r="N1047" s="121"/>
      <c r="O1047" s="19"/>
    </row>
    <row r="1048" spans="1:15" ht="12.75" customHeight="1" x14ac:dyDescent="0.15">
      <c r="A1048" s="121"/>
      <c r="B1048" s="121"/>
      <c r="C1048" s="121"/>
      <c r="D1048" s="121"/>
      <c r="E1048" s="121"/>
      <c r="F1048" s="121"/>
      <c r="G1048" s="121"/>
      <c r="H1048" s="121"/>
      <c r="I1048" s="121"/>
      <c r="J1048" s="121"/>
      <c r="K1048" s="121"/>
      <c r="L1048" s="121"/>
      <c r="M1048" s="121"/>
      <c r="N1048" s="121"/>
      <c r="O1048" s="19"/>
    </row>
    <row r="1049" spans="1:15" ht="12.75" customHeight="1" x14ac:dyDescent="0.15">
      <c r="A1049" s="121"/>
      <c r="B1049" s="121"/>
      <c r="C1049" s="121"/>
      <c r="D1049" s="121"/>
      <c r="E1049" s="121"/>
      <c r="F1049" s="121"/>
      <c r="G1049" s="121"/>
      <c r="H1049" s="121"/>
      <c r="I1049" s="121"/>
      <c r="J1049" s="121"/>
      <c r="K1049" s="121"/>
      <c r="L1049" s="121"/>
      <c r="M1049" s="121"/>
      <c r="N1049" s="121"/>
      <c r="O1049" s="19"/>
    </row>
    <row r="1050" spans="1:15" ht="12.75" customHeight="1" x14ac:dyDescent="0.15">
      <c r="A1050" s="121"/>
      <c r="B1050" s="121"/>
      <c r="C1050" s="121"/>
      <c r="D1050" s="121"/>
      <c r="E1050" s="121"/>
      <c r="F1050" s="121"/>
      <c r="G1050" s="121"/>
      <c r="H1050" s="121"/>
      <c r="I1050" s="121"/>
      <c r="J1050" s="121"/>
      <c r="K1050" s="121"/>
      <c r="L1050" s="121"/>
      <c r="M1050" s="121"/>
      <c r="N1050" s="121"/>
      <c r="O1050" s="19"/>
    </row>
    <row r="1051" spans="1:15" ht="12.75" customHeight="1" x14ac:dyDescent="0.15">
      <c r="A1051" s="121"/>
      <c r="B1051" s="121"/>
      <c r="C1051" s="121"/>
      <c r="D1051" s="121"/>
      <c r="E1051" s="121"/>
      <c r="F1051" s="121"/>
      <c r="G1051" s="121"/>
      <c r="H1051" s="121"/>
      <c r="I1051" s="121"/>
      <c r="J1051" s="121"/>
      <c r="K1051" s="121"/>
      <c r="L1051" s="121"/>
      <c r="M1051" s="121"/>
      <c r="N1051" s="121"/>
      <c r="O1051" s="19"/>
    </row>
    <row r="1052" spans="1:15" ht="12.75" customHeight="1" x14ac:dyDescent="0.15">
      <c r="A1052" s="121"/>
      <c r="B1052" s="121"/>
      <c r="C1052" s="121"/>
      <c r="D1052" s="121"/>
      <c r="E1052" s="121"/>
      <c r="F1052" s="121"/>
      <c r="G1052" s="121"/>
      <c r="H1052" s="121"/>
      <c r="I1052" s="121"/>
      <c r="J1052" s="121"/>
      <c r="K1052" s="121"/>
      <c r="L1052" s="121"/>
      <c r="M1052" s="121"/>
      <c r="N1052" s="121"/>
      <c r="O1052" s="19"/>
    </row>
    <row r="1053" spans="1:15" ht="12.75" customHeight="1" x14ac:dyDescent="0.15">
      <c r="A1053" s="121"/>
      <c r="B1053" s="121"/>
      <c r="C1053" s="121"/>
      <c r="D1053" s="121"/>
      <c r="E1053" s="121"/>
      <c r="F1053" s="121"/>
      <c r="G1053" s="121"/>
      <c r="H1053" s="121"/>
      <c r="I1053" s="121"/>
      <c r="J1053" s="121"/>
      <c r="K1053" s="121"/>
      <c r="L1053" s="121"/>
      <c r="M1053" s="121"/>
      <c r="N1053" s="121"/>
      <c r="O1053" s="19"/>
    </row>
    <row r="1054" spans="1:15" ht="12.75" customHeight="1" x14ac:dyDescent="0.15">
      <c r="A1054" s="121"/>
      <c r="B1054" s="121"/>
      <c r="C1054" s="121"/>
      <c r="D1054" s="121"/>
      <c r="E1054" s="121"/>
      <c r="F1054" s="121"/>
      <c r="G1054" s="121"/>
      <c r="H1054" s="121"/>
      <c r="I1054" s="121"/>
      <c r="J1054" s="121"/>
      <c r="K1054" s="121"/>
      <c r="L1054" s="121"/>
      <c r="M1054" s="121"/>
      <c r="N1054" s="121"/>
      <c r="O1054" s="19"/>
    </row>
    <row r="1055" spans="1:15" ht="12.75" customHeight="1" x14ac:dyDescent="0.15">
      <c r="A1055" s="121"/>
      <c r="B1055" s="121"/>
      <c r="C1055" s="121"/>
      <c r="D1055" s="121"/>
      <c r="E1055" s="121"/>
      <c r="F1055" s="121"/>
      <c r="G1055" s="121"/>
      <c r="H1055" s="121"/>
      <c r="I1055" s="121"/>
      <c r="J1055" s="121"/>
      <c r="K1055" s="121"/>
      <c r="L1055" s="121"/>
      <c r="M1055" s="121"/>
      <c r="N1055" s="121"/>
      <c r="O1055" s="19"/>
    </row>
    <row r="1056" spans="1:15" ht="12.75" customHeight="1" x14ac:dyDescent="0.15">
      <c r="A1056" s="121"/>
      <c r="B1056" s="121"/>
      <c r="C1056" s="121"/>
      <c r="D1056" s="121"/>
      <c r="E1056" s="121"/>
      <c r="F1056" s="121"/>
      <c r="G1056" s="121"/>
      <c r="H1056" s="121"/>
      <c r="I1056" s="121"/>
      <c r="J1056" s="121"/>
      <c r="K1056" s="121"/>
      <c r="L1056" s="121"/>
      <c r="M1056" s="121"/>
      <c r="N1056" s="121"/>
      <c r="O1056" s="19"/>
    </row>
    <row r="1057" spans="1:15" ht="12.75" customHeight="1" x14ac:dyDescent="0.15">
      <c r="A1057" s="121"/>
      <c r="B1057" s="121"/>
      <c r="C1057" s="121"/>
      <c r="D1057" s="121"/>
      <c r="E1057" s="121"/>
      <c r="F1057" s="121"/>
      <c r="G1057" s="121"/>
      <c r="H1057" s="121"/>
      <c r="I1057" s="121"/>
      <c r="J1057" s="121"/>
      <c r="K1057" s="121"/>
      <c r="L1057" s="121"/>
      <c r="M1057" s="121"/>
      <c r="N1057" s="121"/>
      <c r="O1057" s="19"/>
    </row>
    <row r="1058" spans="1:15" ht="12.75" customHeight="1" x14ac:dyDescent="0.15">
      <c r="A1058" s="121"/>
      <c r="B1058" s="121"/>
      <c r="C1058" s="121"/>
      <c r="D1058" s="121"/>
      <c r="E1058" s="121"/>
      <c r="F1058" s="121"/>
      <c r="G1058" s="121"/>
      <c r="H1058" s="121"/>
      <c r="I1058" s="121"/>
      <c r="J1058" s="121"/>
      <c r="K1058" s="121"/>
      <c r="L1058" s="121"/>
      <c r="M1058" s="121"/>
      <c r="N1058" s="121"/>
      <c r="O1058" s="19"/>
    </row>
    <row r="1059" spans="1:15" ht="12.75" customHeight="1" x14ac:dyDescent="0.15">
      <c r="A1059" s="121"/>
      <c r="B1059" s="121"/>
      <c r="C1059" s="121"/>
      <c r="D1059" s="121"/>
      <c r="E1059" s="121"/>
      <c r="F1059" s="121"/>
      <c r="G1059" s="121"/>
      <c r="H1059" s="121"/>
      <c r="I1059" s="121"/>
      <c r="J1059" s="121"/>
      <c r="K1059" s="121"/>
      <c r="L1059" s="121"/>
      <c r="M1059" s="121"/>
      <c r="N1059" s="121"/>
      <c r="O1059" s="19"/>
    </row>
    <row r="1060" spans="1:15" ht="12.75" customHeight="1" x14ac:dyDescent="0.15">
      <c r="A1060" s="121"/>
      <c r="B1060" s="121"/>
      <c r="C1060" s="121"/>
      <c r="D1060" s="121"/>
      <c r="E1060" s="121"/>
      <c r="F1060" s="121"/>
      <c r="G1060" s="121"/>
      <c r="H1060" s="121"/>
      <c r="I1060" s="121"/>
      <c r="J1060" s="121"/>
      <c r="K1060" s="121"/>
      <c r="L1060" s="121"/>
      <c r="M1060" s="121"/>
      <c r="N1060" s="121"/>
      <c r="O1060" s="19"/>
    </row>
    <row r="1061" spans="1:15" ht="12.75" customHeight="1" x14ac:dyDescent="0.15">
      <c r="A1061" s="121"/>
      <c r="B1061" s="121"/>
      <c r="C1061" s="121"/>
      <c r="D1061" s="121"/>
      <c r="E1061" s="121"/>
      <c r="F1061" s="121"/>
      <c r="G1061" s="121"/>
      <c r="H1061" s="121"/>
      <c r="I1061" s="121"/>
      <c r="J1061" s="121"/>
      <c r="K1061" s="121"/>
      <c r="L1061" s="121"/>
      <c r="M1061" s="121"/>
      <c r="N1061" s="121"/>
      <c r="O1061" s="19"/>
    </row>
    <row r="1062" spans="1:15" ht="12.75" customHeight="1" x14ac:dyDescent="0.15">
      <c r="A1062" s="121"/>
      <c r="B1062" s="121"/>
      <c r="C1062" s="121"/>
      <c r="D1062" s="121"/>
      <c r="E1062" s="121"/>
      <c r="F1062" s="121"/>
      <c r="G1062" s="121"/>
      <c r="H1062" s="121"/>
      <c r="I1062" s="121"/>
      <c r="J1062" s="121"/>
      <c r="K1062" s="121"/>
      <c r="L1062" s="121"/>
      <c r="M1062" s="121"/>
      <c r="N1062" s="121"/>
      <c r="O1062" s="19"/>
    </row>
    <row r="1063" spans="1:15" ht="12.75" customHeight="1" x14ac:dyDescent="0.15">
      <c r="A1063" s="121"/>
      <c r="B1063" s="121"/>
      <c r="C1063" s="121"/>
      <c r="D1063" s="121"/>
      <c r="E1063" s="121"/>
      <c r="F1063" s="121"/>
      <c r="G1063" s="121"/>
      <c r="H1063" s="121"/>
      <c r="I1063" s="121"/>
      <c r="J1063" s="121"/>
      <c r="K1063" s="121"/>
      <c r="L1063" s="121"/>
      <c r="M1063" s="121"/>
      <c r="N1063" s="121"/>
      <c r="O1063" s="19"/>
    </row>
    <row r="1064" spans="1:15" ht="12.75" customHeight="1" x14ac:dyDescent="0.15">
      <c r="A1064" s="121"/>
      <c r="B1064" s="121"/>
      <c r="C1064" s="121"/>
      <c r="D1064" s="121"/>
      <c r="E1064" s="121"/>
      <c r="F1064" s="121"/>
      <c r="G1064" s="121"/>
      <c r="H1064" s="121"/>
      <c r="I1064" s="121"/>
      <c r="J1064" s="121"/>
      <c r="K1064" s="121"/>
      <c r="L1064" s="121"/>
      <c r="M1064" s="121"/>
      <c r="N1064" s="121"/>
      <c r="O1064" s="19"/>
    </row>
    <row r="1065" spans="1:15" ht="12.75" customHeight="1" x14ac:dyDescent="0.15">
      <c r="A1065" s="121"/>
      <c r="B1065" s="121"/>
      <c r="C1065" s="121"/>
      <c r="D1065" s="121"/>
      <c r="E1065" s="121"/>
      <c r="F1065" s="121"/>
      <c r="G1065" s="121"/>
      <c r="H1065" s="121"/>
      <c r="I1065" s="121"/>
      <c r="J1065" s="121"/>
      <c r="K1065" s="121"/>
      <c r="L1065" s="121"/>
      <c r="M1065" s="121"/>
      <c r="N1065" s="121"/>
      <c r="O1065" s="19"/>
    </row>
    <row r="1066" spans="1:15" ht="12.75" customHeight="1" x14ac:dyDescent="0.15">
      <c r="A1066" s="121"/>
      <c r="B1066" s="121"/>
      <c r="C1066" s="121"/>
      <c r="D1066" s="121"/>
      <c r="E1066" s="121"/>
      <c r="F1066" s="121"/>
      <c r="G1066" s="121"/>
      <c r="H1066" s="121"/>
      <c r="I1066" s="121"/>
      <c r="J1066" s="121"/>
      <c r="K1066" s="121"/>
      <c r="L1066" s="121"/>
      <c r="M1066" s="121"/>
      <c r="N1066" s="121"/>
      <c r="O1066" s="19"/>
    </row>
    <row r="1067" spans="1:15" ht="12.75" customHeight="1" x14ac:dyDescent="0.15">
      <c r="A1067" s="121"/>
      <c r="B1067" s="121"/>
      <c r="C1067" s="121"/>
      <c r="D1067" s="121"/>
      <c r="E1067" s="121"/>
      <c r="F1067" s="121"/>
      <c r="G1067" s="121"/>
      <c r="H1067" s="121"/>
      <c r="I1067" s="121"/>
      <c r="J1067" s="121"/>
      <c r="K1067" s="121"/>
      <c r="L1067" s="121"/>
      <c r="M1067" s="121"/>
      <c r="N1067" s="121"/>
      <c r="O1067" s="19"/>
    </row>
    <row r="1068" spans="1:15" ht="12.75" customHeight="1" x14ac:dyDescent="0.15">
      <c r="A1068" s="121"/>
      <c r="B1068" s="121"/>
      <c r="C1068" s="121"/>
      <c r="D1068" s="121"/>
      <c r="E1068" s="121"/>
      <c r="F1068" s="121"/>
      <c r="G1068" s="121"/>
      <c r="H1068" s="121"/>
      <c r="I1068" s="121"/>
      <c r="J1068" s="121"/>
      <c r="K1068" s="121"/>
      <c r="L1068" s="121"/>
      <c r="M1068" s="121"/>
      <c r="N1068" s="121"/>
      <c r="O1068" s="19"/>
    </row>
    <row r="1069" spans="1:15" ht="12.75" customHeight="1" x14ac:dyDescent="0.15">
      <c r="A1069" s="121"/>
      <c r="B1069" s="121"/>
      <c r="C1069" s="121"/>
      <c r="D1069" s="121"/>
      <c r="E1069" s="121"/>
      <c r="F1069" s="121"/>
      <c r="G1069" s="121"/>
      <c r="H1069" s="121"/>
      <c r="I1069" s="121"/>
      <c r="J1069" s="121"/>
      <c r="K1069" s="121"/>
      <c r="L1069" s="121"/>
      <c r="M1069" s="121"/>
      <c r="N1069" s="121"/>
      <c r="O1069" s="19"/>
    </row>
    <row r="1070" spans="1:15" ht="12.75" customHeight="1" x14ac:dyDescent="0.15">
      <c r="A1070" s="121"/>
      <c r="B1070" s="121"/>
      <c r="C1070" s="121"/>
      <c r="D1070" s="121"/>
      <c r="E1070" s="121"/>
      <c r="F1070" s="121"/>
      <c r="G1070" s="121"/>
      <c r="H1070" s="121"/>
      <c r="I1070" s="121"/>
      <c r="J1070" s="121"/>
      <c r="K1070" s="121"/>
      <c r="L1070" s="121"/>
      <c r="M1070" s="121"/>
      <c r="N1070" s="121"/>
      <c r="O1070" s="19"/>
    </row>
    <row r="1071" spans="1:15" ht="12.75" customHeight="1" x14ac:dyDescent="0.15">
      <c r="A1071" s="121"/>
      <c r="B1071" s="121"/>
      <c r="C1071" s="121"/>
      <c r="D1071" s="121"/>
      <c r="E1071" s="121"/>
      <c r="F1071" s="121"/>
      <c r="G1071" s="121"/>
      <c r="H1071" s="121"/>
      <c r="I1071" s="121"/>
      <c r="J1071" s="121"/>
      <c r="K1071" s="121"/>
      <c r="L1071" s="121"/>
      <c r="M1071" s="121"/>
      <c r="N1071" s="121"/>
      <c r="O1071" s="19"/>
    </row>
    <row r="1072" spans="1:15" ht="12.75" customHeight="1" x14ac:dyDescent="0.15">
      <c r="A1072" s="121"/>
      <c r="B1072" s="121"/>
      <c r="C1072" s="121"/>
      <c r="D1072" s="121"/>
      <c r="E1072" s="121"/>
      <c r="F1072" s="121"/>
      <c r="G1072" s="121"/>
      <c r="H1072" s="121"/>
      <c r="I1072" s="121"/>
      <c r="J1072" s="121"/>
      <c r="K1072" s="121"/>
      <c r="L1072" s="121"/>
      <c r="M1072" s="121"/>
      <c r="N1072" s="121"/>
      <c r="O1072" s="19"/>
    </row>
    <row r="1073" spans="1:15" ht="12.75" customHeight="1" x14ac:dyDescent="0.15">
      <c r="A1073" s="121"/>
      <c r="B1073" s="121"/>
      <c r="C1073" s="121"/>
      <c r="D1073" s="121"/>
      <c r="E1073" s="121"/>
      <c r="F1073" s="121"/>
      <c r="G1073" s="121"/>
      <c r="H1073" s="121"/>
      <c r="I1073" s="121"/>
      <c r="J1073" s="121"/>
      <c r="K1073" s="121"/>
      <c r="L1073" s="121"/>
      <c r="M1073" s="121"/>
      <c r="N1073" s="121"/>
      <c r="O1073" s="19"/>
    </row>
    <row r="1074" spans="1:15" ht="12.75" customHeight="1" x14ac:dyDescent="0.15">
      <c r="A1074" s="121"/>
      <c r="B1074" s="121"/>
      <c r="C1074" s="121"/>
      <c r="D1074" s="121"/>
      <c r="E1074" s="121"/>
      <c r="F1074" s="121"/>
      <c r="G1074" s="121"/>
      <c r="H1074" s="121"/>
      <c r="I1074" s="121"/>
      <c r="J1074" s="121"/>
      <c r="K1074" s="121"/>
      <c r="L1074" s="121"/>
      <c r="M1074" s="121"/>
      <c r="N1074" s="121"/>
      <c r="O1074" s="19"/>
    </row>
    <row r="1075" spans="1:15" ht="12.75" customHeight="1" x14ac:dyDescent="0.15">
      <c r="A1075" s="121"/>
      <c r="B1075" s="121"/>
      <c r="C1075" s="121"/>
      <c r="D1075" s="121"/>
      <c r="E1075" s="121"/>
      <c r="F1075" s="121"/>
      <c r="G1075" s="121"/>
      <c r="H1075" s="121"/>
      <c r="I1075" s="121"/>
      <c r="J1075" s="121"/>
      <c r="K1075" s="121"/>
      <c r="L1075" s="121"/>
      <c r="M1075" s="121"/>
      <c r="N1075" s="121"/>
      <c r="O1075" s="19"/>
    </row>
    <row r="1076" spans="1:15" ht="12.75" customHeight="1" x14ac:dyDescent="0.15">
      <c r="A1076" s="121"/>
      <c r="B1076" s="121"/>
      <c r="C1076" s="121"/>
      <c r="D1076" s="121"/>
      <c r="E1076" s="121"/>
      <c r="F1076" s="121"/>
      <c r="G1076" s="121"/>
      <c r="H1076" s="121"/>
      <c r="I1076" s="121"/>
      <c r="J1076" s="121"/>
      <c r="K1076" s="121"/>
      <c r="L1076" s="121"/>
      <c r="M1076" s="121"/>
      <c r="N1076" s="121"/>
      <c r="O1076" s="19"/>
    </row>
    <row r="1077" spans="1:15" ht="12.75" customHeight="1" x14ac:dyDescent="0.15">
      <c r="A1077" s="121"/>
      <c r="B1077" s="121"/>
      <c r="C1077" s="121"/>
      <c r="D1077" s="121"/>
      <c r="E1077" s="121"/>
      <c r="F1077" s="121"/>
      <c r="G1077" s="121"/>
      <c r="H1077" s="121"/>
      <c r="I1077" s="121"/>
      <c r="J1077" s="121"/>
      <c r="K1077" s="121"/>
      <c r="L1077" s="121"/>
      <c r="M1077" s="121"/>
      <c r="N1077" s="121"/>
      <c r="O1077" s="19"/>
    </row>
    <row r="1078" spans="1:15" ht="12.75" customHeight="1" x14ac:dyDescent="0.15">
      <c r="A1078" s="121"/>
      <c r="B1078" s="121"/>
      <c r="C1078" s="121"/>
      <c r="D1078" s="121"/>
      <c r="E1078" s="121"/>
      <c r="F1078" s="121"/>
      <c r="G1078" s="121"/>
      <c r="H1078" s="121"/>
      <c r="I1078" s="121"/>
      <c r="J1078" s="121"/>
      <c r="K1078" s="121"/>
      <c r="L1078" s="121"/>
      <c r="M1078" s="121"/>
      <c r="N1078" s="121"/>
      <c r="O1078" s="19"/>
    </row>
    <row r="1079" spans="1:15" ht="12.75" customHeight="1" x14ac:dyDescent="0.15">
      <c r="A1079" s="121"/>
      <c r="B1079" s="121"/>
      <c r="C1079" s="121"/>
      <c r="D1079" s="121"/>
      <c r="E1079" s="121"/>
      <c r="F1079" s="121"/>
      <c r="G1079" s="121"/>
      <c r="H1079" s="121"/>
      <c r="I1079" s="121"/>
      <c r="J1079" s="121"/>
      <c r="K1079" s="121"/>
      <c r="L1079" s="121"/>
      <c r="M1079" s="121"/>
      <c r="N1079" s="121"/>
      <c r="O1079" s="19"/>
    </row>
    <row r="1080" spans="1:15" ht="12.75" customHeight="1" x14ac:dyDescent="0.15">
      <c r="A1080" s="121"/>
      <c r="B1080" s="121"/>
      <c r="C1080" s="121"/>
      <c r="D1080" s="121"/>
      <c r="E1080" s="121"/>
      <c r="F1080" s="121"/>
      <c r="G1080" s="121"/>
      <c r="H1080" s="121"/>
      <c r="I1080" s="121"/>
      <c r="J1080" s="121"/>
      <c r="K1080" s="121"/>
      <c r="L1080" s="121"/>
      <c r="M1080" s="121"/>
      <c r="N1080" s="121"/>
      <c r="O1080" s="19"/>
    </row>
    <row r="1081" spans="1:15" ht="12.75" customHeight="1" x14ac:dyDescent="0.15">
      <c r="A1081" s="121"/>
      <c r="B1081" s="121"/>
      <c r="C1081" s="121"/>
      <c r="D1081" s="121"/>
      <c r="E1081" s="121"/>
      <c r="F1081" s="121"/>
      <c r="G1081" s="121"/>
      <c r="H1081" s="121"/>
      <c r="I1081" s="121"/>
      <c r="J1081" s="121"/>
      <c r="K1081" s="121"/>
      <c r="L1081" s="121"/>
      <c r="M1081" s="121"/>
      <c r="N1081" s="121"/>
      <c r="O1081" s="19"/>
    </row>
    <row r="1082" spans="1:15" ht="12.75" customHeight="1" x14ac:dyDescent="0.15">
      <c r="A1082" s="121"/>
      <c r="B1082" s="121"/>
      <c r="C1082" s="121"/>
      <c r="D1082" s="121"/>
      <c r="E1082" s="121"/>
      <c r="F1082" s="121"/>
      <c r="G1082" s="121"/>
      <c r="H1082" s="121"/>
      <c r="I1082" s="121"/>
      <c r="J1082" s="121"/>
      <c r="K1082" s="121"/>
      <c r="L1082" s="121"/>
      <c r="M1082" s="121"/>
      <c r="N1082" s="121"/>
      <c r="O1082" s="19"/>
    </row>
    <row r="1083" spans="1:15" ht="12.75" customHeight="1" x14ac:dyDescent="0.15">
      <c r="A1083" s="121"/>
      <c r="B1083" s="121"/>
      <c r="C1083" s="121"/>
      <c r="D1083" s="121"/>
      <c r="E1083" s="121"/>
      <c r="F1083" s="121"/>
      <c r="G1083" s="121"/>
      <c r="H1083" s="121"/>
      <c r="I1083" s="121"/>
      <c r="J1083" s="121"/>
      <c r="K1083" s="121"/>
      <c r="L1083" s="121"/>
      <c r="M1083" s="121"/>
      <c r="N1083" s="121"/>
      <c r="O1083" s="19"/>
    </row>
    <row r="1084" spans="1:15" ht="12.75" customHeight="1" x14ac:dyDescent="0.15">
      <c r="A1084" s="121"/>
      <c r="B1084" s="121"/>
      <c r="C1084" s="121"/>
      <c r="D1084" s="121"/>
      <c r="E1084" s="121"/>
      <c r="F1084" s="121"/>
      <c r="G1084" s="121"/>
      <c r="H1084" s="121"/>
      <c r="I1084" s="121"/>
      <c r="J1084" s="121"/>
      <c r="K1084" s="121"/>
      <c r="L1084" s="121"/>
      <c r="M1084" s="121"/>
      <c r="N1084" s="121"/>
      <c r="O1084" s="19"/>
    </row>
    <row r="1085" spans="1:15" ht="12.75" customHeight="1" x14ac:dyDescent="0.15">
      <c r="A1085" s="121"/>
      <c r="B1085" s="121"/>
      <c r="C1085" s="121"/>
      <c r="D1085" s="121"/>
      <c r="E1085" s="121"/>
      <c r="F1085" s="121"/>
      <c r="G1085" s="121"/>
      <c r="H1085" s="121"/>
      <c r="I1085" s="121"/>
      <c r="J1085" s="121"/>
      <c r="K1085" s="121"/>
      <c r="L1085" s="121"/>
      <c r="M1085" s="121"/>
      <c r="N1085" s="121"/>
      <c r="O1085" s="19"/>
    </row>
    <row r="1086" spans="1:15" ht="12.75" customHeight="1" x14ac:dyDescent="0.15">
      <c r="A1086" s="121"/>
      <c r="B1086" s="121"/>
      <c r="C1086" s="121"/>
      <c r="D1086" s="121"/>
      <c r="E1086" s="121"/>
      <c r="F1086" s="121"/>
      <c r="G1086" s="121"/>
      <c r="H1086" s="121"/>
      <c r="I1086" s="121"/>
      <c r="J1086" s="121"/>
      <c r="K1086" s="121"/>
      <c r="L1086" s="121"/>
      <c r="M1086" s="121"/>
      <c r="N1086" s="121"/>
      <c r="O1086" s="19"/>
    </row>
    <row r="1087" spans="1:15" ht="12.75" customHeight="1" x14ac:dyDescent="0.15">
      <c r="A1087" s="121"/>
      <c r="B1087" s="121"/>
      <c r="C1087" s="121"/>
      <c r="D1087" s="121"/>
      <c r="E1087" s="121"/>
      <c r="F1087" s="121"/>
      <c r="G1087" s="121"/>
      <c r="H1087" s="121"/>
      <c r="I1087" s="121"/>
      <c r="J1087" s="121"/>
      <c r="K1087" s="121"/>
      <c r="L1087" s="121"/>
      <c r="M1087" s="121"/>
      <c r="N1087" s="121"/>
      <c r="O1087" s="19"/>
    </row>
    <row r="1088" spans="1:15" ht="12.75" customHeight="1" x14ac:dyDescent="0.15">
      <c r="A1088" s="121"/>
      <c r="B1088" s="121"/>
      <c r="C1088" s="121"/>
      <c r="D1088" s="121"/>
      <c r="E1088" s="121"/>
      <c r="F1088" s="121"/>
      <c r="G1088" s="121"/>
      <c r="H1088" s="121"/>
      <c r="I1088" s="121"/>
      <c r="J1088" s="121"/>
      <c r="K1088" s="121"/>
      <c r="L1088" s="121"/>
      <c r="M1088" s="121"/>
      <c r="N1088" s="121"/>
      <c r="O1088" s="19"/>
    </row>
    <row r="1089" spans="1:15" ht="12.75" customHeight="1" x14ac:dyDescent="0.15">
      <c r="A1089" s="121"/>
      <c r="B1089" s="121"/>
      <c r="C1089" s="121"/>
      <c r="D1089" s="121"/>
      <c r="E1089" s="121"/>
      <c r="F1089" s="121"/>
      <c r="G1089" s="121"/>
      <c r="H1089" s="121"/>
      <c r="I1089" s="121"/>
      <c r="J1089" s="121"/>
      <c r="K1089" s="121"/>
      <c r="L1089" s="121"/>
      <c r="M1089" s="121"/>
      <c r="N1089" s="121"/>
      <c r="O1089" s="19"/>
    </row>
    <row r="1090" spans="1:15" ht="12.75" customHeight="1" x14ac:dyDescent="0.15">
      <c r="A1090" s="121"/>
      <c r="B1090" s="121"/>
      <c r="C1090" s="121"/>
      <c r="D1090" s="121"/>
      <c r="E1090" s="121"/>
      <c r="F1090" s="121"/>
      <c r="G1090" s="121"/>
      <c r="H1090" s="121"/>
      <c r="I1090" s="121"/>
      <c r="J1090" s="121"/>
      <c r="K1090" s="121"/>
      <c r="L1090" s="121"/>
      <c r="M1090" s="121"/>
      <c r="N1090" s="121"/>
      <c r="O1090" s="19"/>
    </row>
    <row r="1091" spans="1:15" ht="12.75" customHeight="1" x14ac:dyDescent="0.15">
      <c r="A1091" s="121"/>
      <c r="B1091" s="121"/>
      <c r="C1091" s="121"/>
      <c r="D1091" s="121"/>
      <c r="E1091" s="121"/>
      <c r="F1091" s="121"/>
      <c r="G1091" s="121"/>
      <c r="H1091" s="121"/>
      <c r="I1091" s="121"/>
      <c r="J1091" s="121"/>
      <c r="K1091" s="121"/>
      <c r="L1091" s="121"/>
      <c r="M1091" s="121"/>
      <c r="N1091" s="121"/>
      <c r="O1091" s="19"/>
    </row>
    <row r="1092" spans="1:15" ht="12.75" customHeight="1" x14ac:dyDescent="0.15">
      <c r="A1092" s="121"/>
      <c r="B1092" s="121"/>
      <c r="C1092" s="121"/>
      <c r="D1092" s="121"/>
      <c r="E1092" s="121"/>
      <c r="F1092" s="121"/>
      <c r="G1092" s="121"/>
      <c r="H1092" s="121"/>
      <c r="I1092" s="121"/>
      <c r="J1092" s="121"/>
      <c r="K1092" s="121"/>
      <c r="L1092" s="121"/>
      <c r="M1092" s="121"/>
      <c r="N1092" s="121"/>
      <c r="O1092" s="19"/>
    </row>
    <row r="1093" spans="1:15" ht="12.75" customHeight="1" x14ac:dyDescent="0.15">
      <c r="A1093" s="121"/>
      <c r="B1093" s="121"/>
      <c r="C1093" s="121"/>
      <c r="D1093" s="121"/>
      <c r="E1093" s="121"/>
      <c r="F1093" s="121"/>
      <c r="G1093" s="121"/>
      <c r="H1093" s="121"/>
      <c r="I1093" s="121"/>
      <c r="J1093" s="121"/>
      <c r="K1093" s="121"/>
      <c r="L1093" s="121"/>
      <c r="M1093" s="121"/>
      <c r="N1093" s="121"/>
      <c r="O1093" s="19"/>
    </row>
    <row r="1094" spans="1:15" ht="12.75" customHeight="1" x14ac:dyDescent="0.15">
      <c r="A1094" s="121"/>
      <c r="B1094" s="121"/>
      <c r="C1094" s="121"/>
      <c r="D1094" s="121"/>
      <c r="E1094" s="121"/>
      <c r="F1094" s="121"/>
      <c r="G1094" s="121"/>
      <c r="H1094" s="121"/>
      <c r="I1094" s="121"/>
      <c r="J1094" s="121"/>
      <c r="K1094" s="121"/>
      <c r="L1094" s="121"/>
      <c r="M1094" s="121"/>
      <c r="N1094" s="121"/>
      <c r="O1094" s="19"/>
    </row>
    <row r="1095" spans="1:15" ht="12.75" customHeight="1" x14ac:dyDescent="0.15">
      <c r="A1095" s="121"/>
      <c r="B1095" s="121"/>
      <c r="C1095" s="121"/>
      <c r="D1095" s="121"/>
      <c r="E1095" s="121"/>
      <c r="F1095" s="121"/>
      <c r="G1095" s="121"/>
      <c r="H1095" s="121"/>
      <c r="I1095" s="121"/>
      <c r="J1095" s="121"/>
      <c r="K1095" s="121"/>
      <c r="L1095" s="121"/>
      <c r="M1095" s="121"/>
      <c r="N1095" s="121"/>
      <c r="O1095" s="19"/>
    </row>
    <row r="1096" spans="1:15" ht="12.75" customHeight="1" x14ac:dyDescent="0.15">
      <c r="A1096" s="121"/>
      <c r="B1096" s="121"/>
      <c r="C1096" s="121"/>
      <c r="D1096" s="121"/>
      <c r="E1096" s="121"/>
      <c r="F1096" s="121"/>
      <c r="G1096" s="121"/>
      <c r="H1096" s="121"/>
      <c r="I1096" s="121"/>
      <c r="J1096" s="121"/>
      <c r="K1096" s="121"/>
      <c r="L1096" s="121"/>
      <c r="M1096" s="121"/>
      <c r="N1096" s="121"/>
      <c r="O1096" s="19"/>
    </row>
    <row r="1097" spans="1:15" ht="12.75" customHeight="1" x14ac:dyDescent="0.15">
      <c r="A1097" s="121"/>
      <c r="B1097" s="121"/>
      <c r="C1097" s="121"/>
      <c r="D1097" s="121"/>
      <c r="E1097" s="121"/>
      <c r="F1097" s="121"/>
      <c r="G1097" s="121"/>
      <c r="H1097" s="121"/>
      <c r="I1097" s="121"/>
      <c r="J1097" s="121"/>
      <c r="K1097" s="121"/>
      <c r="L1097" s="121"/>
      <c r="M1097" s="121"/>
      <c r="N1097" s="121"/>
      <c r="O1097" s="19"/>
    </row>
    <row r="1098" spans="1:15" ht="12.75" customHeight="1" x14ac:dyDescent="0.15">
      <c r="A1098" s="121"/>
      <c r="B1098" s="121"/>
      <c r="C1098" s="121"/>
      <c r="D1098" s="121"/>
      <c r="E1098" s="121"/>
      <c r="F1098" s="121"/>
      <c r="G1098" s="121"/>
      <c r="H1098" s="121"/>
      <c r="I1098" s="121"/>
      <c r="J1098" s="121"/>
      <c r="K1098" s="121"/>
      <c r="L1098" s="121"/>
      <c r="M1098" s="121"/>
      <c r="N1098" s="121"/>
      <c r="O1098" s="19"/>
    </row>
    <row r="1099" spans="1:15" ht="12.75" customHeight="1" x14ac:dyDescent="0.15">
      <c r="A1099" s="121"/>
      <c r="B1099" s="121"/>
      <c r="C1099" s="121"/>
      <c r="D1099" s="121"/>
      <c r="E1099" s="121"/>
      <c r="F1099" s="121"/>
      <c r="G1099" s="121"/>
      <c r="H1099" s="121"/>
      <c r="I1099" s="121"/>
      <c r="J1099" s="121"/>
      <c r="K1099" s="121"/>
      <c r="L1099" s="121"/>
      <c r="M1099" s="121"/>
      <c r="N1099" s="121"/>
      <c r="O1099" s="19"/>
    </row>
    <row r="1100" spans="1:15" ht="12.75" customHeight="1" x14ac:dyDescent="0.15">
      <c r="A1100" s="121"/>
      <c r="B1100" s="121"/>
      <c r="C1100" s="121"/>
      <c r="D1100" s="121"/>
      <c r="E1100" s="121"/>
      <c r="F1100" s="121"/>
      <c r="G1100" s="121"/>
      <c r="H1100" s="121"/>
      <c r="I1100" s="121"/>
      <c r="J1100" s="121"/>
      <c r="K1100" s="121"/>
      <c r="L1100" s="121"/>
      <c r="M1100" s="121"/>
      <c r="N1100" s="121"/>
      <c r="O1100" s="19"/>
    </row>
    <row r="1101" spans="1:15" ht="12.75" customHeight="1" x14ac:dyDescent="0.15">
      <c r="A1101" s="121"/>
      <c r="B1101" s="121"/>
      <c r="C1101" s="121"/>
      <c r="D1101" s="121"/>
      <c r="E1101" s="121"/>
      <c r="F1101" s="121"/>
      <c r="G1101" s="121"/>
      <c r="H1101" s="121"/>
      <c r="I1101" s="121"/>
      <c r="J1101" s="121"/>
      <c r="K1101" s="121"/>
      <c r="L1101" s="121"/>
      <c r="M1101" s="121"/>
      <c r="N1101" s="121"/>
      <c r="O1101" s="19"/>
    </row>
    <row r="1102" spans="1:15" ht="12.75" customHeight="1" x14ac:dyDescent="0.15">
      <c r="A1102" s="121"/>
      <c r="B1102" s="121"/>
      <c r="C1102" s="121"/>
      <c r="D1102" s="121"/>
      <c r="E1102" s="121"/>
      <c r="F1102" s="121"/>
      <c r="G1102" s="121"/>
      <c r="H1102" s="121"/>
      <c r="I1102" s="121"/>
      <c r="J1102" s="121"/>
      <c r="K1102" s="121"/>
      <c r="L1102" s="121"/>
      <c r="M1102" s="121"/>
      <c r="N1102" s="121"/>
      <c r="O1102" s="19"/>
    </row>
    <row r="1103" spans="1:15" ht="12.75" customHeight="1" x14ac:dyDescent="0.15">
      <c r="A1103" s="121"/>
      <c r="B1103" s="121"/>
      <c r="C1103" s="121"/>
      <c r="D1103" s="121"/>
      <c r="E1103" s="121"/>
      <c r="F1103" s="121"/>
      <c r="G1103" s="121"/>
      <c r="H1103" s="121"/>
      <c r="I1103" s="121"/>
      <c r="J1103" s="121"/>
      <c r="K1103" s="121"/>
      <c r="L1103" s="121"/>
      <c r="M1103" s="121"/>
      <c r="N1103" s="121"/>
      <c r="O1103" s="19"/>
    </row>
    <row r="1104" spans="1:15" ht="12.75" customHeight="1" x14ac:dyDescent="0.15">
      <c r="A1104" s="121"/>
      <c r="B1104" s="121"/>
      <c r="C1104" s="121"/>
      <c r="D1104" s="121"/>
      <c r="E1104" s="121"/>
      <c r="F1104" s="121"/>
      <c r="G1104" s="121"/>
      <c r="H1104" s="121"/>
      <c r="I1104" s="121"/>
      <c r="J1104" s="121"/>
      <c r="K1104" s="121"/>
      <c r="L1104" s="121"/>
      <c r="M1104" s="121"/>
      <c r="N1104" s="121"/>
      <c r="O1104" s="19"/>
    </row>
    <row r="1105" spans="1:15" ht="12.75" customHeight="1" x14ac:dyDescent="0.15">
      <c r="A1105" s="121"/>
      <c r="B1105" s="121"/>
      <c r="C1105" s="121"/>
      <c r="D1105" s="121"/>
      <c r="E1105" s="121"/>
      <c r="F1105" s="121"/>
      <c r="G1105" s="121"/>
      <c r="H1105" s="121"/>
      <c r="I1105" s="121"/>
      <c r="J1105" s="121"/>
      <c r="K1105" s="121"/>
      <c r="L1105" s="121"/>
      <c r="M1105" s="121"/>
      <c r="N1105" s="121"/>
      <c r="O1105" s="19"/>
    </row>
    <row r="1106" spans="1:15" ht="12.75" customHeight="1" x14ac:dyDescent="0.15">
      <c r="A1106" s="121"/>
      <c r="B1106" s="121"/>
      <c r="C1106" s="121"/>
      <c r="D1106" s="121"/>
      <c r="E1106" s="121"/>
      <c r="F1106" s="121"/>
      <c r="G1106" s="121"/>
      <c r="H1106" s="121"/>
      <c r="I1106" s="121"/>
      <c r="J1106" s="121"/>
      <c r="K1106" s="121"/>
      <c r="L1106" s="121"/>
      <c r="M1106" s="121"/>
      <c r="N1106" s="121"/>
      <c r="O1106" s="19"/>
    </row>
    <row r="1107" spans="1:15" ht="12.75" customHeight="1" x14ac:dyDescent="0.15">
      <c r="A1107" s="121"/>
      <c r="B1107" s="121"/>
      <c r="C1107" s="121"/>
      <c r="D1107" s="121"/>
      <c r="E1107" s="121"/>
      <c r="F1107" s="121"/>
      <c r="G1107" s="121"/>
      <c r="H1107" s="121"/>
      <c r="I1107" s="121"/>
      <c r="J1107" s="121"/>
      <c r="K1107" s="121"/>
      <c r="L1107" s="121"/>
      <c r="M1107" s="121"/>
      <c r="N1107" s="121"/>
      <c r="O1107" s="19"/>
    </row>
    <row r="1108" spans="1:15" ht="12.75" customHeight="1" x14ac:dyDescent="0.15">
      <c r="A1108" s="121"/>
      <c r="B1108" s="121"/>
      <c r="C1108" s="121"/>
      <c r="D1108" s="121"/>
      <c r="E1108" s="121"/>
      <c r="F1108" s="121"/>
      <c r="G1108" s="121"/>
      <c r="H1108" s="121"/>
      <c r="I1108" s="121"/>
      <c r="J1108" s="121"/>
      <c r="K1108" s="121"/>
      <c r="L1108" s="121"/>
      <c r="M1108" s="121"/>
      <c r="N1108" s="121"/>
      <c r="O1108" s="19"/>
    </row>
    <row r="1109" spans="1:15" ht="12.75" customHeight="1" x14ac:dyDescent="0.15">
      <c r="A1109" s="121"/>
      <c r="B1109" s="121"/>
      <c r="C1109" s="121"/>
      <c r="D1109" s="121"/>
      <c r="E1109" s="121"/>
      <c r="F1109" s="121"/>
      <c r="G1109" s="121"/>
      <c r="H1109" s="121"/>
      <c r="I1109" s="121"/>
      <c r="J1109" s="121"/>
      <c r="K1109" s="121"/>
      <c r="L1109" s="121"/>
      <c r="M1109" s="121"/>
      <c r="N1109" s="121"/>
      <c r="O1109" s="19"/>
    </row>
    <row r="1110" spans="1:15" ht="12.75" customHeight="1" x14ac:dyDescent="0.15">
      <c r="A1110" s="121"/>
      <c r="B1110" s="121"/>
      <c r="C1110" s="121"/>
      <c r="D1110" s="121"/>
      <c r="E1110" s="121"/>
      <c r="F1110" s="121"/>
      <c r="G1110" s="121"/>
      <c r="H1110" s="121"/>
      <c r="I1110" s="121"/>
      <c r="J1110" s="121"/>
      <c r="K1110" s="121"/>
      <c r="L1110" s="121"/>
      <c r="M1110" s="121"/>
      <c r="N1110" s="121"/>
      <c r="O1110" s="19"/>
    </row>
    <row r="1111" spans="1:15" ht="12.75" customHeight="1" x14ac:dyDescent="0.15">
      <c r="A1111" s="121"/>
      <c r="B1111" s="121"/>
      <c r="C1111" s="121"/>
      <c r="D1111" s="121"/>
      <c r="E1111" s="121"/>
      <c r="F1111" s="121"/>
      <c r="G1111" s="121"/>
      <c r="H1111" s="121"/>
      <c r="I1111" s="121"/>
      <c r="J1111" s="121"/>
      <c r="K1111" s="121"/>
      <c r="L1111" s="121"/>
      <c r="M1111" s="121"/>
      <c r="N1111" s="121"/>
      <c r="O1111" s="19"/>
    </row>
    <row r="1112" spans="1:15" ht="12.75" customHeight="1" x14ac:dyDescent="0.15">
      <c r="A1112" s="121"/>
      <c r="B1112" s="121"/>
      <c r="C1112" s="121"/>
      <c r="D1112" s="121"/>
      <c r="E1112" s="121"/>
      <c r="F1112" s="121"/>
      <c r="G1112" s="121"/>
      <c r="H1112" s="121"/>
      <c r="I1112" s="121"/>
      <c r="J1112" s="121"/>
      <c r="K1112" s="121"/>
      <c r="L1112" s="121"/>
      <c r="M1112" s="121"/>
      <c r="N1112" s="121"/>
      <c r="O1112" s="19"/>
    </row>
    <row r="1113" spans="1:15" ht="12.75" customHeight="1" x14ac:dyDescent="0.15">
      <c r="A1113" s="121"/>
      <c r="B1113" s="121"/>
      <c r="C1113" s="121"/>
      <c r="D1113" s="121"/>
      <c r="E1113" s="121"/>
      <c r="F1113" s="121"/>
      <c r="G1113" s="121"/>
      <c r="H1113" s="121"/>
      <c r="I1113" s="121"/>
      <c r="J1113" s="121"/>
      <c r="K1113" s="121"/>
      <c r="L1113" s="121"/>
      <c r="M1113" s="121"/>
      <c r="N1113" s="121"/>
      <c r="O1113" s="19"/>
    </row>
    <row r="1114" spans="1:15" ht="12.75" customHeight="1" x14ac:dyDescent="0.15">
      <c r="A1114" s="121"/>
      <c r="B1114" s="121"/>
      <c r="C1114" s="121"/>
      <c r="D1114" s="121"/>
      <c r="E1114" s="121"/>
      <c r="F1114" s="121"/>
      <c r="G1114" s="121"/>
      <c r="H1114" s="121"/>
      <c r="I1114" s="121"/>
      <c r="J1114" s="121"/>
      <c r="K1114" s="121"/>
      <c r="L1114" s="121"/>
      <c r="M1114" s="121"/>
      <c r="N1114" s="121"/>
      <c r="O1114" s="19"/>
    </row>
    <row r="1115" spans="1:15" ht="12.75" customHeight="1" x14ac:dyDescent="0.15">
      <c r="A1115" s="121"/>
      <c r="B1115" s="121"/>
      <c r="C1115" s="121"/>
      <c r="D1115" s="121"/>
      <c r="E1115" s="121"/>
      <c r="F1115" s="121"/>
      <c r="G1115" s="121"/>
      <c r="H1115" s="121"/>
      <c r="I1115" s="121"/>
      <c r="J1115" s="121"/>
      <c r="K1115" s="121"/>
      <c r="L1115" s="121"/>
      <c r="M1115" s="121"/>
      <c r="N1115" s="121"/>
      <c r="O1115" s="19"/>
    </row>
    <row r="1116" spans="1:15" ht="12.75" customHeight="1" x14ac:dyDescent="0.15">
      <c r="A1116" s="121"/>
      <c r="B1116" s="121"/>
      <c r="C1116" s="121"/>
      <c r="D1116" s="121"/>
      <c r="E1116" s="121"/>
      <c r="F1116" s="121"/>
      <c r="G1116" s="121"/>
      <c r="H1116" s="121"/>
      <c r="I1116" s="121"/>
      <c r="J1116" s="121"/>
      <c r="K1116" s="121"/>
      <c r="L1116" s="121"/>
      <c r="M1116" s="121"/>
      <c r="N1116" s="121"/>
      <c r="O1116" s="19"/>
    </row>
    <row r="1117" spans="1:15" ht="12.75" customHeight="1" x14ac:dyDescent="0.15">
      <c r="A1117" s="121"/>
      <c r="B1117" s="121"/>
      <c r="C1117" s="121"/>
      <c r="D1117" s="121"/>
      <c r="E1117" s="121"/>
      <c r="F1117" s="121"/>
      <c r="G1117" s="121"/>
      <c r="H1117" s="121"/>
      <c r="I1117" s="121"/>
      <c r="J1117" s="121"/>
      <c r="K1117" s="121"/>
      <c r="L1117" s="121"/>
      <c r="M1117" s="121"/>
      <c r="N1117" s="121"/>
      <c r="O1117" s="19"/>
    </row>
    <row r="1118" spans="1:15" ht="12.75" customHeight="1" x14ac:dyDescent="0.15">
      <c r="A1118" s="121"/>
      <c r="B1118" s="121"/>
      <c r="C1118" s="121"/>
      <c r="D1118" s="121"/>
      <c r="E1118" s="121"/>
      <c r="F1118" s="121"/>
      <c r="G1118" s="121"/>
      <c r="H1118" s="121"/>
      <c r="I1118" s="121"/>
      <c r="J1118" s="121"/>
      <c r="K1118" s="121"/>
      <c r="L1118" s="121"/>
      <c r="M1118" s="121"/>
      <c r="N1118" s="121"/>
      <c r="O1118" s="19"/>
    </row>
    <row r="1119" spans="1:15" ht="12.75" customHeight="1" x14ac:dyDescent="0.15">
      <c r="A1119" s="121"/>
      <c r="B1119" s="121"/>
      <c r="C1119" s="121"/>
      <c r="D1119" s="121"/>
      <c r="E1119" s="121"/>
      <c r="F1119" s="121"/>
      <c r="G1119" s="121"/>
      <c r="H1119" s="121"/>
      <c r="I1119" s="121"/>
      <c r="J1119" s="121"/>
      <c r="K1119" s="121"/>
      <c r="L1119" s="121"/>
      <c r="M1119" s="121"/>
      <c r="N1119" s="121"/>
      <c r="O1119" s="19"/>
    </row>
    <row r="1120" spans="1:15" ht="12.75" customHeight="1" x14ac:dyDescent="0.15">
      <c r="A1120" s="121"/>
      <c r="B1120" s="121"/>
      <c r="C1120" s="121"/>
      <c r="D1120" s="121"/>
      <c r="E1120" s="121"/>
      <c r="F1120" s="121"/>
      <c r="G1120" s="121"/>
      <c r="H1120" s="121"/>
      <c r="I1120" s="121"/>
      <c r="J1120" s="121"/>
      <c r="K1120" s="121"/>
      <c r="L1120" s="121"/>
      <c r="M1120" s="121"/>
      <c r="N1120" s="121"/>
      <c r="O1120" s="19"/>
    </row>
    <row r="1121" spans="1:15" ht="12.75" customHeight="1" x14ac:dyDescent="0.15">
      <c r="A1121" s="121"/>
      <c r="B1121" s="121"/>
      <c r="C1121" s="121"/>
      <c r="D1121" s="121"/>
      <c r="E1121" s="121"/>
      <c r="F1121" s="121"/>
      <c r="G1121" s="121"/>
      <c r="H1121" s="121"/>
      <c r="I1121" s="121"/>
      <c r="J1121" s="121"/>
      <c r="K1121" s="121"/>
      <c r="L1121" s="121"/>
      <c r="M1121" s="121"/>
      <c r="N1121" s="121"/>
      <c r="O1121" s="19"/>
    </row>
    <row r="1122" spans="1:15" ht="12.75" customHeight="1" x14ac:dyDescent="0.15">
      <c r="A1122" s="121"/>
      <c r="B1122" s="121"/>
      <c r="C1122" s="121"/>
      <c r="D1122" s="121"/>
      <c r="E1122" s="121"/>
      <c r="F1122" s="121"/>
      <c r="G1122" s="121"/>
      <c r="H1122" s="121"/>
      <c r="I1122" s="121"/>
      <c r="J1122" s="121"/>
      <c r="K1122" s="121"/>
      <c r="L1122" s="121"/>
      <c r="M1122" s="121"/>
      <c r="N1122" s="121"/>
      <c r="O1122" s="19"/>
    </row>
    <row r="1123" spans="1:15" ht="12.75" customHeight="1" x14ac:dyDescent="0.15">
      <c r="A1123" s="121"/>
      <c r="B1123" s="121"/>
      <c r="C1123" s="121"/>
      <c r="D1123" s="121"/>
      <c r="E1123" s="121"/>
      <c r="F1123" s="121"/>
      <c r="G1123" s="121"/>
      <c r="H1123" s="121"/>
      <c r="I1123" s="121"/>
      <c r="J1123" s="121"/>
      <c r="K1123" s="121"/>
      <c r="L1123" s="121"/>
      <c r="M1123" s="121"/>
      <c r="N1123" s="121"/>
      <c r="O1123" s="19"/>
    </row>
    <row r="1124" spans="1:15" ht="12.75" customHeight="1" x14ac:dyDescent="0.15">
      <c r="A1124" s="121"/>
      <c r="B1124" s="121"/>
      <c r="C1124" s="121"/>
      <c r="D1124" s="121"/>
      <c r="E1124" s="121"/>
      <c r="F1124" s="121"/>
      <c r="G1124" s="121"/>
      <c r="H1124" s="121"/>
      <c r="I1124" s="121"/>
      <c r="J1124" s="121"/>
      <c r="K1124" s="121"/>
      <c r="L1124" s="121"/>
      <c r="M1124" s="121"/>
      <c r="N1124" s="121"/>
      <c r="O1124" s="19"/>
    </row>
    <row r="1125" spans="1:15" ht="12.75" customHeight="1" x14ac:dyDescent="0.15">
      <c r="A1125" s="121"/>
      <c r="B1125" s="121"/>
      <c r="C1125" s="121"/>
      <c r="D1125" s="121"/>
      <c r="E1125" s="121"/>
      <c r="F1125" s="121"/>
      <c r="G1125" s="121"/>
      <c r="H1125" s="121"/>
      <c r="I1125" s="121"/>
      <c r="J1125" s="121"/>
      <c r="K1125" s="121"/>
      <c r="L1125" s="121"/>
      <c r="M1125" s="121"/>
      <c r="N1125" s="121"/>
      <c r="O1125" s="19"/>
    </row>
    <row r="1126" spans="1:15" ht="12.75" customHeight="1" x14ac:dyDescent="0.15">
      <c r="A1126" s="121"/>
      <c r="B1126" s="121"/>
      <c r="C1126" s="121"/>
      <c r="D1126" s="121"/>
      <c r="E1126" s="121"/>
      <c r="F1126" s="121"/>
      <c r="G1126" s="121"/>
      <c r="H1126" s="121"/>
      <c r="I1126" s="121"/>
      <c r="J1126" s="121"/>
      <c r="K1126" s="121"/>
      <c r="L1126" s="121"/>
      <c r="M1126" s="121"/>
      <c r="N1126" s="121"/>
      <c r="O1126" s="19"/>
    </row>
    <row r="1127" spans="1:15" ht="12.75" customHeight="1" x14ac:dyDescent="0.15">
      <c r="A1127" s="121"/>
      <c r="B1127" s="121"/>
      <c r="C1127" s="121"/>
      <c r="D1127" s="121"/>
      <c r="E1127" s="121"/>
      <c r="F1127" s="121"/>
      <c r="G1127" s="121"/>
      <c r="H1127" s="121"/>
      <c r="I1127" s="121"/>
      <c r="J1127" s="121"/>
      <c r="K1127" s="121"/>
      <c r="L1127" s="121"/>
      <c r="M1127" s="121"/>
      <c r="N1127" s="121"/>
      <c r="O1127" s="19"/>
    </row>
    <row r="1128" spans="1:15" ht="12.75" customHeight="1" x14ac:dyDescent="0.15">
      <c r="A1128" s="121"/>
      <c r="B1128" s="121"/>
      <c r="C1128" s="121"/>
      <c r="D1128" s="121"/>
      <c r="E1128" s="121"/>
      <c r="F1128" s="121"/>
      <c r="G1128" s="121"/>
      <c r="H1128" s="121"/>
      <c r="I1128" s="121"/>
      <c r="J1128" s="121"/>
      <c r="K1128" s="121"/>
      <c r="L1128" s="121"/>
      <c r="M1128" s="121"/>
      <c r="N1128" s="121"/>
      <c r="O1128" s="19"/>
    </row>
    <row r="1129" spans="1:15" ht="12.75" customHeight="1" x14ac:dyDescent="0.15">
      <c r="A1129" s="121"/>
      <c r="B1129" s="121"/>
      <c r="C1129" s="121"/>
      <c r="D1129" s="121"/>
      <c r="E1129" s="121"/>
      <c r="F1129" s="121"/>
      <c r="G1129" s="121"/>
      <c r="H1129" s="121"/>
      <c r="I1129" s="121"/>
      <c r="J1129" s="121"/>
      <c r="K1129" s="121"/>
      <c r="L1129" s="121"/>
      <c r="M1129" s="121"/>
      <c r="N1129" s="121"/>
      <c r="O1129" s="19"/>
    </row>
    <row r="1130" spans="1:15" ht="12.75" customHeight="1" x14ac:dyDescent="0.15">
      <c r="A1130" s="121"/>
      <c r="B1130" s="121"/>
      <c r="C1130" s="121"/>
      <c r="D1130" s="121"/>
      <c r="E1130" s="121"/>
      <c r="F1130" s="121"/>
      <c r="G1130" s="121"/>
      <c r="H1130" s="121"/>
      <c r="I1130" s="121"/>
      <c r="J1130" s="121"/>
      <c r="K1130" s="121"/>
      <c r="L1130" s="121"/>
      <c r="M1130" s="121"/>
      <c r="N1130" s="121"/>
      <c r="O1130" s="19"/>
    </row>
    <row r="1131" spans="1:15" ht="12.75" customHeight="1" x14ac:dyDescent="0.15">
      <c r="A1131" s="121"/>
      <c r="B1131" s="121"/>
      <c r="C1131" s="121"/>
      <c r="D1131" s="121"/>
      <c r="E1131" s="121"/>
      <c r="F1131" s="121"/>
      <c r="G1131" s="121"/>
      <c r="H1131" s="121"/>
      <c r="I1131" s="121"/>
      <c r="J1131" s="121"/>
      <c r="K1131" s="121"/>
      <c r="L1131" s="121"/>
      <c r="M1131" s="121"/>
      <c r="N1131" s="121"/>
      <c r="O1131" s="19"/>
    </row>
    <row r="1132" spans="1:15" ht="12.75" customHeight="1" x14ac:dyDescent="0.15">
      <c r="A1132" s="121"/>
      <c r="B1132" s="121"/>
      <c r="C1132" s="121"/>
      <c r="D1132" s="121"/>
      <c r="E1132" s="121"/>
      <c r="F1132" s="121"/>
      <c r="G1132" s="121"/>
      <c r="H1132" s="121"/>
      <c r="I1132" s="121"/>
      <c r="J1132" s="121"/>
      <c r="K1132" s="121"/>
      <c r="L1132" s="121"/>
      <c r="M1132" s="121"/>
      <c r="N1132" s="121"/>
      <c r="O1132" s="19"/>
    </row>
    <row r="1133" spans="1:15" ht="12.75" customHeight="1" x14ac:dyDescent="0.15">
      <c r="A1133" s="121"/>
      <c r="B1133" s="121"/>
      <c r="C1133" s="121"/>
      <c r="D1133" s="121"/>
      <c r="E1133" s="121"/>
      <c r="F1133" s="121"/>
      <c r="G1133" s="121"/>
      <c r="H1133" s="121"/>
      <c r="I1133" s="121"/>
      <c r="J1133" s="121"/>
      <c r="K1133" s="121"/>
      <c r="L1133" s="121"/>
      <c r="M1133" s="121"/>
      <c r="N1133" s="121"/>
      <c r="O1133" s="19"/>
    </row>
    <row r="1134" spans="1:15" ht="12.75" customHeight="1" x14ac:dyDescent="0.15">
      <c r="A1134" s="121"/>
      <c r="B1134" s="121"/>
      <c r="C1134" s="121"/>
      <c r="D1134" s="121"/>
      <c r="E1134" s="121"/>
      <c r="F1134" s="121"/>
      <c r="G1134" s="121"/>
      <c r="H1134" s="121"/>
      <c r="I1134" s="121"/>
      <c r="J1134" s="121"/>
      <c r="K1134" s="121"/>
      <c r="L1134" s="121"/>
      <c r="M1134" s="121"/>
      <c r="N1134" s="121"/>
      <c r="O1134" s="19"/>
    </row>
    <row r="1135" spans="1:15" ht="12.75" customHeight="1" x14ac:dyDescent="0.15">
      <c r="A1135" s="121"/>
      <c r="B1135" s="121"/>
      <c r="C1135" s="121"/>
      <c r="D1135" s="121"/>
      <c r="E1135" s="121"/>
      <c r="F1135" s="121"/>
      <c r="G1135" s="121"/>
      <c r="H1135" s="121"/>
      <c r="I1135" s="121"/>
      <c r="J1135" s="121"/>
      <c r="K1135" s="121"/>
      <c r="L1135" s="121"/>
      <c r="M1135" s="121"/>
      <c r="N1135" s="121"/>
      <c r="O1135" s="19"/>
    </row>
    <row r="1136" spans="1:15" ht="12.75" customHeight="1" x14ac:dyDescent="0.15">
      <c r="A1136" s="121"/>
      <c r="B1136" s="121"/>
      <c r="C1136" s="121"/>
      <c r="D1136" s="121"/>
      <c r="E1136" s="121"/>
      <c r="F1136" s="121"/>
      <c r="G1136" s="121"/>
      <c r="H1136" s="121"/>
      <c r="I1136" s="121"/>
      <c r="J1136" s="121"/>
      <c r="K1136" s="121"/>
      <c r="L1136" s="121"/>
      <c r="M1136" s="121"/>
      <c r="N1136" s="121"/>
      <c r="O1136" s="19"/>
    </row>
    <row r="1137" spans="1:15" ht="12.75" customHeight="1" x14ac:dyDescent="0.15">
      <c r="A1137" s="121"/>
      <c r="B1137" s="121"/>
      <c r="C1137" s="121"/>
      <c r="D1137" s="121"/>
      <c r="E1137" s="121"/>
      <c r="F1137" s="121"/>
      <c r="G1137" s="121"/>
      <c r="H1137" s="121"/>
      <c r="I1137" s="121"/>
      <c r="J1137" s="121"/>
      <c r="K1137" s="121"/>
      <c r="L1137" s="121"/>
      <c r="M1137" s="121"/>
      <c r="N1137" s="121"/>
      <c r="O1137" s="19"/>
    </row>
    <row r="1138" spans="1:15" ht="12.75" customHeight="1" x14ac:dyDescent="0.15">
      <c r="A1138" s="121"/>
      <c r="B1138" s="121"/>
      <c r="C1138" s="121"/>
      <c r="D1138" s="121"/>
      <c r="E1138" s="121"/>
      <c r="F1138" s="121"/>
      <c r="G1138" s="121"/>
      <c r="H1138" s="121"/>
      <c r="I1138" s="121"/>
      <c r="J1138" s="121"/>
      <c r="K1138" s="121"/>
      <c r="L1138" s="121"/>
      <c r="M1138" s="121"/>
      <c r="N1138" s="121"/>
      <c r="O1138" s="19"/>
    </row>
    <row r="1139" spans="1:15" ht="12.75" customHeight="1" x14ac:dyDescent="0.15">
      <c r="A1139" s="121"/>
      <c r="B1139" s="121"/>
      <c r="C1139" s="121"/>
      <c r="D1139" s="121"/>
      <c r="E1139" s="121"/>
      <c r="F1139" s="121"/>
      <c r="G1139" s="121"/>
      <c r="H1139" s="121"/>
      <c r="I1139" s="121"/>
      <c r="J1139" s="121"/>
      <c r="K1139" s="121"/>
      <c r="L1139" s="121"/>
      <c r="M1139" s="121"/>
      <c r="N1139" s="121"/>
      <c r="O1139" s="19"/>
    </row>
    <row r="1140" spans="1:15" ht="12.75" customHeight="1" x14ac:dyDescent="0.15">
      <c r="A1140" s="121"/>
      <c r="B1140" s="121"/>
      <c r="C1140" s="121"/>
      <c r="D1140" s="121"/>
      <c r="E1140" s="121"/>
      <c r="F1140" s="121"/>
      <c r="G1140" s="121"/>
      <c r="H1140" s="121"/>
      <c r="I1140" s="121"/>
      <c r="J1140" s="121"/>
      <c r="K1140" s="121"/>
      <c r="L1140" s="121"/>
      <c r="M1140" s="121"/>
      <c r="N1140" s="121"/>
      <c r="O1140" s="19"/>
    </row>
    <row r="1141" spans="1:15" ht="12.75" customHeight="1" x14ac:dyDescent="0.15">
      <c r="A1141" s="121"/>
      <c r="B1141" s="121"/>
      <c r="C1141" s="121"/>
      <c r="D1141" s="121"/>
      <c r="E1141" s="121"/>
      <c r="F1141" s="121"/>
      <c r="G1141" s="121"/>
      <c r="H1141" s="121"/>
      <c r="I1141" s="121"/>
      <c r="J1141" s="121"/>
      <c r="K1141" s="121"/>
      <c r="L1141" s="121"/>
      <c r="M1141" s="121"/>
      <c r="N1141" s="121"/>
      <c r="O1141" s="19"/>
    </row>
    <row r="1142" spans="1:15" ht="12.75" customHeight="1" x14ac:dyDescent="0.15">
      <c r="A1142" s="121"/>
      <c r="B1142" s="121"/>
      <c r="C1142" s="121"/>
      <c r="D1142" s="121"/>
      <c r="E1142" s="121"/>
      <c r="F1142" s="121"/>
      <c r="G1142" s="121"/>
      <c r="H1142" s="121"/>
      <c r="I1142" s="121"/>
      <c r="J1142" s="121"/>
      <c r="K1142" s="121"/>
      <c r="L1142" s="121"/>
      <c r="M1142" s="121"/>
      <c r="N1142" s="121"/>
      <c r="O1142" s="19"/>
    </row>
    <row r="1143" spans="1:15" ht="12.75" customHeight="1" x14ac:dyDescent="0.15">
      <c r="A1143" s="121"/>
      <c r="B1143" s="121"/>
      <c r="C1143" s="121"/>
      <c r="D1143" s="121"/>
      <c r="E1143" s="121"/>
      <c r="F1143" s="121"/>
      <c r="G1143" s="121"/>
      <c r="H1143" s="121"/>
      <c r="I1143" s="121"/>
      <c r="J1143" s="121"/>
      <c r="K1143" s="121"/>
      <c r="L1143" s="121"/>
      <c r="M1143" s="121"/>
      <c r="N1143" s="121"/>
      <c r="O1143" s="19"/>
    </row>
    <row r="1144" spans="1:15" ht="12.75" customHeight="1" x14ac:dyDescent="0.15">
      <c r="A1144" s="121"/>
      <c r="B1144" s="121"/>
      <c r="C1144" s="121"/>
      <c r="D1144" s="121"/>
      <c r="E1144" s="121"/>
      <c r="F1144" s="121"/>
      <c r="G1144" s="121"/>
      <c r="H1144" s="121"/>
      <c r="I1144" s="121"/>
      <c r="J1144" s="121"/>
      <c r="K1144" s="121"/>
      <c r="L1144" s="121"/>
      <c r="M1144" s="121"/>
      <c r="N1144" s="121"/>
      <c r="O1144" s="19"/>
    </row>
    <row r="1145" spans="1:15" ht="12.75" customHeight="1" x14ac:dyDescent="0.15">
      <c r="A1145" s="121"/>
      <c r="B1145" s="121"/>
      <c r="C1145" s="121"/>
      <c r="D1145" s="121"/>
      <c r="E1145" s="121"/>
      <c r="F1145" s="121"/>
      <c r="G1145" s="121"/>
      <c r="H1145" s="121"/>
      <c r="I1145" s="121"/>
      <c r="J1145" s="121"/>
      <c r="K1145" s="121"/>
      <c r="L1145" s="121"/>
      <c r="M1145" s="121"/>
      <c r="N1145" s="121"/>
      <c r="O1145" s="19"/>
    </row>
    <row r="1146" spans="1:15" ht="12.75" customHeight="1" x14ac:dyDescent="0.15">
      <c r="A1146" s="121"/>
      <c r="B1146" s="121"/>
      <c r="C1146" s="121"/>
      <c r="D1146" s="121"/>
      <c r="E1146" s="121"/>
      <c r="F1146" s="121"/>
      <c r="G1146" s="121"/>
      <c r="H1146" s="121"/>
      <c r="I1146" s="121"/>
      <c r="J1146" s="121"/>
      <c r="K1146" s="121"/>
      <c r="L1146" s="121"/>
      <c r="M1146" s="121"/>
      <c r="N1146" s="121"/>
      <c r="O1146" s="19"/>
    </row>
    <row r="1147" spans="1:15" ht="12.75" customHeight="1" x14ac:dyDescent="0.15">
      <c r="A1147" s="121"/>
      <c r="B1147" s="121"/>
      <c r="C1147" s="121"/>
      <c r="D1147" s="121"/>
      <c r="E1147" s="121"/>
      <c r="F1147" s="121"/>
      <c r="G1147" s="121"/>
      <c r="H1147" s="121"/>
      <c r="I1147" s="121"/>
      <c r="J1147" s="121"/>
      <c r="K1147" s="121"/>
      <c r="L1147" s="121"/>
      <c r="M1147" s="121"/>
      <c r="N1147" s="121"/>
      <c r="O1147" s="19"/>
    </row>
    <row r="1148" spans="1:15" ht="12.75" customHeight="1" x14ac:dyDescent="0.15">
      <c r="A1148" s="121"/>
      <c r="B1148" s="121"/>
      <c r="C1148" s="121"/>
      <c r="D1148" s="121"/>
      <c r="E1148" s="121"/>
      <c r="F1148" s="121"/>
      <c r="G1148" s="121"/>
      <c r="H1148" s="121"/>
      <c r="I1148" s="121"/>
      <c r="J1148" s="121"/>
      <c r="K1148" s="121"/>
      <c r="L1148" s="121"/>
      <c r="M1148" s="121"/>
      <c r="N1148" s="121"/>
      <c r="O1148" s="19"/>
    </row>
    <row r="1149" spans="1:15" ht="12.75" customHeight="1" x14ac:dyDescent="0.15">
      <c r="A1149" s="121"/>
      <c r="B1149" s="121"/>
      <c r="C1149" s="121"/>
      <c r="D1149" s="121"/>
      <c r="E1149" s="121"/>
      <c r="F1149" s="121"/>
      <c r="G1149" s="121"/>
      <c r="H1149" s="121"/>
      <c r="I1149" s="121"/>
      <c r="J1149" s="121"/>
      <c r="K1149" s="121"/>
      <c r="L1149" s="121"/>
      <c r="M1149" s="121"/>
      <c r="N1149" s="121"/>
      <c r="O1149" s="19"/>
    </row>
    <row r="1150" spans="1:15" ht="12.75" customHeight="1" x14ac:dyDescent="0.15">
      <c r="A1150" s="121"/>
      <c r="B1150" s="121"/>
      <c r="C1150" s="121"/>
      <c r="D1150" s="121"/>
      <c r="E1150" s="121"/>
      <c r="F1150" s="121"/>
      <c r="G1150" s="121"/>
      <c r="H1150" s="121"/>
      <c r="I1150" s="121"/>
      <c r="J1150" s="121"/>
      <c r="K1150" s="121"/>
      <c r="L1150" s="121"/>
      <c r="M1150" s="121"/>
      <c r="N1150" s="121"/>
      <c r="O1150" s="19"/>
    </row>
    <row r="1151" spans="1:15" ht="12.75" customHeight="1" x14ac:dyDescent="0.15">
      <c r="A1151" s="121"/>
      <c r="B1151" s="121"/>
      <c r="C1151" s="121"/>
      <c r="D1151" s="121"/>
      <c r="E1151" s="121"/>
      <c r="F1151" s="121"/>
      <c r="G1151" s="121"/>
      <c r="H1151" s="121"/>
      <c r="I1151" s="121"/>
      <c r="J1151" s="121"/>
      <c r="K1151" s="121"/>
      <c r="L1151" s="121"/>
      <c r="M1151" s="121"/>
      <c r="N1151" s="121"/>
      <c r="O1151" s="19"/>
    </row>
    <row r="1152" spans="1:15" ht="12.75" customHeight="1" x14ac:dyDescent="0.15">
      <c r="A1152" s="121"/>
      <c r="B1152" s="121"/>
      <c r="C1152" s="121"/>
      <c r="D1152" s="121"/>
      <c r="E1152" s="121"/>
      <c r="F1152" s="121"/>
      <c r="G1152" s="121"/>
      <c r="H1152" s="121"/>
      <c r="I1152" s="121"/>
      <c r="J1152" s="121"/>
      <c r="K1152" s="121"/>
      <c r="L1152" s="121"/>
      <c r="M1152" s="121"/>
      <c r="N1152" s="121"/>
      <c r="O1152" s="19"/>
    </row>
    <row r="1153" spans="1:15" ht="12.75" customHeight="1" x14ac:dyDescent="0.15">
      <c r="A1153" s="121"/>
      <c r="B1153" s="121"/>
      <c r="C1153" s="121"/>
      <c r="D1153" s="121"/>
      <c r="E1153" s="121"/>
      <c r="F1153" s="121"/>
      <c r="G1153" s="121"/>
      <c r="H1153" s="121"/>
      <c r="I1153" s="121"/>
      <c r="J1153" s="121"/>
      <c r="K1153" s="121"/>
      <c r="L1153" s="121"/>
      <c r="M1153" s="121"/>
      <c r="N1153" s="121"/>
      <c r="O1153" s="19"/>
    </row>
    <row r="1154" spans="1:15" ht="12.75" customHeight="1" x14ac:dyDescent="0.15">
      <c r="A1154" s="121"/>
      <c r="B1154" s="121"/>
      <c r="C1154" s="121"/>
      <c r="D1154" s="121"/>
      <c r="E1154" s="121"/>
      <c r="F1154" s="121"/>
      <c r="G1154" s="121"/>
      <c r="H1154" s="121"/>
      <c r="I1154" s="121"/>
      <c r="J1154" s="121"/>
      <c r="K1154" s="121"/>
      <c r="L1154" s="121"/>
      <c r="M1154" s="121"/>
      <c r="N1154" s="121"/>
      <c r="O1154" s="19"/>
    </row>
    <row r="1155" spans="1:15" ht="12.75" customHeight="1" x14ac:dyDescent="0.15">
      <c r="A1155" s="121"/>
      <c r="B1155" s="121"/>
      <c r="C1155" s="121"/>
      <c r="D1155" s="121"/>
      <c r="E1155" s="121"/>
      <c r="F1155" s="121"/>
      <c r="G1155" s="121"/>
      <c r="H1155" s="121"/>
      <c r="I1155" s="121"/>
      <c r="J1155" s="121"/>
      <c r="K1155" s="121"/>
      <c r="L1155" s="121"/>
      <c r="M1155" s="121"/>
      <c r="N1155" s="121"/>
      <c r="O1155" s="19"/>
    </row>
    <row r="1156" spans="1:15" ht="12.75" customHeight="1" x14ac:dyDescent="0.15">
      <c r="A1156" s="121"/>
      <c r="B1156" s="121"/>
      <c r="C1156" s="121"/>
      <c r="D1156" s="121"/>
      <c r="E1156" s="121"/>
      <c r="F1156" s="121"/>
      <c r="G1156" s="121"/>
      <c r="H1156" s="121"/>
      <c r="I1156" s="121"/>
      <c r="J1156" s="121"/>
      <c r="K1156" s="121"/>
      <c r="L1156" s="121"/>
      <c r="M1156" s="121"/>
      <c r="N1156" s="121"/>
      <c r="O1156" s="19"/>
    </row>
    <row r="1157" spans="1:15" ht="12.75" customHeight="1" x14ac:dyDescent="0.15">
      <c r="A1157" s="121"/>
      <c r="B1157" s="121"/>
      <c r="C1157" s="121"/>
      <c r="D1157" s="121"/>
      <c r="E1157" s="121"/>
      <c r="F1157" s="121"/>
      <c r="G1157" s="121"/>
      <c r="H1157" s="121"/>
      <c r="I1157" s="121"/>
      <c r="J1157" s="121"/>
      <c r="K1157" s="121"/>
      <c r="L1157" s="121"/>
      <c r="M1157" s="121"/>
      <c r="N1157" s="121"/>
      <c r="O1157" s="19"/>
    </row>
    <row r="1158" spans="1:15" ht="12.75" customHeight="1" x14ac:dyDescent="0.15">
      <c r="A1158" s="121"/>
      <c r="B1158" s="121"/>
      <c r="C1158" s="121"/>
      <c r="D1158" s="121"/>
      <c r="E1158" s="121"/>
      <c r="F1158" s="121"/>
      <c r="G1158" s="121"/>
      <c r="H1158" s="121"/>
      <c r="I1158" s="121"/>
      <c r="J1158" s="121"/>
      <c r="K1158" s="121"/>
      <c r="L1158" s="121"/>
      <c r="M1158" s="121"/>
      <c r="N1158" s="121"/>
      <c r="O1158" s="19"/>
    </row>
    <row r="1159" spans="1:15" ht="12.75" customHeight="1" x14ac:dyDescent="0.15">
      <c r="A1159" s="121"/>
      <c r="B1159" s="121"/>
      <c r="C1159" s="121"/>
      <c r="D1159" s="121"/>
      <c r="E1159" s="121"/>
      <c r="F1159" s="121"/>
      <c r="G1159" s="121"/>
      <c r="H1159" s="121"/>
      <c r="I1159" s="121"/>
      <c r="J1159" s="121"/>
      <c r="K1159" s="121"/>
      <c r="L1159" s="121"/>
      <c r="M1159" s="121"/>
      <c r="N1159" s="121"/>
      <c r="O1159" s="19"/>
    </row>
    <row r="1160" spans="1:15" ht="12.75" customHeight="1" x14ac:dyDescent="0.15">
      <c r="A1160" s="121"/>
      <c r="B1160" s="121"/>
      <c r="C1160" s="121"/>
      <c r="D1160" s="121"/>
      <c r="E1160" s="121"/>
      <c r="F1160" s="121"/>
      <c r="G1160" s="121"/>
      <c r="H1160" s="121"/>
      <c r="I1160" s="121"/>
      <c r="J1160" s="121"/>
      <c r="K1160" s="121"/>
      <c r="L1160" s="121"/>
      <c r="M1160" s="121"/>
      <c r="N1160" s="121"/>
      <c r="O1160" s="19"/>
    </row>
    <row r="1161" spans="1:15" ht="12.75" customHeight="1" x14ac:dyDescent="0.15">
      <c r="A1161" s="121"/>
      <c r="B1161" s="121"/>
      <c r="C1161" s="121"/>
      <c r="D1161" s="121"/>
      <c r="E1161" s="121"/>
      <c r="F1161" s="121"/>
      <c r="G1161" s="121"/>
      <c r="H1161" s="121"/>
      <c r="I1161" s="121"/>
      <c r="J1161" s="121"/>
      <c r="K1161" s="121"/>
      <c r="L1161" s="121"/>
      <c r="M1161" s="121"/>
      <c r="N1161" s="121"/>
      <c r="O1161" s="19"/>
    </row>
    <row r="1162" spans="1:15" ht="12.75" customHeight="1" x14ac:dyDescent="0.15">
      <c r="A1162" s="121"/>
      <c r="B1162" s="121"/>
      <c r="C1162" s="121"/>
      <c r="D1162" s="121"/>
      <c r="E1162" s="121"/>
      <c r="F1162" s="121"/>
      <c r="G1162" s="121"/>
      <c r="H1162" s="121"/>
      <c r="I1162" s="121"/>
      <c r="J1162" s="121"/>
      <c r="K1162" s="121"/>
      <c r="L1162" s="121"/>
      <c r="M1162" s="121"/>
      <c r="N1162" s="121"/>
      <c r="O1162" s="19"/>
    </row>
    <row r="1163" spans="1:15" ht="12.75" customHeight="1" x14ac:dyDescent="0.15">
      <c r="A1163" s="121"/>
      <c r="B1163" s="121"/>
      <c r="C1163" s="121"/>
      <c r="D1163" s="121"/>
      <c r="E1163" s="121"/>
      <c r="F1163" s="121"/>
      <c r="G1163" s="121"/>
      <c r="H1163" s="121"/>
      <c r="I1163" s="121"/>
      <c r="J1163" s="121"/>
      <c r="K1163" s="121"/>
      <c r="L1163" s="121"/>
      <c r="M1163" s="121"/>
      <c r="N1163" s="121"/>
      <c r="O1163" s="19"/>
    </row>
  </sheetData>
  <mergeCells count="30">
    <mergeCell ref="C31:H31"/>
    <mergeCell ref="A1:N1"/>
    <mergeCell ref="C12:N12"/>
    <mergeCell ref="C11:N11"/>
    <mergeCell ref="C7:N7"/>
    <mergeCell ref="A2:N2"/>
    <mergeCell ref="C6:N6"/>
    <mergeCell ref="C10:N10"/>
    <mergeCell ref="C23:N23"/>
    <mergeCell ref="C39:N39"/>
    <mergeCell ref="C8:N8"/>
    <mergeCell ref="C17:N17"/>
    <mergeCell ref="C14:I14"/>
    <mergeCell ref="C13:N13"/>
    <mergeCell ref="C24:N24"/>
    <mergeCell ref="C15:N15"/>
    <mergeCell ref="C26:N26"/>
    <mergeCell ref="C9:N9"/>
    <mergeCell ref="C21:N21"/>
    <mergeCell ref="C20:N20"/>
    <mergeCell ref="C16:N16"/>
    <mergeCell ref="C25:N25"/>
    <mergeCell ref="C22:N22"/>
    <mergeCell ref="C30:H30"/>
    <mergeCell ref="C37:H37"/>
    <mergeCell ref="C32:H32"/>
    <mergeCell ref="C33:H33"/>
    <mergeCell ref="C34:H34"/>
    <mergeCell ref="C35:H35"/>
    <mergeCell ref="C36:H36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B0CAC4"/>
  </sheetPr>
  <dimension ref="A1:AM208"/>
  <sheetViews>
    <sheetView showGridLines="0" topLeftCell="A77" zoomScale="63" zoomScaleNormal="29" workbookViewId="0">
      <selection activeCell="C91" sqref="C91"/>
    </sheetView>
  </sheetViews>
  <sheetFormatPr baseColWidth="10" defaultColWidth="16" defaultRowHeight="20" x14ac:dyDescent="0.2"/>
  <cols>
    <col min="1" max="1" width="40" style="67" customWidth="1"/>
    <col min="2" max="2" width="15.83203125" style="67" customWidth="1"/>
    <col min="3" max="6" width="15" style="67" customWidth="1"/>
    <col min="7" max="7" width="21" style="67" customWidth="1"/>
    <col min="8" max="8" width="35.1640625" style="67" customWidth="1"/>
    <col min="9" max="12" width="30" style="67" customWidth="1"/>
    <col min="13" max="13" width="16" style="137" customWidth="1"/>
    <col min="14" max="14" width="16" style="67" customWidth="1"/>
    <col min="15" max="15" width="61.5" style="67" customWidth="1"/>
    <col min="16" max="16" width="16" style="67" customWidth="1"/>
    <col min="17" max="17" width="19.33203125" style="67" customWidth="1"/>
    <col min="18" max="18" width="17.33203125" style="67" customWidth="1"/>
    <col min="19" max="26" width="16" style="67" customWidth="1"/>
    <col min="27" max="27" width="16" style="137" customWidth="1"/>
    <col min="28" max="29" width="16" style="67" customWidth="1"/>
    <col min="30" max="16384" width="16" style="67"/>
  </cols>
  <sheetData>
    <row r="1" spans="1:39" ht="24" customHeight="1" x14ac:dyDescent="0.2">
      <c r="A1" s="544" t="s">
        <v>448</v>
      </c>
      <c r="B1" s="529"/>
      <c r="C1" s="529"/>
      <c r="D1" s="529"/>
      <c r="E1" s="529"/>
      <c r="F1" s="529"/>
      <c r="G1" s="529"/>
      <c r="H1" s="529"/>
      <c r="I1" s="529"/>
      <c r="J1" s="529"/>
      <c r="K1" s="121"/>
      <c r="L1" s="121"/>
      <c r="N1" s="121"/>
      <c r="O1" s="544" t="s">
        <v>449</v>
      </c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121"/>
      <c r="AB1" s="121"/>
      <c r="AC1" s="539" t="s">
        <v>450</v>
      </c>
      <c r="AD1" s="529"/>
      <c r="AE1" s="529"/>
      <c r="AF1" s="529"/>
      <c r="AG1" s="529"/>
      <c r="AH1" s="529"/>
      <c r="AI1" s="529"/>
      <c r="AJ1" s="529"/>
      <c r="AK1" s="138"/>
      <c r="AL1" s="138"/>
      <c r="AM1" s="138"/>
    </row>
    <row r="2" spans="1:39" ht="39.75" customHeight="1" x14ac:dyDescent="0.2">
      <c r="A2" s="546" t="s">
        <v>451</v>
      </c>
      <c r="B2" s="529"/>
      <c r="C2" s="529"/>
      <c r="D2" s="529"/>
      <c r="E2" s="529"/>
      <c r="F2" s="529"/>
      <c r="G2" s="529"/>
      <c r="H2" s="529"/>
      <c r="I2" s="529"/>
      <c r="J2" s="529"/>
      <c r="K2" s="121"/>
      <c r="L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B2" s="121"/>
      <c r="AC2" s="545"/>
      <c r="AD2" s="529"/>
      <c r="AE2" s="529"/>
      <c r="AF2" s="529"/>
      <c r="AG2" s="529"/>
      <c r="AH2" s="529"/>
      <c r="AI2" s="529"/>
      <c r="AJ2" s="529"/>
      <c r="AK2" s="121"/>
      <c r="AL2" s="121"/>
      <c r="AM2" s="121"/>
    </row>
    <row r="3" spans="1:39" ht="19.5" customHeight="1" x14ac:dyDescent="0.2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N3" s="121"/>
      <c r="O3" s="551" t="s">
        <v>452</v>
      </c>
      <c r="P3" s="529"/>
      <c r="Q3" s="529"/>
      <c r="R3" s="529"/>
      <c r="S3" s="529"/>
      <c r="T3" s="529"/>
      <c r="U3" s="529"/>
      <c r="V3" s="529"/>
      <c r="W3" s="529"/>
      <c r="X3" s="529"/>
      <c r="Y3" s="529"/>
      <c r="Z3" s="121"/>
      <c r="AB3" s="121"/>
      <c r="AC3" s="549" t="s">
        <v>453</v>
      </c>
      <c r="AD3" s="529"/>
      <c r="AE3" s="529"/>
      <c r="AF3" s="529"/>
      <c r="AG3" s="529"/>
      <c r="AH3" s="529"/>
      <c r="AI3" s="529"/>
      <c r="AJ3" s="529"/>
      <c r="AK3" s="136"/>
      <c r="AL3" s="136"/>
      <c r="AM3" s="136"/>
    </row>
    <row r="4" spans="1:39" ht="39" customHeight="1" x14ac:dyDescent="0.2">
      <c r="A4" s="544" t="s">
        <v>454</v>
      </c>
      <c r="B4" s="529"/>
      <c r="C4" s="529"/>
      <c r="D4" s="529"/>
      <c r="E4" s="529"/>
      <c r="F4" s="529"/>
      <c r="G4" s="529"/>
      <c r="H4" s="529"/>
      <c r="I4" s="529"/>
      <c r="J4" s="529"/>
      <c r="K4" s="121"/>
      <c r="L4" s="121"/>
      <c r="N4" s="121"/>
      <c r="O4" s="543" t="s">
        <v>455</v>
      </c>
      <c r="P4" s="529"/>
      <c r="Q4" s="529"/>
      <c r="R4" s="529"/>
      <c r="S4" s="529"/>
      <c r="T4" s="529"/>
      <c r="U4" s="529"/>
      <c r="V4" s="529"/>
      <c r="W4" s="529"/>
      <c r="X4" s="529"/>
      <c r="Y4" s="529"/>
      <c r="Z4" s="121"/>
      <c r="AB4" s="121"/>
      <c r="AC4" s="139" t="s">
        <v>94</v>
      </c>
      <c r="AD4" s="139" t="s">
        <v>456</v>
      </c>
      <c r="AE4" s="139" t="s">
        <v>457</v>
      </c>
      <c r="AF4" s="139" t="s">
        <v>458</v>
      </c>
      <c r="AG4" s="139" t="s">
        <v>459</v>
      </c>
      <c r="AH4" s="139" t="s">
        <v>460</v>
      </c>
      <c r="AK4" s="121"/>
    </row>
    <row r="5" spans="1:39" ht="39" customHeight="1" x14ac:dyDescent="0.2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N5" s="121"/>
      <c r="O5" s="139" t="s">
        <v>94</v>
      </c>
      <c r="P5" s="139" t="s">
        <v>461</v>
      </c>
      <c r="Q5" s="139" t="s">
        <v>462</v>
      </c>
      <c r="R5" s="139" t="s">
        <v>463</v>
      </c>
      <c r="S5" s="139" t="s">
        <v>464</v>
      </c>
      <c r="T5" s="139" t="s">
        <v>465</v>
      </c>
      <c r="U5" s="139" t="s">
        <v>466</v>
      </c>
      <c r="V5" s="139" t="s">
        <v>467</v>
      </c>
      <c r="W5" s="139" t="s">
        <v>468</v>
      </c>
      <c r="X5" s="139" t="s">
        <v>469</v>
      </c>
      <c r="Z5" s="121"/>
      <c r="AB5" s="121"/>
      <c r="AC5" s="141" t="s">
        <v>470</v>
      </c>
      <c r="AD5" s="146">
        <f>EoL_chosen</f>
        <v>21641</v>
      </c>
      <c r="AE5" s="147">
        <f>EoL_chosen_cpi</f>
        <v>1.3239000000000001</v>
      </c>
      <c r="AF5" s="148">
        <f>AD5*AE5</f>
        <v>28650.519900000003</v>
      </c>
      <c r="AG5" s="150">
        <f>AF5</f>
        <v>28650.519900000003</v>
      </c>
      <c r="AH5" s="150">
        <f>AF5</f>
        <v>28650.519900000003</v>
      </c>
      <c r="AK5" s="121"/>
    </row>
    <row r="6" spans="1:39" ht="14.25" customHeight="1" x14ac:dyDescent="0.2">
      <c r="A6" s="551" t="s">
        <v>471</v>
      </c>
      <c r="B6" s="529"/>
      <c r="C6" s="529"/>
      <c r="D6" s="529"/>
      <c r="E6" s="529"/>
      <c r="F6" s="529"/>
      <c r="G6" s="529"/>
      <c r="H6" s="529"/>
      <c r="I6" s="529"/>
      <c r="J6" s="529"/>
      <c r="K6" s="529"/>
      <c r="L6" s="121"/>
      <c r="N6" s="121"/>
      <c r="O6" s="141" t="s">
        <v>472</v>
      </c>
      <c r="P6" s="154">
        <f>price_capecitabine_tab</f>
        <v>1.55</v>
      </c>
      <c r="Q6" s="143">
        <f>n_cap_tabs_per_day</f>
        <v>4</v>
      </c>
      <c r="R6" s="143">
        <f>n_cap_doses_per_day</f>
        <v>2</v>
      </c>
      <c r="S6" s="143">
        <f>n_cap_treat_days</f>
        <v>14</v>
      </c>
      <c r="T6" s="496" t="s">
        <v>473</v>
      </c>
      <c r="U6" s="457"/>
      <c r="V6" s="456"/>
      <c r="W6" s="145">
        <f>P6*Q6*R6*S6</f>
        <v>173.6</v>
      </c>
      <c r="X6" s="145">
        <f>P6*Q6*R6*S6</f>
        <v>173.6</v>
      </c>
      <c r="Z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</row>
    <row r="7" spans="1:39" ht="57.75" customHeight="1" x14ac:dyDescent="0.2">
      <c r="A7" s="139" t="s">
        <v>474</v>
      </c>
      <c r="B7" s="139" t="s">
        <v>475</v>
      </c>
      <c r="C7" s="139" t="s">
        <v>476</v>
      </c>
      <c r="D7" s="139" t="s">
        <v>477</v>
      </c>
      <c r="E7" s="139" t="s">
        <v>478</v>
      </c>
      <c r="F7" s="139" t="s">
        <v>479</v>
      </c>
      <c r="G7" s="139" t="s">
        <v>480</v>
      </c>
      <c r="H7" s="139" t="s">
        <v>481</v>
      </c>
      <c r="I7" s="139" t="s">
        <v>482</v>
      </c>
      <c r="J7" s="139" t="s">
        <v>483</v>
      </c>
      <c r="L7" s="121"/>
      <c r="N7" s="121"/>
      <c r="O7" s="151" t="s">
        <v>484</v>
      </c>
      <c r="P7" s="152"/>
      <c r="Q7" s="457"/>
      <c r="R7" s="457"/>
      <c r="S7" s="456"/>
      <c r="T7" s="143">
        <f>n_cap_cycles</f>
        <v>6</v>
      </c>
      <c r="U7" s="497" t="s">
        <v>473</v>
      </c>
      <c r="V7" s="456"/>
      <c r="W7" s="145">
        <f>W6*T7</f>
        <v>1041.5999999999999</v>
      </c>
      <c r="X7" s="145">
        <f>X6*T7</f>
        <v>1041.5999999999999</v>
      </c>
      <c r="Z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</row>
    <row r="8" spans="1:39" ht="21.75" customHeight="1" x14ac:dyDescent="0.2">
      <c r="A8" s="141" t="s">
        <v>485</v>
      </c>
      <c r="B8" s="154">
        <f>price_inavolisib_tab</f>
        <v>489.1</v>
      </c>
      <c r="C8" s="143">
        <f>dose_inavolisib_mg_day</f>
        <v>9</v>
      </c>
      <c r="D8" s="143">
        <f>dose_inavolisib_mg_tab</f>
        <v>9</v>
      </c>
      <c r="E8" s="143">
        <f>C8/D8</f>
        <v>1</v>
      </c>
      <c r="F8" s="143">
        <f>n_inavolisib_per_cycle</f>
        <v>28</v>
      </c>
      <c r="G8" s="496" t="s">
        <v>473</v>
      </c>
      <c r="H8" s="496" t="s">
        <v>473</v>
      </c>
      <c r="I8" s="145">
        <f>B8*E8*F8</f>
        <v>13694.800000000001</v>
      </c>
      <c r="J8" s="145">
        <v>0</v>
      </c>
      <c r="L8" s="121"/>
      <c r="N8" s="121"/>
      <c r="O8" s="151" t="s">
        <v>486</v>
      </c>
      <c r="P8" s="152"/>
      <c r="Q8" s="457"/>
      <c r="R8" s="457"/>
      <c r="S8" s="457"/>
      <c r="T8" s="456"/>
      <c r="U8" s="498">
        <f>prop_2L_chemo_inav</f>
        <v>0.55000000000000004</v>
      </c>
      <c r="V8" s="498">
        <f>prop_2L_chemo_comp</f>
        <v>0.72</v>
      </c>
      <c r="W8" s="145">
        <f>W7*U8</f>
        <v>572.88</v>
      </c>
      <c r="X8" s="145">
        <f>X7*V8</f>
        <v>749.95199999999988</v>
      </c>
      <c r="Z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</row>
    <row r="9" spans="1:39" ht="21.75" customHeight="1" x14ac:dyDescent="0.2">
      <c r="A9" s="141" t="s">
        <v>487</v>
      </c>
      <c r="B9" s="154">
        <f>price_palbociclib_tab</f>
        <v>58.18</v>
      </c>
      <c r="C9" s="143">
        <f>dose_palbociclib_mg_day</f>
        <v>125</v>
      </c>
      <c r="D9" s="143">
        <f>dose_palbociclib_mg_tab</f>
        <v>125</v>
      </c>
      <c r="E9" s="143">
        <f>C9/D9</f>
        <v>1</v>
      </c>
      <c r="F9" s="143">
        <f>n_palbociclib_per_cycle</f>
        <v>21</v>
      </c>
      <c r="G9" s="496" t="s">
        <v>473</v>
      </c>
      <c r="H9" s="496" t="s">
        <v>473</v>
      </c>
      <c r="I9" s="145">
        <f>B9*E9*F9</f>
        <v>1221.78</v>
      </c>
      <c r="J9" s="145">
        <f>B9*E9*F9</f>
        <v>1221.78</v>
      </c>
      <c r="L9" s="121"/>
      <c r="N9" s="121"/>
      <c r="O9" s="141" t="s">
        <v>488</v>
      </c>
      <c r="P9" s="154">
        <f>cost_dpyd</f>
        <v>84</v>
      </c>
      <c r="Q9" s="499" t="s">
        <v>489</v>
      </c>
      <c r="R9" s="457"/>
      <c r="S9" s="457"/>
      <c r="T9" s="457"/>
      <c r="U9" s="457"/>
      <c r="V9" s="456"/>
      <c r="W9" s="145">
        <f>cost_dpyd</f>
        <v>84</v>
      </c>
      <c r="X9" s="145">
        <f>cost_dpyd</f>
        <v>84</v>
      </c>
      <c r="Z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</row>
    <row r="10" spans="1:39" ht="21.75" customHeight="1" x14ac:dyDescent="0.2">
      <c r="A10" s="141" t="s">
        <v>490</v>
      </c>
      <c r="B10" s="154">
        <f>price_fulvestrant_syr</f>
        <v>126.44</v>
      </c>
      <c r="C10" s="143">
        <f>Dosage_fulvestrant_per_injection</f>
        <v>500</v>
      </c>
      <c r="D10" s="143">
        <f>Dose_fulvestrant</f>
        <v>250</v>
      </c>
      <c r="E10" s="143">
        <f>C10/D10</f>
        <v>2</v>
      </c>
      <c r="F10" s="143">
        <f>n_fulvestrant_c2plus</f>
        <v>1</v>
      </c>
      <c r="G10" s="496" t="s">
        <v>473</v>
      </c>
      <c r="H10" s="496" t="s">
        <v>473</v>
      </c>
      <c r="I10" s="145">
        <f>B10*E10*F10</f>
        <v>252.88</v>
      </c>
      <c r="J10" s="145">
        <f>B10*E10*F10</f>
        <v>252.88</v>
      </c>
      <c r="L10" s="121"/>
      <c r="N10" s="121"/>
      <c r="O10" s="547" t="s">
        <v>491</v>
      </c>
      <c r="P10" s="548"/>
      <c r="Q10" s="548"/>
      <c r="R10" s="548"/>
      <c r="S10" s="548"/>
      <c r="T10" s="548"/>
      <c r="U10" s="548"/>
      <c r="V10" s="548"/>
      <c r="W10" s="548"/>
      <c r="X10" s="548"/>
      <c r="Z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</row>
    <row r="11" spans="1:39" ht="26" customHeight="1" x14ac:dyDescent="0.2">
      <c r="A11" s="141" t="s">
        <v>492</v>
      </c>
      <c r="B11" s="154">
        <f>price_fulvestrant_syr</f>
        <v>126.44</v>
      </c>
      <c r="C11" s="143">
        <f>Dosage_fulvestrant_per_injection</f>
        <v>500</v>
      </c>
      <c r="D11" s="143">
        <f>Dose_fulvestrant</f>
        <v>250</v>
      </c>
      <c r="E11" s="143">
        <f>C11/D11</f>
        <v>2</v>
      </c>
      <c r="F11" s="143">
        <f>n_fulvestrant_c1</f>
        <v>2</v>
      </c>
      <c r="G11" s="496" t="s">
        <v>473</v>
      </c>
      <c r="H11" s="496" t="s">
        <v>473</v>
      </c>
      <c r="I11" s="145">
        <f>B11*E11*F11</f>
        <v>505.76</v>
      </c>
      <c r="J11" s="145">
        <f>B11*E11*F11</f>
        <v>505.76</v>
      </c>
      <c r="L11" s="121"/>
      <c r="N11" s="121"/>
      <c r="P11" s="139" t="s">
        <v>493</v>
      </c>
      <c r="Q11" s="139" t="s">
        <v>494</v>
      </c>
      <c r="R11" s="139" t="s">
        <v>495</v>
      </c>
      <c r="S11" s="139" t="s">
        <v>496</v>
      </c>
      <c r="T11" s="139" t="s">
        <v>465</v>
      </c>
      <c r="U11" s="139" t="s">
        <v>497</v>
      </c>
      <c r="Z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</row>
    <row r="12" spans="1:39" ht="13.5" customHeight="1" x14ac:dyDescent="0.2">
      <c r="A12" s="141" t="s">
        <v>498</v>
      </c>
      <c r="B12" s="154">
        <f>price_goserelin_implant</f>
        <v>115.39</v>
      </c>
      <c r="C12" s="143">
        <f>Dosage_gosereline_per_injection</f>
        <v>3.6</v>
      </c>
      <c r="D12" s="143">
        <f>Dose_goserelin</f>
        <v>3.6</v>
      </c>
      <c r="E12" s="143">
        <f>C12/D12</f>
        <v>1</v>
      </c>
      <c r="F12" s="143">
        <f>n_goserelin_per_cycle</f>
        <v>1</v>
      </c>
      <c r="G12" s="155">
        <f>prop_premeno_inav</f>
        <v>0.40400000000000003</v>
      </c>
      <c r="H12" s="155">
        <f>prop_premeno_comp</f>
        <v>0.36</v>
      </c>
      <c r="I12" s="145">
        <f>B12*E12*F12*G12</f>
        <v>46.617560000000005</v>
      </c>
      <c r="J12" s="145">
        <f>B12*E12*F12*H12</f>
        <v>41.540399999999998</v>
      </c>
      <c r="L12" s="121"/>
      <c r="N12" s="121"/>
      <c r="O12" s="151" t="s">
        <v>485</v>
      </c>
      <c r="P12" s="154">
        <f>disp_fee_repeat_raw</f>
        <v>6.45</v>
      </c>
      <c r="Q12" s="157">
        <f>cpi_2020_to_2025</f>
        <v>1.2536</v>
      </c>
      <c r="R12" s="148">
        <f>P12*Q12</f>
        <v>8.0857200000000002</v>
      </c>
      <c r="S12" s="241">
        <f>prop_2L_chemo_inav</f>
        <v>0.55000000000000004</v>
      </c>
      <c r="T12" s="143">
        <f>n_cap_cycles</f>
        <v>6</v>
      </c>
      <c r="U12" s="145">
        <f>R12*S12*T12</f>
        <v>26.682876000000007</v>
      </c>
      <c r="Z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</row>
    <row r="13" spans="1:39" ht="14.25" customHeight="1" x14ac:dyDescent="0.2">
      <c r="A13" s="540" t="s">
        <v>499</v>
      </c>
      <c r="B13" s="541"/>
      <c r="C13" s="541"/>
      <c r="D13" s="541"/>
      <c r="E13" s="541"/>
      <c r="F13" s="541"/>
      <c r="G13" s="541"/>
      <c r="H13" s="542"/>
      <c r="I13" s="150">
        <f>I8+I9+I11+I12</f>
        <v>15468.957560000003</v>
      </c>
      <c r="J13" s="150">
        <f>J8+J9+J11+J12</f>
        <v>1769.0804000000001</v>
      </c>
      <c r="L13" s="121"/>
      <c r="N13" s="121"/>
      <c r="O13" s="151" t="s">
        <v>500</v>
      </c>
      <c r="P13" s="154">
        <f>disp_fee_repeat_raw</f>
        <v>6.45</v>
      </c>
      <c r="Q13" s="157">
        <f>cpi_2020_to_2025</f>
        <v>1.2536</v>
      </c>
      <c r="R13" s="148">
        <f>P13*Q13</f>
        <v>8.0857200000000002</v>
      </c>
      <c r="S13" s="498">
        <f>prop_2L_chemo_comp</f>
        <v>0.72</v>
      </c>
      <c r="T13" s="143">
        <f>n_cap_cycles</f>
        <v>6</v>
      </c>
      <c r="U13" s="145">
        <f>R13*S13*T13</f>
        <v>34.930310399999996</v>
      </c>
      <c r="Z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</row>
    <row r="14" spans="1:39" ht="13.5" customHeight="1" x14ac:dyDescent="0.2">
      <c r="A14" s="540" t="s">
        <v>501</v>
      </c>
      <c r="B14" s="541"/>
      <c r="C14" s="541"/>
      <c r="D14" s="541"/>
      <c r="E14" s="541"/>
      <c r="F14" s="541"/>
      <c r="G14" s="541"/>
      <c r="H14" s="542"/>
      <c r="I14" s="150">
        <f>I8+I9+I10+I12</f>
        <v>15216.077560000002</v>
      </c>
      <c r="J14" s="150">
        <f>J8+J9+J10+J12</f>
        <v>1516.2003999999999</v>
      </c>
      <c r="L14" s="121"/>
      <c r="N14" s="121"/>
      <c r="Z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</row>
    <row r="15" spans="1:39" ht="13.5" customHeight="1" x14ac:dyDescent="0.2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N15" s="121"/>
      <c r="O15" s="540" t="s">
        <v>502</v>
      </c>
      <c r="P15" s="541"/>
      <c r="Q15" s="541"/>
      <c r="R15" s="541"/>
      <c r="S15" s="541"/>
      <c r="T15" s="541"/>
      <c r="U15" s="541"/>
      <c r="V15" s="542"/>
      <c r="W15" s="150">
        <f>W8+W9+U12</f>
        <v>683.56287599999996</v>
      </c>
      <c r="X15" s="150">
        <f>X8+X9+U13</f>
        <v>868.88231039999982</v>
      </c>
      <c r="Z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</row>
    <row r="16" spans="1:39" ht="13.5" customHeight="1" x14ac:dyDescent="0.2">
      <c r="A16" s="551" t="s">
        <v>503</v>
      </c>
      <c r="B16" s="529"/>
      <c r="C16" s="529"/>
      <c r="D16" s="529"/>
      <c r="E16" s="529"/>
      <c r="F16" s="529"/>
      <c r="G16" s="529"/>
      <c r="H16" s="529"/>
      <c r="I16" s="529"/>
      <c r="J16" s="529"/>
      <c r="K16" s="529"/>
      <c r="L16" s="121"/>
      <c r="N16" s="121"/>
      <c r="Z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</row>
    <row r="17" spans="1:37" x14ac:dyDescent="0.2">
      <c r="A17" s="543" t="s">
        <v>504</v>
      </c>
      <c r="B17" s="529"/>
      <c r="C17" s="529"/>
      <c r="D17" s="529"/>
      <c r="E17" s="529"/>
      <c r="F17" s="529"/>
      <c r="G17" s="529"/>
      <c r="H17" s="529"/>
      <c r="I17" s="529"/>
      <c r="J17" s="529"/>
      <c r="K17" s="529"/>
      <c r="L17" s="121"/>
      <c r="N17" s="121"/>
      <c r="Z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</row>
    <row r="18" spans="1:37" ht="39" customHeight="1" x14ac:dyDescent="0.2">
      <c r="A18" s="139" t="s">
        <v>94</v>
      </c>
      <c r="B18" s="139" t="s">
        <v>505</v>
      </c>
      <c r="C18" s="139" t="s">
        <v>506</v>
      </c>
      <c r="D18" s="139" t="s">
        <v>507</v>
      </c>
      <c r="E18" s="139" t="s">
        <v>508</v>
      </c>
      <c r="F18" s="139" t="s">
        <v>509</v>
      </c>
      <c r="G18" s="139" t="s">
        <v>510</v>
      </c>
      <c r="H18" s="139" t="s">
        <v>511</v>
      </c>
      <c r="I18" s="121"/>
      <c r="L18" s="121"/>
      <c r="N18" s="121"/>
      <c r="O18" s="551" t="s">
        <v>540</v>
      </c>
      <c r="P18" s="529"/>
      <c r="Q18" s="529"/>
      <c r="R18" s="529"/>
      <c r="S18" s="529"/>
      <c r="T18" s="529"/>
      <c r="U18" s="529"/>
      <c r="V18" s="529"/>
      <c r="W18" s="529"/>
      <c r="X18" s="529"/>
      <c r="Y18" s="529"/>
      <c r="Z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</row>
    <row r="19" spans="1:37" ht="21.75" customHeight="1" x14ac:dyDescent="0.2">
      <c r="A19" s="141" t="s">
        <v>512</v>
      </c>
      <c r="B19" s="154">
        <f>unit_sc_admin</f>
        <v>75.28</v>
      </c>
      <c r="C19" s="157">
        <f>cpi_2022_to_2025</f>
        <v>1.1075999999999999</v>
      </c>
      <c r="D19" s="148">
        <f>B19*C19</f>
        <v>83.380127999999999</v>
      </c>
      <c r="E19" s="143">
        <f>n_fulvestrant_c1</f>
        <v>2</v>
      </c>
      <c r="F19" s="143">
        <f>n_fulvestrant_c1</f>
        <v>2</v>
      </c>
      <c r="G19" s="145">
        <f>D19*E19</f>
        <v>166.760256</v>
      </c>
      <c r="H19" s="145">
        <f>D19*F19</f>
        <v>166.760256</v>
      </c>
      <c r="I19" s="121"/>
      <c r="L19" s="121"/>
      <c r="N19" s="121"/>
      <c r="O19" s="543" t="s">
        <v>541</v>
      </c>
      <c r="P19" s="529"/>
      <c r="Q19" s="529"/>
      <c r="R19" s="529"/>
      <c r="S19" s="529"/>
      <c r="T19" s="529"/>
      <c r="U19" s="529"/>
      <c r="V19" s="529"/>
      <c r="W19" s="529"/>
      <c r="X19" s="529"/>
      <c r="Y19" s="529"/>
      <c r="Z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</row>
    <row r="20" spans="1:37" ht="21.75" customHeight="1" x14ac:dyDescent="0.2">
      <c r="A20" s="141" t="s">
        <v>513</v>
      </c>
      <c r="B20" s="154">
        <f>unit_sc_admin</f>
        <v>75.28</v>
      </c>
      <c r="C20" s="157">
        <f>cpi_2022_to_2025</f>
        <v>1.1075999999999999</v>
      </c>
      <c r="D20" s="148">
        <f>B20*C20</f>
        <v>83.380127999999999</v>
      </c>
      <c r="E20" s="143">
        <f>n_fulvestrant_c2plus</f>
        <v>1</v>
      </c>
      <c r="F20" s="143">
        <f>n_fulvestrant_c2plus</f>
        <v>1</v>
      </c>
      <c r="G20" s="145">
        <f>D20*E20</f>
        <v>83.380127999999999</v>
      </c>
      <c r="H20" s="145">
        <f>D20*F20</f>
        <v>83.380127999999999</v>
      </c>
      <c r="I20" s="121"/>
      <c r="L20" s="121"/>
      <c r="N20" s="121"/>
      <c r="O20" s="139" t="s">
        <v>530</v>
      </c>
      <c r="P20" s="139" t="s">
        <v>531</v>
      </c>
      <c r="R20" s="552"/>
      <c r="S20" s="529"/>
      <c r="T20" s="529"/>
      <c r="U20" s="529"/>
      <c r="V20" s="529"/>
      <c r="W20" s="529"/>
      <c r="X20" s="529"/>
      <c r="Y20" s="529"/>
      <c r="Z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</row>
    <row r="21" spans="1:37" ht="21.75" customHeight="1" x14ac:dyDescent="0.2">
      <c r="A21" s="471"/>
      <c r="B21" s="472"/>
      <c r="C21" s="473"/>
      <c r="D21" s="474"/>
      <c r="E21" s="475"/>
      <c r="F21" s="475"/>
      <c r="G21" s="476"/>
      <c r="H21" s="476"/>
      <c r="I21" s="121"/>
      <c r="L21" s="121"/>
      <c r="N21" s="121"/>
      <c r="O21" s="156" t="s">
        <v>549</v>
      </c>
      <c r="P21" s="142">
        <f>nza_74891_alt</f>
        <v>2.5</v>
      </c>
      <c r="R21" s="149"/>
      <c r="S21" s="149"/>
      <c r="T21" s="149"/>
      <c r="U21" s="149"/>
      <c r="V21" s="149"/>
      <c r="W21" s="121"/>
      <c r="X21" s="149"/>
      <c r="Y21" s="149"/>
      <c r="Z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</row>
    <row r="22" spans="1:37" ht="21.75" customHeight="1" x14ac:dyDescent="0.2">
      <c r="A22" s="543" t="s">
        <v>514</v>
      </c>
      <c r="B22" s="529"/>
      <c r="C22" s="529"/>
      <c r="D22" s="529"/>
      <c r="E22" s="529"/>
      <c r="F22" s="529"/>
      <c r="G22" s="529"/>
      <c r="H22" s="529"/>
      <c r="I22" s="529"/>
      <c r="J22" s="529"/>
      <c r="K22" s="529"/>
      <c r="L22" s="121"/>
      <c r="N22" s="121"/>
      <c r="O22" s="156" t="s">
        <v>551</v>
      </c>
      <c r="P22" s="142">
        <f>nza_70489_ast</f>
        <v>2.38</v>
      </c>
      <c r="R22" s="149"/>
      <c r="S22" s="149"/>
      <c r="T22" s="149"/>
      <c r="U22" s="149"/>
      <c r="V22" s="149"/>
      <c r="W22" s="121"/>
      <c r="X22" s="149"/>
      <c r="Y22" s="149"/>
      <c r="Z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</row>
    <row r="23" spans="1:37" ht="39" customHeight="1" x14ac:dyDescent="0.2">
      <c r="A23" s="139" t="s">
        <v>515</v>
      </c>
      <c r="B23" s="139" t="s">
        <v>493</v>
      </c>
      <c r="C23" s="139" t="s">
        <v>516</v>
      </c>
      <c r="D23" s="139" t="s">
        <v>494</v>
      </c>
      <c r="E23" s="139" t="s">
        <v>495</v>
      </c>
      <c r="F23" s="139" t="s">
        <v>517</v>
      </c>
      <c r="G23" s="139" t="s">
        <v>518</v>
      </c>
      <c r="H23" s="139" t="s">
        <v>519</v>
      </c>
      <c r="I23" s="494"/>
      <c r="J23" s="495"/>
      <c r="K23" s="495"/>
      <c r="L23" s="495"/>
      <c r="N23" s="121"/>
      <c r="O23" s="156" t="s">
        <v>553</v>
      </c>
      <c r="P23" s="142">
        <f>nza_70303_bilirubin</f>
        <v>1.97</v>
      </c>
      <c r="R23" s="149"/>
      <c r="S23" s="149"/>
      <c r="T23" s="149"/>
      <c r="U23" s="149"/>
      <c r="V23" s="149"/>
      <c r="W23" s="121"/>
      <c r="X23" s="149"/>
      <c r="Y23" s="149"/>
      <c r="Z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</row>
    <row r="24" spans="1:37" ht="21.75" customHeight="1" x14ac:dyDescent="0.2">
      <c r="A24" s="141" t="s">
        <v>487</v>
      </c>
      <c r="B24" s="154">
        <f>disp_fee_repeat_raw</f>
        <v>6.45</v>
      </c>
      <c r="C24" s="148">
        <f>disp_fee_first_raw</f>
        <v>11.87</v>
      </c>
      <c r="D24" s="157">
        <f>cpi_2020_to_2025</f>
        <v>1.2536</v>
      </c>
      <c r="E24" s="148">
        <f>B24*D24</f>
        <v>8.0857200000000002</v>
      </c>
      <c r="F24" s="148">
        <f>C24*D24</f>
        <v>14.880231999999999</v>
      </c>
      <c r="G24" s="145">
        <f>E24</f>
        <v>8.0857200000000002</v>
      </c>
      <c r="H24" s="145">
        <f>E24</f>
        <v>8.0857200000000002</v>
      </c>
      <c r="I24" s="121"/>
      <c r="L24" s="121"/>
      <c r="N24" s="121"/>
      <c r="O24" s="156" t="s">
        <v>556</v>
      </c>
      <c r="P24" s="142">
        <f>nza_70102_alkphos</f>
        <v>2.39</v>
      </c>
      <c r="R24" s="149"/>
      <c r="S24" s="149"/>
      <c r="T24" s="149"/>
      <c r="U24" s="149"/>
      <c r="V24" s="149"/>
      <c r="W24" s="121"/>
      <c r="X24" s="149"/>
      <c r="Y24" s="149"/>
      <c r="Z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</row>
    <row r="25" spans="1:37" ht="21.75" customHeight="1" x14ac:dyDescent="0.2">
      <c r="A25" s="141" t="s">
        <v>520</v>
      </c>
      <c r="B25" s="154">
        <f>disp_fee_repeat_raw</f>
        <v>6.45</v>
      </c>
      <c r="C25" s="148">
        <f>disp_fee_first_raw</f>
        <v>11.87</v>
      </c>
      <c r="D25" s="157">
        <f>cpi_2020_to_2025</f>
        <v>1.2536</v>
      </c>
      <c r="E25" s="148">
        <f>B25*D25</f>
        <v>8.0857200000000002</v>
      </c>
      <c r="F25" s="148">
        <f>C25*D25</f>
        <v>14.880231999999999</v>
      </c>
      <c r="G25" s="145">
        <f>E25*prop_premeno_inav</f>
        <v>3.2666308800000001</v>
      </c>
      <c r="H25" s="145">
        <f>E25*prop_premeno_comp</f>
        <v>2.9108592</v>
      </c>
      <c r="I25" s="121"/>
      <c r="L25" s="121"/>
      <c r="N25" s="121"/>
      <c r="O25" s="151" t="s">
        <v>557</v>
      </c>
      <c r="P25" s="158">
        <f>SUM(P21:P24)</f>
        <v>9.24</v>
      </c>
      <c r="R25" s="149"/>
      <c r="S25" s="149"/>
      <c r="T25" s="149"/>
      <c r="U25" s="149"/>
      <c r="V25" s="149"/>
      <c r="W25" s="121"/>
      <c r="X25" s="149"/>
      <c r="Y25" s="149"/>
      <c r="Z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</row>
    <row r="26" spans="1:37" ht="21.75" customHeight="1" x14ac:dyDescent="0.2">
      <c r="A26" s="553"/>
      <c r="B26" s="541"/>
      <c r="C26" s="541"/>
      <c r="D26" s="541"/>
      <c r="E26" s="541"/>
      <c r="F26" s="541"/>
      <c r="G26" s="541"/>
      <c r="H26" s="542"/>
      <c r="I26" s="121"/>
      <c r="L26" s="121"/>
      <c r="N26" s="121"/>
      <c r="O26" s="543" t="s">
        <v>559</v>
      </c>
      <c r="P26" s="529"/>
      <c r="Q26" s="529"/>
      <c r="R26" s="529"/>
      <c r="S26" s="529"/>
      <c r="T26" s="529"/>
      <c r="U26" s="529"/>
      <c r="V26" s="529"/>
      <c r="W26" s="529"/>
      <c r="X26" s="529"/>
      <c r="Y26" s="529"/>
      <c r="Z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</row>
    <row r="27" spans="1:37" ht="21.75" customHeight="1" x14ac:dyDescent="0.2">
      <c r="A27" s="550" t="s">
        <v>521</v>
      </c>
      <c r="B27" s="541"/>
      <c r="C27" s="541"/>
      <c r="D27" s="541"/>
      <c r="E27" s="541"/>
      <c r="F27" s="542"/>
      <c r="G27" s="145">
        <f>F24+F25*prop_premeno_inav</f>
        <v>20.891845728</v>
      </c>
      <c r="H27" s="145">
        <f>F24+F25*prop_premeno_comp</f>
        <v>20.23711552</v>
      </c>
      <c r="I27" s="121"/>
      <c r="L27" s="121"/>
      <c r="N27" s="121"/>
      <c r="O27" s="139" t="s">
        <v>566</v>
      </c>
      <c r="P27" s="139" t="s">
        <v>567</v>
      </c>
      <c r="Q27" s="139" t="s">
        <v>532</v>
      </c>
      <c r="R27" s="139" t="s">
        <v>568</v>
      </c>
      <c r="S27" s="464"/>
      <c r="T27" s="458"/>
      <c r="U27" s="139" t="s">
        <v>524</v>
      </c>
      <c r="V27" s="139" t="s">
        <v>525</v>
      </c>
      <c r="W27" s="121"/>
      <c r="Z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</row>
    <row r="28" spans="1:37" ht="21.75" customHeight="1" x14ac:dyDescent="0.2">
      <c r="A28" s="550" t="s">
        <v>522</v>
      </c>
      <c r="B28" s="541"/>
      <c r="C28" s="541"/>
      <c r="D28" s="541"/>
      <c r="E28" s="541"/>
      <c r="F28" s="542"/>
      <c r="G28" s="145">
        <f>G24+G25</f>
        <v>11.352350879999999</v>
      </c>
      <c r="H28" s="145">
        <f>H24+H25</f>
        <v>10.996579199999999</v>
      </c>
      <c r="I28" s="121"/>
      <c r="L28" s="121"/>
      <c r="N28" s="121"/>
      <c r="O28" s="159" t="s">
        <v>570</v>
      </c>
      <c r="P28" s="142">
        <f>unit_outpatient_visit</f>
        <v>120</v>
      </c>
      <c r="Q28" s="157">
        <f>cpi_2022_to_2025</f>
        <v>1.1075999999999999</v>
      </c>
      <c r="R28" s="144">
        <f>P28*Q28</f>
        <v>132.91199999999998</v>
      </c>
      <c r="S28" s="149"/>
      <c r="T28" s="149"/>
      <c r="U28" s="465"/>
      <c r="V28" s="466"/>
      <c r="W28" s="121"/>
      <c r="Z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</row>
    <row r="29" spans="1:37" ht="21.75" customHeight="1" x14ac:dyDescent="0.2">
      <c r="A29" s="455" t="s">
        <v>523</v>
      </c>
      <c r="L29" s="121"/>
      <c r="N29" s="121"/>
      <c r="O29" s="156" t="s">
        <v>572</v>
      </c>
      <c r="P29" s="148">
        <f>D41</f>
        <v>9.25</v>
      </c>
      <c r="Q29" s="144" t="s">
        <v>473</v>
      </c>
      <c r="R29" s="148">
        <f>P29</f>
        <v>9.25</v>
      </c>
      <c r="S29" s="149"/>
      <c r="T29" s="149"/>
      <c r="U29" s="467"/>
      <c r="V29" s="468"/>
      <c r="W29" s="121"/>
      <c r="Z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</row>
    <row r="30" spans="1:37" ht="21.75" customHeight="1" x14ac:dyDescent="0.2">
      <c r="B30" s="139" t="s">
        <v>524</v>
      </c>
      <c r="C30" s="139" t="s">
        <v>525</v>
      </c>
      <c r="I30" s="121"/>
      <c r="L30" s="121"/>
      <c r="N30" s="121"/>
      <c r="O30" s="156" t="s">
        <v>574</v>
      </c>
      <c r="P30" s="148">
        <f>P25</f>
        <v>9.24</v>
      </c>
      <c r="Q30" s="144" t="s">
        <v>473</v>
      </c>
      <c r="R30" s="148">
        <f>P30</f>
        <v>9.24</v>
      </c>
      <c r="S30" s="149"/>
      <c r="T30" s="149"/>
      <c r="U30" s="467"/>
      <c r="V30" s="468"/>
      <c r="W30" s="121"/>
      <c r="Z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</row>
    <row r="31" spans="1:37" ht="21.75" customHeight="1" x14ac:dyDescent="0.2">
      <c r="A31" s="151" t="s">
        <v>526</v>
      </c>
      <c r="B31" s="150">
        <f>G19+G27</f>
        <v>187.65210172799999</v>
      </c>
      <c r="C31" s="150">
        <f>H19+H27</f>
        <v>186.99737152</v>
      </c>
      <c r="L31" s="121"/>
      <c r="N31" s="121"/>
      <c r="O31" s="156" t="s">
        <v>575</v>
      </c>
      <c r="P31" s="142">
        <f>nza_70419_creatinine</f>
        <v>2.15</v>
      </c>
      <c r="Q31" s="144" t="s">
        <v>473</v>
      </c>
      <c r="R31" s="142">
        <f>P31</f>
        <v>2.15</v>
      </c>
      <c r="S31" s="149"/>
      <c r="T31" s="149"/>
      <c r="U31" s="467"/>
      <c r="V31" s="468"/>
      <c r="W31" s="121"/>
      <c r="Z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</row>
    <row r="32" spans="1:37" ht="21.75" customHeight="1" x14ac:dyDescent="0.2">
      <c r="A32" s="151" t="s">
        <v>527</v>
      </c>
      <c r="B32" s="150">
        <f>G20+G28</f>
        <v>94.732478880000002</v>
      </c>
      <c r="C32" s="150">
        <f>H20+H28</f>
        <v>94.376707199999998</v>
      </c>
      <c r="I32" s="121"/>
      <c r="L32" s="121"/>
      <c r="N32" s="121"/>
      <c r="O32" s="151" t="s">
        <v>576</v>
      </c>
      <c r="P32" s="160"/>
      <c r="Q32" s="160"/>
      <c r="R32" s="160">
        <f>R28+R29+R30+R31</f>
        <v>153.55199999999999</v>
      </c>
      <c r="S32" s="149"/>
      <c r="T32" s="149"/>
      <c r="U32" s="469"/>
      <c r="V32" s="470"/>
      <c r="W32" s="121"/>
      <c r="Z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</row>
    <row r="33" spans="1:38" ht="55.5" customHeight="1" x14ac:dyDescent="0.2">
      <c r="A33" s="454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N33" s="121"/>
      <c r="O33" s="151" t="s">
        <v>578</v>
      </c>
      <c r="P33" s="148">
        <f>R32</f>
        <v>153.55199999999999</v>
      </c>
      <c r="Q33" s="155">
        <f>cycle_length_days/cap_cycle_days</f>
        <v>1.3333333333333333</v>
      </c>
      <c r="R33" s="148">
        <f>P33*Q33</f>
        <v>204.73599999999999</v>
      </c>
      <c r="S33" s="149"/>
      <c r="T33" s="149"/>
      <c r="U33" s="148">
        <f>R33</f>
        <v>204.73599999999999</v>
      </c>
      <c r="V33" s="148">
        <f>R33</f>
        <v>204.73599999999999</v>
      </c>
      <c r="W33" s="121"/>
      <c r="Z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</row>
    <row r="34" spans="1:38" ht="13.5" customHeight="1" x14ac:dyDescent="0.2">
      <c r="A34" s="551" t="s">
        <v>528</v>
      </c>
      <c r="B34" s="529"/>
      <c r="C34" s="529"/>
      <c r="D34" s="529"/>
      <c r="E34" s="529"/>
      <c r="F34" s="529"/>
      <c r="G34" s="529"/>
      <c r="H34" s="529"/>
      <c r="I34" s="529"/>
      <c r="J34" s="529"/>
      <c r="K34" s="529"/>
      <c r="L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Z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</row>
    <row r="35" spans="1:38" ht="13.5" customHeight="1" x14ac:dyDescent="0.2">
      <c r="A35" s="543" t="s">
        <v>529</v>
      </c>
      <c r="B35" s="529"/>
      <c r="C35" s="529"/>
      <c r="D35" s="529"/>
      <c r="E35" s="529"/>
      <c r="F35" s="529"/>
      <c r="G35" s="529"/>
      <c r="H35" s="529"/>
      <c r="I35" s="529"/>
      <c r="J35" s="529"/>
      <c r="K35" s="529"/>
      <c r="L35" s="121"/>
      <c r="N35" s="121"/>
      <c r="O35" s="455" t="s">
        <v>580</v>
      </c>
      <c r="P35" s="455"/>
      <c r="Q35" s="455"/>
      <c r="R35" s="455"/>
      <c r="S35" s="455"/>
      <c r="T35" s="455"/>
      <c r="U35" s="455"/>
      <c r="V35" s="455"/>
      <c r="W35" s="455"/>
      <c r="Z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</row>
    <row r="36" spans="1:38" ht="42" customHeight="1" x14ac:dyDescent="0.2">
      <c r="A36" s="139" t="s">
        <v>530</v>
      </c>
      <c r="B36" s="139" t="s">
        <v>531</v>
      </c>
      <c r="C36" s="139" t="s">
        <v>532</v>
      </c>
      <c r="D36" s="139" t="s">
        <v>533</v>
      </c>
      <c r="F36" s="552"/>
      <c r="G36" s="529"/>
      <c r="H36" s="529"/>
      <c r="I36" s="529"/>
      <c r="J36" s="529"/>
      <c r="K36" s="529"/>
      <c r="L36" s="121"/>
      <c r="N36" s="121"/>
      <c r="O36" s="139" t="s">
        <v>94</v>
      </c>
      <c r="P36" s="139" t="s">
        <v>567</v>
      </c>
      <c r="Q36" s="139" t="s">
        <v>582</v>
      </c>
      <c r="R36" s="139" t="s">
        <v>583</v>
      </c>
      <c r="S36" s="139" t="s">
        <v>584</v>
      </c>
      <c r="T36" s="161" t="s">
        <v>585</v>
      </c>
      <c r="U36" s="139" t="s">
        <v>586</v>
      </c>
      <c r="V36" s="139" t="s">
        <v>587</v>
      </c>
      <c r="W36" s="121"/>
      <c r="Z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</row>
    <row r="37" spans="1:38" ht="13.5" customHeight="1" x14ac:dyDescent="0.2">
      <c r="A37" s="156" t="s">
        <v>534</v>
      </c>
      <c r="B37" s="154">
        <f>nza_70101_erythrocytes</f>
        <v>2.72</v>
      </c>
      <c r="C37" s="500" t="s">
        <v>473</v>
      </c>
      <c r="D37" s="148">
        <f>B37</f>
        <v>2.72</v>
      </c>
      <c r="F37" s="149"/>
      <c r="G37" s="149"/>
      <c r="H37" s="149"/>
      <c r="I37" s="121"/>
      <c r="J37" s="149"/>
      <c r="K37" s="149"/>
      <c r="L37" s="121"/>
      <c r="N37" s="121"/>
      <c r="O37" s="151" t="s">
        <v>596</v>
      </c>
      <c r="P37" s="148">
        <f>R33</f>
        <v>204.73599999999999</v>
      </c>
      <c r="Q37" s="144" t="s">
        <v>473</v>
      </c>
      <c r="R37" s="148">
        <f>P37</f>
        <v>204.73599999999999</v>
      </c>
      <c r="S37" s="144" t="s">
        <v>473</v>
      </c>
      <c r="T37" s="144" t="s">
        <v>473</v>
      </c>
      <c r="U37" s="148">
        <f>R37</f>
        <v>204.73599999999999</v>
      </c>
      <c r="V37" s="148">
        <f>R37</f>
        <v>204.73599999999999</v>
      </c>
      <c r="W37" s="121"/>
      <c r="Z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</row>
    <row r="38" spans="1:38" ht="55.5" customHeight="1" x14ac:dyDescent="0.2">
      <c r="A38" s="156" t="s">
        <v>535</v>
      </c>
      <c r="B38" s="154">
        <f>nza_70107_leukocytes</f>
        <v>1.62</v>
      </c>
      <c r="C38" s="500" t="s">
        <v>473</v>
      </c>
      <c r="D38" s="148">
        <f>B38</f>
        <v>1.62</v>
      </c>
      <c r="F38" s="149"/>
      <c r="G38" s="149"/>
      <c r="H38" s="149"/>
      <c r="I38" s="121"/>
      <c r="J38" s="149"/>
      <c r="K38" s="149"/>
      <c r="L38" s="121"/>
      <c r="N38" s="121"/>
      <c r="O38" s="141" t="s">
        <v>599</v>
      </c>
      <c r="P38" s="148">
        <f>unit_outpatient_visit*cpi_2022_to_2025</f>
        <v>132.91199999999998</v>
      </c>
      <c r="Q38" s="143">
        <f>cycles_per_palliative</f>
        <v>3</v>
      </c>
      <c r="R38" s="148">
        <f>P38/Q38</f>
        <v>44.303999999999995</v>
      </c>
      <c r="S38" s="144" t="s">
        <v>473</v>
      </c>
      <c r="T38" s="144" t="s">
        <v>473</v>
      </c>
      <c r="U38" s="148">
        <f>R38</f>
        <v>44.303999999999995</v>
      </c>
      <c r="V38" s="148">
        <f>R38</f>
        <v>44.303999999999995</v>
      </c>
      <c r="W38" s="121"/>
      <c r="Z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</row>
    <row r="39" spans="1:38" ht="27.75" customHeight="1" x14ac:dyDescent="0.2">
      <c r="A39" s="156" t="s">
        <v>536</v>
      </c>
      <c r="B39" s="154">
        <f>nza_70718_differential</f>
        <v>2.3199999999999998</v>
      </c>
      <c r="C39" s="500" t="s">
        <v>473</v>
      </c>
      <c r="D39" s="148">
        <f>B39</f>
        <v>2.3199999999999998</v>
      </c>
      <c r="F39" s="149"/>
      <c r="G39" s="149"/>
      <c r="H39" s="149"/>
      <c r="I39" s="121"/>
      <c r="J39" s="149"/>
      <c r="K39" s="149"/>
      <c r="L39" s="121"/>
      <c r="N39" s="121"/>
      <c r="O39" s="141" t="s">
        <v>602</v>
      </c>
      <c r="P39" s="148">
        <f>price_zoledronic+(unit_outpatient_visit*cpi_2022_to_2025)</f>
        <v>284.97199999999998</v>
      </c>
      <c r="Q39" s="143">
        <f>cycles_per_bone_dose</f>
        <v>3</v>
      </c>
      <c r="R39" s="148">
        <f>P39/Q39</f>
        <v>94.990666666666655</v>
      </c>
      <c r="S39" s="153">
        <f>prop_bone_inav</f>
        <v>3.1E-2</v>
      </c>
      <c r="T39" s="153">
        <f>prop_bone_comp</f>
        <v>3.6999999999999998E-2</v>
      </c>
      <c r="U39" s="145">
        <f>R39*S39</f>
        <v>2.9447106666666665</v>
      </c>
      <c r="V39" s="145">
        <f>R39*T39</f>
        <v>3.514654666666666</v>
      </c>
      <c r="W39" s="121"/>
      <c r="Z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</row>
    <row r="40" spans="1:38" ht="14.25" customHeight="1" x14ac:dyDescent="0.2">
      <c r="A40" s="156" t="s">
        <v>537</v>
      </c>
      <c r="B40" s="154">
        <f>nza_70103_platelets</f>
        <v>2.59</v>
      </c>
      <c r="C40" s="500" t="s">
        <v>473</v>
      </c>
      <c r="D40" s="148">
        <f>B40</f>
        <v>2.59</v>
      </c>
      <c r="F40" s="149"/>
      <c r="G40" s="149"/>
      <c r="H40" s="149"/>
      <c r="I40" s="121"/>
      <c r="J40" s="149"/>
      <c r="K40" s="149"/>
      <c r="L40" s="121"/>
      <c r="N40" s="121"/>
      <c r="O40" s="461" t="s">
        <v>605</v>
      </c>
      <c r="P40" s="462"/>
      <c r="Q40" s="462"/>
      <c r="R40" s="462"/>
      <c r="S40" s="462"/>
      <c r="T40" s="463"/>
      <c r="U40" s="150">
        <f>U37+U38+U39</f>
        <v>251.98471066666667</v>
      </c>
      <c r="V40" s="150">
        <f>V37+V38+V39</f>
        <v>252.55465466666666</v>
      </c>
      <c r="W40" s="121"/>
      <c r="Z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</row>
    <row r="41" spans="1:38" ht="14.25" customHeight="1" x14ac:dyDescent="0.2">
      <c r="A41" s="151" t="s">
        <v>735</v>
      </c>
      <c r="B41" s="501" t="s">
        <v>473</v>
      </c>
      <c r="C41" s="500" t="s">
        <v>473</v>
      </c>
      <c r="D41" s="158">
        <f>SUM(D37:D40)</f>
        <v>9.25</v>
      </c>
      <c r="F41" s="149"/>
      <c r="G41" s="149"/>
      <c r="H41" s="149"/>
      <c r="I41" s="121"/>
      <c r="J41" s="149"/>
      <c r="K41" s="149"/>
      <c r="L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</row>
    <row r="42" spans="1:38" ht="13.5" customHeight="1" x14ac:dyDescent="0.2">
      <c r="A42" s="141" t="s">
        <v>538</v>
      </c>
      <c r="B42" s="154">
        <f>unit_outpatient_visit</f>
        <v>120</v>
      </c>
      <c r="C42" s="157">
        <f>cpi_2022_to_2025</f>
        <v>1.1075999999999999</v>
      </c>
      <c r="D42" s="148">
        <f>B42*C42</f>
        <v>132.91199999999998</v>
      </c>
      <c r="F42" s="149"/>
      <c r="G42" s="149"/>
      <c r="H42" s="149"/>
      <c r="I42" s="121"/>
      <c r="J42" s="149"/>
      <c r="K42" s="149"/>
      <c r="L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</row>
    <row r="43" spans="1:38" ht="25.5" customHeight="1" x14ac:dyDescent="0.2">
      <c r="A43" s="141" t="s">
        <v>539</v>
      </c>
      <c r="B43" s="154">
        <f>nza_74065_hba1c</f>
        <v>8.0500000000000007</v>
      </c>
      <c r="C43" s="500" t="s">
        <v>473</v>
      </c>
      <c r="D43" s="148">
        <f>B43</f>
        <v>8.0500000000000007</v>
      </c>
      <c r="F43" s="149"/>
      <c r="G43" s="149"/>
      <c r="H43" s="149"/>
      <c r="I43" s="121"/>
      <c r="J43" s="149"/>
      <c r="K43" s="149"/>
      <c r="L43" s="121"/>
      <c r="N43" s="121"/>
      <c r="Z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</row>
    <row r="44" spans="1:38" ht="14.25" customHeight="1" x14ac:dyDescent="0.2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N44" s="121"/>
      <c r="Z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</row>
    <row r="45" spans="1:38" ht="14.25" customHeight="1" x14ac:dyDescent="0.2">
      <c r="A45" s="543" t="s">
        <v>542</v>
      </c>
      <c r="B45" s="529"/>
      <c r="C45" s="529"/>
      <c r="D45" s="529"/>
      <c r="E45" s="529"/>
      <c r="F45" s="529"/>
      <c r="G45" s="529"/>
      <c r="H45" s="529"/>
      <c r="I45" s="529"/>
      <c r="J45" s="529"/>
      <c r="K45" s="529"/>
      <c r="L45" s="121"/>
      <c r="N45" s="121"/>
      <c r="Z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</row>
    <row r="46" spans="1:38" ht="49.5" customHeight="1" x14ac:dyDescent="0.2">
      <c r="A46" s="139" t="s">
        <v>543</v>
      </c>
      <c r="B46" s="139" t="s">
        <v>533</v>
      </c>
      <c r="C46" s="139" t="s">
        <v>544</v>
      </c>
      <c r="D46" s="139" t="s">
        <v>545</v>
      </c>
      <c r="E46" s="139" t="s">
        <v>546</v>
      </c>
      <c r="F46" s="139" t="s">
        <v>547</v>
      </c>
      <c r="G46" s="139" t="s">
        <v>548</v>
      </c>
      <c r="H46" s="121"/>
      <c r="I46" s="121"/>
      <c r="J46" s="552"/>
      <c r="K46" s="529"/>
      <c r="L46" s="121"/>
      <c r="N46" s="121"/>
      <c r="Z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</row>
    <row r="47" spans="1:38" ht="42" customHeight="1" x14ac:dyDescent="0.2">
      <c r="A47" s="156" t="s">
        <v>538</v>
      </c>
      <c r="B47" s="148">
        <f>D42</f>
        <v>132.91199999999998</v>
      </c>
      <c r="C47" s="498">
        <f>n_outpatient_c1</f>
        <v>2</v>
      </c>
      <c r="D47" s="498">
        <f>n_outpatient_c2plus</f>
        <v>1</v>
      </c>
      <c r="E47" s="498">
        <f>n_outpatient_c2plus</f>
        <v>1</v>
      </c>
      <c r="F47" s="152" t="s">
        <v>550</v>
      </c>
      <c r="G47" s="152" t="s">
        <v>550</v>
      </c>
      <c r="H47" s="121"/>
      <c r="I47" s="121"/>
      <c r="J47" s="149"/>
      <c r="K47" s="149"/>
      <c r="L47" s="121"/>
      <c r="N47" s="121"/>
      <c r="Z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</row>
    <row r="48" spans="1:38" ht="13.5" customHeight="1" x14ac:dyDescent="0.2">
      <c r="A48" s="156" t="s">
        <v>552</v>
      </c>
      <c r="B48" s="148">
        <f>D41</f>
        <v>9.25</v>
      </c>
      <c r="C48" s="498">
        <f>n_cbc_c1c2</f>
        <v>2</v>
      </c>
      <c r="D48" s="498">
        <f>n_cbc_c1c2</f>
        <v>2</v>
      </c>
      <c r="E48" s="498">
        <f>n_cbc_c3plus</f>
        <v>1</v>
      </c>
      <c r="F48" s="152" t="s">
        <v>550</v>
      </c>
      <c r="G48" s="152" t="s">
        <v>550</v>
      </c>
      <c r="H48" s="121"/>
      <c r="I48" s="121"/>
      <c r="J48" s="149"/>
      <c r="K48" s="149"/>
      <c r="L48" s="121"/>
      <c r="N48" s="121"/>
      <c r="Z48" s="121"/>
      <c r="AB48" s="121"/>
      <c r="AC48" s="121"/>
      <c r="AD48" s="121"/>
      <c r="AE48" s="121"/>
      <c r="AF48" s="121"/>
      <c r="AG48" s="121"/>
      <c r="AH48" s="121"/>
      <c r="AI48" s="121"/>
      <c r="AJ48" s="121"/>
      <c r="AK48" s="121"/>
      <c r="AL48" s="121"/>
    </row>
    <row r="49" spans="1:38" ht="13.5" customHeight="1" x14ac:dyDescent="0.2">
      <c r="A49" s="159" t="s">
        <v>554</v>
      </c>
      <c r="B49" s="148">
        <f>D43</f>
        <v>8.0500000000000007</v>
      </c>
      <c r="C49" s="498">
        <f>1/cycles_per_hba1c</f>
        <v>0.33333333333333331</v>
      </c>
      <c r="D49" s="498">
        <f>1/cycles_per_hba1c</f>
        <v>0.33333333333333331</v>
      </c>
      <c r="E49" s="498">
        <f>1/cycles_per_hba1c</f>
        <v>0.33333333333333331</v>
      </c>
      <c r="F49" s="152" t="s">
        <v>550</v>
      </c>
      <c r="G49" s="152" t="s">
        <v>555</v>
      </c>
      <c r="H49" s="121"/>
      <c r="I49" s="121"/>
      <c r="J49" s="149"/>
      <c r="K49" s="149"/>
      <c r="L49" s="121"/>
      <c r="N49" s="121"/>
      <c r="Z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</row>
    <row r="50" spans="1:38" ht="14.25" customHeight="1" x14ac:dyDescent="0.2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N50" s="121"/>
      <c r="Z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1"/>
    </row>
    <row r="51" spans="1:38" ht="13.5" customHeight="1" x14ac:dyDescent="0.2">
      <c r="A51" s="543" t="s">
        <v>558</v>
      </c>
      <c r="B51" s="529"/>
      <c r="C51" s="529"/>
      <c r="D51" s="529"/>
      <c r="E51" s="529"/>
      <c r="F51" s="529"/>
      <c r="G51" s="529"/>
      <c r="H51" s="529"/>
      <c r="I51" s="529"/>
      <c r="J51" s="529"/>
      <c r="K51" s="529"/>
      <c r="L51" s="121"/>
      <c r="N51" s="121"/>
      <c r="Z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</row>
    <row r="52" spans="1:38" ht="43.5" customHeight="1" x14ac:dyDescent="0.2">
      <c r="A52" s="139" t="s">
        <v>560</v>
      </c>
      <c r="B52" s="139" t="s">
        <v>561</v>
      </c>
      <c r="C52" s="139" t="s">
        <v>562</v>
      </c>
      <c r="D52" s="139" t="s">
        <v>563</v>
      </c>
      <c r="E52" s="139" t="s">
        <v>564</v>
      </c>
      <c r="F52" s="139" t="s">
        <v>565</v>
      </c>
      <c r="G52" s="140"/>
      <c r="H52" s="140"/>
      <c r="I52" s="121"/>
      <c r="L52" s="121"/>
      <c r="N52" s="121"/>
      <c r="Z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21"/>
    </row>
    <row r="53" spans="1:38" ht="19.5" customHeight="1" x14ac:dyDescent="0.2">
      <c r="A53" s="151" t="s">
        <v>569</v>
      </c>
      <c r="B53" s="148">
        <f>B47*C47</f>
        <v>265.82399999999996</v>
      </c>
      <c r="C53" s="148">
        <f>B48*C48</f>
        <v>18.5</v>
      </c>
      <c r="D53" s="148">
        <f>B49*C49</f>
        <v>2.6833333333333336</v>
      </c>
      <c r="E53" s="150">
        <f>B53+C53+D53</f>
        <v>287.00733333333329</v>
      </c>
      <c r="F53" s="150">
        <f>B53+C53</f>
        <v>284.32399999999996</v>
      </c>
      <c r="G53" s="149"/>
      <c r="H53" s="149"/>
      <c r="I53" s="121"/>
      <c r="L53" s="121"/>
      <c r="N53" s="121"/>
      <c r="Z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</row>
    <row r="54" spans="1:38" ht="21.75" customHeight="1" x14ac:dyDescent="0.2">
      <c r="A54" s="151" t="s">
        <v>571</v>
      </c>
      <c r="B54" s="148">
        <f>B47*D47</f>
        <v>132.91199999999998</v>
      </c>
      <c r="C54" s="148">
        <f>B48*D48</f>
        <v>18.5</v>
      </c>
      <c r="D54" s="148">
        <f>B49*D49</f>
        <v>2.6833333333333336</v>
      </c>
      <c r="E54" s="150">
        <f>B54+C54+D54</f>
        <v>154.09533333333331</v>
      </c>
      <c r="F54" s="150">
        <f>B54+C54</f>
        <v>151.41199999999998</v>
      </c>
      <c r="G54" s="149"/>
      <c r="H54" s="149"/>
      <c r="I54" s="121"/>
      <c r="L54" s="121"/>
      <c r="N54" s="121"/>
      <c r="Z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</row>
    <row r="55" spans="1:38" ht="13.5" customHeight="1" x14ac:dyDescent="0.2">
      <c r="A55" s="151" t="s">
        <v>573</v>
      </c>
      <c r="B55" s="148">
        <f>B47*E47</f>
        <v>132.91199999999998</v>
      </c>
      <c r="C55" s="148">
        <f>B48*E48</f>
        <v>9.25</v>
      </c>
      <c r="D55" s="148">
        <f>B49*E49</f>
        <v>2.6833333333333336</v>
      </c>
      <c r="E55" s="150">
        <f>B55+C55+D55</f>
        <v>144.84533333333331</v>
      </c>
      <c r="F55" s="150">
        <f>B55+C55</f>
        <v>142.16199999999998</v>
      </c>
      <c r="G55" s="149"/>
      <c r="H55" s="149"/>
      <c r="I55" s="121"/>
      <c r="L55" s="121"/>
      <c r="N55" s="121"/>
      <c r="Z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</row>
    <row r="56" spans="1:38" ht="55.5" customHeight="1" x14ac:dyDescent="0.2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N56" s="121"/>
      <c r="Z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</row>
    <row r="57" spans="1:38" ht="27.75" customHeight="1" x14ac:dyDescent="0.2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N57" s="121"/>
      <c r="Z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21"/>
    </row>
    <row r="58" spans="1:38" ht="19.5" customHeight="1" x14ac:dyDescent="0.2">
      <c r="A58" s="544" t="s">
        <v>577</v>
      </c>
      <c r="B58" s="529"/>
      <c r="C58" s="529"/>
      <c r="D58" s="529"/>
      <c r="E58" s="529"/>
      <c r="F58" s="529"/>
      <c r="G58" s="529"/>
      <c r="H58" s="529"/>
      <c r="I58" s="529"/>
      <c r="J58" s="529"/>
      <c r="K58" s="137"/>
      <c r="L58" s="121"/>
      <c r="N58" s="121"/>
      <c r="Z58" s="121"/>
      <c r="AB58" s="121"/>
      <c r="AC58" s="121"/>
      <c r="AD58" s="121"/>
      <c r="AE58" s="121"/>
      <c r="AF58" s="121"/>
      <c r="AG58" s="121"/>
      <c r="AH58" s="121"/>
      <c r="AI58" s="121"/>
      <c r="AJ58" s="121"/>
      <c r="AK58" s="121"/>
      <c r="AL58" s="121"/>
    </row>
    <row r="59" spans="1:38" ht="18" customHeight="1" x14ac:dyDescent="0.2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N59" s="121"/>
      <c r="Z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</row>
    <row r="60" spans="1:38" ht="14.25" customHeight="1" x14ac:dyDescent="0.2">
      <c r="A60" s="551" t="s">
        <v>579</v>
      </c>
      <c r="B60" s="529"/>
      <c r="C60" s="529"/>
      <c r="D60" s="529"/>
      <c r="E60" s="529"/>
      <c r="F60" s="529"/>
      <c r="G60" s="529"/>
      <c r="H60" s="529"/>
      <c r="I60" s="529"/>
      <c r="J60" s="529"/>
      <c r="K60" s="529"/>
      <c r="L60" s="121"/>
      <c r="N60" s="121"/>
      <c r="Z60" s="121"/>
      <c r="AB60" s="121"/>
      <c r="AC60" s="121"/>
      <c r="AD60" s="121"/>
      <c r="AE60" s="121"/>
      <c r="AF60" s="121"/>
      <c r="AG60" s="121"/>
      <c r="AH60" s="121"/>
      <c r="AI60" s="121"/>
      <c r="AJ60" s="121"/>
      <c r="AK60" s="121"/>
      <c r="AL60" s="121"/>
    </row>
    <row r="61" spans="1:38" ht="57.75" customHeight="1" x14ac:dyDescent="0.2">
      <c r="A61" s="543" t="s">
        <v>581</v>
      </c>
      <c r="B61" s="529"/>
      <c r="C61" s="529"/>
      <c r="D61" s="529"/>
      <c r="E61" s="529"/>
      <c r="F61" s="529"/>
      <c r="G61" s="529"/>
      <c r="H61" s="529"/>
      <c r="I61" s="529"/>
      <c r="J61" s="529"/>
      <c r="K61" s="529"/>
      <c r="L61" s="121"/>
      <c r="N61" s="121"/>
      <c r="Z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</row>
    <row r="62" spans="1:38" ht="57.75" customHeight="1" x14ac:dyDescent="0.2">
      <c r="A62" s="139" t="s">
        <v>588</v>
      </c>
      <c r="B62" s="139" t="s">
        <v>589</v>
      </c>
      <c r="C62" s="139" t="s">
        <v>590</v>
      </c>
      <c r="D62" s="139" t="s">
        <v>591</v>
      </c>
      <c r="E62" s="139" t="s">
        <v>592</v>
      </c>
      <c r="F62" s="139" t="s">
        <v>593</v>
      </c>
      <c r="G62" s="139" t="s">
        <v>594</v>
      </c>
      <c r="H62" s="139" t="s">
        <v>595</v>
      </c>
      <c r="I62" s="121"/>
      <c r="J62" s="121"/>
      <c r="K62" s="121"/>
      <c r="L62" s="121"/>
      <c r="N62" s="121"/>
      <c r="Z62" s="121"/>
      <c r="AB62" s="121"/>
      <c r="AC62" s="121"/>
      <c r="AD62" s="121"/>
      <c r="AE62" s="121"/>
      <c r="AF62" s="121"/>
      <c r="AG62" s="121"/>
      <c r="AH62" s="121"/>
      <c r="AI62" s="121"/>
      <c r="AJ62" s="121"/>
      <c r="AK62" s="121"/>
      <c r="AL62" s="121"/>
    </row>
    <row r="63" spans="1:38" ht="13.5" customHeight="1" x14ac:dyDescent="0.2">
      <c r="A63" s="162" t="s">
        <v>597</v>
      </c>
      <c r="B63" s="148">
        <f>D42</f>
        <v>132.91199999999998</v>
      </c>
      <c r="C63" s="148">
        <f>D41</f>
        <v>9.25</v>
      </c>
      <c r="D63" s="148">
        <f>B63+C63</f>
        <v>142.16199999999998</v>
      </c>
      <c r="E63" s="148">
        <f>unit_fn_hospital*cpi_2022_to_2025</f>
        <v>3809.3354519999998</v>
      </c>
      <c r="F63" s="498">
        <f>prob_fn_given_neutropenia</f>
        <v>0.01</v>
      </c>
      <c r="G63" s="145">
        <f>(1-F63)*D63+F63*E63</f>
        <v>178.83373451999998</v>
      </c>
      <c r="H63" s="152" t="s">
        <v>598</v>
      </c>
      <c r="I63" s="121"/>
      <c r="J63" s="121"/>
      <c r="K63" s="121"/>
      <c r="L63" s="121"/>
      <c r="N63" s="121"/>
      <c r="Z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1"/>
    </row>
    <row r="64" spans="1:38" ht="13.5" customHeight="1" x14ac:dyDescent="0.2">
      <c r="A64" s="162" t="s">
        <v>600</v>
      </c>
      <c r="B64" s="148">
        <f>D42</f>
        <v>132.91199999999998</v>
      </c>
      <c r="C64" s="148">
        <f>D41</f>
        <v>9.25</v>
      </c>
      <c r="D64" s="148">
        <f>B64+C64</f>
        <v>142.16199999999998</v>
      </c>
      <c r="E64" s="501" t="s">
        <v>473</v>
      </c>
      <c r="F64" s="497" t="s">
        <v>473</v>
      </c>
      <c r="G64" s="145">
        <f>D64</f>
        <v>142.16199999999998</v>
      </c>
      <c r="H64" s="152" t="s">
        <v>601</v>
      </c>
      <c r="I64" s="121"/>
      <c r="J64" s="121"/>
      <c r="K64" s="121"/>
      <c r="L64" s="121"/>
      <c r="N64" s="121"/>
      <c r="Z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</row>
    <row r="65" spans="1:38" ht="21.75" customHeight="1" x14ac:dyDescent="0.2">
      <c r="A65" s="162" t="s">
        <v>603</v>
      </c>
      <c r="B65" s="148">
        <f>unit_rbc_transfusion*cpi_2022_to_2025</f>
        <v>700.31332799999996</v>
      </c>
      <c r="C65" s="501" t="s">
        <v>473</v>
      </c>
      <c r="D65" s="148">
        <f>B65</f>
        <v>700.31332799999996</v>
      </c>
      <c r="E65" s="501" t="s">
        <v>473</v>
      </c>
      <c r="F65" s="497" t="s">
        <v>473</v>
      </c>
      <c r="G65" s="145">
        <f>D65</f>
        <v>700.31332799999996</v>
      </c>
      <c r="H65" s="152" t="s">
        <v>604</v>
      </c>
      <c r="I65" s="121"/>
      <c r="J65" s="121"/>
      <c r="K65" s="121"/>
      <c r="L65" s="121"/>
      <c r="N65" s="121"/>
      <c r="Z65" s="121"/>
      <c r="AB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21"/>
    </row>
    <row r="66" spans="1:38" ht="19.5" customHeight="1" x14ac:dyDescent="0.2">
      <c r="A66" s="162" t="s">
        <v>606</v>
      </c>
      <c r="B66" s="148">
        <f>n_visits_hyperglycaemia*D42</f>
        <v>265.82399999999996</v>
      </c>
      <c r="C66" s="148">
        <f>unit_metformin_30d</f>
        <v>4.2</v>
      </c>
      <c r="D66" s="148">
        <f>B66+C66</f>
        <v>270.02399999999994</v>
      </c>
      <c r="E66" s="501" t="s">
        <v>473</v>
      </c>
      <c r="F66" s="497" t="s">
        <v>473</v>
      </c>
      <c r="G66" s="145">
        <f>D66</f>
        <v>270.02399999999994</v>
      </c>
      <c r="H66" s="152" t="s">
        <v>607</v>
      </c>
      <c r="I66" s="121"/>
      <c r="J66" s="121"/>
      <c r="K66" s="121"/>
      <c r="L66" s="121"/>
      <c r="N66" s="121"/>
      <c r="Z66" s="121"/>
      <c r="AB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21"/>
    </row>
    <row r="67" spans="1:38" ht="13.5" customHeight="1" x14ac:dyDescent="0.2">
      <c r="A67" s="162" t="s">
        <v>608</v>
      </c>
      <c r="B67" s="148">
        <f>D42</f>
        <v>132.91199999999998</v>
      </c>
      <c r="C67" s="148">
        <f>unit_dexa_mouthwash</f>
        <v>71.39</v>
      </c>
      <c r="D67" s="148">
        <f>B67+C67</f>
        <v>204.30199999999996</v>
      </c>
      <c r="E67" s="501" t="s">
        <v>473</v>
      </c>
      <c r="F67" s="497" t="s">
        <v>473</v>
      </c>
      <c r="G67" s="145">
        <f>D67</f>
        <v>204.30199999999996</v>
      </c>
      <c r="H67" s="152" t="s">
        <v>609</v>
      </c>
      <c r="I67" s="121"/>
      <c r="J67" s="121"/>
      <c r="K67" s="121"/>
      <c r="L67" s="121"/>
      <c r="N67" s="121"/>
      <c r="Z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  <c r="AL67" s="121"/>
    </row>
    <row r="68" spans="1:38" ht="14.25" customHeight="1" x14ac:dyDescent="0.2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</row>
    <row r="69" spans="1:38" ht="42" customHeight="1" x14ac:dyDescent="0.2">
      <c r="A69" s="543" t="s">
        <v>610</v>
      </c>
      <c r="B69" s="529"/>
      <c r="C69" s="529"/>
      <c r="D69" s="529"/>
      <c r="E69" s="529"/>
      <c r="F69" s="529"/>
      <c r="G69" s="529"/>
      <c r="H69" s="529"/>
      <c r="I69" s="529"/>
      <c r="J69" s="529"/>
      <c r="K69" s="529"/>
      <c r="L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121"/>
    </row>
    <row r="70" spans="1:38" ht="43.5" customHeight="1" x14ac:dyDescent="0.2">
      <c r="A70" s="139" t="s">
        <v>588</v>
      </c>
      <c r="B70" s="139" t="s">
        <v>594</v>
      </c>
      <c r="C70" s="139" t="s">
        <v>611</v>
      </c>
      <c r="D70" s="139" t="s">
        <v>612</v>
      </c>
      <c r="E70" s="139" t="s">
        <v>613</v>
      </c>
      <c r="F70" s="139" t="s">
        <v>614</v>
      </c>
      <c r="G70" s="121"/>
      <c r="H70" s="121"/>
      <c r="I70" s="121"/>
      <c r="L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  <c r="AL70" s="121"/>
    </row>
    <row r="71" spans="1:38" ht="13.5" customHeight="1" x14ac:dyDescent="0.2">
      <c r="A71" s="162" t="s">
        <v>597</v>
      </c>
      <c r="B71" s="148">
        <f>G63</f>
        <v>178.83373451999998</v>
      </c>
      <c r="C71" s="498">
        <f>ae_neutropenia_inav</f>
        <v>0.82599999999999996</v>
      </c>
      <c r="D71" s="498">
        <f>ae_neutropenia_comp</f>
        <v>0.80400000000000005</v>
      </c>
      <c r="E71" s="145">
        <f>B71*C71</f>
        <v>147.71666471351998</v>
      </c>
      <c r="F71" s="145">
        <f>B71*D71</f>
        <v>143.78232255408</v>
      </c>
      <c r="G71" s="121"/>
      <c r="H71" s="121"/>
      <c r="I71" s="121"/>
      <c r="L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21"/>
    </row>
    <row r="72" spans="1:38" ht="39" customHeight="1" x14ac:dyDescent="0.2">
      <c r="A72" s="162" t="s">
        <v>600</v>
      </c>
      <c r="B72" s="148">
        <f>G64</f>
        <v>142.16199999999998</v>
      </c>
      <c r="C72" s="498">
        <f>ae_thrombocytopenia_inav</f>
        <v>0.13700000000000001</v>
      </c>
      <c r="D72" s="498">
        <f>ae_thrombocytopenia_comp</f>
        <v>4.9000000000000002E-2</v>
      </c>
      <c r="E72" s="145">
        <f>B72*C72</f>
        <v>19.476194</v>
      </c>
      <c r="F72" s="145">
        <f>B72*D72</f>
        <v>6.9659379999999995</v>
      </c>
      <c r="G72" s="121"/>
      <c r="H72" s="121"/>
      <c r="I72" s="121"/>
      <c r="L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21"/>
    </row>
    <row r="73" spans="1:38" ht="14.25" customHeight="1" x14ac:dyDescent="0.2">
      <c r="A73" s="162" t="s">
        <v>603</v>
      </c>
      <c r="B73" s="148">
        <f>G65</f>
        <v>700.31332799999996</v>
      </c>
      <c r="C73" s="498">
        <f>ae_anaemia_inav</f>
        <v>6.8000000000000005E-2</v>
      </c>
      <c r="D73" s="498">
        <f>ae_anaemia_comp</f>
        <v>1.7999999999999999E-2</v>
      </c>
      <c r="E73" s="145">
        <f>B73*C73</f>
        <v>47.621306304000001</v>
      </c>
      <c r="F73" s="145">
        <f>B73*D73</f>
        <v>12.605639903999998</v>
      </c>
      <c r="G73" s="121"/>
      <c r="H73" s="121"/>
      <c r="I73" s="121"/>
      <c r="L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21"/>
    </row>
    <row r="74" spans="1:38" ht="14.25" customHeight="1" x14ac:dyDescent="0.2">
      <c r="A74" s="162" t="s">
        <v>606</v>
      </c>
      <c r="B74" s="148">
        <f>G66</f>
        <v>270.02399999999994</v>
      </c>
      <c r="C74" s="498">
        <f>ae_hyperglycaemia_inav</f>
        <v>6.8000000000000005E-2</v>
      </c>
      <c r="D74" s="498">
        <f>ae_hyperglycaemia_comp</f>
        <v>0</v>
      </c>
      <c r="E74" s="145">
        <f>B74*C74</f>
        <v>18.361631999999997</v>
      </c>
      <c r="F74" s="145">
        <f>B74*D74</f>
        <v>0</v>
      </c>
      <c r="G74" s="121"/>
      <c r="H74" s="121"/>
      <c r="I74" s="121"/>
      <c r="L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</row>
    <row r="75" spans="1:38" ht="55.5" customHeight="1" x14ac:dyDescent="0.2">
      <c r="A75" s="162" t="s">
        <v>608</v>
      </c>
      <c r="B75" s="148">
        <f>G67</f>
        <v>204.30199999999996</v>
      </c>
      <c r="C75" s="498">
        <f>ae_stomatitis_inav</f>
        <v>5.6000000000000001E-2</v>
      </c>
      <c r="D75" s="498">
        <f>ae_stomatitis_comp</f>
        <v>0</v>
      </c>
      <c r="E75" s="145">
        <f>B75*C75</f>
        <v>11.440911999999999</v>
      </c>
      <c r="F75" s="145">
        <f>B75*D75</f>
        <v>0</v>
      </c>
      <c r="G75" s="121"/>
      <c r="H75" s="121"/>
      <c r="I75" s="121"/>
      <c r="L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</row>
    <row r="76" spans="1:38" ht="21.75" customHeight="1" x14ac:dyDescent="0.2">
      <c r="A76" s="540" t="s">
        <v>615</v>
      </c>
      <c r="B76" s="541"/>
      <c r="C76" s="541"/>
      <c r="D76" s="542"/>
      <c r="E76" s="150">
        <f>SUM(E71:E75)</f>
        <v>244.61670901751995</v>
      </c>
      <c r="F76" s="150">
        <f>SUM(F71:F75)</f>
        <v>163.35390045807998</v>
      </c>
      <c r="G76" s="121"/>
      <c r="H76" s="121"/>
      <c r="I76" s="121"/>
      <c r="L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</row>
    <row r="77" spans="1:38" ht="13.5" customHeight="1" x14ac:dyDescent="0.2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</row>
    <row r="78" spans="1:38" ht="19.5" customHeight="1" x14ac:dyDescent="0.2">
      <c r="A78" s="544" t="s">
        <v>616</v>
      </c>
      <c r="B78" s="529"/>
      <c r="C78" s="529"/>
      <c r="D78" s="529"/>
      <c r="E78" s="529"/>
      <c r="F78" s="529"/>
      <c r="G78" s="529"/>
      <c r="H78" s="529"/>
      <c r="I78" s="529"/>
      <c r="J78" s="529"/>
      <c r="K78" s="529"/>
      <c r="L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</row>
    <row r="79" spans="1:38" ht="32.25" customHeight="1" x14ac:dyDescent="0.2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</row>
    <row r="80" spans="1:38" ht="13.5" customHeight="1" x14ac:dyDescent="0.2">
      <c r="A80" s="551" t="s">
        <v>617</v>
      </c>
      <c r="B80" s="529"/>
      <c r="C80" s="529"/>
      <c r="D80" s="529"/>
      <c r="E80" s="529"/>
      <c r="F80" s="529"/>
      <c r="G80" s="529"/>
      <c r="H80" s="529"/>
      <c r="I80" s="529"/>
      <c r="J80" s="529"/>
      <c r="K80" s="529"/>
      <c r="L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</row>
    <row r="81" spans="1:38" ht="43.5" customHeight="1" x14ac:dyDescent="0.2">
      <c r="A81" s="139" t="s">
        <v>94</v>
      </c>
      <c r="B81" s="139" t="s">
        <v>618</v>
      </c>
      <c r="C81" s="139" t="s">
        <v>532</v>
      </c>
      <c r="D81" s="139" t="s">
        <v>619</v>
      </c>
      <c r="E81" s="139" t="s">
        <v>620</v>
      </c>
      <c r="F81" s="139" t="s">
        <v>621</v>
      </c>
      <c r="G81" s="139" t="s">
        <v>622</v>
      </c>
      <c r="H81" s="139" t="s">
        <v>623</v>
      </c>
      <c r="I81" s="139" t="s">
        <v>624</v>
      </c>
      <c r="L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</row>
    <row r="82" spans="1:38" ht="24.75" customHeight="1" x14ac:dyDescent="0.2">
      <c r="A82" s="163" t="s">
        <v>625</v>
      </c>
      <c r="B82" s="154">
        <f>informal_care_rate</f>
        <v>17</v>
      </c>
      <c r="C82" s="157">
        <f>cpi_2022_to_2025</f>
        <v>1.1075999999999999</v>
      </c>
      <c r="D82" s="148">
        <f>B82*C82</f>
        <v>18.8292</v>
      </c>
      <c r="E82" s="143">
        <f>informal_hours_pfs_week</f>
        <v>5</v>
      </c>
      <c r="F82" s="498">
        <f>cycle_length_days/n_days_week</f>
        <v>4</v>
      </c>
      <c r="G82" s="502" t="s">
        <v>626</v>
      </c>
      <c r="H82" s="145">
        <f>D82*E82*F82</f>
        <v>376.584</v>
      </c>
      <c r="I82" s="145">
        <f>D82*E82*F82</f>
        <v>376.584</v>
      </c>
      <c r="L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</row>
    <row r="83" spans="1:38" ht="24.75" customHeight="1" x14ac:dyDescent="0.2">
      <c r="A83" s="163" t="s">
        <v>627</v>
      </c>
      <c r="B83" s="154">
        <f>informal_care_rate</f>
        <v>17</v>
      </c>
      <c r="C83" s="157">
        <f>cpi_2022_to_2025</f>
        <v>1.1075999999999999</v>
      </c>
      <c r="D83" s="148">
        <f>B83*C83</f>
        <v>18.8292</v>
      </c>
      <c r="E83" s="143">
        <f>informal_hours_pd_week</f>
        <v>18</v>
      </c>
      <c r="F83" s="498">
        <f>cycle_length_days/n_days_week</f>
        <v>4</v>
      </c>
      <c r="G83" s="502" t="s">
        <v>626</v>
      </c>
      <c r="H83" s="145">
        <f>D83*E83*F83</f>
        <v>1355.7024000000001</v>
      </c>
      <c r="I83" s="145">
        <f>D83*E83*F83</f>
        <v>1355.7024000000001</v>
      </c>
      <c r="L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21"/>
    </row>
    <row r="84" spans="1:38" ht="60.75" customHeight="1" x14ac:dyDescent="0.2">
      <c r="A84" s="163" t="s">
        <v>628</v>
      </c>
      <c r="B84" s="154">
        <f>productivity_rate_hour</f>
        <v>39.21</v>
      </c>
      <c r="C84" s="157">
        <f>cpi_2022_to_2025</f>
        <v>1.1075999999999999</v>
      </c>
      <c r="D84" s="148">
        <f>B84*C84</f>
        <v>43.428995999999998</v>
      </c>
      <c r="E84" s="143">
        <f>friction_period_days*hours_per_workday</f>
        <v>680</v>
      </c>
      <c r="F84" s="498">
        <f>prop_working_age</f>
        <v>0.45</v>
      </c>
      <c r="G84" s="502" t="s">
        <v>629</v>
      </c>
      <c r="H84" s="145">
        <f>D84*E84*F84</f>
        <v>13289.272776</v>
      </c>
      <c r="I84" s="145">
        <f>D84*E84*F84</f>
        <v>13289.272776</v>
      </c>
      <c r="L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  <c r="AL84" s="121"/>
    </row>
    <row r="85" spans="1:38" ht="21.75" customHeight="1" x14ac:dyDescent="0.2">
      <c r="A85" s="163" t="s">
        <v>630</v>
      </c>
      <c r="B85" s="154">
        <f>patient_time_rate</f>
        <v>17</v>
      </c>
      <c r="C85" s="157">
        <f>cpi_2022_to_2025</f>
        <v>1.1075999999999999</v>
      </c>
      <c r="D85" s="148">
        <f>B85*C85</f>
        <v>18.8292</v>
      </c>
      <c r="E85" s="143">
        <f>patient_hours_per_visit</f>
        <v>2.5</v>
      </c>
      <c r="F85" s="497" t="s">
        <v>473</v>
      </c>
      <c r="G85" s="503" t="s">
        <v>631</v>
      </c>
      <c r="H85" s="145">
        <f>D85*E85</f>
        <v>47.073</v>
      </c>
      <c r="I85" s="145">
        <f>D85*E85</f>
        <v>47.073</v>
      </c>
      <c r="L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</row>
    <row r="86" spans="1:38" ht="14.25" customHeight="1" x14ac:dyDescent="0.2">
      <c r="A86" s="163" t="s">
        <v>632</v>
      </c>
      <c r="B86" s="554" t="s">
        <v>633</v>
      </c>
      <c r="C86" s="541"/>
      <c r="D86" s="542"/>
      <c r="E86" s="143">
        <f>n_outpatient_c1</f>
        <v>2</v>
      </c>
      <c r="F86" s="497" t="s">
        <v>473</v>
      </c>
      <c r="G86" s="503" t="s">
        <v>634</v>
      </c>
      <c r="H86" s="150">
        <f>H85*E86</f>
        <v>94.146000000000001</v>
      </c>
      <c r="I86" s="150">
        <f>I85*E86</f>
        <v>94.146000000000001</v>
      </c>
      <c r="L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</row>
    <row r="87" spans="1:38" ht="43.5" customHeight="1" x14ac:dyDescent="0.2">
      <c r="A87" s="163" t="s">
        <v>635</v>
      </c>
      <c r="B87" s="554" t="s">
        <v>633</v>
      </c>
      <c r="C87" s="541"/>
      <c r="D87" s="542"/>
      <c r="E87" s="143">
        <f>n_outpatient_c2plus</f>
        <v>1</v>
      </c>
      <c r="F87" s="497" t="s">
        <v>473</v>
      </c>
      <c r="G87" s="503" t="s">
        <v>636</v>
      </c>
      <c r="H87" s="150">
        <f>H85*E87</f>
        <v>47.073</v>
      </c>
      <c r="I87" s="150">
        <f>I85*E87</f>
        <v>47.073</v>
      </c>
      <c r="L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</row>
    <row r="88" spans="1:38" ht="28.5" customHeight="1" x14ac:dyDescent="0.2">
      <c r="A88" s="164" t="s">
        <v>637</v>
      </c>
      <c r="B88" s="154">
        <f>paid_unrelated_medical</f>
        <v>6500</v>
      </c>
      <c r="C88" s="555" t="s">
        <v>638</v>
      </c>
      <c r="D88" s="541"/>
      <c r="E88" s="541"/>
      <c r="F88" s="541"/>
      <c r="G88" s="556"/>
      <c r="H88" s="165">
        <f>paid_unrelated_medical</f>
        <v>6500</v>
      </c>
      <c r="I88" s="150">
        <f>paid_unrelated_medical</f>
        <v>6500</v>
      </c>
      <c r="L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</row>
    <row r="89" spans="1:38" ht="12" customHeight="1" x14ac:dyDescent="0.2">
      <c r="L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</row>
    <row r="90" spans="1:38" ht="12" customHeight="1" x14ac:dyDescent="0.2">
      <c r="L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</row>
    <row r="91" spans="1:38" ht="12" customHeight="1" x14ac:dyDescent="0.2">
      <c r="L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21"/>
    </row>
    <row r="92" spans="1:38" ht="12" customHeight="1" x14ac:dyDescent="0.2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21"/>
    </row>
    <row r="93" spans="1:38" ht="19.5" customHeight="1" x14ac:dyDescent="0.2">
      <c r="L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</row>
    <row r="94" spans="1:38" ht="12" customHeight="1" x14ac:dyDescent="0.2">
      <c r="L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121"/>
    </row>
    <row r="95" spans="1:38" ht="12" customHeight="1" x14ac:dyDescent="0.2">
      <c r="L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21"/>
    </row>
    <row r="96" spans="1:38" ht="39.75" customHeight="1" x14ac:dyDescent="0.2">
      <c r="L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1"/>
      <c r="AL96" s="121"/>
    </row>
    <row r="97" spans="1:38" ht="12" customHeight="1" x14ac:dyDescent="0.2">
      <c r="L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21"/>
    </row>
    <row r="98" spans="1:38" ht="12" customHeight="1" x14ac:dyDescent="0.2">
      <c r="L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21"/>
    </row>
    <row r="99" spans="1:38" ht="19.5" customHeight="1" x14ac:dyDescent="0.2">
      <c r="L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B99" s="121"/>
      <c r="AC99" s="121"/>
      <c r="AD99" s="121"/>
      <c r="AE99" s="121"/>
      <c r="AF99" s="121"/>
      <c r="AG99" s="121"/>
      <c r="AH99" s="121"/>
      <c r="AI99" s="121"/>
      <c r="AJ99" s="121"/>
      <c r="AK99" s="121"/>
      <c r="AL99" s="121"/>
    </row>
    <row r="100" spans="1:38" ht="12" customHeight="1" x14ac:dyDescent="0.2">
      <c r="L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21"/>
    </row>
    <row r="101" spans="1:38" ht="12" customHeight="1" x14ac:dyDescent="0.2">
      <c r="L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B101" s="121"/>
      <c r="AC101" s="121"/>
      <c r="AD101" s="121"/>
      <c r="AE101" s="121"/>
      <c r="AF101" s="121"/>
      <c r="AG101" s="121"/>
      <c r="AH101" s="121"/>
      <c r="AI101" s="121"/>
      <c r="AJ101" s="121"/>
      <c r="AK101" s="121"/>
      <c r="AL101" s="121"/>
    </row>
    <row r="102" spans="1:38" ht="57.75" customHeight="1" x14ac:dyDescent="0.2">
      <c r="A102" s="121"/>
      <c r="L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1"/>
    </row>
    <row r="103" spans="1:38" ht="12" customHeight="1" x14ac:dyDescent="0.2">
      <c r="L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1"/>
    </row>
    <row r="104" spans="1:38" ht="12" customHeight="1" x14ac:dyDescent="0.2">
      <c r="L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21"/>
    </row>
    <row r="105" spans="1:38" ht="12" customHeight="1" x14ac:dyDescent="0.2">
      <c r="L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1"/>
    </row>
    <row r="106" spans="1:38" ht="12" customHeight="1" x14ac:dyDescent="0.2">
      <c r="L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B106" s="121"/>
      <c r="AC106" s="121"/>
      <c r="AD106" s="121"/>
      <c r="AE106" s="121"/>
      <c r="AF106" s="121"/>
      <c r="AG106" s="121"/>
      <c r="AH106" s="121"/>
      <c r="AI106" s="121"/>
      <c r="AJ106" s="121"/>
      <c r="AK106" s="121"/>
      <c r="AL106" s="121"/>
    </row>
    <row r="107" spans="1:38" ht="12" customHeight="1" x14ac:dyDescent="0.2">
      <c r="L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</row>
    <row r="108" spans="1:38" ht="12" customHeight="1" x14ac:dyDescent="0.2">
      <c r="L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21"/>
    </row>
    <row r="109" spans="1:38" ht="12" customHeight="1" x14ac:dyDescent="0.2">
      <c r="L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  <c r="AK109" s="121"/>
      <c r="AL109" s="121"/>
    </row>
    <row r="110" spans="1:38" ht="19.5" customHeight="1" x14ac:dyDescent="0.2">
      <c r="L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  <c r="Y110" s="121"/>
      <c r="Z110" s="121"/>
      <c r="AB110" s="121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1"/>
    </row>
    <row r="111" spans="1:38" ht="12" customHeight="1" x14ac:dyDescent="0.2">
      <c r="L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B111" s="121"/>
      <c r="AC111" s="121"/>
      <c r="AD111" s="121"/>
      <c r="AE111" s="121"/>
      <c r="AF111" s="121"/>
      <c r="AG111" s="121"/>
      <c r="AH111" s="121"/>
      <c r="AI111" s="121"/>
      <c r="AJ111" s="121"/>
      <c r="AK111" s="121"/>
      <c r="AL111" s="121"/>
    </row>
    <row r="112" spans="1:38" ht="12" customHeight="1" x14ac:dyDescent="0.2">
      <c r="L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B112" s="121"/>
      <c r="AC112" s="121"/>
      <c r="AD112" s="121"/>
      <c r="AE112" s="121"/>
      <c r="AF112" s="121"/>
      <c r="AG112" s="121"/>
      <c r="AH112" s="121"/>
      <c r="AI112" s="121"/>
      <c r="AJ112" s="121"/>
      <c r="AK112" s="121"/>
      <c r="AL112" s="121"/>
    </row>
    <row r="113" spans="1:38" ht="49.5" customHeight="1" x14ac:dyDescent="0.2">
      <c r="L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B113" s="121"/>
      <c r="AC113" s="121"/>
      <c r="AD113" s="121"/>
      <c r="AE113" s="121"/>
      <c r="AF113" s="121"/>
      <c r="AG113" s="121"/>
      <c r="AH113" s="121"/>
      <c r="AI113" s="121"/>
      <c r="AJ113" s="121"/>
      <c r="AK113" s="121"/>
      <c r="AL113" s="121"/>
    </row>
    <row r="114" spans="1:38" ht="12" customHeight="1" x14ac:dyDescent="0.2">
      <c r="L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</row>
    <row r="115" spans="1:38" ht="12" customHeight="1" x14ac:dyDescent="0.2">
      <c r="L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  <c r="Y115" s="121"/>
      <c r="Z115" s="121"/>
      <c r="AB115" s="121"/>
      <c r="AC115" s="121"/>
      <c r="AD115" s="121"/>
      <c r="AE115" s="121"/>
      <c r="AF115" s="121"/>
      <c r="AG115" s="121"/>
      <c r="AH115" s="121"/>
      <c r="AI115" s="121"/>
      <c r="AJ115" s="121"/>
      <c r="AK115" s="121"/>
      <c r="AL115" s="121"/>
    </row>
    <row r="116" spans="1:38" ht="12" customHeight="1" x14ac:dyDescent="0.2">
      <c r="L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  <c r="AB116" s="121"/>
      <c r="AC116" s="121"/>
      <c r="AD116" s="121"/>
      <c r="AE116" s="121"/>
      <c r="AF116" s="121"/>
      <c r="AG116" s="121"/>
      <c r="AH116" s="121"/>
      <c r="AI116" s="121"/>
      <c r="AJ116" s="121"/>
      <c r="AK116" s="121"/>
      <c r="AL116" s="121"/>
    </row>
    <row r="117" spans="1:38" ht="12" customHeight="1" x14ac:dyDescent="0.2">
      <c r="L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1"/>
      <c r="AL117" s="121"/>
    </row>
    <row r="118" spans="1:38" ht="12" customHeight="1" x14ac:dyDescent="0.2">
      <c r="L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1"/>
      <c r="AL118" s="121"/>
    </row>
    <row r="119" spans="1:38" ht="12" customHeight="1" x14ac:dyDescent="0.2">
      <c r="L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</row>
    <row r="120" spans="1:38" ht="12" customHeight="1" x14ac:dyDescent="0.2">
      <c r="L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21"/>
    </row>
    <row r="121" spans="1:38" ht="12" customHeight="1" x14ac:dyDescent="0.2">
      <c r="L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21"/>
    </row>
    <row r="122" spans="1:38" ht="12" customHeight="1" x14ac:dyDescent="0.2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1"/>
    </row>
    <row r="123" spans="1:38" ht="12" customHeight="1" x14ac:dyDescent="0.2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  <c r="AB123" s="121"/>
      <c r="AC123" s="121"/>
      <c r="AD123" s="121"/>
      <c r="AE123" s="121"/>
      <c r="AF123" s="121"/>
      <c r="AG123" s="121"/>
      <c r="AH123" s="121"/>
      <c r="AI123" s="121"/>
      <c r="AJ123" s="121"/>
      <c r="AK123" s="121"/>
      <c r="AL123" s="121"/>
    </row>
    <row r="124" spans="1:38" ht="12" customHeight="1" x14ac:dyDescent="0.2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N124" s="121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  <c r="AB124" s="121"/>
      <c r="AC124" s="121"/>
      <c r="AD124" s="121"/>
      <c r="AE124" s="121"/>
      <c r="AF124" s="121"/>
      <c r="AG124" s="121"/>
      <c r="AH124" s="121"/>
      <c r="AI124" s="121"/>
      <c r="AJ124" s="121"/>
      <c r="AK124" s="121"/>
      <c r="AL124" s="121"/>
    </row>
    <row r="125" spans="1:38" ht="12" customHeight="1" x14ac:dyDescent="0.2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N125" s="121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  <c r="AK125" s="121"/>
      <c r="AL125" s="121"/>
    </row>
    <row r="126" spans="1:38" ht="12" customHeight="1" x14ac:dyDescent="0.2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  <c r="AL126" s="121"/>
    </row>
    <row r="127" spans="1:38" ht="12" customHeight="1" x14ac:dyDescent="0.2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N127" s="121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  <c r="AB127" s="121"/>
      <c r="AC127" s="121"/>
      <c r="AD127" s="121"/>
      <c r="AE127" s="121"/>
      <c r="AF127" s="121"/>
      <c r="AG127" s="121"/>
      <c r="AH127" s="121"/>
      <c r="AI127" s="121"/>
      <c r="AJ127" s="121"/>
      <c r="AK127" s="121"/>
      <c r="AL127" s="121"/>
    </row>
    <row r="128" spans="1:38" ht="12" customHeight="1" x14ac:dyDescent="0.2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N128" s="121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  <c r="AB128" s="121"/>
      <c r="AC128" s="121"/>
      <c r="AD128" s="121"/>
      <c r="AE128" s="121"/>
      <c r="AF128" s="121"/>
      <c r="AG128" s="121"/>
      <c r="AH128" s="121"/>
      <c r="AI128" s="121"/>
      <c r="AJ128" s="121"/>
      <c r="AK128" s="121"/>
      <c r="AL128" s="121"/>
    </row>
    <row r="129" spans="1:38" ht="12" customHeight="1" x14ac:dyDescent="0.2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B129" s="121"/>
      <c r="AC129" s="121"/>
      <c r="AD129" s="121"/>
      <c r="AE129" s="121"/>
      <c r="AF129" s="121"/>
      <c r="AG129" s="121"/>
      <c r="AH129" s="121"/>
      <c r="AI129" s="121"/>
      <c r="AJ129" s="121"/>
      <c r="AK129" s="121"/>
      <c r="AL129" s="121"/>
    </row>
    <row r="130" spans="1:38" ht="12" customHeight="1" x14ac:dyDescent="0.2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  <c r="AL130" s="121"/>
    </row>
    <row r="131" spans="1:38" ht="12" customHeight="1" x14ac:dyDescent="0.2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1"/>
      <c r="AL131" s="121"/>
    </row>
    <row r="132" spans="1:38" ht="12" customHeight="1" x14ac:dyDescent="0.2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1"/>
      <c r="AL132" s="121"/>
    </row>
    <row r="133" spans="1:38" ht="12" customHeight="1" x14ac:dyDescent="0.2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  <c r="AL133" s="121"/>
    </row>
    <row r="134" spans="1:38" ht="12" customHeight="1" x14ac:dyDescent="0.2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</row>
    <row r="135" spans="1:38" ht="12" customHeight="1" x14ac:dyDescent="0.2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1"/>
      <c r="AL135" s="121"/>
    </row>
    <row r="136" spans="1:38" ht="12" customHeight="1" x14ac:dyDescent="0.2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  <c r="AL136" s="121"/>
    </row>
    <row r="137" spans="1:38" ht="12" customHeight="1" x14ac:dyDescent="0.2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  <c r="AL137" s="121"/>
    </row>
    <row r="138" spans="1:38" ht="12" customHeight="1" x14ac:dyDescent="0.2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N138" s="121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  <c r="AB138" s="121"/>
      <c r="AC138" s="121"/>
      <c r="AD138" s="121"/>
      <c r="AE138" s="121"/>
      <c r="AF138" s="121"/>
      <c r="AG138" s="121"/>
      <c r="AH138" s="121"/>
      <c r="AI138" s="121"/>
      <c r="AJ138" s="121"/>
      <c r="AK138" s="121"/>
      <c r="AL138" s="121"/>
    </row>
    <row r="139" spans="1:38" ht="12" customHeight="1" x14ac:dyDescent="0.2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  <c r="AB139" s="121"/>
      <c r="AC139" s="121"/>
      <c r="AD139" s="121"/>
      <c r="AE139" s="121"/>
      <c r="AF139" s="121"/>
      <c r="AG139" s="121"/>
      <c r="AH139" s="121"/>
      <c r="AI139" s="121"/>
      <c r="AJ139" s="121"/>
      <c r="AK139" s="121"/>
      <c r="AL139" s="121"/>
    </row>
    <row r="140" spans="1:38" ht="12" customHeight="1" x14ac:dyDescent="0.2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N140" s="121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B140" s="121"/>
      <c r="AC140" s="121"/>
      <c r="AD140" s="121"/>
      <c r="AE140" s="121"/>
      <c r="AF140" s="121"/>
      <c r="AG140" s="121"/>
      <c r="AH140" s="121"/>
      <c r="AI140" s="121"/>
      <c r="AJ140" s="121"/>
      <c r="AK140" s="121"/>
      <c r="AL140" s="121"/>
    </row>
    <row r="141" spans="1:38" ht="12" customHeight="1" x14ac:dyDescent="0.2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  <c r="AB141" s="121"/>
      <c r="AC141" s="121"/>
      <c r="AD141" s="121"/>
      <c r="AE141" s="121"/>
      <c r="AF141" s="121"/>
      <c r="AG141" s="121"/>
      <c r="AH141" s="121"/>
      <c r="AI141" s="121"/>
      <c r="AJ141" s="121"/>
      <c r="AK141" s="121"/>
      <c r="AL141" s="121"/>
    </row>
    <row r="142" spans="1:38" ht="12" customHeight="1" x14ac:dyDescent="0.2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  <c r="AB142" s="121"/>
      <c r="AC142" s="121"/>
      <c r="AD142" s="121"/>
      <c r="AE142" s="121"/>
      <c r="AF142" s="121"/>
      <c r="AG142" s="121"/>
      <c r="AH142" s="121"/>
      <c r="AI142" s="121"/>
      <c r="AJ142" s="121"/>
      <c r="AK142" s="121"/>
      <c r="AL142" s="121"/>
    </row>
    <row r="143" spans="1:38" ht="12" customHeight="1" x14ac:dyDescent="0.2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  <c r="AB143" s="121"/>
      <c r="AC143" s="121"/>
      <c r="AD143" s="121"/>
      <c r="AE143" s="121"/>
      <c r="AF143" s="121"/>
      <c r="AG143" s="121"/>
      <c r="AH143" s="121"/>
      <c r="AI143" s="121"/>
      <c r="AJ143" s="121"/>
      <c r="AK143" s="121"/>
      <c r="AL143" s="121"/>
    </row>
    <row r="144" spans="1:38" ht="12" customHeight="1" x14ac:dyDescent="0.2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N144" s="121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  <c r="AB144" s="121"/>
      <c r="AC144" s="121"/>
      <c r="AD144" s="121"/>
      <c r="AE144" s="121"/>
      <c r="AF144" s="121"/>
      <c r="AG144" s="121"/>
      <c r="AH144" s="121"/>
      <c r="AI144" s="121"/>
      <c r="AJ144" s="121"/>
      <c r="AK144" s="121"/>
      <c r="AL144" s="121"/>
    </row>
    <row r="145" spans="1:38" ht="12" customHeight="1" x14ac:dyDescent="0.2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  <c r="AB145" s="121"/>
      <c r="AC145" s="121"/>
      <c r="AD145" s="121"/>
      <c r="AE145" s="121"/>
      <c r="AF145" s="121"/>
      <c r="AG145" s="121"/>
      <c r="AH145" s="121"/>
      <c r="AI145" s="121"/>
      <c r="AJ145" s="121"/>
      <c r="AK145" s="121"/>
      <c r="AL145" s="121"/>
    </row>
    <row r="146" spans="1:38" ht="12" customHeight="1" x14ac:dyDescent="0.2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  <c r="AB146" s="121"/>
      <c r="AC146" s="121"/>
      <c r="AD146" s="121"/>
      <c r="AE146" s="121"/>
      <c r="AF146" s="121"/>
      <c r="AG146" s="121"/>
      <c r="AH146" s="121"/>
      <c r="AI146" s="121"/>
      <c r="AJ146" s="121"/>
      <c r="AK146" s="121"/>
      <c r="AL146" s="121"/>
    </row>
    <row r="147" spans="1:38" ht="12" customHeight="1" x14ac:dyDescent="0.2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  <c r="AB147" s="121"/>
      <c r="AC147" s="121"/>
      <c r="AD147" s="121"/>
      <c r="AE147" s="121"/>
      <c r="AF147" s="121"/>
      <c r="AG147" s="121"/>
      <c r="AH147" s="121"/>
      <c r="AI147" s="121"/>
      <c r="AJ147" s="121"/>
      <c r="AK147" s="121"/>
      <c r="AL147" s="121"/>
    </row>
    <row r="148" spans="1:38" ht="12" customHeight="1" x14ac:dyDescent="0.2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  <c r="AB148" s="121"/>
      <c r="AC148" s="121"/>
      <c r="AD148" s="121"/>
      <c r="AE148" s="121"/>
      <c r="AF148" s="121"/>
      <c r="AG148" s="121"/>
      <c r="AH148" s="121"/>
      <c r="AI148" s="121"/>
      <c r="AJ148" s="121"/>
      <c r="AK148" s="121"/>
      <c r="AL148" s="121"/>
    </row>
    <row r="149" spans="1:38" ht="12" customHeight="1" x14ac:dyDescent="0.2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  <c r="AB149" s="121"/>
      <c r="AC149" s="121"/>
      <c r="AD149" s="121"/>
      <c r="AE149" s="121"/>
      <c r="AF149" s="121"/>
      <c r="AG149" s="121"/>
      <c r="AH149" s="121"/>
      <c r="AI149" s="121"/>
      <c r="AJ149" s="121"/>
      <c r="AK149" s="121"/>
      <c r="AL149" s="121"/>
    </row>
    <row r="150" spans="1:38" ht="12" customHeight="1" x14ac:dyDescent="0.2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  <c r="AL150" s="121"/>
    </row>
    <row r="151" spans="1:38" ht="12" customHeight="1" x14ac:dyDescent="0.2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21"/>
    </row>
    <row r="152" spans="1:38" ht="12" customHeight="1" x14ac:dyDescent="0.2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21"/>
    </row>
    <row r="153" spans="1:38" ht="12" customHeight="1" x14ac:dyDescent="0.2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</row>
    <row r="154" spans="1:38" ht="12" customHeight="1" x14ac:dyDescent="0.2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  <c r="AK154" s="121"/>
      <c r="AL154" s="121"/>
    </row>
    <row r="155" spans="1:38" ht="12" customHeight="1" x14ac:dyDescent="0.2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B155" s="121"/>
      <c r="AC155" s="121"/>
      <c r="AD155" s="121"/>
      <c r="AE155" s="121"/>
      <c r="AF155" s="121"/>
      <c r="AG155" s="121"/>
      <c r="AH155" s="121"/>
      <c r="AI155" s="121"/>
      <c r="AJ155" s="121"/>
      <c r="AK155" s="121"/>
      <c r="AL155" s="121"/>
    </row>
    <row r="156" spans="1:38" ht="12" customHeight="1" x14ac:dyDescent="0.2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N156" s="121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  <c r="AL156" s="121"/>
    </row>
    <row r="157" spans="1:38" ht="12" customHeight="1" x14ac:dyDescent="0.2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N157" s="121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  <c r="AL157" s="121"/>
    </row>
    <row r="158" spans="1:38" ht="12" customHeight="1" x14ac:dyDescent="0.2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B158" s="121"/>
      <c r="AC158" s="121"/>
      <c r="AD158" s="121"/>
      <c r="AE158" s="121"/>
      <c r="AF158" s="121"/>
      <c r="AG158" s="121"/>
      <c r="AH158" s="121"/>
      <c r="AI158" s="121"/>
      <c r="AJ158" s="121"/>
      <c r="AK158" s="121"/>
      <c r="AL158" s="121"/>
    </row>
    <row r="159" spans="1:38" ht="12" customHeight="1" x14ac:dyDescent="0.2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B159" s="121"/>
      <c r="AC159" s="121"/>
      <c r="AD159" s="121"/>
      <c r="AE159" s="121"/>
      <c r="AF159" s="121"/>
      <c r="AG159" s="121"/>
      <c r="AH159" s="121"/>
      <c r="AI159" s="121"/>
      <c r="AJ159" s="121"/>
      <c r="AK159" s="121"/>
      <c r="AL159" s="121"/>
    </row>
    <row r="160" spans="1:38" ht="12" customHeight="1" x14ac:dyDescent="0.2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B160" s="121"/>
      <c r="AC160" s="121"/>
      <c r="AD160" s="121"/>
      <c r="AE160" s="121"/>
      <c r="AF160" s="121"/>
      <c r="AG160" s="121"/>
      <c r="AH160" s="121"/>
      <c r="AI160" s="121"/>
      <c r="AJ160" s="121"/>
      <c r="AK160" s="121"/>
      <c r="AL160" s="121"/>
    </row>
    <row r="161" spans="1:38" ht="12" customHeight="1" x14ac:dyDescent="0.2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B161" s="121"/>
      <c r="AC161" s="121"/>
      <c r="AD161" s="121"/>
      <c r="AE161" s="121"/>
      <c r="AF161" s="121"/>
      <c r="AG161" s="121"/>
      <c r="AH161" s="121"/>
      <c r="AI161" s="121"/>
      <c r="AJ161" s="121"/>
      <c r="AK161" s="121"/>
      <c r="AL161" s="121"/>
    </row>
    <row r="162" spans="1:38" ht="12" customHeight="1" x14ac:dyDescent="0.2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B162" s="121"/>
      <c r="AC162" s="121"/>
      <c r="AD162" s="121"/>
      <c r="AE162" s="121"/>
      <c r="AF162" s="121"/>
      <c r="AG162" s="121"/>
      <c r="AH162" s="121"/>
      <c r="AI162" s="121"/>
      <c r="AJ162" s="121"/>
      <c r="AK162" s="121"/>
      <c r="AL162" s="121"/>
    </row>
    <row r="163" spans="1:38" ht="12" customHeight="1" x14ac:dyDescent="0.2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  <c r="AL163" s="121"/>
    </row>
    <row r="164" spans="1:38" ht="12" customHeight="1" x14ac:dyDescent="0.2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21"/>
    </row>
    <row r="165" spans="1:38" ht="12" customHeight="1" x14ac:dyDescent="0.2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21"/>
    </row>
    <row r="166" spans="1:38" ht="12" customHeight="1" x14ac:dyDescent="0.2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B166" s="121"/>
      <c r="AC166" s="121"/>
      <c r="AD166" s="121"/>
      <c r="AE166" s="121"/>
      <c r="AF166" s="121"/>
      <c r="AG166" s="121"/>
      <c r="AH166" s="121"/>
      <c r="AI166" s="121"/>
      <c r="AJ166" s="121"/>
      <c r="AK166" s="121"/>
      <c r="AL166" s="121"/>
    </row>
    <row r="167" spans="1:38" ht="12" customHeight="1" x14ac:dyDescent="0.2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  <c r="AL167" s="121"/>
    </row>
    <row r="168" spans="1:38" ht="12" customHeight="1" x14ac:dyDescent="0.2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</row>
    <row r="169" spans="1:38" ht="12" customHeight="1" x14ac:dyDescent="0.2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N169" s="121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  <c r="AL169" s="121"/>
    </row>
    <row r="170" spans="1:38" ht="12" customHeight="1" x14ac:dyDescent="0.2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  <c r="AL170" s="121"/>
    </row>
    <row r="171" spans="1:38" ht="12" customHeight="1" x14ac:dyDescent="0.2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21"/>
    </row>
    <row r="172" spans="1:38" ht="12" customHeight="1" x14ac:dyDescent="0.2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  <c r="AL172" s="121"/>
    </row>
    <row r="173" spans="1:38" ht="12" customHeight="1" x14ac:dyDescent="0.2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N173" s="121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  <c r="AL173" s="121"/>
    </row>
    <row r="174" spans="1:38" ht="12" customHeight="1" x14ac:dyDescent="0.2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  <c r="AL174" s="121"/>
    </row>
    <row r="175" spans="1:38" ht="12" customHeight="1" x14ac:dyDescent="0.2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  <c r="AL175" s="121"/>
    </row>
    <row r="176" spans="1:38" ht="12" customHeight="1" x14ac:dyDescent="0.2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21"/>
    </row>
    <row r="177" spans="1:38" ht="12" customHeight="1" x14ac:dyDescent="0.2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N177" s="121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  <c r="AL177" s="121"/>
    </row>
    <row r="178" spans="1:38" ht="12" customHeight="1" x14ac:dyDescent="0.2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  <c r="AL178" s="121"/>
    </row>
    <row r="179" spans="1:38" ht="12" customHeight="1" x14ac:dyDescent="0.2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  <c r="AL179" s="121"/>
    </row>
    <row r="180" spans="1:38" ht="12" customHeight="1" x14ac:dyDescent="0.2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  <c r="AL180" s="121"/>
    </row>
    <row r="181" spans="1:38" ht="12" customHeight="1" x14ac:dyDescent="0.2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21"/>
    </row>
    <row r="182" spans="1:38" ht="12" customHeight="1" x14ac:dyDescent="0.2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  <c r="AL182" s="121"/>
    </row>
    <row r="183" spans="1:38" ht="12" customHeight="1" x14ac:dyDescent="0.2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  <c r="AL183" s="121"/>
    </row>
    <row r="184" spans="1:38" ht="12" customHeight="1" x14ac:dyDescent="0.2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N184" s="121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  <c r="AL184" s="121"/>
    </row>
    <row r="185" spans="1:38" ht="12" customHeight="1" x14ac:dyDescent="0.2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N185" s="121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  <c r="AL185" s="121"/>
    </row>
    <row r="186" spans="1:38" ht="12" customHeight="1" x14ac:dyDescent="0.2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  <c r="AL186" s="121"/>
    </row>
    <row r="187" spans="1:38" ht="12" customHeight="1" x14ac:dyDescent="0.2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N187" s="121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  <c r="AL187" s="121"/>
    </row>
    <row r="188" spans="1:38" ht="12" customHeight="1" x14ac:dyDescent="0.2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N188" s="121"/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  <c r="AL188" s="121"/>
    </row>
    <row r="189" spans="1:38" ht="12" customHeight="1" x14ac:dyDescent="0.2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N189" s="121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  <c r="AB189" s="121"/>
      <c r="AC189" s="121"/>
      <c r="AD189" s="121"/>
      <c r="AE189" s="121"/>
      <c r="AF189" s="121"/>
      <c r="AG189" s="121"/>
      <c r="AH189" s="121"/>
      <c r="AI189" s="121"/>
      <c r="AJ189" s="121"/>
      <c r="AK189" s="121"/>
      <c r="AL189" s="121"/>
    </row>
    <row r="190" spans="1:38" ht="12" customHeight="1" x14ac:dyDescent="0.2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B190" s="121"/>
      <c r="AC190" s="121"/>
      <c r="AD190" s="121"/>
      <c r="AE190" s="121"/>
      <c r="AF190" s="121"/>
      <c r="AG190" s="121"/>
      <c r="AH190" s="121"/>
      <c r="AI190" s="121"/>
      <c r="AJ190" s="121"/>
      <c r="AK190" s="121"/>
      <c r="AL190" s="121"/>
    </row>
    <row r="191" spans="1:38" ht="12" customHeight="1" x14ac:dyDescent="0.2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  <c r="AB191" s="121"/>
      <c r="AC191" s="121"/>
      <c r="AD191" s="121"/>
      <c r="AE191" s="121"/>
      <c r="AF191" s="121"/>
      <c r="AG191" s="121"/>
      <c r="AH191" s="121"/>
      <c r="AI191" s="121"/>
      <c r="AJ191" s="121"/>
      <c r="AK191" s="121"/>
      <c r="AL191" s="121"/>
    </row>
    <row r="192" spans="1:38" ht="12" customHeight="1" x14ac:dyDescent="0.2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  <c r="AB192" s="121"/>
      <c r="AC192" s="121"/>
      <c r="AD192" s="121"/>
      <c r="AE192" s="121"/>
      <c r="AF192" s="121"/>
      <c r="AG192" s="121"/>
      <c r="AH192" s="121"/>
      <c r="AI192" s="121"/>
      <c r="AJ192" s="121"/>
      <c r="AK192" s="121"/>
      <c r="AL192" s="121"/>
    </row>
    <row r="193" spans="1:38" ht="12" customHeight="1" x14ac:dyDescent="0.2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  <c r="AB193" s="121"/>
      <c r="AC193" s="121"/>
      <c r="AD193" s="121"/>
      <c r="AE193" s="121"/>
      <c r="AF193" s="121"/>
      <c r="AG193" s="121"/>
      <c r="AH193" s="121"/>
      <c r="AI193" s="121"/>
      <c r="AJ193" s="121"/>
      <c r="AK193" s="121"/>
      <c r="AL193" s="121"/>
    </row>
    <row r="194" spans="1:38" ht="12" customHeight="1" x14ac:dyDescent="0.2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N194" s="121"/>
      <c r="O194" s="121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  <c r="AB194" s="121"/>
      <c r="AC194" s="121"/>
      <c r="AD194" s="121"/>
      <c r="AE194" s="121"/>
      <c r="AF194" s="121"/>
      <c r="AG194" s="121"/>
      <c r="AH194" s="121"/>
      <c r="AI194" s="121"/>
      <c r="AJ194" s="121"/>
      <c r="AK194" s="121"/>
      <c r="AL194" s="121"/>
    </row>
    <row r="195" spans="1:38" ht="12" customHeight="1" x14ac:dyDescent="0.2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N195" s="121"/>
      <c r="O195" s="121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  <c r="AB195" s="121"/>
      <c r="AC195" s="121"/>
      <c r="AD195" s="121"/>
      <c r="AE195" s="121"/>
      <c r="AF195" s="121"/>
      <c r="AG195" s="121"/>
      <c r="AH195" s="121"/>
      <c r="AI195" s="121"/>
      <c r="AJ195" s="121"/>
      <c r="AK195" s="121"/>
      <c r="AL195" s="121"/>
    </row>
    <row r="196" spans="1:38" ht="12" customHeight="1" x14ac:dyDescent="0.2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N196" s="121"/>
      <c r="O196" s="121"/>
      <c r="P196" s="121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  <c r="AB196" s="121"/>
      <c r="AC196" s="121"/>
      <c r="AD196" s="121"/>
      <c r="AE196" s="121"/>
      <c r="AF196" s="121"/>
      <c r="AG196" s="121"/>
      <c r="AH196" s="121"/>
      <c r="AI196" s="121"/>
      <c r="AJ196" s="121"/>
      <c r="AK196" s="121"/>
      <c r="AL196" s="121"/>
    </row>
    <row r="197" spans="1:38" ht="12" customHeight="1" x14ac:dyDescent="0.2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N197" s="121"/>
      <c r="O197" s="121"/>
      <c r="P197" s="121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  <c r="AB197" s="121"/>
      <c r="AC197" s="121"/>
      <c r="AD197" s="121"/>
      <c r="AE197" s="121"/>
      <c r="AF197" s="121"/>
      <c r="AG197" s="121"/>
      <c r="AH197" s="121"/>
      <c r="AI197" s="121"/>
      <c r="AJ197" s="121"/>
      <c r="AK197" s="121"/>
      <c r="AL197" s="121"/>
    </row>
    <row r="198" spans="1:38" ht="12" customHeight="1" x14ac:dyDescent="0.2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N198" s="121"/>
      <c r="O198" s="121"/>
      <c r="P198" s="121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  <c r="AB198" s="121"/>
      <c r="AC198" s="121"/>
      <c r="AD198" s="121"/>
      <c r="AE198" s="121"/>
      <c r="AF198" s="121"/>
      <c r="AG198" s="121"/>
      <c r="AH198" s="121"/>
      <c r="AI198" s="121"/>
      <c r="AJ198" s="121"/>
      <c r="AK198" s="121"/>
      <c r="AL198" s="121"/>
    </row>
    <row r="199" spans="1:38" ht="12" customHeight="1" x14ac:dyDescent="0.2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B199" s="121"/>
      <c r="AC199" s="121"/>
      <c r="AD199" s="121"/>
      <c r="AE199" s="121"/>
      <c r="AF199" s="121"/>
      <c r="AG199" s="121"/>
      <c r="AH199" s="121"/>
      <c r="AI199" s="121"/>
      <c r="AJ199" s="121"/>
      <c r="AK199" s="121"/>
      <c r="AL199" s="121"/>
    </row>
    <row r="200" spans="1:38" ht="12" customHeight="1" x14ac:dyDescent="0.2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N200" s="121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B200" s="121"/>
      <c r="AC200" s="121"/>
      <c r="AD200" s="121"/>
      <c r="AE200" s="121"/>
      <c r="AF200" s="121"/>
      <c r="AG200" s="121"/>
      <c r="AH200" s="121"/>
      <c r="AI200" s="121"/>
      <c r="AJ200" s="121"/>
      <c r="AK200" s="121"/>
      <c r="AL200" s="121"/>
    </row>
    <row r="201" spans="1:38" ht="12" customHeight="1" x14ac:dyDescent="0.2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N201" s="121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B201" s="121"/>
      <c r="AC201" s="121"/>
      <c r="AD201" s="121"/>
      <c r="AE201" s="121"/>
      <c r="AF201" s="121"/>
      <c r="AG201" s="121"/>
      <c r="AH201" s="121"/>
      <c r="AI201" s="121"/>
      <c r="AJ201" s="121"/>
      <c r="AK201" s="121"/>
      <c r="AL201" s="121"/>
    </row>
    <row r="202" spans="1:38" ht="12" customHeight="1" x14ac:dyDescent="0.2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N202" s="121"/>
      <c r="O202" s="121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  <c r="AB202" s="121"/>
      <c r="AC202" s="121"/>
      <c r="AD202" s="121"/>
      <c r="AE202" s="121"/>
      <c r="AF202" s="121"/>
      <c r="AG202" s="121"/>
      <c r="AH202" s="121"/>
      <c r="AI202" s="121"/>
      <c r="AJ202" s="121"/>
      <c r="AK202" s="121"/>
      <c r="AL202" s="121"/>
    </row>
    <row r="203" spans="1:38" ht="12" customHeight="1" x14ac:dyDescent="0.2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N203" s="121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B203" s="121"/>
      <c r="AC203" s="121"/>
      <c r="AD203" s="121"/>
      <c r="AE203" s="121"/>
      <c r="AF203" s="121"/>
      <c r="AG203" s="121"/>
      <c r="AH203" s="121"/>
      <c r="AI203" s="121"/>
      <c r="AJ203" s="121"/>
      <c r="AK203" s="121"/>
      <c r="AL203" s="121"/>
    </row>
    <row r="204" spans="1:38" ht="12" customHeight="1" x14ac:dyDescent="0.2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/>
      <c r="AL204" s="121"/>
    </row>
    <row r="205" spans="1:38" ht="12" customHeight="1" x14ac:dyDescent="0.2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N205" s="121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  <c r="AB205" s="121"/>
      <c r="AC205" s="121"/>
      <c r="AD205" s="121"/>
      <c r="AE205" s="121"/>
      <c r="AF205" s="121"/>
      <c r="AG205" s="121"/>
      <c r="AH205" s="121"/>
      <c r="AI205" s="121"/>
      <c r="AJ205" s="121"/>
      <c r="AK205" s="121"/>
      <c r="AL205" s="121"/>
    </row>
    <row r="206" spans="1:38" ht="12" customHeight="1" x14ac:dyDescent="0.2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N206" s="121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  <c r="AB206" s="121"/>
      <c r="AC206" s="121"/>
      <c r="AD206" s="121"/>
      <c r="AE206" s="121"/>
      <c r="AF206" s="121"/>
      <c r="AG206" s="121"/>
      <c r="AH206" s="121"/>
      <c r="AI206" s="121"/>
      <c r="AJ206" s="121"/>
      <c r="AK206" s="121"/>
      <c r="AL206" s="121"/>
    </row>
    <row r="207" spans="1:38" ht="12" customHeight="1" x14ac:dyDescent="0.2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N207" s="121"/>
      <c r="O207" s="121"/>
      <c r="P207" s="121"/>
      <c r="Q207" s="121"/>
      <c r="R207" s="121"/>
      <c r="S207" s="121"/>
      <c r="T207" s="121"/>
      <c r="U207" s="121"/>
      <c r="V207" s="121"/>
      <c r="W207" s="121"/>
      <c r="X207" s="121"/>
      <c r="Y207" s="121"/>
      <c r="Z207" s="121"/>
      <c r="AB207" s="121"/>
      <c r="AC207" s="121"/>
      <c r="AD207" s="121"/>
      <c r="AE207" s="121"/>
      <c r="AF207" s="121"/>
      <c r="AG207" s="121"/>
      <c r="AH207" s="121"/>
      <c r="AI207" s="121"/>
      <c r="AJ207" s="121"/>
      <c r="AK207" s="121"/>
      <c r="AL207" s="121"/>
    </row>
    <row r="208" spans="1:38" ht="12" customHeight="1" x14ac:dyDescent="0.2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N208" s="121"/>
      <c r="O208" s="121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  <c r="AB208" s="121"/>
      <c r="AC208" s="121"/>
      <c r="AD208" s="121"/>
      <c r="AE208" s="121"/>
      <c r="AF208" s="121"/>
      <c r="AG208" s="121"/>
      <c r="AH208" s="121"/>
      <c r="AI208" s="121"/>
      <c r="AJ208" s="121"/>
      <c r="AK208" s="121"/>
      <c r="AL208" s="121"/>
    </row>
  </sheetData>
  <mergeCells count="40">
    <mergeCell ref="B87:D87"/>
    <mergeCell ref="C88:G88"/>
    <mergeCell ref="A61:K61"/>
    <mergeCell ref="B86:D86"/>
    <mergeCell ref="A34:K34"/>
    <mergeCell ref="F36:K36"/>
    <mergeCell ref="A51:K51"/>
    <mergeCell ref="A80:K80"/>
    <mergeCell ref="A45:K45"/>
    <mergeCell ref="A35:K35"/>
    <mergeCell ref="J46:K46"/>
    <mergeCell ref="R20:Y20"/>
    <mergeCell ref="O4:Y4"/>
    <mergeCell ref="O19:Y19"/>
    <mergeCell ref="A26:H26"/>
    <mergeCell ref="A16:K16"/>
    <mergeCell ref="A13:H13"/>
    <mergeCell ref="A76:D76"/>
    <mergeCell ref="A69:K69"/>
    <mergeCell ref="A78:K78"/>
    <mergeCell ref="A58:J58"/>
    <mergeCell ref="A60:K60"/>
    <mergeCell ref="A27:F27"/>
    <mergeCell ref="A4:J4"/>
    <mergeCell ref="O15:V15"/>
    <mergeCell ref="A6:K6"/>
    <mergeCell ref="A28:F28"/>
    <mergeCell ref="O18:Y18"/>
    <mergeCell ref="AC1:AJ1"/>
    <mergeCell ref="A14:H14"/>
    <mergeCell ref="O26:Y26"/>
    <mergeCell ref="A17:K17"/>
    <mergeCell ref="A22:K22"/>
    <mergeCell ref="O1:Y1"/>
    <mergeCell ref="AC2:AJ2"/>
    <mergeCell ref="A2:J2"/>
    <mergeCell ref="O10:X10"/>
    <mergeCell ref="AC3:AJ3"/>
    <mergeCell ref="A1:J1"/>
    <mergeCell ref="O3:Y3"/>
  </mergeCells>
  <pageMargins left="0.7" right="0.7" top="0.75" bottom="0.75" header="0.511811023622047" footer="0.511811023622047"/>
  <pageSetup paperSize="9" orientation="portrait" horizontalDpi="300" verticalDpi="300"/>
  <drawing r:id="rId1"/>
  <mc:AlternateContent xmlns:mc="http://schemas.openxmlformats.org/markup-compatibility/2006">
    <mc:Choice Requires="v">
      <legacyDrawing r:id="rId2"/>
    </mc:Choice>
  </mc:AlternateContent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5EDEB"/>
  </sheetPr>
  <dimension ref="A1:BD22"/>
  <sheetViews>
    <sheetView topLeftCell="G1" zoomScale="72" zoomScaleNormal="72" workbookViewId="0">
      <selection activeCell="H10" sqref="H10"/>
    </sheetView>
  </sheetViews>
  <sheetFormatPr baseColWidth="10" defaultColWidth="11.5" defaultRowHeight="13" x14ac:dyDescent="0.15"/>
  <cols>
    <col min="1" max="1" width="25" style="67" customWidth="1"/>
    <col min="2" max="2" width="16.6640625" style="67" customWidth="1"/>
    <col min="3" max="3" width="27.33203125" style="67" customWidth="1"/>
    <col min="4" max="4" width="25.83203125" style="67" customWidth="1"/>
    <col min="5" max="5" width="14" style="67" customWidth="1"/>
    <col min="6" max="6" width="16.6640625" style="67" customWidth="1"/>
    <col min="7" max="7" width="27.6640625" style="67" customWidth="1"/>
    <col min="8" max="8" width="40" style="67" customWidth="1"/>
    <col min="9" max="9" width="58.1640625" style="67" customWidth="1"/>
    <col min="10" max="10" width="2.5" style="67" customWidth="1"/>
    <col min="11" max="56" width="10.83203125" style="67" customWidth="1"/>
  </cols>
  <sheetData>
    <row r="1" spans="1:10" ht="24" customHeight="1" x14ac:dyDescent="0.25">
      <c r="A1" s="557" t="s">
        <v>639</v>
      </c>
      <c r="B1" s="529"/>
      <c r="C1" s="529"/>
      <c r="D1" s="529"/>
      <c r="E1" s="529"/>
      <c r="F1" s="529"/>
      <c r="G1" s="529"/>
      <c r="H1" s="529"/>
    </row>
    <row r="2" spans="1:10" ht="14.25" customHeight="1" x14ac:dyDescent="0.2">
      <c r="B2" s="169"/>
      <c r="C2" s="170"/>
      <c r="F2" s="171"/>
      <c r="G2" s="172"/>
      <c r="I2" s="168"/>
      <c r="J2" s="451"/>
    </row>
    <row r="3" spans="1:10" ht="14.25" customHeight="1" x14ac:dyDescent="0.2">
      <c r="A3" s="19"/>
      <c r="B3" s="167" t="s">
        <v>640</v>
      </c>
      <c r="C3" s="173" t="s">
        <v>641</v>
      </c>
      <c r="D3" s="167" t="s">
        <v>642</v>
      </c>
      <c r="E3" s="167" t="s">
        <v>643</v>
      </c>
      <c r="F3" s="167" t="s">
        <v>644</v>
      </c>
      <c r="G3" s="167" t="s">
        <v>645</v>
      </c>
      <c r="H3" s="167" t="s">
        <v>646</v>
      </c>
      <c r="I3" s="168"/>
      <c r="J3" s="451"/>
    </row>
    <row r="4" spans="1:10" ht="14.25" customHeight="1" x14ac:dyDescent="0.2">
      <c r="A4" s="19"/>
      <c r="B4" s="166"/>
      <c r="C4" s="174" t="s">
        <v>647</v>
      </c>
      <c r="D4" s="106"/>
      <c r="E4" s="166"/>
      <c r="F4" s="166"/>
      <c r="G4" s="166"/>
      <c r="H4" s="166"/>
      <c r="I4" s="168"/>
      <c r="J4" s="451"/>
    </row>
    <row r="5" spans="1:10" ht="14.25" customHeight="1" x14ac:dyDescent="0.2">
      <c r="A5" s="558" t="s">
        <v>485</v>
      </c>
      <c r="B5" s="169" t="s">
        <v>597</v>
      </c>
      <c r="C5" s="175">
        <f>ae_neutropenia_inav</f>
        <v>0.82599999999999996</v>
      </c>
      <c r="D5" s="126">
        <f>disutil_neutropenia</f>
        <v>0.15</v>
      </c>
      <c r="E5" s="126">
        <f>ae_dur_neutropenia</f>
        <v>7</v>
      </c>
      <c r="F5" s="131">
        <f>E5/n_days_year</f>
        <v>1.9164955509924708E-2</v>
      </c>
      <c r="G5" s="131">
        <f>C5*D5</f>
        <v>0.12389999999999998</v>
      </c>
      <c r="H5" s="176">
        <f>F5*G5</f>
        <v>2.374537987679671E-3</v>
      </c>
      <c r="I5" s="168"/>
      <c r="J5" s="451"/>
    </row>
    <row r="6" spans="1:10" ht="14.25" customHeight="1" x14ac:dyDescent="0.2">
      <c r="A6" s="529"/>
      <c r="B6" s="169" t="s">
        <v>600</v>
      </c>
      <c r="C6" s="175">
        <f>ae_thrombocytopenia_inav</f>
        <v>0.13700000000000001</v>
      </c>
      <c r="D6" s="126">
        <f>disutil_thrombocytopenia</f>
        <v>0.03</v>
      </c>
      <c r="E6" s="126">
        <f>ae_dur_thrombocytopenia</f>
        <v>7</v>
      </c>
      <c r="F6" s="131">
        <f>E6/n_days_year</f>
        <v>1.9164955509924708E-2</v>
      </c>
      <c r="G6" s="131">
        <f>C6*D6</f>
        <v>4.1099999999999999E-3</v>
      </c>
      <c r="H6" s="176">
        <f>F6*G6</f>
        <v>7.876796714579055E-5</v>
      </c>
      <c r="I6" s="168"/>
      <c r="J6" s="451"/>
    </row>
    <row r="7" spans="1:10" ht="14.25" customHeight="1" x14ac:dyDescent="0.2">
      <c r="A7" s="529"/>
      <c r="B7" s="169" t="s">
        <v>603</v>
      </c>
      <c r="C7" s="175">
        <f>ae_anaemia_inav</f>
        <v>6.8000000000000005E-2</v>
      </c>
      <c r="D7" s="126">
        <f>disutil_anaemia</f>
        <v>7.0000000000000007E-2</v>
      </c>
      <c r="E7" s="126">
        <f>ae_dur_anaemia</f>
        <v>14</v>
      </c>
      <c r="F7" s="131">
        <f>E7/n_days_year</f>
        <v>3.8329911019849415E-2</v>
      </c>
      <c r="G7" s="131">
        <f>C7*D7</f>
        <v>4.7600000000000012E-3</v>
      </c>
      <c r="H7" s="176">
        <f>F7*G7</f>
        <v>1.8245037645448327E-4</v>
      </c>
      <c r="I7" s="168"/>
      <c r="J7" s="451"/>
    </row>
    <row r="8" spans="1:10" ht="13.5" customHeight="1" x14ac:dyDescent="0.15">
      <c r="A8" s="529"/>
      <c r="B8" s="169" t="s">
        <v>648</v>
      </c>
      <c r="C8" s="175">
        <f>ae_hyperglycaemia_inav</f>
        <v>6.8000000000000005E-2</v>
      </c>
      <c r="D8" s="126">
        <f>disutil_hyperglycaemia</f>
        <v>6.0000000000000001E-3</v>
      </c>
      <c r="E8" s="126">
        <f>ae_dur_hyperglycaemia</f>
        <v>28</v>
      </c>
      <c r="F8" s="131">
        <f>E8/n_days_year</f>
        <v>7.665982203969883E-2</v>
      </c>
      <c r="G8" s="131">
        <f>C8*D8</f>
        <v>4.0800000000000005E-4</v>
      </c>
      <c r="H8" s="176">
        <f>F8*G8</f>
        <v>3.1277207392197124E-5</v>
      </c>
      <c r="J8" s="451"/>
    </row>
    <row r="9" spans="1:10" ht="12" customHeight="1" x14ac:dyDescent="0.15">
      <c r="A9" s="529"/>
      <c r="B9" s="169" t="s">
        <v>608</v>
      </c>
      <c r="C9" s="175">
        <f>ae_stomatitis_inav</f>
        <v>5.6000000000000001E-2</v>
      </c>
      <c r="D9" s="126">
        <f>disutil_stomatitis</f>
        <v>0.151</v>
      </c>
      <c r="E9" s="126">
        <f>ae_dur_stomatitis</f>
        <v>18</v>
      </c>
      <c r="F9" s="131">
        <f>E9/n_days_year</f>
        <v>4.9281314168377825E-2</v>
      </c>
      <c r="G9" s="131">
        <f>C9*D9</f>
        <v>8.456E-3</v>
      </c>
      <c r="H9" s="176">
        <f>F9*G9</f>
        <v>4.1672279260780286E-4</v>
      </c>
    </row>
    <row r="10" spans="1:10" ht="14.25" customHeight="1" x14ac:dyDescent="0.15">
      <c r="A10" s="529"/>
      <c r="B10" s="169"/>
      <c r="C10" s="175"/>
      <c r="D10" s="126"/>
      <c r="E10" s="177"/>
      <c r="F10" s="131"/>
      <c r="G10" s="131"/>
      <c r="H10" s="178">
        <f>SUM(H5:H9)</f>
        <v>3.0837563312799449E-3</v>
      </c>
      <c r="I10" s="178" t="s">
        <v>649</v>
      </c>
    </row>
    <row r="11" spans="1:10" ht="14.25" customHeight="1" x14ac:dyDescent="0.15">
      <c r="A11" s="529"/>
      <c r="B11" s="169"/>
      <c r="C11" s="179"/>
      <c r="D11" s="126"/>
      <c r="E11" s="177"/>
      <c r="F11" s="131"/>
      <c r="G11" s="131"/>
      <c r="H11" s="176"/>
    </row>
    <row r="12" spans="1:10" ht="13.5" customHeight="1" x14ac:dyDescent="0.15">
      <c r="A12" s="19"/>
      <c r="B12" s="19"/>
      <c r="C12" s="19"/>
      <c r="D12" s="180"/>
      <c r="E12" s="19"/>
      <c r="F12" s="19"/>
      <c r="G12" s="131"/>
      <c r="H12" s="181"/>
    </row>
    <row r="14" spans="1:10" ht="13.5" customHeight="1" x14ac:dyDescent="0.15">
      <c r="A14" s="19"/>
      <c r="B14" s="167" t="s">
        <v>640</v>
      </c>
      <c r="C14" s="173" t="s">
        <v>650</v>
      </c>
      <c r="D14" s="167" t="s">
        <v>642</v>
      </c>
      <c r="E14" s="167" t="s">
        <v>643</v>
      </c>
      <c r="F14" s="167" t="s">
        <v>644</v>
      </c>
      <c r="G14" s="167" t="s">
        <v>645</v>
      </c>
      <c r="H14" s="167" t="s">
        <v>646</v>
      </c>
    </row>
    <row r="15" spans="1:10" ht="13.5" customHeight="1" x14ac:dyDescent="0.15">
      <c r="A15" s="19"/>
      <c r="B15" s="166"/>
      <c r="C15" s="174" t="s">
        <v>647</v>
      </c>
      <c r="D15" s="106"/>
      <c r="E15" s="166"/>
      <c r="F15" s="166"/>
      <c r="G15" s="166"/>
      <c r="H15" s="166"/>
    </row>
    <row r="16" spans="1:10" ht="14.25" customHeight="1" x14ac:dyDescent="0.15">
      <c r="A16" s="558" t="s">
        <v>500</v>
      </c>
      <c r="B16" s="169" t="s">
        <v>597</v>
      </c>
      <c r="C16" s="175">
        <f>ae_neutropenia_comp</f>
        <v>0.80400000000000005</v>
      </c>
      <c r="D16" s="126">
        <f>disutil_neutropenia</f>
        <v>0.15</v>
      </c>
      <c r="E16" s="126">
        <f>ae_dur_neutropenia</f>
        <v>7</v>
      </c>
      <c r="F16" s="131">
        <f>E16/n_days_year</f>
        <v>1.9164955509924708E-2</v>
      </c>
      <c r="G16" s="131">
        <f>C16*D16</f>
        <v>0.1206</v>
      </c>
      <c r="H16" s="176">
        <f>F16*G16</f>
        <v>2.3112936344969197E-3</v>
      </c>
    </row>
    <row r="17" spans="1:9" ht="28.5" customHeight="1" x14ac:dyDescent="0.15">
      <c r="A17" s="529"/>
      <c r="B17" s="169" t="s">
        <v>600</v>
      </c>
      <c r="C17" s="175">
        <f>ae_thrombocytopenia_comp</f>
        <v>4.9000000000000002E-2</v>
      </c>
      <c r="D17" s="126">
        <f>disutil_thrombocytopenia</f>
        <v>0.03</v>
      </c>
      <c r="E17" s="126">
        <f>ae_dur_thrombocytopenia</f>
        <v>7</v>
      </c>
      <c r="F17" s="131">
        <f>E17/n_days_year</f>
        <v>1.9164955509924708E-2</v>
      </c>
      <c r="G17" s="131">
        <f>C17*D17</f>
        <v>1.47E-3</v>
      </c>
      <c r="H17" s="176">
        <f>F17*G17</f>
        <v>2.8172484599589319E-5</v>
      </c>
    </row>
    <row r="18" spans="1:9" ht="14.25" customHeight="1" x14ac:dyDescent="0.15">
      <c r="A18" s="529"/>
      <c r="B18" s="169" t="s">
        <v>603</v>
      </c>
      <c r="C18" s="175">
        <f>ae_anaemia_comp</f>
        <v>1.7999999999999999E-2</v>
      </c>
      <c r="D18" s="126">
        <f>disutil_anaemia</f>
        <v>7.0000000000000007E-2</v>
      </c>
      <c r="E18" s="126">
        <f>ae_dur_anaemia</f>
        <v>14</v>
      </c>
      <c r="F18" s="131">
        <f>E18/n_days_year</f>
        <v>3.8329911019849415E-2</v>
      </c>
      <c r="G18" s="131">
        <f>C18*D18</f>
        <v>1.2600000000000001E-3</v>
      </c>
      <c r="H18" s="176">
        <f>F18*G18</f>
        <v>4.8295687885010263E-5</v>
      </c>
    </row>
    <row r="19" spans="1:9" ht="28.5" customHeight="1" x14ac:dyDescent="0.15">
      <c r="A19" s="529"/>
      <c r="B19" s="169" t="s">
        <v>648</v>
      </c>
      <c r="C19" s="175">
        <f>ae_hyperglycaemia_comp</f>
        <v>0</v>
      </c>
      <c r="D19" s="126">
        <f>disutil_hyperglycaemia</f>
        <v>6.0000000000000001E-3</v>
      </c>
      <c r="E19" s="126">
        <f>ae_dur_hyperglycaemia</f>
        <v>28</v>
      </c>
      <c r="F19" s="131">
        <f>E19/n_days_year</f>
        <v>7.665982203969883E-2</v>
      </c>
      <c r="G19" s="131">
        <f>C19*D19</f>
        <v>0</v>
      </c>
      <c r="H19" s="176">
        <f>F19*G19</f>
        <v>0</v>
      </c>
    </row>
    <row r="20" spans="1:9" ht="14.25" customHeight="1" x14ac:dyDescent="0.15">
      <c r="A20" s="529"/>
      <c r="B20" s="169" t="s">
        <v>608</v>
      </c>
      <c r="C20" s="175">
        <f>ae_stomatitis_comp</f>
        <v>0</v>
      </c>
      <c r="D20" s="126">
        <f>disutil_stomatitis</f>
        <v>0.151</v>
      </c>
      <c r="E20" s="126">
        <f>ae_dur_stomatitis</f>
        <v>18</v>
      </c>
      <c r="F20" s="131">
        <f>E20/n_days_year</f>
        <v>4.9281314168377825E-2</v>
      </c>
      <c r="G20" s="131">
        <f>C20*D20</f>
        <v>0</v>
      </c>
      <c r="H20" s="176">
        <f>F20*G20</f>
        <v>0</v>
      </c>
    </row>
    <row r="21" spans="1:9" ht="14.25" customHeight="1" x14ac:dyDescent="0.15">
      <c r="A21" s="529"/>
      <c r="B21" s="169"/>
      <c r="C21" s="175"/>
      <c r="D21" s="126"/>
      <c r="E21" s="177"/>
      <c r="F21" s="131"/>
      <c r="G21" s="131"/>
      <c r="H21" s="178">
        <f>SUM(H16:H20)</f>
        <v>2.3877618069815189E-3</v>
      </c>
      <c r="I21" s="178" t="s">
        <v>649</v>
      </c>
    </row>
    <row r="22" spans="1:9" ht="14.25" customHeight="1" x14ac:dyDescent="0.15">
      <c r="A22" s="529"/>
      <c r="B22" s="169"/>
      <c r="C22" s="179"/>
      <c r="D22" s="126"/>
      <c r="E22" s="177"/>
      <c r="F22" s="131"/>
      <c r="G22" s="131"/>
      <c r="H22" s="176"/>
    </row>
  </sheetData>
  <mergeCells count="3">
    <mergeCell ref="A1:H1"/>
    <mergeCell ref="A16:A22"/>
    <mergeCell ref="A5:A1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EBB391"/>
  </sheetPr>
  <dimension ref="A1:CB436"/>
  <sheetViews>
    <sheetView zoomScale="67" zoomScaleNormal="51" workbookViewId="0">
      <selection activeCell="I14" sqref="I14"/>
    </sheetView>
  </sheetViews>
  <sheetFormatPr baseColWidth="10" defaultColWidth="8.83203125" defaultRowHeight="13" x14ac:dyDescent="0.15"/>
  <cols>
    <col min="2" max="2" width="9.33203125" customWidth="1"/>
    <col min="3" max="6" width="10.33203125" customWidth="1"/>
    <col min="7" max="7" width="15.1640625" customWidth="1"/>
    <col min="8" max="8" width="14" customWidth="1"/>
    <col min="9" max="9" width="12" customWidth="1"/>
    <col min="10" max="12" width="14.5" style="182" customWidth="1"/>
    <col min="13" max="13" width="16.6640625" style="182" customWidth="1"/>
    <col min="14" max="14" width="15.5" style="182" customWidth="1"/>
    <col min="15" max="15" width="16.83203125" style="182" customWidth="1"/>
    <col min="16" max="16" width="10.5" style="182" customWidth="1"/>
    <col min="17" max="17" width="8.6640625" style="182" customWidth="1"/>
    <col min="18" max="18" width="13.5" customWidth="1"/>
    <col min="19" max="19" width="17.83203125" customWidth="1"/>
    <col min="20" max="20" width="20.33203125" customWidth="1"/>
    <col min="21" max="21" width="17.83203125" customWidth="1"/>
    <col min="22" max="24" width="13.5" customWidth="1"/>
    <col min="25" max="25" width="10.83203125" customWidth="1"/>
    <col min="26" max="41" width="13.5" customWidth="1"/>
    <col min="42" max="45" width="9.1640625" style="67" customWidth="1"/>
    <col min="46" max="46" width="19.33203125" style="67" customWidth="1"/>
    <col min="47" max="48" width="12.83203125" style="67" customWidth="1"/>
    <col min="49" max="49" width="15.33203125" style="67" customWidth="1"/>
    <col min="50" max="50" width="12.6640625" style="67" customWidth="1"/>
    <col min="51" max="51" width="12" style="67" customWidth="1"/>
    <col min="52" max="52" width="10.83203125" style="67" customWidth="1"/>
    <col min="53" max="53" width="15.33203125" style="67" customWidth="1"/>
    <col min="54" max="55" width="11" style="67" customWidth="1"/>
    <col min="56" max="56" width="11.5" style="67" customWidth="1"/>
    <col min="57" max="57" width="11.6640625" style="67" customWidth="1"/>
    <col min="58" max="59" width="11.5" customWidth="1"/>
    <col min="60" max="60" width="13.5" customWidth="1"/>
    <col min="61" max="61" width="11.5" customWidth="1"/>
    <col min="62" max="62" width="11.1640625" customWidth="1"/>
    <col min="63" max="63" width="9.1640625" customWidth="1"/>
    <col min="64" max="65" width="11.5" customWidth="1"/>
    <col min="66" max="69" width="9.1640625" customWidth="1"/>
  </cols>
  <sheetData>
    <row r="1" spans="1:80" s="185" customFormat="1" ht="18" customHeight="1" x14ac:dyDescent="0.2">
      <c r="A1" s="564" t="s">
        <v>651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59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4"/>
      <c r="AE1" s="560"/>
      <c r="AF1" s="560"/>
      <c r="AG1" s="560"/>
      <c r="AH1" s="560"/>
      <c r="AI1" s="560"/>
      <c r="AJ1" s="560"/>
      <c r="AK1" s="560"/>
      <c r="AL1" s="560"/>
      <c r="AM1" s="560"/>
      <c r="AN1" s="564"/>
      <c r="AO1" s="560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4"/>
      <c r="BA1" s="184"/>
      <c r="BB1" s="184"/>
      <c r="BC1" s="184"/>
      <c r="BD1" s="184"/>
      <c r="BE1" s="184"/>
      <c r="BF1" s="184"/>
      <c r="BG1" s="184"/>
      <c r="BH1" s="184"/>
      <c r="BI1" s="184"/>
      <c r="BJ1" s="184"/>
      <c r="BK1" s="184"/>
      <c r="BL1" s="184"/>
      <c r="BM1" s="184"/>
      <c r="BN1" s="184"/>
      <c r="BO1" s="184"/>
      <c r="BP1" s="184"/>
    </row>
    <row r="2" spans="1:80" ht="19.5" customHeight="1" x14ac:dyDescent="0.25">
      <c r="A2" s="67"/>
      <c r="B2" s="67"/>
      <c r="C2" s="67"/>
      <c r="D2" s="67"/>
      <c r="E2" s="67"/>
      <c r="F2" s="67"/>
      <c r="G2" s="67"/>
      <c r="H2" s="67"/>
      <c r="I2" s="67"/>
      <c r="J2" s="186"/>
      <c r="K2" s="186"/>
      <c r="L2" s="186"/>
      <c r="M2" s="186"/>
      <c r="N2" s="186"/>
      <c r="O2" s="186"/>
      <c r="P2" s="186"/>
      <c r="Q2" s="186"/>
      <c r="R2" s="187"/>
      <c r="S2" s="188" t="s">
        <v>652</v>
      </c>
      <c r="T2" s="188"/>
      <c r="U2" s="188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T2" s="188" t="s">
        <v>653</v>
      </c>
      <c r="AU2" s="188"/>
      <c r="AV2" s="188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</row>
    <row r="3" spans="1:80" s="194" customFormat="1" ht="57" customHeight="1" x14ac:dyDescent="0.2">
      <c r="A3" s="189"/>
      <c r="B3" s="190"/>
      <c r="C3" s="190"/>
      <c r="D3" s="190"/>
      <c r="E3" s="190"/>
      <c r="F3" s="190"/>
      <c r="G3" s="569" t="s">
        <v>654</v>
      </c>
      <c r="H3" s="562"/>
      <c r="I3" s="562"/>
      <c r="J3" s="562"/>
      <c r="K3" s="563" t="s">
        <v>655</v>
      </c>
      <c r="L3" s="562"/>
      <c r="M3" s="563" t="s">
        <v>656</v>
      </c>
      <c r="N3" s="562"/>
      <c r="O3" s="562"/>
      <c r="P3" s="192"/>
      <c r="Q3" s="193"/>
      <c r="R3" s="191"/>
      <c r="S3" s="565" t="s">
        <v>657</v>
      </c>
      <c r="T3" s="566"/>
      <c r="U3" s="566"/>
      <c r="V3" s="566"/>
      <c r="W3" s="566"/>
      <c r="X3" s="566"/>
      <c r="Y3" s="566"/>
      <c r="Z3" s="566"/>
      <c r="AA3" s="565" t="s">
        <v>658</v>
      </c>
      <c r="AB3" s="566"/>
      <c r="AC3" s="566"/>
      <c r="AD3" s="566"/>
      <c r="AE3" s="566"/>
      <c r="AF3" s="566"/>
      <c r="AG3" s="566"/>
      <c r="AH3" s="567" t="s">
        <v>80</v>
      </c>
      <c r="AI3" s="566"/>
      <c r="AJ3" s="566"/>
      <c r="AK3" s="565" t="s">
        <v>659</v>
      </c>
      <c r="AL3" s="566"/>
      <c r="AM3" s="566"/>
      <c r="AN3" s="566"/>
      <c r="AO3" s="191"/>
      <c r="AQ3" s="561" t="s">
        <v>660</v>
      </c>
      <c r="AR3" s="562"/>
      <c r="AS3" s="191"/>
      <c r="AT3" s="565" t="s">
        <v>657</v>
      </c>
      <c r="AU3" s="566"/>
      <c r="AV3" s="566"/>
      <c r="AW3" s="566"/>
      <c r="AX3" s="566"/>
      <c r="AY3" s="566"/>
      <c r="AZ3" s="566"/>
      <c r="BA3" s="566"/>
      <c r="BB3" s="565" t="s">
        <v>658</v>
      </c>
      <c r="BC3" s="566"/>
      <c r="BD3" s="566"/>
      <c r="BE3" s="566"/>
      <c r="BF3" s="566"/>
      <c r="BG3" s="566"/>
      <c r="BH3" s="566"/>
      <c r="BI3" s="567" t="s">
        <v>80</v>
      </c>
      <c r="BJ3" s="566"/>
      <c r="BK3" s="566"/>
      <c r="BL3" s="565" t="s">
        <v>659</v>
      </c>
      <c r="BM3" s="566"/>
      <c r="BN3" s="566"/>
      <c r="BO3" s="566"/>
      <c r="BP3" s="195"/>
      <c r="BQ3" s="195"/>
      <c r="BR3" s="195"/>
      <c r="BS3" s="195"/>
      <c r="BT3" s="195"/>
    </row>
    <row r="4" spans="1:80" s="194" customFormat="1" ht="65.25" customHeight="1" x14ac:dyDescent="0.15">
      <c r="A4" s="196" t="s">
        <v>661</v>
      </c>
      <c r="B4" s="197" t="s">
        <v>662</v>
      </c>
      <c r="C4" s="197" t="s">
        <v>663</v>
      </c>
      <c r="D4" s="197" t="s">
        <v>664</v>
      </c>
      <c r="E4" s="197" t="s">
        <v>665</v>
      </c>
      <c r="F4" s="190"/>
      <c r="G4" s="198" t="s">
        <v>666</v>
      </c>
      <c r="H4" s="199" t="s">
        <v>667</v>
      </c>
      <c r="I4" s="200" t="s">
        <v>668</v>
      </c>
      <c r="J4" s="201" t="s">
        <v>669</v>
      </c>
      <c r="K4" s="202" t="s">
        <v>670</v>
      </c>
      <c r="L4" s="203" t="s">
        <v>671</v>
      </c>
      <c r="M4" s="202" t="s">
        <v>666</v>
      </c>
      <c r="N4" s="204" t="s">
        <v>667</v>
      </c>
      <c r="O4" s="203" t="s">
        <v>668</v>
      </c>
      <c r="R4" s="202"/>
      <c r="S4" s="205" t="s">
        <v>672</v>
      </c>
      <c r="T4" s="206" t="s">
        <v>673</v>
      </c>
      <c r="U4" s="207" t="s">
        <v>674</v>
      </c>
      <c r="V4" s="206" t="s">
        <v>675</v>
      </c>
      <c r="W4" s="207" t="s">
        <v>676</v>
      </c>
      <c r="X4" s="207" t="s">
        <v>677</v>
      </c>
      <c r="Y4" s="208" t="s">
        <v>678</v>
      </c>
      <c r="Z4" s="209" t="s">
        <v>679</v>
      </c>
      <c r="AA4" s="208" t="s">
        <v>680</v>
      </c>
      <c r="AB4" s="207" t="s">
        <v>681</v>
      </c>
      <c r="AC4" s="207" t="s">
        <v>682</v>
      </c>
      <c r="AD4" s="207" t="s">
        <v>683</v>
      </c>
      <c r="AE4" s="208" t="s">
        <v>684</v>
      </c>
      <c r="AF4" s="208" t="s">
        <v>685</v>
      </c>
      <c r="AG4" s="209" t="s">
        <v>686</v>
      </c>
      <c r="AH4" s="210" t="s">
        <v>687</v>
      </c>
      <c r="AI4" s="205" t="s">
        <v>688</v>
      </c>
      <c r="AJ4" s="211" t="s">
        <v>689</v>
      </c>
      <c r="AK4" s="206" t="s">
        <v>690</v>
      </c>
      <c r="AL4" s="210" t="s">
        <v>691</v>
      </c>
      <c r="AM4" s="205" t="s">
        <v>692</v>
      </c>
      <c r="AN4" s="210" t="s">
        <v>693</v>
      </c>
      <c r="AO4" s="202"/>
      <c r="AP4" s="212" t="s">
        <v>694</v>
      </c>
      <c r="AQ4" s="212" t="s">
        <v>9</v>
      </c>
      <c r="AR4" s="212" t="s">
        <v>695</v>
      </c>
      <c r="AS4" s="191"/>
      <c r="AT4" s="205" t="s">
        <v>672</v>
      </c>
      <c r="AU4" s="206" t="s">
        <v>673</v>
      </c>
      <c r="AV4" s="207" t="s">
        <v>674</v>
      </c>
      <c r="AW4" s="206" t="s">
        <v>675</v>
      </c>
      <c r="AX4" s="207" t="s">
        <v>676</v>
      </c>
      <c r="AY4" s="207" t="s">
        <v>677</v>
      </c>
      <c r="AZ4" s="208" t="s">
        <v>678</v>
      </c>
      <c r="BA4" s="209" t="s">
        <v>679</v>
      </c>
      <c r="BB4" s="208" t="s">
        <v>680</v>
      </c>
      <c r="BC4" s="207" t="s">
        <v>681</v>
      </c>
      <c r="BD4" s="207" t="s">
        <v>682</v>
      </c>
      <c r="BE4" s="207" t="s">
        <v>683</v>
      </c>
      <c r="BF4" s="208" t="s">
        <v>684</v>
      </c>
      <c r="BG4" s="208" t="s">
        <v>685</v>
      </c>
      <c r="BH4" s="209" t="s">
        <v>686</v>
      </c>
      <c r="BI4" s="210" t="s">
        <v>687</v>
      </c>
      <c r="BJ4" s="205" t="s">
        <v>688</v>
      </c>
      <c r="BK4" s="211" t="s">
        <v>689</v>
      </c>
      <c r="BL4" s="206" t="s">
        <v>690</v>
      </c>
      <c r="BM4" s="210" t="s">
        <v>691</v>
      </c>
      <c r="BN4" s="205" t="s">
        <v>692</v>
      </c>
      <c r="BO4" s="210" t="s">
        <v>693</v>
      </c>
      <c r="BP4" s="195"/>
      <c r="BQ4" s="195"/>
      <c r="BR4" s="195"/>
      <c r="BS4" s="195"/>
      <c r="BT4" s="195"/>
    </row>
    <row r="5" spans="1:80" ht="12" customHeight="1" x14ac:dyDescent="0.15">
      <c r="A5" s="213"/>
      <c r="B5" s="67"/>
      <c r="C5" s="214"/>
      <c r="D5" s="214"/>
      <c r="E5" s="214"/>
      <c r="F5" s="214"/>
      <c r="G5" s="215"/>
      <c r="H5" s="214"/>
      <c r="I5" s="214"/>
      <c r="J5" s="216"/>
      <c r="K5" s="217"/>
      <c r="L5" s="216"/>
      <c r="M5" s="217"/>
      <c r="N5" s="217"/>
      <c r="O5" s="216"/>
      <c r="P5" s="217"/>
      <c r="Q5" s="217"/>
      <c r="R5" s="67"/>
      <c r="S5" s="218"/>
      <c r="T5" s="219"/>
      <c r="U5" s="219"/>
      <c r="V5" s="219"/>
      <c r="W5" s="219"/>
      <c r="X5" s="219"/>
      <c r="Y5" s="219"/>
      <c r="Z5" s="220"/>
      <c r="AA5" s="219"/>
      <c r="AB5" s="219"/>
      <c r="AC5" s="219"/>
      <c r="AD5" s="219"/>
      <c r="AE5" s="219"/>
      <c r="AF5" s="219"/>
      <c r="AG5" s="220"/>
      <c r="AH5" s="218"/>
      <c r="AI5" s="127"/>
      <c r="AJ5" s="220"/>
      <c r="AK5" s="219"/>
      <c r="AL5" s="127"/>
      <c r="AM5" s="221"/>
      <c r="AN5" s="222"/>
      <c r="AO5" s="67"/>
      <c r="AT5" s="218"/>
      <c r="AU5" s="219"/>
      <c r="AV5" s="219"/>
      <c r="AW5" s="219"/>
      <c r="AX5" s="219"/>
      <c r="AY5" s="219"/>
      <c r="AZ5" s="219"/>
      <c r="BA5" s="220"/>
      <c r="BB5" s="219"/>
      <c r="BC5" s="219"/>
      <c r="BD5" s="219"/>
      <c r="BE5" s="219"/>
      <c r="BF5" s="219"/>
      <c r="BG5" s="219"/>
      <c r="BH5" s="220"/>
      <c r="BI5" s="218"/>
      <c r="BJ5" s="127"/>
      <c r="BK5" s="220"/>
      <c r="BL5" s="219"/>
      <c r="BM5" s="127"/>
      <c r="BN5" s="221"/>
      <c r="BO5" s="222"/>
      <c r="BP5" s="67"/>
      <c r="BQ5" s="223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</row>
    <row r="6" spans="1:80" ht="12" customHeight="1" x14ac:dyDescent="0.15">
      <c r="A6" s="213">
        <v>0</v>
      </c>
      <c r="B6" s="67">
        <v>0</v>
      </c>
      <c r="C6" s="224">
        <v>0</v>
      </c>
      <c r="D6" s="225">
        <f ca="1">IFERROR(OFFSET(extrapolation!P15,0,OS_dist_choice-1,1,1),0)</f>
        <v>1</v>
      </c>
      <c r="E6" s="225">
        <f ca="1">IFERROR(OFFSET(extrapolation!D15,0,PFS_dist_choice-1,1,1),0)</f>
        <v>1</v>
      </c>
      <c r="F6" s="214"/>
      <c r="G6" s="226">
        <f>cohort_size</f>
        <v>1000</v>
      </c>
      <c r="H6" s="224">
        <f ca="1">cohort_size*MAX(0,D6-G6/cohort_size)</f>
        <v>0</v>
      </c>
      <c r="I6" s="224">
        <f t="shared" ref="I6:I69" ca="1" si="0">cohort_size*(1-D6)</f>
        <v>0</v>
      </c>
      <c r="J6" s="227">
        <f t="shared" ref="J6:J69" ca="1" si="1">G6+H6+I6</f>
        <v>1000</v>
      </c>
      <c r="K6" s="228"/>
      <c r="L6" s="228"/>
      <c r="M6" s="228"/>
      <c r="N6" s="228"/>
      <c r="O6" s="228"/>
      <c r="P6" s="217"/>
      <c r="Q6" s="217"/>
      <c r="R6" s="229"/>
      <c r="S6" s="230">
        <f>SD_drugacq_c1_inavo*G6</f>
        <v>15468957.560000002</v>
      </c>
      <c r="T6" s="231">
        <f>SD_admin_c1_inavo*G6</f>
        <v>187652.10172799998</v>
      </c>
      <c r="U6" s="228"/>
      <c r="V6" s="231">
        <f>Productivity_lumpsum*G6</f>
        <v>13289272.776000001</v>
      </c>
      <c r="W6" s="228"/>
      <c r="X6" s="228"/>
      <c r="Y6" s="231">
        <f>AE_lumpsum_inavo*G6</f>
        <v>244616.70901751996</v>
      </c>
      <c r="Z6" s="232">
        <f t="shared" ref="Z6:Z69" si="2">SUM(S6:Y6)</f>
        <v>29190499.146745522</v>
      </c>
      <c r="AA6" s="231">
        <f t="shared" ref="AA6:AA69" si="3">PD_lumpsum_inavo*K6</f>
        <v>0</v>
      </c>
      <c r="AB6" s="228"/>
      <c r="AC6" s="228"/>
      <c r="AD6" s="228"/>
      <c r="AE6" s="231">
        <f t="shared" ref="AE6:AE69" si="4">End_of_life_costs_per_patient*L6</f>
        <v>0</v>
      </c>
      <c r="AF6" s="231">
        <f t="shared" ref="AF6:AF69" si="5">SUM(AA6:AE6)</f>
        <v>0</v>
      </c>
      <c r="AG6" s="232">
        <f t="shared" ref="AG6:AG69" si="6">Z6+AF6</f>
        <v>29190499.146745522</v>
      </c>
      <c r="AH6" s="228"/>
      <c r="AI6" s="228"/>
      <c r="AJ6" s="478"/>
      <c r="AK6" s="479"/>
      <c r="AL6" s="228"/>
      <c r="AM6" s="233">
        <f>QALY_lost_AE_inavo_lumpsum*G6</f>
        <v>3.083756331279945</v>
      </c>
      <c r="AN6" s="234">
        <f t="shared" ref="AN6:AN69" si="7">AK6+AL6-AM6</f>
        <v>-3.083756331279945</v>
      </c>
      <c r="AO6" s="229"/>
      <c r="AP6" s="235">
        <v>0</v>
      </c>
      <c r="AQ6" s="235">
        <f t="shared" ref="AQ6:AQ69" si="8">1/(1+cDR)^AP6</f>
        <v>1</v>
      </c>
      <c r="AR6" s="235">
        <f t="shared" ref="AR6:AR69" si="9">1/(1+oDR)^AP6</f>
        <v>1</v>
      </c>
      <c r="AT6" s="230">
        <f t="shared" ref="AT6:AT69" si="10">S6*AQ6</f>
        <v>15468957.560000002</v>
      </c>
      <c r="AU6" s="231">
        <f t="shared" ref="AU6:AU69" si="11">T6*AQ6</f>
        <v>187652.10172799998</v>
      </c>
      <c r="AV6" s="228"/>
      <c r="AW6" s="231">
        <f>V6*AQ6</f>
        <v>13289272.776000001</v>
      </c>
      <c r="AX6" s="228"/>
      <c r="AY6" s="228"/>
      <c r="AZ6" s="231">
        <f>Y6*AQ6</f>
        <v>244616.70901751996</v>
      </c>
      <c r="BA6" s="232">
        <f t="shared" ref="BA6:BA69" si="12">Z6*AQ6</f>
        <v>29190499.146745522</v>
      </c>
      <c r="BB6" s="231">
        <f t="shared" ref="BB6:BB69" si="13">AA6*AQ6</f>
        <v>0</v>
      </c>
      <c r="BC6" s="228"/>
      <c r="BD6" s="228"/>
      <c r="BE6" s="228"/>
      <c r="BF6" s="231">
        <f t="shared" ref="BF6:BF69" si="14">AE6*AQ6</f>
        <v>0</v>
      </c>
      <c r="BG6" s="231">
        <f t="shared" ref="BG6:BG69" si="15">AF6*AQ6</f>
        <v>0</v>
      </c>
      <c r="BH6" s="232">
        <f t="shared" ref="BH6:BH69" si="16">AG6*AQ6</f>
        <v>29190499.146745522</v>
      </c>
      <c r="BI6" s="228"/>
      <c r="BJ6" s="228"/>
      <c r="BK6" s="480"/>
      <c r="BL6" s="228"/>
      <c r="BM6" s="228"/>
      <c r="BN6" s="233">
        <f t="shared" ref="BN6:BN69" si="17">AM6*AR6</f>
        <v>3.083756331279945</v>
      </c>
      <c r="BO6" s="234">
        <f t="shared" ref="BO6:BO69" si="18">AN6*AR6</f>
        <v>-3.083756331279945</v>
      </c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</row>
    <row r="7" spans="1:80" ht="12" customHeight="1" x14ac:dyDescent="0.15">
      <c r="A7" s="213">
        <f t="shared" ref="A7:A70" si="19">A6+1</f>
        <v>1</v>
      </c>
      <c r="B7" s="67">
        <f t="shared" ref="B7:B70" si="20">A7*cycle_length_days/7</f>
        <v>4</v>
      </c>
      <c r="C7" s="224">
        <f t="shared" ref="C7:C70" si="21">B7/52*12</f>
        <v>0.92307692307692313</v>
      </c>
      <c r="D7" s="225">
        <f ca="1">IFERROR(OFFSET(extrapolation!P16,0,OS_dist_choice-1,1,1),0)</f>
        <v>0.99811452885906005</v>
      </c>
      <c r="E7" s="225">
        <f ca="1">IFERROR(OFFSET(extrapolation!D16,0,PFS_dist_choice-1,1,1),0)</f>
        <v>0.98449212806599118</v>
      </c>
      <c r="F7" s="214"/>
      <c r="G7" s="226">
        <f t="shared" ref="G7:G70" ca="1" si="22">cohort_size*IF(E7&gt;D7,D7,E7)</f>
        <v>984.49212806599121</v>
      </c>
      <c r="H7" s="224">
        <f t="shared" ref="H7:H70" ca="1" si="23">cohort_size-G7-I7</f>
        <v>13.622400793068836</v>
      </c>
      <c r="I7" s="224">
        <f t="shared" ca="1" si="0"/>
        <v>1.8854711409399538</v>
      </c>
      <c r="J7" s="227">
        <f t="shared" ca="1" si="1"/>
        <v>1000</v>
      </c>
      <c r="K7" s="236">
        <f t="shared" ref="K7:K70" ca="1" si="24">MAX(0,G6-G7)</f>
        <v>15.50787193400879</v>
      </c>
      <c r="L7" s="237">
        <f t="shared" ref="L7:L70" ca="1" si="25">I7-I6</f>
        <v>1.8854711409399538</v>
      </c>
      <c r="M7" s="238">
        <f t="shared" ref="M7:M70" ca="1" si="26">(G7+G6)/2</f>
        <v>992.2460640329956</v>
      </c>
      <c r="N7" s="238">
        <f t="shared" ref="N7:N70" ca="1" si="27">(H7+H6)/2</f>
        <v>6.8112003965344181</v>
      </c>
      <c r="O7" s="239">
        <f t="shared" ref="O7:O70" ca="1" si="28">(I7+I6)/2</f>
        <v>0.94273557046997691</v>
      </c>
      <c r="P7" s="217"/>
      <c r="Q7" s="217"/>
      <c r="R7" s="127"/>
      <c r="S7" s="230">
        <f t="shared" ref="S7:S70" ca="1" si="29">SD_drugacq_c2_inavo*G7</f>
        <v>14980108.577861577</v>
      </c>
      <c r="T7" s="231">
        <f t="shared" ref="T7:T70" ca="1" si="30">SD_admin_c2_inavo*G7</f>
        <v>93263.379729537774</v>
      </c>
      <c r="U7" s="231">
        <f t="shared" ref="U7:U70" ca="1" si="31">SD_hcru_c2_inavo*M7</f>
        <v>152900.48798585244</v>
      </c>
      <c r="V7" s="231"/>
      <c r="W7" s="231">
        <f t="shared" ref="W7:W70" ca="1" si="32">Societal_informal_PFS_per_cycle*M7</f>
        <v>373663.9917778016</v>
      </c>
      <c r="X7" s="231">
        <f t="shared" ref="X7:X70" ca="1" si="33">Patient_time_c2plus*M7</f>
        <v>46707.998972225199</v>
      </c>
      <c r="Y7" s="231"/>
      <c r="Z7" s="232">
        <f t="shared" ca="1" si="2"/>
        <v>15646644.436326995</v>
      </c>
      <c r="AA7" s="231">
        <f t="shared" ca="1" si="3"/>
        <v>10600.605539850731</v>
      </c>
      <c r="AB7" s="231">
        <f t="shared" ref="AB7:AB70" ca="1" si="34">PD_ongoing_inavo*N7</f>
        <v>1716.3183612134108</v>
      </c>
      <c r="AC7" s="231">
        <f t="shared" ref="AC7:AC70" ca="1" si="35">Societal_informal_PD_per_cycle*N7</f>
        <v>9233.9607244626641</v>
      </c>
      <c r="AD7" s="231">
        <f t="shared" ref="AD7:AD70" ca="1" si="36">Patient_time_PD_per_cycle*N7</f>
        <v>320.62363626606469</v>
      </c>
      <c r="AE7" s="231">
        <f t="shared" ca="1" si="4"/>
        <v>54019.728444375854</v>
      </c>
      <c r="AF7" s="231">
        <f t="shared" ca="1" si="5"/>
        <v>75891.236706168726</v>
      </c>
      <c r="AG7" s="232">
        <f t="shared" ca="1" si="6"/>
        <v>15722535.673033165</v>
      </c>
      <c r="AH7" s="240">
        <f t="shared" ref="AH7:AH70" ca="1" si="37">M7*cycle_length_days/365.25</f>
        <v>76.065406688361065</v>
      </c>
      <c r="AI7" s="241">
        <f t="shared" ref="AI7:AI70" ca="1" si="38">N7*cycle_length_days/365.25</f>
        <v>0.52214541027505468</v>
      </c>
      <c r="AJ7" s="242">
        <f t="shared" ref="AJ7:AJ70" ca="1" si="39">AH7+AI7</f>
        <v>76.587552098636124</v>
      </c>
      <c r="AK7" s="241">
        <f t="shared" ref="AK7:AK70" ca="1" si="40">AH7*utility_pfs</f>
        <v>54.767092815619968</v>
      </c>
      <c r="AL7" s="243">
        <f t="shared" ref="AL7:AL70" ca="1" si="41">AI7*utility_pd</f>
        <v>0.23131041675184921</v>
      </c>
      <c r="AM7" s="241"/>
      <c r="AN7" s="242">
        <f t="shared" ca="1" si="7"/>
        <v>54.998403232371814</v>
      </c>
      <c r="AO7" s="127"/>
      <c r="AP7" s="235">
        <f t="shared" ref="AP7:AP70" si="42">B7/52</f>
        <v>7.6923076923076927E-2</v>
      </c>
      <c r="AQ7" s="235">
        <f t="shared" si="8"/>
        <v>0.99772882900199933</v>
      </c>
      <c r="AR7" s="235">
        <f t="shared" si="9"/>
        <v>0.99885537769628352</v>
      </c>
      <c r="AT7" s="230">
        <f t="shared" ca="1" si="10"/>
        <v>14946086.189712636</v>
      </c>
      <c r="AU7" s="231">
        <f t="shared" ca="1" si="11"/>
        <v>93051.562646320526</v>
      </c>
      <c r="AV7" s="231">
        <f t="shared" ref="AV7:AV70" ca="1" si="43">U7*AQ7</f>
        <v>152553.22483195883</v>
      </c>
      <c r="AW7" s="231"/>
      <c r="AX7" s="231">
        <f t="shared" ref="AX7:AX70" ca="1" si="44">W7*AQ7</f>
        <v>372815.33695667872</v>
      </c>
      <c r="AY7" s="231">
        <f t="shared" ref="AY7:AY70" ca="1" si="45">X7*AQ7</f>
        <v>46601.917119584839</v>
      </c>
      <c r="AZ7" s="231"/>
      <c r="BA7" s="232">
        <f t="shared" ca="1" si="12"/>
        <v>15611108.23126718</v>
      </c>
      <c r="BB7" s="231">
        <f t="shared" ca="1" si="13"/>
        <v>10576.529751987377</v>
      </c>
      <c r="BC7" s="231">
        <f t="shared" ref="BC7:BC70" ca="1" si="46">AB7*AQ7</f>
        <v>1712.4203087280869</v>
      </c>
      <c r="BD7" s="231">
        <f t="shared" ref="BD7:BD70" ca="1" si="47">AC7*AQ7</f>
        <v>9212.9888206685864</v>
      </c>
      <c r="BE7" s="231">
        <f t="shared" ref="BE7:BE70" ca="1" si="48">AD7*AQ7</f>
        <v>319.89544516210367</v>
      </c>
      <c r="BF7" s="231">
        <f t="shared" ca="1" si="14"/>
        <v>53897.040403813116</v>
      </c>
      <c r="BG7" s="231">
        <f t="shared" ca="1" si="15"/>
        <v>75718.874730359268</v>
      </c>
      <c r="BH7" s="232">
        <f t="shared" ca="1" si="16"/>
        <v>15686827.10599754</v>
      </c>
      <c r="BI7" s="240">
        <f t="shared" ref="BI7:BI70" ca="1" si="49">AH7*AR7</f>
        <v>75.978340527324306</v>
      </c>
      <c r="BJ7" s="241">
        <f t="shared" ref="BJ7:BJ70" ca="1" si="50">AI7*AR7</f>
        <v>0.5215477509926707</v>
      </c>
      <c r="BK7" s="242">
        <f t="shared" ref="BK7:BK70" ca="1" si="51">AJ7*AR7</f>
        <v>76.499888278316973</v>
      </c>
      <c r="BL7" s="241">
        <f t="shared" ref="BL7:BL70" ca="1" si="52">AK7*AR7</f>
        <v>54.7044051796735</v>
      </c>
      <c r="BM7" s="243">
        <f t="shared" ref="BM7:BM70" ca="1" si="53">AL7*AR7</f>
        <v>0.23104565368975311</v>
      </c>
      <c r="BN7" s="241">
        <f t="shared" si="17"/>
        <v>0</v>
      </c>
      <c r="BO7" s="242">
        <f t="shared" ca="1" si="18"/>
        <v>54.935450833363248</v>
      </c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</row>
    <row r="8" spans="1:80" ht="12" customHeight="1" x14ac:dyDescent="0.15">
      <c r="A8" s="213">
        <f t="shared" si="19"/>
        <v>2</v>
      </c>
      <c r="B8" s="67">
        <f t="shared" si="20"/>
        <v>8</v>
      </c>
      <c r="C8" s="224">
        <f t="shared" si="21"/>
        <v>1.8461538461538463</v>
      </c>
      <c r="D8" s="225">
        <f ca="1">IFERROR(OFFSET(extrapolation!P17,0,OS_dist_choice-1,1,1),0)</f>
        <v>0.99385545654162633</v>
      </c>
      <c r="E8" s="225">
        <f ca="1">IFERROR(OFFSET(extrapolation!D17,0,PFS_dist_choice-1,1,1),0)</f>
        <v>0.95763111028903325</v>
      </c>
      <c r="F8" s="214"/>
      <c r="G8" s="226">
        <f t="shared" ca="1" si="22"/>
        <v>957.63111028903324</v>
      </c>
      <c r="H8" s="224">
        <f t="shared" ca="1" si="23"/>
        <v>36.224346252593079</v>
      </c>
      <c r="I8" s="224">
        <f t="shared" ca="1" si="0"/>
        <v>6.1445434583736747</v>
      </c>
      <c r="J8" s="227">
        <f t="shared" ca="1" si="1"/>
        <v>1000</v>
      </c>
      <c r="K8" s="238">
        <f t="shared" ca="1" si="24"/>
        <v>26.861017776957965</v>
      </c>
      <c r="L8" s="239">
        <f t="shared" ca="1" si="25"/>
        <v>4.2590723174337208</v>
      </c>
      <c r="M8" s="238">
        <f t="shared" ca="1" si="26"/>
        <v>971.06161917751228</v>
      </c>
      <c r="N8" s="238">
        <f t="shared" ca="1" si="27"/>
        <v>24.923373522830957</v>
      </c>
      <c r="O8" s="239">
        <f t="shared" ca="1" si="28"/>
        <v>4.0150072996568138</v>
      </c>
      <c r="P8" s="217"/>
      <c r="Q8" s="217"/>
      <c r="R8" s="224"/>
      <c r="S8" s="230">
        <f t="shared" ca="1" si="29"/>
        <v>14571389.248026846</v>
      </c>
      <c r="T8" s="231">
        <f t="shared" ca="1" si="30"/>
        <v>90718.768930286795</v>
      </c>
      <c r="U8" s="231">
        <f t="shared" ca="1" si="31"/>
        <v>149636.06389436513</v>
      </c>
      <c r="V8" s="231"/>
      <c r="W8" s="231">
        <f t="shared" ca="1" si="32"/>
        <v>365686.26879634429</v>
      </c>
      <c r="X8" s="231">
        <f t="shared" ca="1" si="33"/>
        <v>45710.783599543036</v>
      </c>
      <c r="Y8" s="231"/>
      <c r="Z8" s="232">
        <f t="shared" ca="1" si="2"/>
        <v>15223141.133247385</v>
      </c>
      <c r="AA8" s="231">
        <f t="shared" ca="1" si="3"/>
        <v>18361.194563904512</v>
      </c>
      <c r="AB8" s="231">
        <f t="shared" ca="1" si="34"/>
        <v>6280.3090659878198</v>
      </c>
      <c r="AC8" s="231">
        <f t="shared" ca="1" si="35"/>
        <v>33788.677300998388</v>
      </c>
      <c r="AD8" s="231">
        <f t="shared" ca="1" si="36"/>
        <v>1173.2179618402217</v>
      </c>
      <c r="AE8" s="231">
        <f t="shared" ca="1" si="4"/>
        <v>122024.63618617394</v>
      </c>
      <c r="AF8" s="231">
        <f t="shared" ca="1" si="5"/>
        <v>181628.03507890488</v>
      </c>
      <c r="AG8" s="232">
        <f t="shared" ca="1" si="6"/>
        <v>15404769.16832629</v>
      </c>
      <c r="AH8" s="244">
        <f t="shared" ca="1" si="37"/>
        <v>74.44141091572989</v>
      </c>
      <c r="AI8" s="243">
        <f t="shared" ca="1" si="38"/>
        <v>1.9106213788891631</v>
      </c>
      <c r="AJ8" s="242">
        <f t="shared" ca="1" si="39"/>
        <v>76.35203229461905</v>
      </c>
      <c r="AK8" s="241">
        <f t="shared" ca="1" si="40"/>
        <v>53.597815859325522</v>
      </c>
      <c r="AL8" s="243">
        <f t="shared" ca="1" si="41"/>
        <v>0.84640527084789929</v>
      </c>
      <c r="AM8" s="243"/>
      <c r="AN8" s="242">
        <f t="shared" ca="1" si="7"/>
        <v>54.444221130173418</v>
      </c>
      <c r="AO8" s="224"/>
      <c r="AP8" s="235">
        <f t="shared" si="42"/>
        <v>0.15384615384615385</v>
      </c>
      <c r="AQ8" s="235">
        <f t="shared" si="8"/>
        <v>0.99546281622170096</v>
      </c>
      <c r="AR8" s="235">
        <f t="shared" si="9"/>
        <v>0.99771206555278502</v>
      </c>
      <c r="AT8" s="230">
        <f t="shared" ca="1" si="10"/>
        <v>14505276.177103417</v>
      </c>
      <c r="AU8" s="231">
        <f t="shared" ca="1" si="11"/>
        <v>90307.161203509037</v>
      </c>
      <c r="AV8" s="231">
        <f t="shared" ca="1" si="43"/>
        <v>148957.13757261509</v>
      </c>
      <c r="AW8" s="231"/>
      <c r="AX8" s="231">
        <f t="shared" ca="1" si="44"/>
        <v>364027.08298961481</v>
      </c>
      <c r="AY8" s="231">
        <f t="shared" ca="1" si="45"/>
        <v>45503.385373701851</v>
      </c>
      <c r="AZ8" s="231"/>
      <c r="BA8" s="232">
        <f t="shared" ca="1" si="12"/>
        <v>15154070.944242857</v>
      </c>
      <c r="BB8" s="231">
        <f t="shared" ca="1" si="13"/>
        <v>18277.886449778973</v>
      </c>
      <c r="BC8" s="231">
        <f t="shared" ca="1" si="46"/>
        <v>6251.8141495709151</v>
      </c>
      <c r="BD8" s="231">
        <f t="shared" ca="1" si="47"/>
        <v>33635.371862458116</v>
      </c>
      <c r="BE8" s="231">
        <f t="shared" ca="1" si="48"/>
        <v>1167.8948563353513</v>
      </c>
      <c r="BF8" s="231">
        <f t="shared" ca="1" si="14"/>
        <v>121470.9879863172</v>
      </c>
      <c r="BG8" s="231">
        <f t="shared" ca="1" si="15"/>
        <v>180803.95530446054</v>
      </c>
      <c r="BH8" s="232">
        <f t="shared" ca="1" si="16"/>
        <v>15334874.89954732</v>
      </c>
      <c r="BI8" s="244">
        <f t="shared" ca="1" si="49"/>
        <v>74.2710938473965</v>
      </c>
      <c r="BJ8" s="243">
        <f t="shared" ca="1" si="50"/>
        <v>1.9062500024208171</v>
      </c>
      <c r="BK8" s="242">
        <f t="shared" ca="1" si="51"/>
        <v>76.177343849817319</v>
      </c>
      <c r="BL8" s="241">
        <f t="shared" ca="1" si="52"/>
        <v>53.475187570125485</v>
      </c>
      <c r="BM8" s="243">
        <f t="shared" ca="1" si="53"/>
        <v>0.84446875107242203</v>
      </c>
      <c r="BN8" s="243">
        <f t="shared" si="17"/>
        <v>0</v>
      </c>
      <c r="BO8" s="242">
        <f t="shared" ca="1" si="18"/>
        <v>54.319656321197904</v>
      </c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</row>
    <row r="9" spans="1:80" ht="12" customHeight="1" x14ac:dyDescent="0.15">
      <c r="A9" s="213">
        <f t="shared" si="19"/>
        <v>3</v>
      </c>
      <c r="B9" s="67">
        <f t="shared" si="20"/>
        <v>12</v>
      </c>
      <c r="C9" s="224">
        <f t="shared" si="21"/>
        <v>2.7692307692307692</v>
      </c>
      <c r="D9" s="225">
        <f ca="1">IFERROR(OFFSET(extrapolation!P18,0,OS_dist_choice-1,1,1),0)</f>
        <v>0.98778088011988519</v>
      </c>
      <c r="E9" s="225">
        <f ca="1">IFERROR(OFFSET(extrapolation!D18,0,PFS_dist_choice-1,1,1),0)</f>
        <v>0.92709114128223813</v>
      </c>
      <c r="F9" s="214"/>
      <c r="G9" s="226">
        <f t="shared" ca="1" si="22"/>
        <v>927.09114128223814</v>
      </c>
      <c r="H9" s="224">
        <f t="shared" ca="1" si="23"/>
        <v>60.689738837647042</v>
      </c>
      <c r="I9" s="224">
        <f t="shared" ca="1" si="0"/>
        <v>12.219119880114814</v>
      </c>
      <c r="J9" s="227">
        <f t="shared" ca="1" si="1"/>
        <v>1000</v>
      </c>
      <c r="K9" s="238">
        <f t="shared" ca="1" si="24"/>
        <v>30.539969006795104</v>
      </c>
      <c r="L9" s="239">
        <f t="shared" ca="1" si="25"/>
        <v>6.0745764217411393</v>
      </c>
      <c r="M9" s="238">
        <f t="shared" ca="1" si="26"/>
        <v>942.36112578563575</v>
      </c>
      <c r="N9" s="238">
        <f t="shared" ca="1" si="27"/>
        <v>48.457042545120061</v>
      </c>
      <c r="O9" s="239">
        <f t="shared" ca="1" si="28"/>
        <v>9.1818316692442448</v>
      </c>
      <c r="P9" s="217"/>
      <c r="Q9" s="217"/>
      <c r="R9" s="224"/>
      <c r="S9" s="230">
        <f t="shared" ca="1" si="29"/>
        <v>14106690.710939454</v>
      </c>
      <c r="T9" s="231">
        <f t="shared" ca="1" si="30"/>
        <v>87825.641961354719</v>
      </c>
      <c r="U9" s="231">
        <f t="shared" ca="1" si="31"/>
        <v>145213.45179831277</v>
      </c>
      <c r="V9" s="231"/>
      <c r="W9" s="231">
        <f t="shared" ca="1" si="32"/>
        <v>354878.12219285785</v>
      </c>
      <c r="X9" s="231">
        <f t="shared" ca="1" si="33"/>
        <v>44359.765274107231</v>
      </c>
      <c r="Y9" s="231"/>
      <c r="Z9" s="232">
        <f t="shared" ca="1" si="2"/>
        <v>14738967.692166086</v>
      </c>
      <c r="AA9" s="231">
        <f t="shared" ca="1" si="3"/>
        <v>20875.989047235722</v>
      </c>
      <c r="AB9" s="231">
        <f t="shared" ca="1" si="34"/>
        <v>12210.433845494435</v>
      </c>
      <c r="AC9" s="231">
        <f t="shared" ca="1" si="35"/>
        <v>65693.328875321386</v>
      </c>
      <c r="AD9" s="231">
        <f t="shared" ca="1" si="36"/>
        <v>2281.0183637264367</v>
      </c>
      <c r="AE9" s="231">
        <f t="shared" ca="1" si="4"/>
        <v>174039.77265516532</v>
      </c>
      <c r="AF9" s="231">
        <f t="shared" ca="1" si="5"/>
        <v>275100.54278694332</v>
      </c>
      <c r="AG9" s="232">
        <f t="shared" ca="1" si="6"/>
        <v>15014068.234953029</v>
      </c>
      <c r="AH9" s="244">
        <f t="shared" ca="1" si="37"/>
        <v>72.241236199857084</v>
      </c>
      <c r="AI9" s="243">
        <f t="shared" ca="1" si="38"/>
        <v>3.7147082580790185</v>
      </c>
      <c r="AJ9" s="242">
        <f t="shared" ca="1" si="39"/>
        <v>75.955944457936099</v>
      </c>
      <c r="AK9" s="241">
        <f t="shared" ca="1" si="40"/>
        <v>52.013690063897101</v>
      </c>
      <c r="AL9" s="243">
        <f t="shared" ca="1" si="41"/>
        <v>1.6456157583290052</v>
      </c>
      <c r="AM9" s="243"/>
      <c r="AN9" s="242">
        <f t="shared" ca="1" si="7"/>
        <v>53.659305822226109</v>
      </c>
      <c r="AO9" s="224"/>
      <c r="AP9" s="235">
        <f t="shared" si="42"/>
        <v>0.23076923076923078</v>
      </c>
      <c r="AQ9" s="235">
        <f t="shared" si="8"/>
        <v>0.99320194994391042</v>
      </c>
      <c r="AR9" s="235">
        <f t="shared" si="9"/>
        <v>0.9965700620698662</v>
      </c>
      <c r="AT9" s="230">
        <f t="shared" ca="1" si="10"/>
        <v>14010792.721360713</v>
      </c>
      <c r="AU9" s="231">
        <f t="shared" ca="1" si="11"/>
        <v>87228.598851093222</v>
      </c>
      <c r="AV9" s="231">
        <f t="shared" ca="1" si="43"/>
        <v>144226.2834841703</v>
      </c>
      <c r="AW9" s="231"/>
      <c r="AX9" s="231">
        <f t="shared" ca="1" si="44"/>
        <v>352465.64295437973</v>
      </c>
      <c r="AY9" s="231">
        <f t="shared" ca="1" si="45"/>
        <v>44058.205369297466</v>
      </c>
      <c r="AZ9" s="231"/>
      <c r="BA9" s="232">
        <f t="shared" ca="1" si="12"/>
        <v>14638771.452019654</v>
      </c>
      <c r="BB9" s="231">
        <f t="shared" ca="1" si="13"/>
        <v>20734.073028722236</v>
      </c>
      <c r="BC9" s="231">
        <f t="shared" ca="1" si="46"/>
        <v>12127.426705006194</v>
      </c>
      <c r="BD9" s="231">
        <f t="shared" ca="1" si="47"/>
        <v>65246.742337275798</v>
      </c>
      <c r="BE9" s="231">
        <f t="shared" ca="1" si="48"/>
        <v>2265.511886710965</v>
      </c>
      <c r="BF9" s="231">
        <f t="shared" ca="1" si="14"/>
        <v>172856.64156890506</v>
      </c>
      <c r="BG9" s="231">
        <f t="shared" ca="1" si="15"/>
        <v>273230.39552662027</v>
      </c>
      <c r="BH9" s="232">
        <f t="shared" ca="1" si="16"/>
        <v>14912001.847546274</v>
      </c>
      <c r="BI9" s="244">
        <f t="shared" ca="1" si="49"/>
        <v>71.993453243695441</v>
      </c>
      <c r="BJ9" s="243">
        <f t="shared" ca="1" si="50"/>
        <v>3.7019670393252522</v>
      </c>
      <c r="BK9" s="242">
        <f t="shared" ca="1" si="51"/>
        <v>75.695420283020681</v>
      </c>
      <c r="BL9" s="241">
        <f t="shared" ca="1" si="52"/>
        <v>51.835286335460715</v>
      </c>
      <c r="BM9" s="243">
        <f t="shared" ca="1" si="53"/>
        <v>1.6399713984210866</v>
      </c>
      <c r="BN9" s="243">
        <f t="shared" si="17"/>
        <v>0</v>
      </c>
      <c r="BO9" s="242">
        <f t="shared" ca="1" si="18"/>
        <v>53.475257733881804</v>
      </c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</row>
    <row r="10" spans="1:80" ht="12" customHeight="1" x14ac:dyDescent="0.15">
      <c r="A10" s="213">
        <f t="shared" si="19"/>
        <v>4</v>
      </c>
      <c r="B10" s="67">
        <f t="shared" si="20"/>
        <v>16</v>
      </c>
      <c r="C10" s="224">
        <f t="shared" si="21"/>
        <v>3.6923076923076925</v>
      </c>
      <c r="D10" s="225">
        <f ca="1">IFERROR(OFFSET(extrapolation!P19,0,OS_dist_choice-1,1,1),0)</f>
        <v>0.98016677886859971</v>
      </c>
      <c r="E10" s="225">
        <f ca="1">IFERROR(OFFSET(extrapolation!D19,0,PFS_dist_choice-1,1,1),0)</f>
        <v>0.89534547522939456</v>
      </c>
      <c r="F10" s="214"/>
      <c r="G10" s="226">
        <f t="shared" ca="1" si="22"/>
        <v>895.34547522939454</v>
      </c>
      <c r="H10" s="224">
        <f t="shared" ca="1" si="23"/>
        <v>84.821303639205169</v>
      </c>
      <c r="I10" s="224">
        <f t="shared" ca="1" si="0"/>
        <v>19.833221131400293</v>
      </c>
      <c r="J10" s="227">
        <f t="shared" ca="1" si="1"/>
        <v>1000</v>
      </c>
      <c r="K10" s="238">
        <f t="shared" ca="1" si="24"/>
        <v>31.745666052843603</v>
      </c>
      <c r="L10" s="239">
        <f t="shared" ca="1" si="25"/>
        <v>7.6141012512854793</v>
      </c>
      <c r="M10" s="238">
        <f t="shared" ca="1" si="26"/>
        <v>911.21830825581628</v>
      </c>
      <c r="N10" s="238">
        <f t="shared" ca="1" si="27"/>
        <v>72.755521238426098</v>
      </c>
      <c r="O10" s="239">
        <f t="shared" ca="1" si="28"/>
        <v>16.026170505757555</v>
      </c>
      <c r="P10" s="217"/>
      <c r="Q10" s="217"/>
      <c r="R10" s="224"/>
      <c r="S10" s="230">
        <f t="shared" ca="1" si="29"/>
        <v>13623646.194085527</v>
      </c>
      <c r="T10" s="231">
        <f t="shared" ca="1" si="30"/>
        <v>84818.29632247219</v>
      </c>
      <c r="U10" s="231">
        <f t="shared" ca="1" si="31"/>
        <v>140414.48895011607</v>
      </c>
      <c r="V10" s="231"/>
      <c r="W10" s="231">
        <f t="shared" ca="1" si="32"/>
        <v>343150.2353962083</v>
      </c>
      <c r="X10" s="231">
        <f t="shared" ca="1" si="33"/>
        <v>42893.779424526037</v>
      </c>
      <c r="Y10" s="231"/>
      <c r="Z10" s="232">
        <f t="shared" ca="1" si="2"/>
        <v>14234922.99417885</v>
      </c>
      <c r="AA10" s="231">
        <f t="shared" ca="1" si="3"/>
        <v>21700.15878761734</v>
      </c>
      <c r="AB10" s="231">
        <f t="shared" ca="1" si="34"/>
        <v>18333.278968667324</v>
      </c>
      <c r="AC10" s="231">
        <f t="shared" ca="1" si="35"/>
        <v>98634.834756185242</v>
      </c>
      <c r="AD10" s="231">
        <f t="shared" ca="1" si="36"/>
        <v>3424.8206512564316</v>
      </c>
      <c r="AE10" s="231">
        <f t="shared" ca="1" si="4"/>
        <v>218147.95942056956</v>
      </c>
      <c r="AF10" s="231">
        <f t="shared" ca="1" si="5"/>
        <v>360241.05258429586</v>
      </c>
      <c r="AG10" s="232">
        <f t="shared" ca="1" si="6"/>
        <v>14595164.046763146</v>
      </c>
      <c r="AH10" s="244">
        <f t="shared" ca="1" si="37"/>
        <v>69.853833350206315</v>
      </c>
      <c r="AI10" s="243">
        <f t="shared" ca="1" si="38"/>
        <v>5.5774253105432736</v>
      </c>
      <c r="AJ10" s="242">
        <f t="shared" ca="1" si="39"/>
        <v>75.431258660749592</v>
      </c>
      <c r="AK10" s="241">
        <f t="shared" ca="1" si="40"/>
        <v>50.294760012148544</v>
      </c>
      <c r="AL10" s="243">
        <f t="shared" ca="1" si="41"/>
        <v>2.47079941257067</v>
      </c>
      <c r="AM10" s="243"/>
      <c r="AN10" s="242">
        <f t="shared" ca="1" si="7"/>
        <v>52.765559424719214</v>
      </c>
      <c r="AO10" s="224"/>
      <c r="AP10" s="235">
        <f t="shared" si="42"/>
        <v>0.30769230769230771</v>
      </c>
      <c r="AQ10" s="235">
        <f t="shared" si="8"/>
        <v>0.99094621848004028</v>
      </c>
      <c r="AR10" s="235">
        <f t="shared" si="9"/>
        <v>0.99542936574960494</v>
      </c>
      <c r="AT10" s="230">
        <f t="shared" ca="1" si="10"/>
        <v>13500300.677939046</v>
      </c>
      <c r="AU10" s="231">
        <f t="shared" ca="1" si="11"/>
        <v>84050.369998673326</v>
      </c>
      <c r="AV10" s="231">
        <f t="shared" ca="1" si="43"/>
        <v>139143.20684492492</v>
      </c>
      <c r="AW10" s="231"/>
      <c r="AX10" s="231">
        <f t="shared" ca="1" si="44"/>
        <v>340043.42813640827</v>
      </c>
      <c r="AY10" s="231">
        <f t="shared" ca="1" si="45"/>
        <v>42505.428517051034</v>
      </c>
      <c r="AZ10" s="231"/>
      <c r="BA10" s="232">
        <f t="shared" ca="1" si="12"/>
        <v>14106043.111436104</v>
      </c>
      <c r="BB10" s="231">
        <f t="shared" ca="1" si="13"/>
        <v>21503.69029100582</v>
      </c>
      <c r="BC10" s="231">
        <f t="shared" ca="1" si="46"/>
        <v>18167.293466340536</v>
      </c>
      <c r="BD10" s="231">
        <f t="shared" ca="1" si="47"/>
        <v>97741.816512045407</v>
      </c>
      <c r="BE10" s="231">
        <f t="shared" ca="1" si="48"/>
        <v>3393.8130733349099</v>
      </c>
      <c r="BF10" s="231">
        <f t="shared" ca="1" si="14"/>
        <v>216172.89545695067</v>
      </c>
      <c r="BG10" s="231">
        <f t="shared" ca="1" si="15"/>
        <v>356979.50879967731</v>
      </c>
      <c r="BH10" s="232">
        <f t="shared" ca="1" si="16"/>
        <v>14463022.620235782</v>
      </c>
      <c r="BI10" s="244">
        <f t="shared" ca="1" si="49"/>
        <v>69.534557026974468</v>
      </c>
      <c r="BJ10" s="243">
        <f t="shared" ca="1" si="50"/>
        <v>5.551932939389884</v>
      </c>
      <c r="BK10" s="242">
        <f t="shared" ca="1" si="51"/>
        <v>75.086489966364354</v>
      </c>
      <c r="BL10" s="241">
        <f t="shared" ca="1" si="52"/>
        <v>50.064881059421616</v>
      </c>
      <c r="BM10" s="243">
        <f t="shared" ca="1" si="53"/>
        <v>2.4595062921497184</v>
      </c>
      <c r="BN10" s="243">
        <f t="shared" si="17"/>
        <v>0</v>
      </c>
      <c r="BO10" s="242">
        <f t="shared" ca="1" si="18"/>
        <v>52.524387351571335</v>
      </c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</row>
    <row r="11" spans="1:80" ht="12" customHeight="1" x14ac:dyDescent="0.15">
      <c r="A11" s="213">
        <f t="shared" si="19"/>
        <v>5</v>
      </c>
      <c r="B11" s="67">
        <f t="shared" si="20"/>
        <v>20</v>
      </c>
      <c r="C11" s="224">
        <f t="shared" si="21"/>
        <v>4.6153846153846159</v>
      </c>
      <c r="D11" s="225">
        <f ca="1">IFERROR(OFFSET(extrapolation!P20,0,OS_dist_choice-1,1,1),0)</f>
        <v>0.97121423699787313</v>
      </c>
      <c r="E11" s="225">
        <f ca="1">IFERROR(OFFSET(extrapolation!D20,0,PFS_dist_choice-1,1,1),0)</f>
        <v>0.86353262148601784</v>
      </c>
      <c r="F11" s="214"/>
      <c r="G11" s="226">
        <f t="shared" ca="1" si="22"/>
        <v>863.53262148601789</v>
      </c>
      <c r="H11" s="224">
        <f t="shared" ca="1" si="23"/>
        <v>107.68161551185524</v>
      </c>
      <c r="I11" s="224">
        <f t="shared" ca="1" si="0"/>
        <v>28.785763002126874</v>
      </c>
      <c r="J11" s="227">
        <f t="shared" ca="1" si="1"/>
        <v>1000</v>
      </c>
      <c r="K11" s="238">
        <f t="shared" ca="1" si="24"/>
        <v>31.81285374337665</v>
      </c>
      <c r="L11" s="239">
        <f t="shared" ca="1" si="25"/>
        <v>8.9525418707265807</v>
      </c>
      <c r="M11" s="238">
        <f t="shared" ca="1" si="26"/>
        <v>879.43904835770627</v>
      </c>
      <c r="N11" s="238">
        <f t="shared" ca="1" si="27"/>
        <v>96.251459575530205</v>
      </c>
      <c r="O11" s="239">
        <f t="shared" ca="1" si="28"/>
        <v>24.309492066763582</v>
      </c>
      <c r="P11" s="217"/>
      <c r="Q11" s="217"/>
      <c r="R11" s="224"/>
      <c r="S11" s="230">
        <f t="shared" ca="1" si="29"/>
        <v>13139579.344121372</v>
      </c>
      <c r="T11" s="231">
        <f t="shared" ca="1" si="30"/>
        <v>81804.585827115225</v>
      </c>
      <c r="U11" s="231">
        <f t="shared" ca="1" si="31"/>
        <v>135517.4533030302</v>
      </c>
      <c r="V11" s="231"/>
      <c r="W11" s="231">
        <f t="shared" ca="1" si="32"/>
        <v>331182.67458673846</v>
      </c>
      <c r="X11" s="231">
        <f t="shared" ca="1" si="33"/>
        <v>41397.834323342307</v>
      </c>
      <c r="Y11" s="231"/>
      <c r="Z11" s="232">
        <f t="shared" ca="1" si="2"/>
        <v>13729481.8921616</v>
      </c>
      <c r="AA11" s="231">
        <f t="shared" ca="1" si="3"/>
        <v>21746.085798589906</v>
      </c>
      <c r="AB11" s="231">
        <f t="shared" ca="1" si="34"/>
        <v>24253.896192384342</v>
      </c>
      <c r="AC11" s="231">
        <f t="shared" ca="1" si="35"/>
        <v>130488.3347500493</v>
      </c>
      <c r="AD11" s="231">
        <f t="shared" ca="1" si="36"/>
        <v>4530.8449565989331</v>
      </c>
      <c r="AE11" s="231">
        <f t="shared" ca="1" si="4"/>
        <v>256494.97902283515</v>
      </c>
      <c r="AF11" s="231">
        <f t="shared" ca="1" si="5"/>
        <v>437514.14072045765</v>
      </c>
      <c r="AG11" s="232">
        <f t="shared" ca="1" si="6"/>
        <v>14166996.032882057</v>
      </c>
      <c r="AH11" s="244">
        <f t="shared" ca="1" si="37"/>
        <v>67.417640941863866</v>
      </c>
      <c r="AI11" s="243">
        <f t="shared" ca="1" si="38"/>
        <v>7.3786197621214118</v>
      </c>
      <c r="AJ11" s="242">
        <f t="shared" ca="1" si="39"/>
        <v>74.796260703985283</v>
      </c>
      <c r="AK11" s="241">
        <f t="shared" ca="1" si="40"/>
        <v>48.540701478141983</v>
      </c>
      <c r="AL11" s="243">
        <f t="shared" ca="1" si="41"/>
        <v>3.2687285546197855</v>
      </c>
      <c r="AM11" s="243"/>
      <c r="AN11" s="242">
        <f t="shared" ca="1" si="7"/>
        <v>51.809430032761767</v>
      </c>
      <c r="AO11" s="224"/>
      <c r="AP11" s="235">
        <f t="shared" si="42"/>
        <v>0.38461538461538464</v>
      </c>
      <c r="AQ11" s="235">
        <f t="shared" si="8"/>
        <v>0.98869561016805008</v>
      </c>
      <c r="AR11" s="235">
        <f t="shared" si="9"/>
        <v>0.99428997509579364</v>
      </c>
      <c r="AT11" s="230">
        <f t="shared" ca="1" si="10"/>
        <v>12991044.416987587</v>
      </c>
      <c r="AU11" s="231">
        <f t="shared" ca="1" si="11"/>
        <v>80879.834898884306</v>
      </c>
      <c r="AV11" s="231">
        <f t="shared" ca="1" si="43"/>
        <v>133985.51118185968</v>
      </c>
      <c r="AW11" s="231"/>
      <c r="AX11" s="231">
        <f t="shared" ca="1" si="44"/>
        <v>327438.85652762215</v>
      </c>
      <c r="AY11" s="231">
        <f t="shared" ca="1" si="45"/>
        <v>40929.857065952769</v>
      </c>
      <c r="AZ11" s="231"/>
      <c r="BA11" s="232">
        <f t="shared" ca="1" si="12"/>
        <v>13574278.476661908</v>
      </c>
      <c r="BB11" s="231">
        <f t="shared" ca="1" si="13"/>
        <v>21500.259567403617</v>
      </c>
      <c r="BC11" s="231">
        <f t="shared" ca="1" si="46"/>
        <v>23979.720694881984</v>
      </c>
      <c r="BD11" s="231">
        <f t="shared" ca="1" si="47"/>
        <v>129013.24374551277</v>
      </c>
      <c r="BE11" s="231">
        <f t="shared" ca="1" si="48"/>
        <v>4479.6265189414144</v>
      </c>
      <c r="BF11" s="231">
        <f t="shared" ca="1" si="14"/>
        <v>253595.45979002319</v>
      </c>
      <c r="BG11" s="231">
        <f t="shared" ca="1" si="15"/>
        <v>432568.310316763</v>
      </c>
      <c r="BH11" s="232">
        <f t="shared" ca="1" si="16"/>
        <v>14006846.786978669</v>
      </c>
      <c r="BI11" s="244">
        <f t="shared" ca="1" si="49"/>
        <v>67.03268453310298</v>
      </c>
      <c r="BJ11" s="243">
        <f t="shared" ca="1" si="50"/>
        <v>7.3364876595210298</v>
      </c>
      <c r="BK11" s="242">
        <f t="shared" ca="1" si="51"/>
        <v>74.369172192624021</v>
      </c>
      <c r="BL11" s="241">
        <f t="shared" ca="1" si="52"/>
        <v>48.263532863834143</v>
      </c>
      <c r="BM11" s="243">
        <f t="shared" ca="1" si="53"/>
        <v>3.2500640331678161</v>
      </c>
      <c r="BN11" s="243">
        <f t="shared" si="17"/>
        <v>0</v>
      </c>
      <c r="BO11" s="242">
        <f t="shared" ca="1" si="18"/>
        <v>51.51359689700196</v>
      </c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</row>
    <row r="12" spans="1:80" ht="12" customHeight="1" x14ac:dyDescent="0.15">
      <c r="A12" s="213">
        <f t="shared" si="19"/>
        <v>6</v>
      </c>
      <c r="B12" s="67">
        <f t="shared" si="20"/>
        <v>24</v>
      </c>
      <c r="C12" s="224">
        <f t="shared" si="21"/>
        <v>5.5384615384615383</v>
      </c>
      <c r="D12" s="225">
        <f ca="1">IFERROR(OFFSET(extrapolation!P21,0,OS_dist_choice-1,1,1),0)</f>
        <v>0.96108922335252966</v>
      </c>
      <c r="E12" s="225">
        <f ca="1">IFERROR(OFFSET(extrapolation!D21,0,PFS_dist_choice-1,1,1),0)</f>
        <v>0.83223943852583593</v>
      </c>
      <c r="F12" s="214"/>
      <c r="G12" s="226">
        <f t="shared" ca="1" si="22"/>
        <v>832.23943852583591</v>
      </c>
      <c r="H12" s="224">
        <f t="shared" ca="1" si="23"/>
        <v>128.84978482669376</v>
      </c>
      <c r="I12" s="224">
        <f t="shared" ca="1" si="0"/>
        <v>38.910776647470335</v>
      </c>
      <c r="J12" s="227">
        <f t="shared" ca="1" si="1"/>
        <v>1000</v>
      </c>
      <c r="K12" s="238">
        <f t="shared" ca="1" si="24"/>
        <v>31.29318296018198</v>
      </c>
      <c r="L12" s="239">
        <f t="shared" ca="1" si="25"/>
        <v>10.125013645343461</v>
      </c>
      <c r="M12" s="238">
        <f t="shared" ca="1" si="26"/>
        <v>847.88603000592684</v>
      </c>
      <c r="N12" s="238">
        <f t="shared" ca="1" si="27"/>
        <v>118.26570016927451</v>
      </c>
      <c r="O12" s="239">
        <f t="shared" ca="1" si="28"/>
        <v>33.848269824798606</v>
      </c>
      <c r="P12" s="217"/>
      <c r="Q12" s="217"/>
      <c r="R12" s="224"/>
      <c r="S12" s="230">
        <f t="shared" ca="1" si="29"/>
        <v>12663419.845099973</v>
      </c>
      <c r="T12" s="231">
        <f t="shared" ca="1" si="30"/>
        <v>78840.105033251806</v>
      </c>
      <c r="U12" s="231">
        <f t="shared" ca="1" si="31"/>
        <v>130655.28042243994</v>
      </c>
      <c r="V12" s="231"/>
      <c r="W12" s="231">
        <f t="shared" ca="1" si="32"/>
        <v>319300.31272375194</v>
      </c>
      <c r="X12" s="231">
        <f t="shared" ca="1" si="33"/>
        <v>39912.539090468992</v>
      </c>
      <c r="Y12" s="231"/>
      <c r="Z12" s="232">
        <f t="shared" ca="1" si="2"/>
        <v>13232128.082369886</v>
      </c>
      <c r="AA12" s="231">
        <f t="shared" ca="1" si="3"/>
        <v>21390.858143456186</v>
      </c>
      <c r="AB12" s="231">
        <f t="shared" ca="1" si="34"/>
        <v>29801.148238945389</v>
      </c>
      <c r="AC12" s="231">
        <f t="shared" ca="1" si="35"/>
        <v>160333.09355716588</v>
      </c>
      <c r="AD12" s="231">
        <f t="shared" ca="1" si="36"/>
        <v>5567.1213040682587</v>
      </c>
      <c r="AE12" s="231">
        <f t="shared" ca="1" si="4"/>
        <v>290086.90493368439</v>
      </c>
      <c r="AF12" s="231">
        <f t="shared" ca="1" si="5"/>
        <v>507179.12617732008</v>
      </c>
      <c r="AG12" s="232">
        <f t="shared" ca="1" si="6"/>
        <v>13739307.208547207</v>
      </c>
      <c r="AH12" s="244">
        <f t="shared" ca="1" si="37"/>
        <v>64.998792170201099</v>
      </c>
      <c r="AI12" s="243">
        <f t="shared" ca="1" si="38"/>
        <v>9.0662275283769649</v>
      </c>
      <c r="AJ12" s="242">
        <f t="shared" ca="1" si="39"/>
        <v>74.06501969857807</v>
      </c>
      <c r="AK12" s="241">
        <f t="shared" ca="1" si="40"/>
        <v>46.799130362544787</v>
      </c>
      <c r="AL12" s="243">
        <f t="shared" ca="1" si="41"/>
        <v>4.0163387950709959</v>
      </c>
      <c r="AM12" s="243"/>
      <c r="AN12" s="242">
        <f t="shared" ca="1" si="7"/>
        <v>50.81546915761578</v>
      </c>
      <c r="AO12" s="224"/>
      <c r="AP12" s="235">
        <f t="shared" si="42"/>
        <v>0.46153846153846156</v>
      </c>
      <c r="AQ12" s="235">
        <f t="shared" si="8"/>
        <v>0.98645011337238597</v>
      </c>
      <c r="AR12" s="235">
        <f t="shared" si="9"/>
        <v>0.99315188861393733</v>
      </c>
      <c r="AT12" s="230">
        <f t="shared" ca="1" si="10"/>
        <v>12491831.94188099</v>
      </c>
      <c r="AU12" s="231">
        <f t="shared" ca="1" si="11"/>
        <v>77771.830548342055</v>
      </c>
      <c r="AV12" s="231">
        <f t="shared" ca="1" si="43"/>
        <v>128884.91618541676</v>
      </c>
      <c r="AW12" s="231"/>
      <c r="AX12" s="231">
        <f t="shared" ca="1" si="44"/>
        <v>314973.82968618337</v>
      </c>
      <c r="AY12" s="231">
        <f t="shared" ca="1" si="45"/>
        <v>39371.728710772921</v>
      </c>
      <c r="AZ12" s="231"/>
      <c r="BA12" s="232">
        <f t="shared" ca="1" si="12"/>
        <v>13052834.247011706</v>
      </c>
      <c r="BB12" s="231">
        <f t="shared" ca="1" si="13"/>
        <v>21101.014440744981</v>
      </c>
      <c r="BC12" s="231">
        <f t="shared" ca="1" si="46"/>
        <v>29397.34605893496</v>
      </c>
      <c r="BD12" s="231">
        <f t="shared" ca="1" si="47"/>
        <v>158160.59831681164</v>
      </c>
      <c r="BE12" s="231">
        <f t="shared" ca="1" si="48"/>
        <v>5491.6874415559587</v>
      </c>
      <c r="BF12" s="231">
        <f t="shared" ca="1" si="14"/>
        <v>286156.26025967754</v>
      </c>
      <c r="BG12" s="231">
        <f t="shared" ca="1" si="15"/>
        <v>500306.90651772503</v>
      </c>
      <c r="BH12" s="232">
        <f t="shared" ca="1" si="16"/>
        <v>13553141.153529432</v>
      </c>
      <c r="BI12" s="244">
        <f t="shared" ca="1" si="49"/>
        <v>64.553673201460029</v>
      </c>
      <c r="BJ12" s="243">
        <f t="shared" ca="1" si="50"/>
        <v>9.0041409924112514</v>
      </c>
      <c r="BK12" s="242">
        <f t="shared" ca="1" si="51"/>
        <v>73.55781419387128</v>
      </c>
      <c r="BL12" s="241">
        <f t="shared" ca="1" si="52"/>
        <v>46.478644705051209</v>
      </c>
      <c r="BM12" s="243">
        <f t="shared" ca="1" si="53"/>
        <v>3.9888344596381851</v>
      </c>
      <c r="BN12" s="243">
        <f t="shared" si="17"/>
        <v>0</v>
      </c>
      <c r="BO12" s="242">
        <f t="shared" ca="1" si="18"/>
        <v>50.467479164689394</v>
      </c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</row>
    <row r="13" spans="1:80" ht="12" customHeight="1" x14ac:dyDescent="0.15">
      <c r="A13" s="213">
        <f t="shared" si="19"/>
        <v>7</v>
      </c>
      <c r="B13" s="67">
        <f t="shared" si="20"/>
        <v>28</v>
      </c>
      <c r="C13" s="224">
        <f t="shared" si="21"/>
        <v>6.4615384615384617</v>
      </c>
      <c r="D13" s="225">
        <f ca="1">IFERROR(OFFSET(extrapolation!P22,0,OS_dist_choice-1,1,1),0)</f>
        <v>0.94993700431866068</v>
      </c>
      <c r="E13" s="225">
        <f ca="1">IFERROR(OFFSET(extrapolation!D22,0,PFS_dist_choice-1,1,1),0)</f>
        <v>0.80178108562223127</v>
      </c>
      <c r="F13" s="214"/>
      <c r="G13" s="226">
        <f t="shared" ca="1" si="22"/>
        <v>801.78108562223122</v>
      </c>
      <c r="H13" s="224">
        <f t="shared" ca="1" si="23"/>
        <v>148.15591869642947</v>
      </c>
      <c r="I13" s="224">
        <f t="shared" ca="1" si="0"/>
        <v>50.062995681339316</v>
      </c>
      <c r="J13" s="227">
        <f t="shared" ca="1" si="1"/>
        <v>1000</v>
      </c>
      <c r="K13" s="238">
        <f t="shared" ca="1" si="24"/>
        <v>30.458352903604691</v>
      </c>
      <c r="L13" s="239">
        <f t="shared" ca="1" si="25"/>
        <v>11.152219033868981</v>
      </c>
      <c r="M13" s="238">
        <f t="shared" ca="1" si="26"/>
        <v>817.01026207403356</v>
      </c>
      <c r="N13" s="238">
        <f t="shared" ca="1" si="27"/>
        <v>138.5028517615616</v>
      </c>
      <c r="O13" s="239">
        <f t="shared" ca="1" si="28"/>
        <v>44.486886164404822</v>
      </c>
      <c r="P13" s="217"/>
      <c r="Q13" s="217"/>
      <c r="R13" s="224"/>
      <c r="S13" s="230">
        <f t="shared" ca="1" si="29"/>
        <v>12199963.184968872</v>
      </c>
      <c r="T13" s="231">
        <f t="shared" ca="1" si="30"/>
        <v>75954.709760091486</v>
      </c>
      <c r="U13" s="231">
        <f t="shared" ca="1" si="31"/>
        <v>125897.46867105221</v>
      </c>
      <c r="V13" s="231"/>
      <c r="W13" s="231">
        <f t="shared" ca="1" si="32"/>
        <v>307672.99253288785</v>
      </c>
      <c r="X13" s="231">
        <f t="shared" ca="1" si="33"/>
        <v>38459.124066610981</v>
      </c>
      <c r="Y13" s="231"/>
      <c r="Z13" s="232">
        <f t="shared" ca="1" si="2"/>
        <v>12747947.479999516</v>
      </c>
      <c r="AA13" s="231">
        <f t="shared" ca="1" si="3"/>
        <v>20820.199309010972</v>
      </c>
      <c r="AB13" s="231">
        <f t="shared" ca="1" si="34"/>
        <v>34900.601027645323</v>
      </c>
      <c r="AC13" s="231">
        <f t="shared" ca="1" si="35"/>
        <v>187768.6485399933</v>
      </c>
      <c r="AD13" s="231">
        <f t="shared" ca="1" si="36"/>
        <v>6519.7447409719889</v>
      </c>
      <c r="AE13" s="231">
        <f t="shared" ca="1" si="4"/>
        <v>319516.87335902202</v>
      </c>
      <c r="AF13" s="231">
        <f t="shared" ca="1" si="5"/>
        <v>569526.06697664363</v>
      </c>
      <c r="AG13" s="232">
        <f t="shared" ca="1" si="6"/>
        <v>13317473.54697616</v>
      </c>
      <c r="AH13" s="244">
        <f t="shared" ca="1" si="37"/>
        <v>62.631861295203123</v>
      </c>
      <c r="AI13" s="243">
        <f t="shared" ca="1" si="38"/>
        <v>10.617603968032101</v>
      </c>
      <c r="AJ13" s="242">
        <f t="shared" ca="1" si="39"/>
        <v>73.249465263235223</v>
      </c>
      <c r="AK13" s="241">
        <f t="shared" ca="1" si="40"/>
        <v>45.094940132546249</v>
      </c>
      <c r="AL13" s="243">
        <f t="shared" ca="1" si="41"/>
        <v>4.7035985578382213</v>
      </c>
      <c r="AM13" s="243"/>
      <c r="AN13" s="242">
        <f t="shared" ca="1" si="7"/>
        <v>49.798538690384468</v>
      </c>
      <c r="AO13" s="224"/>
      <c r="AP13" s="235">
        <f t="shared" si="42"/>
        <v>0.53846153846153844</v>
      </c>
      <c r="AQ13" s="235">
        <f t="shared" si="8"/>
        <v>0.98420971648392019</v>
      </c>
      <c r="AR13" s="235">
        <f t="shared" si="9"/>
        <v>0.99201510481125155</v>
      </c>
      <c r="AT13" s="230">
        <f t="shared" ca="1" si="10"/>
        <v>12007322.307392478</v>
      </c>
      <c r="AU13" s="231">
        <f t="shared" ca="1" si="11"/>
        <v>74755.363358598086</v>
      </c>
      <c r="AV13" s="231">
        <f t="shared" ca="1" si="43"/>
        <v>123909.51194677952</v>
      </c>
      <c r="AW13" s="231"/>
      <c r="AX13" s="231">
        <f t="shared" ca="1" si="44"/>
        <v>302814.74875055283</v>
      </c>
      <c r="AY13" s="231">
        <f t="shared" ca="1" si="45"/>
        <v>37851.843593819103</v>
      </c>
      <c r="AZ13" s="231"/>
      <c r="BA13" s="232">
        <f t="shared" ca="1" si="12"/>
        <v>12546653.775042228</v>
      </c>
      <c r="BB13" s="231">
        <f t="shared" ca="1" si="13"/>
        <v>20491.442459060399</v>
      </c>
      <c r="BC13" s="231">
        <f t="shared" ca="1" si="46"/>
        <v>34349.510642537214</v>
      </c>
      <c r="BD13" s="231">
        <f t="shared" ca="1" si="47"/>
        <v>184803.72834411566</v>
      </c>
      <c r="BE13" s="231">
        <f t="shared" ca="1" si="48"/>
        <v>6416.7961230595711</v>
      </c>
      <c r="BF13" s="231">
        <f t="shared" ca="1" si="14"/>
        <v>314471.61134051171</v>
      </c>
      <c r="BG13" s="231">
        <f t="shared" ca="1" si="15"/>
        <v>560533.08890928456</v>
      </c>
      <c r="BH13" s="232">
        <f t="shared" ca="1" si="16"/>
        <v>13107186.863951514</v>
      </c>
      <c r="BI13" s="244">
        <f t="shared" ca="1" si="49"/>
        <v>62.131752447284697</v>
      </c>
      <c r="BJ13" s="243">
        <f t="shared" ca="1" si="50"/>
        <v>10.532823513191726</v>
      </c>
      <c r="BK13" s="242">
        <f t="shared" ca="1" si="51"/>
        <v>72.664575960476412</v>
      </c>
      <c r="BL13" s="241">
        <f t="shared" ca="1" si="52"/>
        <v>44.734861762044979</v>
      </c>
      <c r="BM13" s="243">
        <f t="shared" ca="1" si="53"/>
        <v>4.6660408163439344</v>
      </c>
      <c r="BN13" s="243">
        <f t="shared" si="17"/>
        <v>0</v>
      </c>
      <c r="BO13" s="242">
        <f t="shared" ca="1" si="18"/>
        <v>49.400902578388916</v>
      </c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</row>
    <row r="14" spans="1:80" ht="12" customHeight="1" x14ac:dyDescent="0.15">
      <c r="A14" s="213">
        <f t="shared" si="19"/>
        <v>8</v>
      </c>
      <c r="B14" s="67">
        <f t="shared" si="20"/>
        <v>32</v>
      </c>
      <c r="C14" s="224">
        <f t="shared" si="21"/>
        <v>7.384615384615385</v>
      </c>
      <c r="D14" s="225">
        <f ca="1">IFERROR(OFFSET(extrapolation!P23,0,OS_dist_choice-1,1,1),0)</f>
        <v>0.93788858717339307</v>
      </c>
      <c r="E14" s="225">
        <f ca="1">IFERROR(OFFSET(extrapolation!D23,0,PFS_dist_choice-1,1,1),0)</f>
        <v>0.77232524701462391</v>
      </c>
      <c r="F14" s="214"/>
      <c r="G14" s="226">
        <f t="shared" ca="1" si="22"/>
        <v>772.32524701462387</v>
      </c>
      <c r="H14" s="224">
        <f t="shared" ca="1" si="23"/>
        <v>165.56334015876922</v>
      </c>
      <c r="I14" s="224">
        <f t="shared" ca="1" si="0"/>
        <v>62.111412826606923</v>
      </c>
      <c r="J14" s="227">
        <f t="shared" ca="1" si="1"/>
        <v>1000</v>
      </c>
      <c r="K14" s="238">
        <f t="shared" ca="1" si="24"/>
        <v>29.455838607607348</v>
      </c>
      <c r="L14" s="239">
        <f t="shared" ca="1" si="25"/>
        <v>12.048417145267607</v>
      </c>
      <c r="M14" s="238">
        <f t="shared" ca="1" si="26"/>
        <v>787.05316631842754</v>
      </c>
      <c r="N14" s="238">
        <f t="shared" ca="1" si="27"/>
        <v>156.85962942759934</v>
      </c>
      <c r="O14" s="239">
        <f t="shared" ca="1" si="28"/>
        <v>56.08720425397312</v>
      </c>
      <c r="P14" s="217"/>
      <c r="Q14" s="217"/>
      <c r="R14" s="224"/>
      <c r="S14" s="230">
        <f t="shared" ca="1" si="29"/>
        <v>11751760.860120676</v>
      </c>
      <c r="T14" s="231">
        <f t="shared" ca="1" si="30"/>
        <v>73164.285151303644</v>
      </c>
      <c r="U14" s="231">
        <f t="shared" ca="1" si="31"/>
        <v>121281.22001489352</v>
      </c>
      <c r="V14" s="231"/>
      <c r="W14" s="231">
        <f t="shared" ca="1" si="32"/>
        <v>296391.62958485872</v>
      </c>
      <c r="X14" s="231">
        <f t="shared" ca="1" si="33"/>
        <v>37048.95369810734</v>
      </c>
      <c r="Y14" s="231"/>
      <c r="Z14" s="232">
        <f t="shared" ca="1" si="2"/>
        <v>12279646.94856984</v>
      </c>
      <c r="AA14" s="231">
        <f t="shared" ca="1" si="3"/>
        <v>20134.917753607911</v>
      </c>
      <c r="AB14" s="231">
        <f t="shared" ca="1" si="34"/>
        <v>39526.228336594177</v>
      </c>
      <c r="AC14" s="231">
        <f t="shared" ca="1" si="35"/>
        <v>212654.97607810708</v>
      </c>
      <c r="AD14" s="231">
        <f t="shared" ca="1" si="36"/>
        <v>7383.8533360453839</v>
      </c>
      <c r="AE14" s="231">
        <f t="shared" ca="1" si="4"/>
        <v>345193.41518399079</v>
      </c>
      <c r="AF14" s="231">
        <f t="shared" ca="1" si="5"/>
        <v>624893.3906883453</v>
      </c>
      <c r="AG14" s="232">
        <f t="shared" ca="1" si="6"/>
        <v>12904540.339258185</v>
      </c>
      <c r="AH14" s="244">
        <f t="shared" ca="1" si="37"/>
        <v>60.335355665752147</v>
      </c>
      <c r="AI14" s="243">
        <f t="shared" ca="1" si="38"/>
        <v>12.024831277132872</v>
      </c>
      <c r="AJ14" s="242">
        <f t="shared" ca="1" si="39"/>
        <v>72.360186942885022</v>
      </c>
      <c r="AK14" s="241">
        <f t="shared" ca="1" si="40"/>
        <v>43.441456079341542</v>
      </c>
      <c r="AL14" s="243">
        <f t="shared" ca="1" si="41"/>
        <v>5.3270002557698621</v>
      </c>
      <c r="AM14" s="243"/>
      <c r="AN14" s="242">
        <f t="shared" ca="1" si="7"/>
        <v>48.768456335111402</v>
      </c>
      <c r="AO14" s="224"/>
      <c r="AP14" s="235">
        <f t="shared" si="42"/>
        <v>0.61538461538461542</v>
      </c>
      <c r="AQ14" s="235">
        <f t="shared" si="8"/>
        <v>0.98197440791989166</v>
      </c>
      <c r="AR14" s="235">
        <f t="shared" si="9"/>
        <v>0.99087962219666093</v>
      </c>
      <c r="AT14" s="230">
        <f t="shared" ca="1" si="10"/>
        <v>11539928.412633158</v>
      </c>
      <c r="AU14" s="231">
        <f t="shared" ca="1" si="11"/>
        <v>71845.455592333514</v>
      </c>
      <c r="AV14" s="231">
        <f t="shared" ca="1" si="43"/>
        <v>119095.05421592719</v>
      </c>
      <c r="AW14" s="231"/>
      <c r="AX14" s="231">
        <f t="shared" ca="1" si="44"/>
        <v>291048.99497400346</v>
      </c>
      <c r="AY14" s="231">
        <f t="shared" ca="1" si="45"/>
        <v>36381.124371750433</v>
      </c>
      <c r="AZ14" s="231"/>
      <c r="BA14" s="232">
        <f t="shared" ca="1" si="12"/>
        <v>12058299.041787174</v>
      </c>
      <c r="BB14" s="231">
        <f t="shared" ca="1" si="13"/>
        <v>19771.973939614843</v>
      </c>
      <c r="BC14" s="231">
        <f t="shared" ca="1" si="46"/>
        <v>38813.744668133513</v>
      </c>
      <c r="BD14" s="231">
        <f t="shared" ca="1" si="47"/>
        <v>208821.74422551793</v>
      </c>
      <c r="BE14" s="231">
        <f t="shared" ca="1" si="48"/>
        <v>7250.755007830483</v>
      </c>
      <c r="BF14" s="231">
        <f t="shared" ca="1" si="14"/>
        <v>338971.09949314466</v>
      </c>
      <c r="BG14" s="231">
        <f t="shared" ca="1" si="15"/>
        <v>613629.31733424147</v>
      </c>
      <c r="BH14" s="232">
        <f t="shared" ca="1" si="16"/>
        <v>12671928.359121414</v>
      </c>
      <c r="BI14" s="244">
        <f t="shared" ca="1" si="49"/>
        <v>59.785074427181655</v>
      </c>
      <c r="BJ14" s="243">
        <f t="shared" ca="1" si="50"/>
        <v>11.915160272864012</v>
      </c>
      <c r="BK14" s="242">
        <f t="shared" ca="1" si="51"/>
        <v>71.700234700045669</v>
      </c>
      <c r="BL14" s="241">
        <f t="shared" ca="1" si="52"/>
        <v>43.045253587570784</v>
      </c>
      <c r="BM14" s="243">
        <f t="shared" ca="1" si="53"/>
        <v>5.2784160008787575</v>
      </c>
      <c r="BN14" s="243">
        <f t="shared" si="17"/>
        <v>0</v>
      </c>
      <c r="BO14" s="242">
        <f t="shared" ca="1" si="18"/>
        <v>48.32366958844954</v>
      </c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</row>
    <row r="15" spans="1:80" ht="12" customHeight="1" x14ac:dyDescent="0.15">
      <c r="A15" s="213">
        <f t="shared" si="19"/>
        <v>9</v>
      </c>
      <c r="B15" s="67">
        <f t="shared" si="20"/>
        <v>36</v>
      </c>
      <c r="C15" s="224">
        <f t="shared" si="21"/>
        <v>8.3076923076923066</v>
      </c>
      <c r="D15" s="225">
        <f ca="1">IFERROR(OFFSET(extrapolation!P24,0,OS_dist_choice-1,1,1),0)</f>
        <v>0.9250639391786466</v>
      </c>
      <c r="E15" s="225">
        <f ca="1">IFERROR(OFFSET(extrapolation!D24,0,PFS_dist_choice-1,1,1),0)</f>
        <v>0.74395461589286693</v>
      </c>
      <c r="F15" s="214"/>
      <c r="G15" s="226">
        <f t="shared" ca="1" si="22"/>
        <v>743.95461589286697</v>
      </c>
      <c r="H15" s="224">
        <f t="shared" ca="1" si="23"/>
        <v>181.10932328577962</v>
      </c>
      <c r="I15" s="224">
        <f t="shared" ca="1" si="0"/>
        <v>74.936060821353408</v>
      </c>
      <c r="J15" s="227">
        <f t="shared" ca="1" si="1"/>
        <v>1000</v>
      </c>
      <c r="K15" s="238">
        <f t="shared" ca="1" si="24"/>
        <v>28.370631121756901</v>
      </c>
      <c r="L15" s="239">
        <f t="shared" ca="1" si="25"/>
        <v>12.824647994746485</v>
      </c>
      <c r="M15" s="238">
        <f t="shared" ca="1" si="26"/>
        <v>758.13993145374548</v>
      </c>
      <c r="N15" s="238">
        <f t="shared" ca="1" si="27"/>
        <v>173.33633172227442</v>
      </c>
      <c r="O15" s="239">
        <f t="shared" ca="1" si="28"/>
        <v>68.523736823980158</v>
      </c>
      <c r="P15" s="217"/>
      <c r="Q15" s="217"/>
      <c r="R15" s="224"/>
      <c r="S15" s="230">
        <f t="shared" ca="1" si="29"/>
        <v>11320071.136545874</v>
      </c>
      <c r="T15" s="231">
        <f t="shared" ca="1" si="30"/>
        <v>70476.664937749534</v>
      </c>
      <c r="U15" s="231">
        <f t="shared" ca="1" si="31"/>
        <v>116825.82545067537</v>
      </c>
      <c r="V15" s="231"/>
      <c r="W15" s="231">
        <f t="shared" ca="1" si="32"/>
        <v>285503.36794657732</v>
      </c>
      <c r="X15" s="231">
        <f t="shared" ca="1" si="33"/>
        <v>35687.920993322165</v>
      </c>
      <c r="Y15" s="231"/>
      <c r="Z15" s="232">
        <f t="shared" ca="1" si="2"/>
        <v>11828564.9158742</v>
      </c>
      <c r="AA15" s="231">
        <f t="shared" ca="1" si="3"/>
        <v>19393.110203523251</v>
      </c>
      <c r="AB15" s="231">
        <f t="shared" ca="1" si="34"/>
        <v>43678.10539705868</v>
      </c>
      <c r="AC15" s="231">
        <f t="shared" ca="1" si="35"/>
        <v>234992.48092308358</v>
      </c>
      <c r="AD15" s="231">
        <f t="shared" ca="1" si="36"/>
        <v>8159.4611431626236</v>
      </c>
      <c r="AE15" s="231">
        <f t="shared" ca="1" si="4"/>
        <v>367432.8325839793</v>
      </c>
      <c r="AF15" s="231">
        <f t="shared" ca="1" si="5"/>
        <v>673655.99025080749</v>
      </c>
      <c r="AG15" s="232">
        <f t="shared" ca="1" si="6"/>
        <v>12502220.906125007</v>
      </c>
      <c r="AH15" s="244">
        <f t="shared" ca="1" si="37"/>
        <v>58.118872226433602</v>
      </c>
      <c r="AI15" s="243">
        <f t="shared" ca="1" si="38"/>
        <v>13.28793234284376</v>
      </c>
      <c r="AJ15" s="242">
        <f t="shared" ca="1" si="39"/>
        <v>71.406804569277369</v>
      </c>
      <c r="AK15" s="241">
        <f t="shared" ca="1" si="40"/>
        <v>41.845588003032191</v>
      </c>
      <c r="AL15" s="243">
        <f t="shared" ca="1" si="41"/>
        <v>5.8865540278797859</v>
      </c>
      <c r="AM15" s="243"/>
      <c r="AN15" s="242">
        <f t="shared" ca="1" si="7"/>
        <v>47.732142030911973</v>
      </c>
      <c r="AO15" s="224"/>
      <c r="AP15" s="235">
        <f t="shared" si="42"/>
        <v>0.69230769230769229</v>
      </c>
      <c r="AQ15" s="235">
        <f t="shared" si="8"/>
        <v>0.97974417612384523</v>
      </c>
      <c r="AR15" s="235">
        <f t="shared" si="9"/>
        <v>0.9897454392807965</v>
      </c>
      <c r="AT15" s="230">
        <f t="shared" ca="1" si="10"/>
        <v>11090773.769338457</v>
      </c>
      <c r="AU15" s="231">
        <f t="shared" ca="1" si="11"/>
        <v>69049.102025391709</v>
      </c>
      <c r="AV15" s="231">
        <f t="shared" ca="1" si="43"/>
        <v>114459.4221061601</v>
      </c>
      <c r="AW15" s="231"/>
      <c r="AX15" s="231">
        <f t="shared" ca="1" si="44"/>
        <v>279720.26200940245</v>
      </c>
      <c r="AY15" s="231">
        <f t="shared" ca="1" si="45"/>
        <v>34965.032751175306</v>
      </c>
      <c r="AZ15" s="231"/>
      <c r="BA15" s="232">
        <f t="shared" ca="1" si="12"/>
        <v>11588967.588230589</v>
      </c>
      <c r="BB15" s="231">
        <f t="shared" ca="1" si="13"/>
        <v>19000.286778829824</v>
      </c>
      <c r="BC15" s="231">
        <f t="shared" ca="1" si="46"/>
        <v>42793.369386891733</v>
      </c>
      <c r="BD15" s="231">
        <f t="shared" ca="1" si="47"/>
        <v>230232.51461728493</v>
      </c>
      <c r="BE15" s="231">
        <f t="shared" ca="1" si="48"/>
        <v>7994.1845353223935</v>
      </c>
      <c r="BF15" s="231">
        <f t="shared" ca="1" si="14"/>
        <v>359990.17784084153</v>
      </c>
      <c r="BG15" s="231">
        <f t="shared" ca="1" si="15"/>
        <v>660010.53315917053</v>
      </c>
      <c r="BH15" s="232">
        <f t="shared" ca="1" si="16"/>
        <v>12248978.12138976</v>
      </c>
      <c r="BI15" s="244">
        <f t="shared" ca="1" si="49"/>
        <v>57.522888722256006</v>
      </c>
      <c r="BJ15" s="243">
        <f t="shared" ca="1" si="50"/>
        <v>13.151670433801401</v>
      </c>
      <c r="BK15" s="242">
        <f t="shared" ca="1" si="51"/>
        <v>70.674559156057413</v>
      </c>
      <c r="BL15" s="241">
        <f t="shared" ca="1" si="52"/>
        <v>41.416479880024326</v>
      </c>
      <c r="BM15" s="243">
        <f t="shared" ca="1" si="53"/>
        <v>5.8261900021740205</v>
      </c>
      <c r="BN15" s="243">
        <f t="shared" si="17"/>
        <v>0</v>
      </c>
      <c r="BO15" s="242">
        <f t="shared" ca="1" si="18"/>
        <v>47.242669882198342</v>
      </c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</row>
    <row r="16" spans="1:80" ht="12" customHeight="1" x14ac:dyDescent="0.15">
      <c r="A16" s="213">
        <f t="shared" si="19"/>
        <v>10</v>
      </c>
      <c r="B16" s="67">
        <f t="shared" si="20"/>
        <v>40</v>
      </c>
      <c r="C16" s="224">
        <f t="shared" si="21"/>
        <v>9.2307692307692317</v>
      </c>
      <c r="D16" s="225">
        <f ca="1">IFERROR(OFFSET(extrapolation!P25,0,OS_dist_choice-1,1,1),0)</f>
        <v>0.91157371476622695</v>
      </c>
      <c r="E16" s="225">
        <f ca="1">IFERROR(OFFSET(extrapolation!D25,0,PFS_dist_choice-1,1,1),0)</f>
        <v>0.71670103662728879</v>
      </c>
      <c r="F16" s="214"/>
      <c r="G16" s="226">
        <f t="shared" ca="1" si="22"/>
        <v>716.70103662728877</v>
      </c>
      <c r="H16" s="224">
        <f t="shared" ca="1" si="23"/>
        <v>194.87267813893817</v>
      </c>
      <c r="I16" s="224">
        <f t="shared" ca="1" si="0"/>
        <v>88.426285233773044</v>
      </c>
      <c r="J16" s="227">
        <f t="shared" ca="1" si="1"/>
        <v>999.99999999999989</v>
      </c>
      <c r="K16" s="238">
        <f t="shared" ca="1" si="24"/>
        <v>27.253579265578196</v>
      </c>
      <c r="L16" s="239">
        <f t="shared" ca="1" si="25"/>
        <v>13.490224412419636</v>
      </c>
      <c r="M16" s="238">
        <f t="shared" ca="1" si="26"/>
        <v>730.32782626007793</v>
      </c>
      <c r="N16" s="238">
        <f t="shared" ca="1" si="27"/>
        <v>187.9910007123589</v>
      </c>
      <c r="O16" s="239">
        <f t="shared" ca="1" si="28"/>
        <v>81.681173027563233</v>
      </c>
      <c r="P16" s="217"/>
      <c r="Q16" s="217"/>
      <c r="R16" s="224"/>
      <c r="S16" s="230">
        <f t="shared" ca="1" si="29"/>
        <v>10905378.560653228</v>
      </c>
      <c r="T16" s="231">
        <f t="shared" ca="1" si="30"/>
        <v>67894.865815568744</v>
      </c>
      <c r="U16" s="231">
        <f t="shared" ca="1" si="31"/>
        <v>112540.10983015544</v>
      </c>
      <c r="V16" s="231"/>
      <c r="W16" s="231">
        <f t="shared" ca="1" si="32"/>
        <v>275029.77412432519</v>
      </c>
      <c r="X16" s="231">
        <f t="shared" ca="1" si="33"/>
        <v>34378.721765540649</v>
      </c>
      <c r="Y16" s="231"/>
      <c r="Z16" s="232">
        <f t="shared" ca="1" si="2"/>
        <v>11395222.032188818</v>
      </c>
      <c r="AA16" s="231">
        <f t="shared" ca="1" si="3"/>
        <v>18629.5350240726</v>
      </c>
      <c r="AB16" s="231">
        <f t="shared" ca="1" si="34"/>
        <v>47370.857922440882</v>
      </c>
      <c r="AC16" s="231">
        <f t="shared" ca="1" si="35"/>
        <v>254859.85084414668</v>
      </c>
      <c r="AD16" s="231">
        <f t="shared" ca="1" si="36"/>
        <v>8849.3003765328704</v>
      </c>
      <c r="AE16" s="231">
        <f t="shared" ca="1" si="4"/>
        <v>386501.94298349461</v>
      </c>
      <c r="AF16" s="231">
        <f t="shared" ca="1" si="5"/>
        <v>716211.48715068772</v>
      </c>
      <c r="AG16" s="232">
        <f t="shared" ca="1" si="6"/>
        <v>12111433.519339506</v>
      </c>
      <c r="AH16" s="244">
        <f t="shared" ca="1" si="37"/>
        <v>55.986801191737662</v>
      </c>
      <c r="AI16" s="243">
        <f t="shared" ca="1" si="38"/>
        <v>14.411356659674329</v>
      </c>
      <c r="AJ16" s="242">
        <f t="shared" ca="1" si="39"/>
        <v>70.398157851411995</v>
      </c>
      <c r="AK16" s="241">
        <f t="shared" ca="1" si="40"/>
        <v>40.310496858051117</v>
      </c>
      <c r="AL16" s="243">
        <f t="shared" ca="1" si="41"/>
        <v>6.3842310002357276</v>
      </c>
      <c r="AM16" s="243"/>
      <c r="AN16" s="242">
        <f t="shared" ca="1" si="7"/>
        <v>46.694727858286846</v>
      </c>
      <c r="AO16" s="224"/>
      <c r="AP16" s="235">
        <f t="shared" si="42"/>
        <v>0.76923076923076927</v>
      </c>
      <c r="AQ16" s="235">
        <f t="shared" si="8"/>
        <v>0.97751900956557292</v>
      </c>
      <c r="AR16" s="235">
        <f t="shared" si="9"/>
        <v>0.98861255457599395</v>
      </c>
      <c r="AT16" s="230">
        <f t="shared" ca="1" si="10"/>
        <v>10660214.849547377</v>
      </c>
      <c r="AU16" s="231">
        <f t="shared" ca="1" si="11"/>
        <v>66368.521986622232</v>
      </c>
      <c r="AV16" s="231">
        <f t="shared" ca="1" si="43"/>
        <v>110010.09669757435</v>
      </c>
      <c r="AW16" s="231"/>
      <c r="AX16" s="231">
        <f t="shared" ca="1" si="44"/>
        <v>268846.83240305359</v>
      </c>
      <c r="AY16" s="231">
        <f t="shared" ca="1" si="45"/>
        <v>33605.854050381698</v>
      </c>
      <c r="AZ16" s="231"/>
      <c r="BA16" s="232">
        <f t="shared" ca="1" si="12"/>
        <v>11139046.154685007</v>
      </c>
      <c r="BB16" s="231">
        <f t="shared" ca="1" si="13"/>
        <v>18210.724625398601</v>
      </c>
      <c r="BC16" s="231">
        <f t="shared" ca="1" si="46"/>
        <v>46305.914118615881</v>
      </c>
      <c r="BD16" s="231">
        <f t="shared" ca="1" si="47"/>
        <v>249130.34897519992</v>
      </c>
      <c r="BE16" s="231">
        <f t="shared" ca="1" si="48"/>
        <v>8650.3593394166637</v>
      </c>
      <c r="BF16" s="231">
        <f t="shared" ca="1" si="14"/>
        <v>377812.99650039518</v>
      </c>
      <c r="BG16" s="231">
        <f t="shared" ca="1" si="15"/>
        <v>700110.34355902637</v>
      </c>
      <c r="BH16" s="232">
        <f t="shared" ca="1" si="16"/>
        <v>11839156.498244034</v>
      </c>
      <c r="BI16" s="244">
        <f t="shared" ca="1" si="49"/>
        <v>55.349254548702071</v>
      </c>
      <c r="BJ16" s="243">
        <f t="shared" ca="1" si="50"/>
        <v>14.247248122226402</v>
      </c>
      <c r="BK16" s="242">
        <f t="shared" ca="1" si="51"/>
        <v>69.596502670928473</v>
      </c>
      <c r="BL16" s="241">
        <f t="shared" ca="1" si="52"/>
        <v>39.851463275065491</v>
      </c>
      <c r="BM16" s="243">
        <f t="shared" ca="1" si="53"/>
        <v>6.3115309181462962</v>
      </c>
      <c r="BN16" s="243">
        <f t="shared" si="17"/>
        <v>0</v>
      </c>
      <c r="BO16" s="242">
        <f t="shared" ca="1" si="18"/>
        <v>46.162994193211787</v>
      </c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</row>
    <row r="17" spans="1:80" ht="12" customHeight="1" x14ac:dyDescent="0.15">
      <c r="A17" s="213">
        <f t="shared" si="19"/>
        <v>11</v>
      </c>
      <c r="B17" s="67">
        <f t="shared" si="20"/>
        <v>44</v>
      </c>
      <c r="C17" s="224">
        <f t="shared" si="21"/>
        <v>10.153846153846153</v>
      </c>
      <c r="D17" s="225">
        <f ca="1">IFERROR(OFFSET(extrapolation!P26,0,OS_dist_choice-1,1,1),0)</f>
        <v>0.89752024017351406</v>
      </c>
      <c r="E17" s="225">
        <f ca="1">IFERROR(OFFSET(extrapolation!D26,0,PFS_dist_choice-1,1,1),0)</f>
        <v>0.69056528349002855</v>
      </c>
      <c r="F17" s="214"/>
      <c r="G17" s="226">
        <f t="shared" ca="1" si="22"/>
        <v>690.56528349002849</v>
      </c>
      <c r="H17" s="224">
        <f t="shared" ca="1" si="23"/>
        <v>206.95495668348556</v>
      </c>
      <c r="I17" s="224">
        <f t="shared" ca="1" si="0"/>
        <v>102.47975982648595</v>
      </c>
      <c r="J17" s="227">
        <f t="shared" ca="1" si="1"/>
        <v>1000</v>
      </c>
      <c r="K17" s="238">
        <f t="shared" ca="1" si="24"/>
        <v>26.135753137260281</v>
      </c>
      <c r="L17" s="239">
        <f t="shared" ca="1" si="25"/>
        <v>14.053474592712902</v>
      </c>
      <c r="M17" s="238">
        <f t="shared" ca="1" si="26"/>
        <v>703.63316005865863</v>
      </c>
      <c r="N17" s="238">
        <f t="shared" ca="1" si="27"/>
        <v>200.91381741121188</v>
      </c>
      <c r="O17" s="239">
        <f t="shared" ca="1" si="28"/>
        <v>95.453022530129488</v>
      </c>
      <c r="P17" s="217"/>
      <c r="Q17" s="217"/>
      <c r="R17" s="224"/>
      <c r="S17" s="230">
        <f t="shared" ca="1" si="29"/>
        <v>10507694.913827661</v>
      </c>
      <c r="T17" s="231">
        <f t="shared" ca="1" si="30"/>
        <v>65418.961133480341</v>
      </c>
      <c r="U17" s="231">
        <f t="shared" ca="1" si="31"/>
        <v>108426.58634362568</v>
      </c>
      <c r="V17" s="231"/>
      <c r="W17" s="231">
        <f t="shared" ca="1" si="32"/>
        <v>264976.98994752992</v>
      </c>
      <c r="X17" s="231">
        <f t="shared" ca="1" si="33"/>
        <v>33122.12374344124</v>
      </c>
      <c r="Y17" s="231"/>
      <c r="Z17" s="232">
        <f t="shared" ca="1" si="2"/>
        <v>10979639.574995738</v>
      </c>
      <c r="AA17" s="231">
        <f t="shared" ca="1" si="3"/>
        <v>17865.430580931657</v>
      </c>
      <c r="AB17" s="231">
        <f t="shared" ca="1" si="34"/>
        <v>50627.210149299724</v>
      </c>
      <c r="AC17" s="231">
        <f t="shared" ca="1" si="35"/>
        <v>272379.34445754177</v>
      </c>
      <c r="AD17" s="231">
        <f t="shared" ca="1" si="36"/>
        <v>9457.6161269979766</v>
      </c>
      <c r="AE17" s="231">
        <f t="shared" ca="1" si="4"/>
        <v>402639.35348266544</v>
      </c>
      <c r="AF17" s="231">
        <f t="shared" ca="1" si="5"/>
        <v>752968.95479743648</v>
      </c>
      <c r="AG17" s="232">
        <f t="shared" ca="1" si="6"/>
        <v>11732608.529793173</v>
      </c>
      <c r="AH17" s="244">
        <f t="shared" ca="1" si="37"/>
        <v>53.940392831327706</v>
      </c>
      <c r="AI17" s="243">
        <f t="shared" ca="1" si="38"/>
        <v>15.40201748806005</v>
      </c>
      <c r="AJ17" s="242">
        <f t="shared" ca="1" si="39"/>
        <v>69.342410319387753</v>
      </c>
      <c r="AK17" s="241">
        <f t="shared" ca="1" si="40"/>
        <v>38.837082838555951</v>
      </c>
      <c r="AL17" s="243">
        <f t="shared" ca="1" si="41"/>
        <v>6.8230937472106019</v>
      </c>
      <c r="AM17" s="243"/>
      <c r="AN17" s="242">
        <f t="shared" ca="1" si="7"/>
        <v>45.66017658576655</v>
      </c>
      <c r="AO17" s="224"/>
      <c r="AP17" s="235">
        <f t="shared" si="42"/>
        <v>0.84615384615384615</v>
      </c>
      <c r="AQ17" s="235">
        <f t="shared" si="8"/>
        <v>0.9752988967410533</v>
      </c>
      <c r="AR17" s="235">
        <f t="shared" si="9"/>
        <v>0.98748096659629214</v>
      </c>
      <c r="AT17" s="230">
        <f t="shared" ca="1" si="10"/>
        <v>10248143.256747695</v>
      </c>
      <c r="AU17" s="231">
        <f t="shared" ca="1" si="11"/>
        <v>63803.040619429223</v>
      </c>
      <c r="AV17" s="231">
        <f t="shared" ca="1" si="43"/>
        <v>105748.33003833667</v>
      </c>
      <c r="AW17" s="231"/>
      <c r="AX17" s="231">
        <f t="shared" ca="1" si="44"/>
        <v>258431.76595759109</v>
      </c>
      <c r="AY17" s="231">
        <f t="shared" ca="1" si="45"/>
        <v>32303.970744698887</v>
      </c>
      <c r="AZ17" s="231"/>
      <c r="BA17" s="232">
        <f t="shared" ca="1" si="12"/>
        <v>10708430.36410775</v>
      </c>
      <c r="BB17" s="231">
        <f t="shared" ca="1" si="13"/>
        <v>17424.13473538652</v>
      </c>
      <c r="BC17" s="231">
        <f t="shared" ca="1" si="46"/>
        <v>49376.662203689477</v>
      </c>
      <c r="BD17" s="231">
        <f t="shared" ca="1" si="47"/>
        <v>265651.27414449182</v>
      </c>
      <c r="BE17" s="231">
        <f t="shared" ca="1" si="48"/>
        <v>9224.0025744615195</v>
      </c>
      <c r="BF17" s="231">
        <f t="shared" ca="1" si="14"/>
        <v>392693.71723617456</v>
      </c>
      <c r="BG17" s="231">
        <f t="shared" ca="1" si="15"/>
        <v>734369.79089420382</v>
      </c>
      <c r="BH17" s="232">
        <f t="shared" ca="1" si="16"/>
        <v>11442800.155001953</v>
      </c>
      <c r="BI17" s="244">
        <f t="shared" ca="1" si="49"/>
        <v>53.265111251663193</v>
      </c>
      <c r="BJ17" s="243">
        <f t="shared" ca="1" si="50"/>
        <v>15.209199116642534</v>
      </c>
      <c r="BK17" s="242">
        <f t="shared" ca="1" si="51"/>
        <v>68.474310368305723</v>
      </c>
      <c r="BL17" s="241">
        <f t="shared" ca="1" si="52"/>
        <v>38.350880101197497</v>
      </c>
      <c r="BM17" s="243">
        <f t="shared" ca="1" si="53"/>
        <v>6.7376752086726421</v>
      </c>
      <c r="BN17" s="243">
        <f t="shared" si="17"/>
        <v>0</v>
      </c>
      <c r="BO17" s="242">
        <f t="shared" ca="1" si="18"/>
        <v>45.088555309870138</v>
      </c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</row>
    <row r="18" spans="1:80" ht="12" customHeight="1" x14ac:dyDescent="0.15">
      <c r="A18" s="213">
        <f t="shared" si="19"/>
        <v>12</v>
      </c>
      <c r="B18" s="67">
        <f t="shared" si="20"/>
        <v>48</v>
      </c>
      <c r="C18" s="224">
        <f t="shared" si="21"/>
        <v>11.076923076923077</v>
      </c>
      <c r="D18" s="225">
        <f ca="1">IFERROR(OFFSET(extrapolation!P27,0,OS_dist_choice-1,1,1),0)</f>
        <v>0.8829981171057053</v>
      </c>
      <c r="E18" s="225">
        <f ca="1">IFERROR(OFFSET(extrapolation!D27,0,PFS_dist_choice-1,1,1),0)</f>
        <v>0.66552901885796356</v>
      </c>
      <c r="F18" s="214"/>
      <c r="G18" s="226">
        <f t="shared" ca="1" si="22"/>
        <v>665.52901885796359</v>
      </c>
      <c r="H18" s="224">
        <f t="shared" ca="1" si="23"/>
        <v>217.46909824774173</v>
      </c>
      <c r="I18" s="224">
        <f t="shared" ca="1" si="0"/>
        <v>117.0018828942947</v>
      </c>
      <c r="J18" s="227">
        <f t="shared" ca="1" si="1"/>
        <v>1000</v>
      </c>
      <c r="K18" s="238">
        <f t="shared" ca="1" si="24"/>
        <v>25.036264632064899</v>
      </c>
      <c r="L18" s="239">
        <f t="shared" ca="1" si="25"/>
        <v>14.522123067808749</v>
      </c>
      <c r="M18" s="238">
        <f t="shared" ca="1" si="26"/>
        <v>678.0471511739961</v>
      </c>
      <c r="N18" s="238">
        <f t="shared" ca="1" si="27"/>
        <v>212.21202746561363</v>
      </c>
      <c r="O18" s="239">
        <f t="shared" ca="1" si="28"/>
        <v>109.74082136039033</v>
      </c>
      <c r="P18" s="217"/>
      <c r="Q18" s="217"/>
      <c r="R18" s="224"/>
      <c r="S18" s="230">
        <f t="shared" ca="1" si="29"/>
        <v>10126741.169373477</v>
      </c>
      <c r="T18" s="231">
        <f t="shared" ca="1" si="30"/>
        <v>63047.21372298916</v>
      </c>
      <c r="U18" s="231">
        <f t="shared" ca="1" si="31"/>
        <v>104483.90177587398</v>
      </c>
      <c r="V18" s="231"/>
      <c r="W18" s="231">
        <f t="shared" ca="1" si="32"/>
        <v>255341.70837770816</v>
      </c>
      <c r="X18" s="231">
        <f t="shared" ca="1" si="33"/>
        <v>31917.71354721352</v>
      </c>
      <c r="Y18" s="231"/>
      <c r="Z18" s="232">
        <f t="shared" ca="1" si="2"/>
        <v>10581531.706797261</v>
      </c>
      <c r="AA18" s="231">
        <f t="shared" ca="1" si="3"/>
        <v>17113.861056191363</v>
      </c>
      <c r="AB18" s="231">
        <f t="shared" ca="1" si="34"/>
        <v>53474.186340909371</v>
      </c>
      <c r="AC18" s="231">
        <f t="shared" ca="1" si="35"/>
        <v>287696.35494399833</v>
      </c>
      <c r="AD18" s="231">
        <f t="shared" ca="1" si="36"/>
        <v>9989.456768888831</v>
      </c>
      <c r="AE18" s="231">
        <f t="shared" ca="1" si="4"/>
        <v>416066.37594450364</v>
      </c>
      <c r="AF18" s="231">
        <f t="shared" ca="1" si="5"/>
        <v>784340.23505449155</v>
      </c>
      <c r="AG18" s="232">
        <f t="shared" ca="1" si="6"/>
        <v>11365871.941851752</v>
      </c>
      <c r="AH18" s="244">
        <f t="shared" ca="1" si="37"/>
        <v>51.978973943523314</v>
      </c>
      <c r="AI18" s="243">
        <f t="shared" ca="1" si="38"/>
        <v>16.268136260197622</v>
      </c>
      <c r="AJ18" s="242">
        <f t="shared" ca="1" si="39"/>
        <v>68.247110203720936</v>
      </c>
      <c r="AK18" s="241">
        <f t="shared" ca="1" si="40"/>
        <v>37.424861239336785</v>
      </c>
      <c r="AL18" s="243">
        <f t="shared" ca="1" si="41"/>
        <v>7.2067843632675466</v>
      </c>
      <c r="AM18" s="243"/>
      <c r="AN18" s="242">
        <f t="shared" ca="1" si="7"/>
        <v>44.63164560260433</v>
      </c>
      <c r="AO18" s="224"/>
      <c r="AP18" s="235">
        <f t="shared" si="42"/>
        <v>0.92307692307692313</v>
      </c>
      <c r="AQ18" s="235">
        <f t="shared" si="8"/>
        <v>0.9730838261723932</v>
      </c>
      <c r="AR18" s="235">
        <f t="shared" si="9"/>
        <v>0.98635067385743036</v>
      </c>
      <c r="AT18" s="230">
        <f t="shared" ca="1" si="10"/>
        <v>9854168.0437514391</v>
      </c>
      <c r="AU18" s="231">
        <f t="shared" ca="1" si="11"/>
        <v>61350.223959074909</v>
      </c>
      <c r="AV18" s="231">
        <f t="shared" ca="1" si="43"/>
        <v>101671.59491348796</v>
      </c>
      <c r="AW18" s="231"/>
      <c r="AX18" s="231">
        <f t="shared" ca="1" si="44"/>
        <v>248468.88656957567</v>
      </c>
      <c r="AY18" s="231">
        <f t="shared" ca="1" si="45"/>
        <v>31058.610821196959</v>
      </c>
      <c r="AZ18" s="231"/>
      <c r="BA18" s="232">
        <f t="shared" ca="1" si="12"/>
        <v>10296717.360014772</v>
      </c>
      <c r="BB18" s="231">
        <f t="shared" ca="1" si="13"/>
        <v>16653.221397141406</v>
      </c>
      <c r="BC18" s="231">
        <f t="shared" ca="1" si="46"/>
        <v>52034.865846067616</v>
      </c>
      <c r="BD18" s="231">
        <f t="shared" ca="1" si="47"/>
        <v>279952.66984475683</v>
      </c>
      <c r="BE18" s="231">
        <f t="shared" ca="1" si="48"/>
        <v>9720.5788140540553</v>
      </c>
      <c r="BF18" s="231">
        <f t="shared" ca="1" si="14"/>
        <v>404867.46104575897</v>
      </c>
      <c r="BG18" s="231">
        <f t="shared" ca="1" si="15"/>
        <v>763228.7969477789</v>
      </c>
      <c r="BH18" s="232">
        <f t="shared" ca="1" si="16"/>
        <v>11059946.156962551</v>
      </c>
      <c r="BI18" s="244">
        <f t="shared" ca="1" si="49"/>
        <v>51.269495975612038</v>
      </c>
      <c r="BJ18" s="243">
        <f t="shared" ca="1" si="50"/>
        <v>16.046087162650423</v>
      </c>
      <c r="BK18" s="242">
        <f t="shared" ca="1" si="51"/>
        <v>67.315583138262454</v>
      </c>
      <c r="BL18" s="241">
        <f t="shared" ca="1" si="52"/>
        <v>36.914037102440666</v>
      </c>
      <c r="BM18" s="243">
        <f t="shared" ca="1" si="53"/>
        <v>7.1084166130541364</v>
      </c>
      <c r="BN18" s="243">
        <f t="shared" si="17"/>
        <v>0</v>
      </c>
      <c r="BO18" s="242">
        <f t="shared" ca="1" si="18"/>
        <v>44.022453715494798</v>
      </c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</row>
    <row r="19" spans="1:80" ht="12" customHeight="1" x14ac:dyDescent="0.15">
      <c r="A19" s="213">
        <f t="shared" si="19"/>
        <v>13</v>
      </c>
      <c r="B19" s="67">
        <f t="shared" si="20"/>
        <v>52</v>
      </c>
      <c r="C19" s="224">
        <f t="shared" si="21"/>
        <v>12</v>
      </c>
      <c r="D19" s="225">
        <f ca="1">IFERROR(OFFSET(extrapolation!P28,0,OS_dist_choice-1,1,1),0)</f>
        <v>0.86809463262594599</v>
      </c>
      <c r="E19" s="225">
        <f ca="1">IFERROR(OFFSET(extrapolation!D28,0,PFS_dist_choice-1,1,1),0)</f>
        <v>0.64156225572253489</v>
      </c>
      <c r="F19" s="214"/>
      <c r="G19" s="226">
        <f t="shared" ca="1" si="22"/>
        <v>641.56225572253493</v>
      </c>
      <c r="H19" s="224">
        <f t="shared" ca="1" si="23"/>
        <v>226.53237690341106</v>
      </c>
      <c r="I19" s="224">
        <f t="shared" ca="1" si="0"/>
        <v>131.90536737405401</v>
      </c>
      <c r="J19" s="227">
        <f t="shared" ca="1" si="1"/>
        <v>1000</v>
      </c>
      <c r="K19" s="238">
        <f t="shared" ca="1" si="24"/>
        <v>23.966763135428664</v>
      </c>
      <c r="L19" s="239">
        <f t="shared" ca="1" si="25"/>
        <v>14.903484479759314</v>
      </c>
      <c r="M19" s="238">
        <f t="shared" ca="1" si="26"/>
        <v>653.54563729024926</v>
      </c>
      <c r="N19" s="238">
        <f t="shared" ca="1" si="27"/>
        <v>222.00073757557641</v>
      </c>
      <c r="O19" s="239">
        <f t="shared" ca="1" si="28"/>
        <v>124.45362513417436</v>
      </c>
      <c r="P19" s="217"/>
      <c r="Q19" s="217"/>
      <c r="R19" s="224"/>
      <c r="S19" s="230">
        <f t="shared" ca="1" si="29"/>
        <v>9762061.0426426455</v>
      </c>
      <c r="T19" s="231">
        <f t="shared" ca="1" si="30"/>
        <v>60776.782840440203</v>
      </c>
      <c r="U19" s="231">
        <f t="shared" ca="1" si="31"/>
        <v>100708.33282678672</v>
      </c>
      <c r="V19" s="231"/>
      <c r="W19" s="231">
        <f t="shared" ca="1" si="32"/>
        <v>246114.83027331124</v>
      </c>
      <c r="X19" s="231">
        <f t="shared" ca="1" si="33"/>
        <v>30764.353784163904</v>
      </c>
      <c r="Y19" s="231"/>
      <c r="Z19" s="232">
        <f t="shared" ca="1" si="2"/>
        <v>10200425.342367349</v>
      </c>
      <c r="AA19" s="231">
        <f t="shared" ca="1" si="3"/>
        <v>16382.789537264394</v>
      </c>
      <c r="AB19" s="231">
        <f t="shared" ca="1" si="34"/>
        <v>55940.791625768215</v>
      </c>
      <c r="AC19" s="231">
        <f t="shared" ca="1" si="35"/>
        <v>300966.93273297913</v>
      </c>
      <c r="AD19" s="231">
        <f t="shared" ca="1" si="36"/>
        <v>10450.240719895108</v>
      </c>
      <c r="AE19" s="231">
        <f t="shared" ca="1" si="4"/>
        <v>426992.57866668538</v>
      </c>
      <c r="AF19" s="231">
        <f t="shared" ca="1" si="5"/>
        <v>810733.33328259224</v>
      </c>
      <c r="AG19" s="232">
        <f t="shared" ca="1" si="6"/>
        <v>11011158.675649941</v>
      </c>
      <c r="AH19" s="244">
        <f t="shared" ca="1" si="37"/>
        <v>50.100692249492077</v>
      </c>
      <c r="AI19" s="243">
        <f t="shared" ca="1" si="38"/>
        <v>17.01853703522557</v>
      </c>
      <c r="AJ19" s="242">
        <f t="shared" ca="1" si="39"/>
        <v>67.119229284717647</v>
      </c>
      <c r="AK19" s="241">
        <f t="shared" ca="1" si="40"/>
        <v>36.072498419634293</v>
      </c>
      <c r="AL19" s="243">
        <f t="shared" ca="1" si="41"/>
        <v>7.5392119066049279</v>
      </c>
      <c r="AM19" s="243"/>
      <c r="AN19" s="242">
        <f t="shared" ca="1" si="7"/>
        <v>43.611710326239219</v>
      </c>
      <c r="AO19" s="224"/>
      <c r="AP19" s="235">
        <f t="shared" si="42"/>
        <v>1</v>
      </c>
      <c r="AQ19" s="235">
        <f t="shared" si="8"/>
        <v>0.970873786407767</v>
      </c>
      <c r="AR19" s="235">
        <f t="shared" si="9"/>
        <v>0.98522167487684742</v>
      </c>
      <c r="AT19" s="230">
        <f t="shared" ca="1" si="10"/>
        <v>9477729.1676142197</v>
      </c>
      <c r="AU19" s="231">
        <f t="shared" ca="1" si="11"/>
        <v>59006.585281980777</v>
      </c>
      <c r="AV19" s="231">
        <f t="shared" ca="1" si="43"/>
        <v>97775.080414356038</v>
      </c>
      <c r="AW19" s="231"/>
      <c r="AX19" s="231">
        <f t="shared" ca="1" si="44"/>
        <v>238946.43715855459</v>
      </c>
      <c r="AY19" s="231">
        <f t="shared" ca="1" si="45"/>
        <v>29868.304644819324</v>
      </c>
      <c r="AZ19" s="231"/>
      <c r="BA19" s="232">
        <f t="shared" ca="1" si="12"/>
        <v>9903325.5751139317</v>
      </c>
      <c r="BB19" s="231">
        <f t="shared" ca="1" si="13"/>
        <v>15905.620909965432</v>
      </c>
      <c r="BC19" s="231">
        <f t="shared" ca="1" si="46"/>
        <v>54311.448180357489</v>
      </c>
      <c r="BD19" s="231">
        <f t="shared" ca="1" si="47"/>
        <v>292200.90556599916</v>
      </c>
      <c r="BE19" s="231">
        <f t="shared" ca="1" si="48"/>
        <v>10145.864776597193</v>
      </c>
      <c r="BF19" s="231">
        <f t="shared" ca="1" si="14"/>
        <v>414555.90161814116</v>
      </c>
      <c r="BG19" s="231">
        <f t="shared" ca="1" si="15"/>
        <v>787119.74105106038</v>
      </c>
      <c r="BH19" s="232">
        <f t="shared" ca="1" si="16"/>
        <v>10690445.316164991</v>
      </c>
      <c r="BI19" s="244">
        <f t="shared" ca="1" si="49"/>
        <v>49.360287930534071</v>
      </c>
      <c r="BJ19" s="243">
        <f t="shared" ca="1" si="50"/>
        <v>16.767031561798593</v>
      </c>
      <c r="BK19" s="242">
        <f t="shared" ca="1" si="51"/>
        <v>66.12731949233266</v>
      </c>
      <c r="BL19" s="241">
        <f t="shared" ca="1" si="52"/>
        <v>35.539407309984533</v>
      </c>
      <c r="BM19" s="243">
        <f t="shared" ca="1" si="53"/>
        <v>7.4277949818767777</v>
      </c>
      <c r="BN19" s="243">
        <f t="shared" si="17"/>
        <v>0</v>
      </c>
      <c r="BO19" s="242">
        <f t="shared" ca="1" si="18"/>
        <v>42.967202291861305</v>
      </c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</row>
    <row r="20" spans="1:80" ht="12" customHeight="1" x14ac:dyDescent="0.15">
      <c r="A20" s="213">
        <f t="shared" si="19"/>
        <v>14</v>
      </c>
      <c r="B20" s="67">
        <f t="shared" si="20"/>
        <v>56</v>
      </c>
      <c r="C20" s="224">
        <f t="shared" si="21"/>
        <v>12.923076923076923</v>
      </c>
      <c r="D20" s="225">
        <f ca="1">IFERROR(OFFSET(extrapolation!P29,0,OS_dist_choice-1,1,1),0)</f>
        <v>0.85289007618778256</v>
      </c>
      <c r="E20" s="225">
        <f ca="1">IFERROR(OFFSET(extrapolation!D29,0,PFS_dist_choice-1,1,1),0)</f>
        <v>0.61862812401586553</v>
      </c>
      <c r="F20" s="214"/>
      <c r="G20" s="226">
        <f t="shared" ca="1" si="22"/>
        <v>618.62812401586552</v>
      </c>
      <c r="H20" s="224">
        <f t="shared" ca="1" si="23"/>
        <v>234.26195217191705</v>
      </c>
      <c r="I20" s="224">
        <f t="shared" ca="1" si="0"/>
        <v>147.10992381221743</v>
      </c>
      <c r="J20" s="227">
        <f t="shared" ca="1" si="1"/>
        <v>1000</v>
      </c>
      <c r="K20" s="238">
        <f t="shared" ca="1" si="24"/>
        <v>22.934131706669405</v>
      </c>
      <c r="L20" s="239">
        <f t="shared" ca="1" si="25"/>
        <v>15.204556438163422</v>
      </c>
      <c r="M20" s="238">
        <f t="shared" ca="1" si="26"/>
        <v>630.09518986920023</v>
      </c>
      <c r="N20" s="238">
        <f t="shared" ca="1" si="27"/>
        <v>230.39716453766405</v>
      </c>
      <c r="O20" s="239">
        <f t="shared" ca="1" si="28"/>
        <v>139.50764559313572</v>
      </c>
      <c r="P20" s="217"/>
      <c r="Q20" s="217"/>
      <c r="R20" s="224"/>
      <c r="S20" s="230">
        <f t="shared" ca="1" si="29"/>
        <v>9413093.5158227086</v>
      </c>
      <c r="T20" s="231">
        <f t="shared" ca="1" si="30"/>
        <v>58604.175692907003</v>
      </c>
      <c r="U20" s="231">
        <f t="shared" ca="1" si="31"/>
        <v>97094.728314624357</v>
      </c>
      <c r="V20" s="231"/>
      <c r="W20" s="231">
        <f t="shared" ca="1" si="32"/>
        <v>237283.76698170291</v>
      </c>
      <c r="X20" s="231">
        <f t="shared" ca="1" si="33"/>
        <v>29660.470872712864</v>
      </c>
      <c r="Y20" s="231"/>
      <c r="Z20" s="232">
        <f t="shared" ca="1" si="2"/>
        <v>9835736.6576846559</v>
      </c>
      <c r="AA20" s="231">
        <f t="shared" ca="1" si="3"/>
        <v>15676.921027973725</v>
      </c>
      <c r="AB20" s="231">
        <f t="shared" ca="1" si="34"/>
        <v>58056.562844443673</v>
      </c>
      <c r="AC20" s="231">
        <f t="shared" ca="1" si="35"/>
        <v>312349.98891690606</v>
      </c>
      <c r="AD20" s="231">
        <f t="shared" ca="1" si="36"/>
        <v>10845.48572628146</v>
      </c>
      <c r="AE20" s="231">
        <f t="shared" ca="1" si="4"/>
        <v>435618.44680227427</v>
      </c>
      <c r="AF20" s="231">
        <f t="shared" ca="1" si="5"/>
        <v>832547.40531787928</v>
      </c>
      <c r="AG20" s="232">
        <f t="shared" ca="1" si="6"/>
        <v>10668284.063002534</v>
      </c>
      <c r="AH20" s="244">
        <f t="shared" ca="1" si="37"/>
        <v>48.302985123443136</v>
      </c>
      <c r="AI20" s="243">
        <f t="shared" ca="1" si="38"/>
        <v>17.662205631908538</v>
      </c>
      <c r="AJ20" s="242">
        <f t="shared" ca="1" si="39"/>
        <v>65.965190755351671</v>
      </c>
      <c r="AK20" s="241">
        <f t="shared" ca="1" si="40"/>
        <v>34.778149288879057</v>
      </c>
      <c r="AL20" s="243">
        <f t="shared" ca="1" si="41"/>
        <v>7.8243570949354826</v>
      </c>
      <c r="AM20" s="243"/>
      <c r="AN20" s="242">
        <f t="shared" ca="1" si="7"/>
        <v>42.602506383814543</v>
      </c>
      <c r="AO20" s="224"/>
      <c r="AP20" s="235">
        <f t="shared" si="42"/>
        <v>1.0769230769230769</v>
      </c>
      <c r="AQ20" s="235">
        <f t="shared" si="8"/>
        <v>0.96866876602135876</v>
      </c>
      <c r="AR20" s="235">
        <f t="shared" si="9"/>
        <v>0.98409396817367845</v>
      </c>
      <c r="AT20" s="230">
        <f t="shared" ca="1" si="10"/>
        <v>9118169.6804156359</v>
      </c>
      <c r="AU20" s="231">
        <f t="shared" ca="1" si="11"/>
        <v>56768.034552147132</v>
      </c>
      <c r="AV20" s="231">
        <f t="shared" ca="1" si="43"/>
        <v>94052.630663706266</v>
      </c>
      <c r="AW20" s="231"/>
      <c r="AX20" s="231">
        <f t="shared" ca="1" si="44"/>
        <v>229849.37375906578</v>
      </c>
      <c r="AY20" s="231">
        <f t="shared" ca="1" si="45"/>
        <v>28731.171719883223</v>
      </c>
      <c r="AZ20" s="231"/>
      <c r="BA20" s="232">
        <f t="shared" ca="1" si="12"/>
        <v>9527570.8911104389</v>
      </c>
      <c r="BB20" s="231">
        <f t="shared" ca="1" si="13"/>
        <v>15185.743747181599</v>
      </c>
      <c r="BC20" s="231">
        <f t="shared" ca="1" si="46"/>
        <v>56237.57908996872</v>
      </c>
      <c r="BD20" s="231">
        <f t="shared" ca="1" si="47"/>
        <v>302563.67833092448</v>
      </c>
      <c r="BE20" s="231">
        <f t="shared" ca="1" si="48"/>
        <v>10505.683275379322</v>
      </c>
      <c r="BF20" s="231">
        <f t="shared" ca="1" si="14"/>
        <v>421969.98332009994</v>
      </c>
      <c r="BG20" s="231">
        <f t="shared" ca="1" si="15"/>
        <v>806462.66776355414</v>
      </c>
      <c r="BH20" s="232">
        <f t="shared" ca="1" si="16"/>
        <v>10334033.558873992</v>
      </c>
      <c r="BI20" s="244">
        <f t="shared" ca="1" si="49"/>
        <v>47.534676304763316</v>
      </c>
      <c r="BJ20" s="243">
        <f t="shared" ca="1" si="50"/>
        <v>17.381270027004366</v>
      </c>
      <c r="BK20" s="242">
        <f t="shared" ca="1" si="51"/>
        <v>64.915946331767671</v>
      </c>
      <c r="BL20" s="241">
        <f t="shared" ca="1" si="52"/>
        <v>34.224966939429585</v>
      </c>
      <c r="BM20" s="243">
        <f t="shared" ca="1" si="53"/>
        <v>7.6999026219629343</v>
      </c>
      <c r="BN20" s="243">
        <f t="shared" si="17"/>
        <v>0</v>
      </c>
      <c r="BO20" s="242">
        <f t="shared" ca="1" si="18"/>
        <v>41.924869561392519</v>
      </c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</row>
    <row r="21" spans="1:80" ht="12" customHeight="1" x14ac:dyDescent="0.15">
      <c r="A21" s="213">
        <f t="shared" si="19"/>
        <v>15</v>
      </c>
      <c r="B21" s="67">
        <f t="shared" si="20"/>
        <v>60</v>
      </c>
      <c r="C21" s="224">
        <f t="shared" si="21"/>
        <v>13.846153846153845</v>
      </c>
      <c r="D21" s="225">
        <f ca="1">IFERROR(OFFSET(extrapolation!P30,0,OS_dist_choice-1,1,1),0)</f>
        <v>0.83745801888735083</v>
      </c>
      <c r="E21" s="225">
        <f ca="1">IFERROR(OFFSET(extrapolation!D30,0,PFS_dist_choice-1,1,1),0)</f>
        <v>0.59668596462939549</v>
      </c>
      <c r="F21" s="214"/>
      <c r="G21" s="226">
        <f t="shared" ca="1" si="22"/>
        <v>596.68596462939547</v>
      </c>
      <c r="H21" s="224">
        <f t="shared" ca="1" si="23"/>
        <v>240.77205425795535</v>
      </c>
      <c r="I21" s="224">
        <f t="shared" ca="1" si="0"/>
        <v>162.54198111264918</v>
      </c>
      <c r="J21" s="227">
        <f t="shared" ca="1" si="1"/>
        <v>1000</v>
      </c>
      <c r="K21" s="238">
        <f t="shared" ca="1" si="24"/>
        <v>21.942159386470053</v>
      </c>
      <c r="L21" s="239">
        <f t="shared" ca="1" si="25"/>
        <v>15.432057300431751</v>
      </c>
      <c r="M21" s="238">
        <f t="shared" ca="1" si="26"/>
        <v>607.65704432263055</v>
      </c>
      <c r="N21" s="238">
        <f t="shared" ca="1" si="27"/>
        <v>237.51700321493621</v>
      </c>
      <c r="O21" s="239">
        <f t="shared" ca="1" si="28"/>
        <v>154.82595246243329</v>
      </c>
      <c r="P21" s="217"/>
      <c r="Q21" s="217"/>
      <c r="R21" s="224"/>
      <c r="S21" s="230">
        <f t="shared" ca="1" si="29"/>
        <v>9079219.9167642985</v>
      </c>
      <c r="T21" s="231">
        <f t="shared" ca="1" si="30"/>
        <v>56525.540542246636</v>
      </c>
      <c r="U21" s="231">
        <f t="shared" ca="1" si="31"/>
        <v>93637.114797243848</v>
      </c>
      <c r="V21" s="231"/>
      <c r="W21" s="231">
        <f t="shared" ca="1" si="32"/>
        <v>228833.9203791935</v>
      </c>
      <c r="X21" s="231">
        <f t="shared" ca="1" si="33"/>
        <v>28604.240047399187</v>
      </c>
      <c r="Y21" s="231"/>
      <c r="Z21" s="232">
        <f t="shared" ca="1" si="2"/>
        <v>9486820.7325303815</v>
      </c>
      <c r="AA21" s="231">
        <f t="shared" ca="1" si="3"/>
        <v>14998.845575865864</v>
      </c>
      <c r="AB21" s="231">
        <f t="shared" ca="1" si="34"/>
        <v>59850.653333529437</v>
      </c>
      <c r="AC21" s="231">
        <f t="shared" ca="1" si="35"/>
        <v>322002.37129929679</v>
      </c>
      <c r="AD21" s="231">
        <f t="shared" ca="1" si="36"/>
        <v>11180.637892336692</v>
      </c>
      <c r="AE21" s="231">
        <f t="shared" ca="1" si="4"/>
        <v>442136.4647839602</v>
      </c>
      <c r="AF21" s="231">
        <f t="shared" ca="1" si="5"/>
        <v>850168.97288498899</v>
      </c>
      <c r="AG21" s="232">
        <f t="shared" ca="1" si="6"/>
        <v>10336989.70541537</v>
      </c>
      <c r="AH21" s="244">
        <f t="shared" ca="1" si="37"/>
        <v>46.582880878942248</v>
      </c>
      <c r="AI21" s="243">
        <f t="shared" ca="1" si="38"/>
        <v>18.208011197859587</v>
      </c>
      <c r="AJ21" s="242">
        <f t="shared" ca="1" si="39"/>
        <v>64.790892076801839</v>
      </c>
      <c r="AK21" s="241">
        <f t="shared" ca="1" si="40"/>
        <v>33.539674232838415</v>
      </c>
      <c r="AL21" s="243">
        <f t="shared" ca="1" si="41"/>
        <v>8.0661489606517964</v>
      </c>
      <c r="AM21" s="243"/>
      <c r="AN21" s="242">
        <f t="shared" ca="1" si="7"/>
        <v>41.60582319349021</v>
      </c>
      <c r="AO21" s="224"/>
      <c r="AP21" s="235">
        <f t="shared" si="42"/>
        <v>1.1538461538461537</v>
      </c>
      <c r="AQ21" s="235">
        <f t="shared" si="8"/>
        <v>0.96646875361330187</v>
      </c>
      <c r="AR21" s="235">
        <f t="shared" si="9"/>
        <v>0.98296755226875387</v>
      </c>
      <c r="AT21" s="230">
        <f t="shared" ca="1" si="10"/>
        <v>8774782.3567362577</v>
      </c>
      <c r="AU21" s="231">
        <f t="shared" ca="1" si="11"/>
        <v>54630.168715183267</v>
      </c>
      <c r="AV21" s="231">
        <f t="shared" ca="1" si="43"/>
        <v>90497.345630037933</v>
      </c>
      <c r="AW21" s="231"/>
      <c r="AX21" s="231">
        <f t="shared" ca="1" si="44"/>
        <v>221160.83381332469</v>
      </c>
      <c r="AY21" s="231">
        <f t="shared" ca="1" si="45"/>
        <v>27645.104226665586</v>
      </c>
      <c r="AZ21" s="231"/>
      <c r="BA21" s="232">
        <f t="shared" ca="1" si="12"/>
        <v>9168715.809121469</v>
      </c>
      <c r="BB21" s="231">
        <f t="shared" ca="1" si="13"/>
        <v>14495.915589345468</v>
      </c>
      <c r="BC21" s="231">
        <f t="shared" ca="1" si="46"/>
        <v>57843.786330198003</v>
      </c>
      <c r="BD21" s="231">
        <f t="shared" ca="1" si="47"/>
        <v>311205.230450159</v>
      </c>
      <c r="BE21" s="231">
        <f t="shared" ca="1" si="48"/>
        <v>10805.737168408297</v>
      </c>
      <c r="BF21" s="231">
        <f t="shared" ca="1" si="14"/>
        <v>427311.07804674556</v>
      </c>
      <c r="BG21" s="231">
        <f t="shared" ca="1" si="15"/>
        <v>821661.74758485635</v>
      </c>
      <c r="BH21" s="232">
        <f t="shared" ca="1" si="16"/>
        <v>9990377.5567063242</v>
      </c>
      <c r="BI21" s="244">
        <f t="shared" ca="1" si="49"/>
        <v>45.789460395200798</v>
      </c>
      <c r="BJ21" s="243">
        <f t="shared" ca="1" si="50"/>
        <v>17.8978841988421</v>
      </c>
      <c r="BK21" s="242">
        <f t="shared" ca="1" si="51"/>
        <v>63.687344594042905</v>
      </c>
      <c r="BL21" s="241">
        <f t="shared" ca="1" si="52"/>
        <v>32.968411484544575</v>
      </c>
      <c r="BM21" s="243">
        <f t="shared" ca="1" si="53"/>
        <v>7.9287627000870495</v>
      </c>
      <c r="BN21" s="243">
        <f t="shared" si="17"/>
        <v>0</v>
      </c>
      <c r="BO21" s="242">
        <f t="shared" ca="1" si="18"/>
        <v>40.897174184631616</v>
      </c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</row>
    <row r="22" spans="1:80" ht="12" customHeight="1" x14ac:dyDescent="0.15">
      <c r="A22" s="213">
        <f t="shared" si="19"/>
        <v>16</v>
      </c>
      <c r="B22" s="67">
        <f t="shared" si="20"/>
        <v>64</v>
      </c>
      <c r="C22" s="224">
        <f t="shared" si="21"/>
        <v>14.76923076923077</v>
      </c>
      <c r="D22" s="225">
        <f ca="1">IFERROR(OFFSET(extrapolation!P31,0,OS_dist_choice-1,1,1),0)</f>
        <v>0.82186558439142854</v>
      </c>
      <c r="E22" s="225">
        <f ca="1">IFERROR(OFFSET(extrapolation!D31,0,PFS_dist_choice-1,1,1),0)</f>
        <v>0.57569335777678177</v>
      </c>
      <c r="F22" s="214"/>
      <c r="G22" s="226">
        <f t="shared" ca="1" si="22"/>
        <v>575.6933577767818</v>
      </c>
      <c r="H22" s="224">
        <f t="shared" ca="1" si="23"/>
        <v>246.17222661464675</v>
      </c>
      <c r="I22" s="224">
        <f t="shared" ca="1" si="0"/>
        <v>178.13441560857146</v>
      </c>
      <c r="J22" s="227">
        <f t="shared" ca="1" si="1"/>
        <v>1000</v>
      </c>
      <c r="K22" s="238">
        <f t="shared" ca="1" si="24"/>
        <v>20.992606852613676</v>
      </c>
      <c r="L22" s="239">
        <f t="shared" ca="1" si="25"/>
        <v>15.592434495922276</v>
      </c>
      <c r="M22" s="238">
        <f t="shared" ca="1" si="26"/>
        <v>586.18966120308869</v>
      </c>
      <c r="N22" s="238">
        <f t="shared" ca="1" si="27"/>
        <v>243.47214043630106</v>
      </c>
      <c r="O22" s="239">
        <f t="shared" ca="1" si="28"/>
        <v>170.33819836061031</v>
      </c>
      <c r="P22" s="217"/>
      <c r="Q22" s="217"/>
      <c r="R22" s="224"/>
      <c r="S22" s="230">
        <f t="shared" ca="1" si="29"/>
        <v>8759794.7827083413</v>
      </c>
      <c r="T22" s="231">
        <f t="shared" ca="1" si="30"/>
        <v>54536.85885694527</v>
      </c>
      <c r="U22" s="231">
        <f t="shared" ca="1" si="31"/>
        <v>90329.091239643676</v>
      </c>
      <c r="V22" s="231"/>
      <c r="W22" s="231">
        <f t="shared" ca="1" si="32"/>
        <v>220749.64737450395</v>
      </c>
      <c r="X22" s="231">
        <f t="shared" ca="1" si="33"/>
        <v>27593.705921812994</v>
      </c>
      <c r="Y22" s="231"/>
      <c r="Z22" s="232">
        <f t="shared" ca="1" si="2"/>
        <v>9153004.086101247</v>
      </c>
      <c r="AA22" s="231">
        <f t="shared" ca="1" si="3"/>
        <v>14349.766714909912</v>
      </c>
      <c r="AB22" s="231">
        <f t="shared" ca="1" si="34"/>
        <v>61351.256863235358</v>
      </c>
      <c r="AC22" s="231">
        <f t="shared" ca="1" si="35"/>
        <v>330075.7651226304</v>
      </c>
      <c r="AD22" s="231">
        <f t="shared" ca="1" si="36"/>
        <v>11460.964066758001</v>
      </c>
      <c r="AE22" s="231">
        <f t="shared" ca="1" si="4"/>
        <v>446731.35481486772</v>
      </c>
      <c r="AF22" s="231">
        <f t="shared" ca="1" si="5"/>
        <v>863969.10758240137</v>
      </c>
      <c r="AG22" s="232">
        <f t="shared" ca="1" si="6"/>
        <v>10016973.193683648</v>
      </c>
      <c r="AH22" s="244">
        <f t="shared" ca="1" si="37"/>
        <v>44.937195109340131</v>
      </c>
      <c r="AI22" s="243">
        <f t="shared" ca="1" si="38"/>
        <v>18.664530957471403</v>
      </c>
      <c r="AJ22" s="242">
        <f t="shared" ca="1" si="39"/>
        <v>63.601726066811537</v>
      </c>
      <c r="AK22" s="241">
        <f t="shared" ca="1" si="40"/>
        <v>32.354780478724891</v>
      </c>
      <c r="AL22" s="243">
        <f t="shared" ca="1" si="41"/>
        <v>8.2683872141598318</v>
      </c>
      <c r="AM22" s="243"/>
      <c r="AN22" s="242">
        <f t="shared" ca="1" si="7"/>
        <v>40.623167692884721</v>
      </c>
      <c r="AO22" s="224"/>
      <c r="AP22" s="235">
        <f t="shared" si="42"/>
        <v>1.2307692307692308</v>
      </c>
      <c r="AQ22" s="235">
        <f t="shared" si="8"/>
        <v>0.96427373780962178</v>
      </c>
      <c r="AR22" s="235">
        <f t="shared" si="9"/>
        <v>0.98184242568459756</v>
      </c>
      <c r="AT22" s="230">
        <f t="shared" ca="1" si="10"/>
        <v>8446840.0575673953</v>
      </c>
      <c r="AU22" s="231">
        <f t="shared" ca="1" si="11"/>
        <v>52588.46073838239</v>
      </c>
      <c r="AV22" s="231">
        <f t="shared" ca="1" si="43"/>
        <v>87101.970442597565</v>
      </c>
      <c r="AW22" s="231"/>
      <c r="AX22" s="231">
        <f t="shared" ca="1" si="44"/>
        <v>212863.0875939689</v>
      </c>
      <c r="AY22" s="231">
        <f t="shared" ca="1" si="45"/>
        <v>26607.885949246112</v>
      </c>
      <c r="AZ22" s="231"/>
      <c r="BA22" s="232">
        <f t="shared" ca="1" si="12"/>
        <v>8826001.4622915909</v>
      </c>
      <c r="BB22" s="231">
        <f t="shared" ca="1" si="13"/>
        <v>13837.103186882279</v>
      </c>
      <c r="BC22" s="231">
        <f t="shared" ca="1" si="46"/>
        <v>59159.405774830171</v>
      </c>
      <c r="BD22" s="231">
        <f t="shared" ca="1" si="47"/>
        <v>318283.39179516962</v>
      </c>
      <c r="BE22" s="231">
        <f t="shared" ca="1" si="48"/>
        <v>11051.506659554501</v>
      </c>
      <c r="BF22" s="231">
        <f t="shared" ca="1" si="14"/>
        <v>430771.31330408889</v>
      </c>
      <c r="BG22" s="231">
        <f t="shared" ca="1" si="15"/>
        <v>833102.72072052537</v>
      </c>
      <c r="BH22" s="232">
        <f t="shared" ca="1" si="16"/>
        <v>9659104.1830121167</v>
      </c>
      <c r="BI22" s="244">
        <f t="shared" ca="1" si="49"/>
        <v>44.12124464961655</v>
      </c>
      <c r="BJ22" s="243">
        <f t="shared" ca="1" si="50"/>
        <v>18.325628349548985</v>
      </c>
      <c r="BK22" s="242">
        <f t="shared" ca="1" si="51"/>
        <v>62.446872999165535</v>
      </c>
      <c r="BL22" s="241">
        <f t="shared" ca="1" si="52"/>
        <v>31.767296147723911</v>
      </c>
      <c r="BM22" s="243">
        <f t="shared" ca="1" si="53"/>
        <v>8.1182533588502022</v>
      </c>
      <c r="BN22" s="243">
        <f t="shared" si="17"/>
        <v>0</v>
      </c>
      <c r="BO22" s="242">
        <f t="shared" ca="1" si="18"/>
        <v>39.885549506574108</v>
      </c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</row>
    <row r="23" spans="1:80" ht="12" customHeight="1" x14ac:dyDescent="0.15">
      <c r="A23" s="213">
        <f t="shared" si="19"/>
        <v>17</v>
      </c>
      <c r="B23" s="67">
        <f t="shared" si="20"/>
        <v>68</v>
      </c>
      <c r="C23" s="224">
        <f t="shared" si="21"/>
        <v>15.692307692307693</v>
      </c>
      <c r="D23" s="225">
        <f ca="1">IFERROR(OFFSET(extrapolation!P32,0,OS_dist_choice-1,1,1),0)</f>
        <v>0.80617372619931027</v>
      </c>
      <c r="E23" s="225">
        <f ca="1">IFERROR(OFFSET(extrapolation!D32,0,PFS_dist_choice-1,1,1),0)</f>
        <v>0.55560745735480332</v>
      </c>
      <c r="F23" s="214"/>
      <c r="G23" s="226">
        <f t="shared" ca="1" si="22"/>
        <v>555.60745735480327</v>
      </c>
      <c r="H23" s="224">
        <f t="shared" ca="1" si="23"/>
        <v>250.56626884450699</v>
      </c>
      <c r="I23" s="224">
        <f t="shared" ca="1" si="0"/>
        <v>193.82627380068973</v>
      </c>
      <c r="J23" s="227">
        <f t="shared" ca="1" si="1"/>
        <v>1000</v>
      </c>
      <c r="K23" s="238">
        <f t="shared" ca="1" si="24"/>
        <v>20.085900421978522</v>
      </c>
      <c r="L23" s="239">
        <f t="shared" ca="1" si="25"/>
        <v>15.691858192118275</v>
      </c>
      <c r="M23" s="238">
        <f t="shared" ca="1" si="26"/>
        <v>565.65040756579253</v>
      </c>
      <c r="N23" s="238">
        <f t="shared" ca="1" si="27"/>
        <v>248.36924772957687</v>
      </c>
      <c r="O23" s="239">
        <f t="shared" ca="1" si="28"/>
        <v>185.9803447046306</v>
      </c>
      <c r="P23" s="217"/>
      <c r="Q23" s="217"/>
      <c r="R23" s="224"/>
      <c r="S23" s="230">
        <f t="shared" ca="1" si="29"/>
        <v>8454166.1640250795</v>
      </c>
      <c r="T23" s="231">
        <f t="shared" ca="1" si="30"/>
        <v>52634.071719434403</v>
      </c>
      <c r="U23" s="231">
        <f t="shared" ca="1" si="31"/>
        <v>87164.088103986651</v>
      </c>
      <c r="V23" s="231"/>
      <c r="W23" s="231">
        <f t="shared" ca="1" si="32"/>
        <v>213014.8930827564</v>
      </c>
      <c r="X23" s="231">
        <f t="shared" ca="1" si="33"/>
        <v>26626.86163534455</v>
      </c>
      <c r="Y23" s="231"/>
      <c r="Z23" s="232">
        <f t="shared" ca="1" si="2"/>
        <v>8833606.0785666015</v>
      </c>
      <c r="AA23" s="231">
        <f t="shared" ca="1" si="3"/>
        <v>13729.975859497252</v>
      </c>
      <c r="AB23" s="231">
        <f t="shared" ca="1" si="34"/>
        <v>62585.253027635088</v>
      </c>
      <c r="AC23" s="231">
        <f t="shared" ca="1" si="35"/>
        <v>336714.78523318196</v>
      </c>
      <c r="AD23" s="231">
        <f t="shared" ca="1" si="36"/>
        <v>11691.485598374373</v>
      </c>
      <c r="AE23" s="231">
        <f t="shared" ca="1" si="4"/>
        <v>449579.89540126268</v>
      </c>
      <c r="AF23" s="231">
        <f t="shared" ca="1" si="5"/>
        <v>874301.39511995134</v>
      </c>
      <c r="AG23" s="232">
        <f t="shared" ca="1" si="6"/>
        <v>9707907.4736865535</v>
      </c>
      <c r="AH23" s="244">
        <f t="shared" ca="1" si="37"/>
        <v>43.36265958067677</v>
      </c>
      <c r="AI23" s="243">
        <f t="shared" ca="1" si="38"/>
        <v>19.039942331083235</v>
      </c>
      <c r="AJ23" s="242">
        <f t="shared" ca="1" si="39"/>
        <v>62.402601911760001</v>
      </c>
      <c r="AK23" s="241">
        <f t="shared" ca="1" si="40"/>
        <v>31.221114898087272</v>
      </c>
      <c r="AL23" s="243">
        <f t="shared" ca="1" si="41"/>
        <v>8.4346944526698735</v>
      </c>
      <c r="AM23" s="243"/>
      <c r="AN23" s="242">
        <f t="shared" ca="1" si="7"/>
        <v>39.655809350757146</v>
      </c>
      <c r="AO23" s="224"/>
      <c r="AP23" s="235">
        <f t="shared" si="42"/>
        <v>1.3076923076923077</v>
      </c>
      <c r="AQ23" s="235">
        <f t="shared" si="8"/>
        <v>0.96208370726217496</v>
      </c>
      <c r="AR23" s="235">
        <f t="shared" si="9"/>
        <v>0.98071858694542369</v>
      </c>
      <c r="AT23" s="230">
        <f t="shared" ca="1" si="10"/>
        <v>8133615.5248956895</v>
      </c>
      <c r="AU23" s="231">
        <f t="shared" ca="1" si="11"/>
        <v>50638.382848136651</v>
      </c>
      <c r="AV23" s="231">
        <f t="shared" ca="1" si="43"/>
        <v>83859.149023210324</v>
      </c>
      <c r="AW23" s="231"/>
      <c r="AX23" s="231">
        <f t="shared" ca="1" si="44"/>
        <v>204938.15803911412</v>
      </c>
      <c r="AY23" s="231">
        <f t="shared" ca="1" si="45"/>
        <v>25617.269754889265</v>
      </c>
      <c r="AZ23" s="231"/>
      <c r="BA23" s="232">
        <f t="shared" ca="1" si="12"/>
        <v>8498668.4845610391</v>
      </c>
      <c r="BB23" s="231">
        <f t="shared" ca="1" si="13"/>
        <v>13209.386075525283</v>
      </c>
      <c r="BC23" s="231">
        <f t="shared" ca="1" si="46"/>
        <v>60212.252252768427</v>
      </c>
      <c r="BD23" s="231">
        <f t="shared" ca="1" si="47"/>
        <v>323947.80886712676</v>
      </c>
      <c r="BE23" s="231">
        <f t="shared" ca="1" si="48"/>
        <v>11248.187807886345</v>
      </c>
      <c r="BF23" s="231">
        <f t="shared" ca="1" si="14"/>
        <v>432533.49247818766</v>
      </c>
      <c r="BG23" s="231">
        <f t="shared" ca="1" si="15"/>
        <v>841151.12748149445</v>
      </c>
      <c r="BH23" s="232">
        <f t="shared" ca="1" si="16"/>
        <v>9339819.6120425351</v>
      </c>
      <c r="BI23" s="244">
        <f t="shared" ca="1" si="49"/>
        <v>42.52656623015676</v>
      </c>
      <c r="BJ23" s="243">
        <f t="shared" ca="1" si="50"/>
        <v>18.672825338462307</v>
      </c>
      <c r="BK23" s="242">
        <f t="shared" ca="1" si="51"/>
        <v>61.199391568619063</v>
      </c>
      <c r="BL23" s="241">
        <f t="shared" ca="1" si="52"/>
        <v>30.619127685712865</v>
      </c>
      <c r="BM23" s="243">
        <f t="shared" ca="1" si="53"/>
        <v>8.2720616249388019</v>
      </c>
      <c r="BN23" s="243">
        <f t="shared" si="17"/>
        <v>0</v>
      </c>
      <c r="BO23" s="242">
        <f t="shared" ca="1" si="18"/>
        <v>38.891189310651669</v>
      </c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</row>
    <row r="24" spans="1:80" ht="12" customHeight="1" x14ac:dyDescent="0.15">
      <c r="A24" s="213">
        <f t="shared" si="19"/>
        <v>18</v>
      </c>
      <c r="B24" s="67">
        <f t="shared" si="20"/>
        <v>72</v>
      </c>
      <c r="C24" s="224">
        <f t="shared" si="21"/>
        <v>16.615384615384613</v>
      </c>
      <c r="D24" s="225">
        <f ca="1">IFERROR(OFFSET(extrapolation!P33,0,OS_dist_choice-1,1,1),0)</f>
        <v>0.79043751722538458</v>
      </c>
      <c r="E24" s="225">
        <f ca="1">IFERROR(OFFSET(extrapolation!D33,0,PFS_dist_choice-1,1,1),0)</f>
        <v>0.53638586542371769</v>
      </c>
      <c r="F24" s="214"/>
      <c r="G24" s="226">
        <f t="shared" ca="1" si="22"/>
        <v>536.38586542371763</v>
      </c>
      <c r="H24" s="224">
        <f t="shared" ca="1" si="23"/>
        <v>254.05165180166694</v>
      </c>
      <c r="I24" s="224">
        <f t="shared" ca="1" si="0"/>
        <v>209.56248277461543</v>
      </c>
      <c r="J24" s="227">
        <f t="shared" ca="1" si="1"/>
        <v>1000</v>
      </c>
      <c r="K24" s="238">
        <f t="shared" ca="1" si="24"/>
        <v>19.221591931085641</v>
      </c>
      <c r="L24" s="239">
        <f t="shared" ca="1" si="25"/>
        <v>15.736208973925699</v>
      </c>
      <c r="M24" s="238">
        <f t="shared" ca="1" si="26"/>
        <v>545.99666138926045</v>
      </c>
      <c r="N24" s="238">
        <f t="shared" ca="1" si="27"/>
        <v>252.30896032308698</v>
      </c>
      <c r="O24" s="239">
        <f t="shared" ca="1" si="28"/>
        <v>201.69437828765257</v>
      </c>
      <c r="P24" s="217"/>
      <c r="Q24" s="217"/>
      <c r="R24" s="224"/>
      <c r="S24" s="230">
        <f t="shared" ca="1" si="29"/>
        <v>8161688.9303750107</v>
      </c>
      <c r="T24" s="231">
        <f t="shared" ca="1" si="30"/>
        <v>50813.162667782854</v>
      </c>
      <c r="U24" s="231">
        <f t="shared" ca="1" si="31"/>
        <v>84135.537535665208</v>
      </c>
      <c r="V24" s="231"/>
      <c r="W24" s="231">
        <f t="shared" ca="1" si="32"/>
        <v>205613.60673261326</v>
      </c>
      <c r="X24" s="231">
        <f t="shared" ca="1" si="33"/>
        <v>25701.700841576658</v>
      </c>
      <c r="Y24" s="231"/>
      <c r="Z24" s="232">
        <f t="shared" ca="1" si="2"/>
        <v>8527952.9381526485</v>
      </c>
      <c r="AA24" s="231">
        <f t="shared" ca="1" si="3"/>
        <v>13139.166661711293</v>
      </c>
      <c r="AB24" s="231">
        <f t="shared" ca="1" si="34"/>
        <v>63578.000365620552</v>
      </c>
      <c r="AC24" s="231">
        <f t="shared" ca="1" si="35"/>
        <v>342055.86305151385</v>
      </c>
      <c r="AD24" s="231">
        <f t="shared" ca="1" si="36"/>
        <v>11876.939689288673</v>
      </c>
      <c r="AE24" s="231">
        <f t="shared" ca="1" si="4"/>
        <v>450850.56835801684</v>
      </c>
      <c r="AF24" s="231">
        <f t="shared" ca="1" si="5"/>
        <v>881500.53812615119</v>
      </c>
      <c r="AG24" s="232">
        <f t="shared" ca="1" si="6"/>
        <v>9409453.4762788005</v>
      </c>
      <c r="AH24" s="244">
        <f t="shared" ca="1" si="37"/>
        <v>41.856006896370417</v>
      </c>
      <c r="AI24" s="243">
        <f t="shared" ca="1" si="38"/>
        <v>19.341959997389282</v>
      </c>
      <c r="AJ24" s="242">
        <f t="shared" ca="1" si="39"/>
        <v>61.197966893759698</v>
      </c>
      <c r="AK24" s="241">
        <f t="shared" ca="1" si="40"/>
        <v>30.136324965386699</v>
      </c>
      <c r="AL24" s="243">
        <f t="shared" ca="1" si="41"/>
        <v>8.5684882788434518</v>
      </c>
      <c r="AM24" s="243"/>
      <c r="AN24" s="242">
        <f t="shared" ca="1" si="7"/>
        <v>38.704813244230152</v>
      </c>
      <c r="AO24" s="224"/>
      <c r="AP24" s="235">
        <f t="shared" si="42"/>
        <v>1.3846153846153846</v>
      </c>
      <c r="AQ24" s="235">
        <f t="shared" si="8"/>
        <v>0.95989865064859226</v>
      </c>
      <c r="AR24" s="235">
        <f t="shared" si="9"/>
        <v>0.97959603457713673</v>
      </c>
      <c r="AT24" s="230">
        <f t="shared" ca="1" si="10"/>
        <v>7834394.1912805252</v>
      </c>
      <c r="AU24" s="231">
        <f t="shared" ca="1" si="11"/>
        <v>48775.486279992183</v>
      </c>
      <c r="AV24" s="231">
        <f t="shared" ca="1" si="43"/>
        <v>80761.588952079022</v>
      </c>
      <c r="AW24" s="231"/>
      <c r="AX24" s="231">
        <f t="shared" ca="1" si="44"/>
        <v>197368.22365762579</v>
      </c>
      <c r="AY24" s="231">
        <f t="shared" ca="1" si="45"/>
        <v>24671.027957203223</v>
      </c>
      <c r="AZ24" s="231"/>
      <c r="BA24" s="232">
        <f t="shared" ca="1" si="12"/>
        <v>8185970.5181274246</v>
      </c>
      <c r="BB24" s="231">
        <f t="shared" ca="1" si="13"/>
        <v>12612.268349223639</v>
      </c>
      <c r="BC24" s="231">
        <f t="shared" ca="1" si="46"/>
        <v>61028.436761894875</v>
      </c>
      <c r="BD24" s="231">
        <f t="shared" ca="1" si="47"/>
        <v>328338.96138958778</v>
      </c>
      <c r="BE24" s="231">
        <f t="shared" ca="1" si="48"/>
        <v>11400.658381582907</v>
      </c>
      <c r="BF24" s="231">
        <f t="shared" ca="1" si="14"/>
        <v>432770.85221101128</v>
      </c>
      <c r="BG24" s="231">
        <f t="shared" ca="1" si="15"/>
        <v>846151.1770933005</v>
      </c>
      <c r="BH24" s="232">
        <f t="shared" ca="1" si="16"/>
        <v>9032121.6952207256</v>
      </c>
      <c r="BI24" s="244">
        <f t="shared" ca="1" si="49"/>
        <v>41.001978378917748</v>
      </c>
      <c r="BJ24" s="243">
        <f t="shared" ca="1" si="50"/>
        <v>18.947307314392145</v>
      </c>
      <c r="BK24" s="242">
        <f t="shared" ca="1" si="51"/>
        <v>59.949285693309896</v>
      </c>
      <c r="BL24" s="241">
        <f t="shared" ca="1" si="52"/>
        <v>29.521424432820776</v>
      </c>
      <c r="BM24" s="243">
        <f t="shared" ca="1" si="53"/>
        <v>8.393657140275721</v>
      </c>
      <c r="BN24" s="243">
        <f t="shared" si="17"/>
        <v>0</v>
      </c>
      <c r="BO24" s="242">
        <f t="shared" ca="1" si="18"/>
        <v>37.915081573096501</v>
      </c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</row>
    <row r="25" spans="1:80" ht="12" customHeight="1" x14ac:dyDescent="0.15">
      <c r="A25" s="213">
        <f t="shared" si="19"/>
        <v>19</v>
      </c>
      <c r="B25" s="67">
        <f t="shared" si="20"/>
        <v>76</v>
      </c>
      <c r="C25" s="224">
        <f t="shared" si="21"/>
        <v>17.538461538461537</v>
      </c>
      <c r="D25" s="225">
        <f ca="1">IFERROR(OFFSET(extrapolation!P34,0,OS_dist_choice-1,1,1),0)</f>
        <v>0.77470645264195559</v>
      </c>
      <c r="E25" s="225">
        <f ca="1">IFERROR(OFFSET(extrapolation!D34,0,PFS_dist_choice-1,1,1),0)</f>
        <v>0.51798719778869473</v>
      </c>
      <c r="F25" s="214"/>
      <c r="G25" s="226">
        <f t="shared" ca="1" si="22"/>
        <v>517.98719778869474</v>
      </c>
      <c r="H25" s="224">
        <f t="shared" ca="1" si="23"/>
        <v>256.71925485326085</v>
      </c>
      <c r="I25" s="224">
        <f t="shared" ca="1" si="0"/>
        <v>225.29354735804441</v>
      </c>
      <c r="J25" s="227">
        <f t="shared" ca="1" si="1"/>
        <v>1000</v>
      </c>
      <c r="K25" s="238">
        <f t="shared" ca="1" si="24"/>
        <v>18.398667635022889</v>
      </c>
      <c r="L25" s="239">
        <f t="shared" ca="1" si="25"/>
        <v>15.731064583428974</v>
      </c>
      <c r="M25" s="238">
        <f t="shared" ca="1" si="26"/>
        <v>527.18653160620624</v>
      </c>
      <c r="N25" s="238">
        <f t="shared" ca="1" si="27"/>
        <v>255.38545332746389</v>
      </c>
      <c r="O25" s="239">
        <f t="shared" ca="1" si="28"/>
        <v>217.42801506632992</v>
      </c>
      <c r="P25" s="217"/>
      <c r="Q25" s="217"/>
      <c r="R25" s="224"/>
      <c r="S25" s="230">
        <f t="shared" ca="1" si="29"/>
        <v>7881733.3766398402</v>
      </c>
      <c r="T25" s="231">
        <f t="shared" ca="1" si="30"/>
        <v>49070.211274627909</v>
      </c>
      <c r="U25" s="231">
        <f t="shared" ca="1" si="31"/>
        <v>81236.984316702205</v>
      </c>
      <c r="V25" s="231"/>
      <c r="W25" s="231">
        <f t="shared" ca="1" si="32"/>
        <v>198530.01281839158</v>
      </c>
      <c r="X25" s="231">
        <f t="shared" ca="1" si="33"/>
        <v>24816.251602298948</v>
      </c>
      <c r="Y25" s="231"/>
      <c r="Z25" s="232">
        <f t="shared" ca="1" si="2"/>
        <v>8235386.8366518598</v>
      </c>
      <c r="AA25" s="231">
        <f t="shared" ca="1" si="3"/>
        <v>12576.646163164363</v>
      </c>
      <c r="AB25" s="231">
        <f t="shared" ca="1" si="34"/>
        <v>64353.229565196496</v>
      </c>
      <c r="AC25" s="231">
        <f t="shared" ca="1" si="35"/>
        <v>346226.67200113082</v>
      </c>
      <c r="AD25" s="231">
        <f t="shared" ca="1" si="36"/>
        <v>12021.759444483709</v>
      </c>
      <c r="AE25" s="231">
        <f t="shared" ca="1" si="4"/>
        <v>450703.17889571708</v>
      </c>
      <c r="AF25" s="231">
        <f t="shared" ca="1" si="5"/>
        <v>885881.48606969253</v>
      </c>
      <c r="AG25" s="232">
        <f t="shared" ca="1" si="6"/>
        <v>9121268.3227215521</v>
      </c>
      <c r="AH25" s="244">
        <f t="shared" ca="1" si="37"/>
        <v>40.414025694657838</v>
      </c>
      <c r="AI25" s="243">
        <f t="shared" ca="1" si="38"/>
        <v>19.577803403611195</v>
      </c>
      <c r="AJ25" s="242">
        <f t="shared" ca="1" si="39"/>
        <v>59.991829098269037</v>
      </c>
      <c r="AK25" s="241">
        <f t="shared" ca="1" si="40"/>
        <v>29.098098500153643</v>
      </c>
      <c r="AL25" s="243">
        <f t="shared" ca="1" si="41"/>
        <v>8.6729669077997595</v>
      </c>
      <c r="AM25" s="243"/>
      <c r="AN25" s="242">
        <f t="shared" ca="1" si="7"/>
        <v>37.771065407953401</v>
      </c>
      <c r="AO25" s="224"/>
      <c r="AP25" s="235">
        <f t="shared" si="42"/>
        <v>1.4615384615384615</v>
      </c>
      <c r="AQ25" s="235">
        <f t="shared" si="8"/>
        <v>0.95771855667221928</v>
      </c>
      <c r="AR25" s="235">
        <f t="shared" si="9"/>
        <v>0.97847476710732739</v>
      </c>
      <c r="AT25" s="230">
        <f t="shared" ca="1" si="10"/>
        <v>7548482.3135507647</v>
      </c>
      <c r="AU25" s="231">
        <f t="shared" ca="1" si="11"/>
        <v>46995.451917537503</v>
      </c>
      <c r="AV25" s="231">
        <f t="shared" ca="1" si="43"/>
        <v>77802.167368195747</v>
      </c>
      <c r="AW25" s="231"/>
      <c r="AX25" s="231">
        <f t="shared" ca="1" si="44"/>
        <v>190135.87733254718</v>
      </c>
      <c r="AY25" s="231">
        <f t="shared" ca="1" si="45"/>
        <v>23766.984666568398</v>
      </c>
      <c r="AZ25" s="231"/>
      <c r="BA25" s="232">
        <f t="shared" ca="1" si="12"/>
        <v>7887182.7948356131</v>
      </c>
      <c r="BB25" s="231">
        <f t="shared" ca="1" si="13"/>
        <v>12044.887411162979</v>
      </c>
      <c r="BC25" s="231">
        <f t="shared" ca="1" si="46"/>
        <v>61632.282136375979</v>
      </c>
      <c r="BD25" s="231">
        <f t="shared" ca="1" si="47"/>
        <v>331587.70859034889</v>
      </c>
      <c r="BE25" s="231">
        <f t="shared" ca="1" si="48"/>
        <v>11513.462103831558</v>
      </c>
      <c r="BF25" s="231">
        <f t="shared" ca="1" si="14"/>
        <v>431646.79797958722</v>
      </c>
      <c r="BG25" s="231">
        <f t="shared" ca="1" si="15"/>
        <v>848425.13822130661</v>
      </c>
      <c r="BH25" s="232">
        <f t="shared" ca="1" si="16"/>
        <v>8735607.9330569189</v>
      </c>
      <c r="BI25" s="244">
        <f t="shared" ca="1" si="49"/>
        <v>39.54410437944987</v>
      </c>
      <c r="BJ25" s="243">
        <f t="shared" ca="1" si="50"/>
        <v>19.156386625821504</v>
      </c>
      <c r="BK25" s="242">
        <f t="shared" ca="1" si="51"/>
        <v>58.700491005271381</v>
      </c>
      <c r="BL25" s="241">
        <f t="shared" ca="1" si="52"/>
        <v>28.471755153203908</v>
      </c>
      <c r="BM25" s="243">
        <f t="shared" ca="1" si="53"/>
        <v>8.4862792752389264</v>
      </c>
      <c r="BN25" s="243">
        <f t="shared" si="17"/>
        <v>0</v>
      </c>
      <c r="BO25" s="242">
        <f t="shared" ca="1" si="18"/>
        <v>36.958034428442836</v>
      </c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</row>
    <row r="26" spans="1:80" ht="12" customHeight="1" x14ac:dyDescent="0.15">
      <c r="A26" s="213">
        <f t="shared" si="19"/>
        <v>20</v>
      </c>
      <c r="B26" s="67">
        <f t="shared" si="20"/>
        <v>80</v>
      </c>
      <c r="C26" s="224">
        <f t="shared" si="21"/>
        <v>18.461538461538463</v>
      </c>
      <c r="D26" s="225">
        <f ca="1">IFERROR(OFFSET(extrapolation!P35,0,OS_dist_choice-1,1,1),0)</f>
        <v>0.75902476408694297</v>
      </c>
      <c r="E26" s="225">
        <f ca="1">IFERROR(OFFSET(extrapolation!D35,0,PFS_dist_choice-1,1,1),0)</f>
        <v>0.5003714399955369</v>
      </c>
      <c r="F26" s="214"/>
      <c r="G26" s="226">
        <f t="shared" ca="1" si="22"/>
        <v>500.37143999553689</v>
      </c>
      <c r="H26" s="224">
        <f t="shared" ca="1" si="23"/>
        <v>258.65332409140609</v>
      </c>
      <c r="I26" s="224">
        <f t="shared" ca="1" si="0"/>
        <v>240.97523591305702</v>
      </c>
      <c r="J26" s="227">
        <f t="shared" ca="1" si="1"/>
        <v>1000</v>
      </c>
      <c r="K26" s="238">
        <f t="shared" ca="1" si="24"/>
        <v>17.615757793157854</v>
      </c>
      <c r="L26" s="239">
        <f t="shared" ca="1" si="25"/>
        <v>15.681688555012613</v>
      </c>
      <c r="M26" s="238">
        <f t="shared" ca="1" si="26"/>
        <v>509.17931889211582</v>
      </c>
      <c r="N26" s="238">
        <f t="shared" ca="1" si="27"/>
        <v>257.68628947233344</v>
      </c>
      <c r="O26" s="239">
        <f t="shared" ca="1" si="28"/>
        <v>233.13439163555071</v>
      </c>
      <c r="P26" s="217"/>
      <c r="Q26" s="217"/>
      <c r="R26" s="224"/>
      <c r="S26" s="230">
        <f t="shared" ca="1" si="29"/>
        <v>7613690.6397809759</v>
      </c>
      <c r="T26" s="231">
        <f t="shared" ca="1" si="30"/>
        <v>47401.426871532385</v>
      </c>
      <c r="U26" s="231">
        <f t="shared" ca="1" si="31"/>
        <v>78462.156871120213</v>
      </c>
      <c r="V26" s="231"/>
      <c r="W26" s="231">
        <f t="shared" ca="1" si="32"/>
        <v>191748.78462566854</v>
      </c>
      <c r="X26" s="231">
        <f t="shared" ca="1" si="33"/>
        <v>23968.598078208568</v>
      </c>
      <c r="Y26" s="231"/>
      <c r="Z26" s="232">
        <f t="shared" ca="1" si="2"/>
        <v>7955271.6062275069</v>
      </c>
      <c r="AA26" s="231">
        <f t="shared" ca="1" si="3"/>
        <v>12041.478060010395</v>
      </c>
      <c r="AB26" s="231">
        <f t="shared" ca="1" si="34"/>
        <v>64933.005095452856</v>
      </c>
      <c r="AC26" s="231">
        <f t="shared" ca="1" si="35"/>
        <v>349345.92108473723</v>
      </c>
      <c r="AD26" s="231">
        <f t="shared" ca="1" si="36"/>
        <v>12130.066704331151</v>
      </c>
      <c r="AE26" s="231">
        <f t="shared" ca="1" si="4"/>
        <v>449288.53001099115</v>
      </c>
      <c r="AF26" s="231">
        <f t="shared" ca="1" si="5"/>
        <v>887739.00095552276</v>
      </c>
      <c r="AG26" s="232">
        <f t="shared" ca="1" si="6"/>
        <v>8843010.6071830299</v>
      </c>
      <c r="AH26" s="244">
        <f t="shared" ca="1" si="37"/>
        <v>39.033595972564662</v>
      </c>
      <c r="AI26" s="243">
        <f t="shared" ca="1" si="38"/>
        <v>19.754185093019402</v>
      </c>
      <c r="AJ26" s="242">
        <f t="shared" ca="1" si="39"/>
        <v>58.787781065584063</v>
      </c>
      <c r="AK26" s="241">
        <f t="shared" ca="1" si="40"/>
        <v>28.104189100246554</v>
      </c>
      <c r="AL26" s="243">
        <f t="shared" ca="1" si="41"/>
        <v>8.7511039962075952</v>
      </c>
      <c r="AM26" s="243"/>
      <c r="AN26" s="242">
        <f t="shared" ca="1" si="7"/>
        <v>36.855293096454147</v>
      </c>
      <c r="AO26" s="224"/>
      <c r="AP26" s="235">
        <f t="shared" si="42"/>
        <v>1.5384615384615385</v>
      </c>
      <c r="AQ26" s="235">
        <f t="shared" si="8"/>
        <v>0.95554341406205845</v>
      </c>
      <c r="AR26" s="235">
        <f t="shared" si="9"/>
        <v>0.97735478306527257</v>
      </c>
      <c r="AT26" s="230">
        <f t="shared" ca="1" si="10"/>
        <v>7275211.9475486521</v>
      </c>
      <c r="AU26" s="231">
        <f t="shared" ca="1" si="11"/>
        <v>45294.121264237052</v>
      </c>
      <c r="AV26" s="231">
        <f t="shared" ca="1" si="43"/>
        <v>74973.997251303008</v>
      </c>
      <c r="AW26" s="231"/>
      <c r="AX26" s="231">
        <f t="shared" ca="1" si="44"/>
        <v>183224.28830346165</v>
      </c>
      <c r="AY26" s="231">
        <f t="shared" ca="1" si="45"/>
        <v>22903.036037932707</v>
      </c>
      <c r="AZ26" s="231"/>
      <c r="BA26" s="232">
        <f t="shared" ca="1" si="12"/>
        <v>7601607.3904055879</v>
      </c>
      <c r="BB26" s="231">
        <f t="shared" ca="1" si="13"/>
        <v>11506.155055815705</v>
      </c>
      <c r="BC26" s="231">
        <f t="shared" ca="1" si="46"/>
        <v>62046.305374218056</v>
      </c>
      <c r="BD26" s="231">
        <f t="shared" ca="1" si="47"/>
        <v>333815.19412196428</v>
      </c>
      <c r="BE26" s="231">
        <f t="shared" ca="1" si="48"/>
        <v>11590.805351457089</v>
      </c>
      <c r="BF26" s="231">
        <f t="shared" ca="1" si="14"/>
        <v>429314.6958656261</v>
      </c>
      <c r="BG26" s="231">
        <f t="shared" ca="1" si="15"/>
        <v>848273.1557690812</v>
      </c>
      <c r="BH26" s="232">
        <f t="shared" ca="1" si="16"/>
        <v>8449880.5461746696</v>
      </c>
      <c r="BI26" s="244">
        <f t="shared" ca="1" si="49"/>
        <v>38.149671724023435</v>
      </c>
      <c r="BJ26" s="243">
        <f t="shared" ca="1" si="50"/>
        <v>19.30684728621922</v>
      </c>
      <c r="BK26" s="242">
        <f t="shared" ca="1" si="51"/>
        <v>57.456519010242651</v>
      </c>
      <c r="BL26" s="241">
        <f t="shared" ca="1" si="52"/>
        <v>27.46776364129687</v>
      </c>
      <c r="BM26" s="243">
        <f t="shared" ca="1" si="53"/>
        <v>8.5529333477951148</v>
      </c>
      <c r="BN26" s="243">
        <f t="shared" si="17"/>
        <v>0</v>
      </c>
      <c r="BO26" s="242">
        <f t="shared" ca="1" si="18"/>
        <v>36.020696989091981</v>
      </c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</row>
    <row r="27" spans="1:80" ht="12" customHeight="1" x14ac:dyDescent="0.15">
      <c r="A27" s="213">
        <f t="shared" si="19"/>
        <v>21</v>
      </c>
      <c r="B27" s="67">
        <f t="shared" si="20"/>
        <v>84</v>
      </c>
      <c r="C27" s="224">
        <f t="shared" si="21"/>
        <v>19.384615384615387</v>
      </c>
      <c r="D27" s="225">
        <f ca="1">IFERROR(OFFSET(extrapolation!P36,0,OS_dist_choice-1,1,1),0)</f>
        <v>0.74343174188314831</v>
      </c>
      <c r="E27" s="225">
        <f ca="1">IFERROR(OFFSET(extrapolation!D36,0,PFS_dist_choice-1,1,1),0)</f>
        <v>0.48350016016961661</v>
      </c>
      <c r="F27" s="214"/>
      <c r="G27" s="226">
        <f t="shared" ca="1" si="22"/>
        <v>483.50016016961661</v>
      </c>
      <c r="H27" s="224">
        <f t="shared" ca="1" si="23"/>
        <v>259.93158171353173</v>
      </c>
      <c r="I27" s="224">
        <f t="shared" ca="1" si="0"/>
        <v>256.56825811685167</v>
      </c>
      <c r="J27" s="227">
        <f t="shared" ca="1" si="1"/>
        <v>1000</v>
      </c>
      <c r="K27" s="238">
        <f t="shared" ca="1" si="24"/>
        <v>16.871279825920283</v>
      </c>
      <c r="L27" s="239">
        <f t="shared" ca="1" si="25"/>
        <v>15.593022203794646</v>
      </c>
      <c r="M27" s="238">
        <f t="shared" ca="1" si="26"/>
        <v>491.93580008257675</v>
      </c>
      <c r="N27" s="238">
        <f t="shared" ca="1" si="27"/>
        <v>259.29245290246888</v>
      </c>
      <c r="O27" s="239">
        <f t="shared" ca="1" si="28"/>
        <v>248.77174701495434</v>
      </c>
      <c r="P27" s="217"/>
      <c r="Q27" s="217"/>
      <c r="R27" s="224"/>
      <c r="S27" s="230">
        <f t="shared" ca="1" si="29"/>
        <v>7356975.9374133097</v>
      </c>
      <c r="T27" s="231">
        <f t="shared" ca="1" si="30"/>
        <v>45803.168711744824</v>
      </c>
      <c r="U27" s="231">
        <f t="shared" ca="1" si="31"/>
        <v>75805.011092324683</v>
      </c>
      <c r="V27" s="231"/>
      <c r="W27" s="231">
        <f t="shared" ca="1" si="32"/>
        <v>185255.15133829709</v>
      </c>
      <c r="X27" s="231">
        <f t="shared" ca="1" si="33"/>
        <v>23156.893917287136</v>
      </c>
      <c r="Y27" s="231"/>
      <c r="Z27" s="232">
        <f t="shared" ca="1" si="2"/>
        <v>7686996.1624729633</v>
      </c>
      <c r="AA27" s="231">
        <f t="shared" ca="1" si="3"/>
        <v>11532.580559606848</v>
      </c>
      <c r="AB27" s="231">
        <f t="shared" ca="1" si="34"/>
        <v>65337.733722678917</v>
      </c>
      <c r="AC27" s="231">
        <f t="shared" ca="1" si="35"/>
        <v>351523.40070176404</v>
      </c>
      <c r="AD27" s="231">
        <f t="shared" ca="1" si="36"/>
        <v>12205.673635477917</v>
      </c>
      <c r="AE27" s="231">
        <f t="shared" ca="1" si="4"/>
        <v>446748.19295096042</v>
      </c>
      <c r="AF27" s="231">
        <f t="shared" ca="1" si="5"/>
        <v>887347.58157048817</v>
      </c>
      <c r="AG27" s="232">
        <f t="shared" ca="1" si="6"/>
        <v>8574343.7440434508</v>
      </c>
      <c r="AH27" s="244">
        <f t="shared" ca="1" si="37"/>
        <v>37.711710889287197</v>
      </c>
      <c r="AI27" s="243">
        <f t="shared" ca="1" si="38"/>
        <v>19.877313295740255</v>
      </c>
      <c r="AJ27" s="242">
        <f t="shared" ca="1" si="39"/>
        <v>57.589024185027455</v>
      </c>
      <c r="AK27" s="241">
        <f t="shared" ca="1" si="40"/>
        <v>27.152431840286781</v>
      </c>
      <c r="AL27" s="243">
        <f t="shared" ca="1" si="41"/>
        <v>8.8056497900129322</v>
      </c>
      <c r="AM27" s="243"/>
      <c r="AN27" s="242">
        <f t="shared" ca="1" si="7"/>
        <v>35.958081630299716</v>
      </c>
      <c r="AO27" s="224"/>
      <c r="AP27" s="235">
        <f t="shared" si="42"/>
        <v>1.6153846153846154</v>
      </c>
      <c r="AQ27" s="235">
        <f t="shared" si="8"/>
        <v>0.95337321157271038</v>
      </c>
      <c r="AR27" s="235">
        <f t="shared" si="9"/>
        <v>0.97623608098193193</v>
      </c>
      <c r="AT27" s="230">
        <f t="shared" ca="1" si="10"/>
        <v>7013943.7769148787</v>
      </c>
      <c r="AU27" s="231">
        <f t="shared" ca="1" si="11"/>
        <v>43667.514054922845</v>
      </c>
      <c r="AV27" s="231">
        <f t="shared" ca="1" si="43"/>
        <v>72270.466878394524</v>
      </c>
      <c r="AW27" s="231"/>
      <c r="AX27" s="231">
        <f t="shared" ca="1" si="44"/>
        <v>176617.2985917808</v>
      </c>
      <c r="AY27" s="231">
        <f t="shared" ca="1" si="45"/>
        <v>22077.1623239726</v>
      </c>
      <c r="AZ27" s="231"/>
      <c r="BA27" s="232">
        <f t="shared" ca="1" si="12"/>
        <v>7328576.2187639493</v>
      </c>
      <c r="BB27" s="231">
        <f t="shared" ca="1" si="13"/>
        <v>10994.853365833385</v>
      </c>
      <c r="BC27" s="231">
        <f t="shared" ca="1" si="46"/>
        <v>62291.245036072978</v>
      </c>
      <c r="BD27" s="231">
        <f t="shared" ca="1" si="47"/>
        <v>335132.99347000156</v>
      </c>
      <c r="BE27" s="231">
        <f t="shared" ca="1" si="48"/>
        <v>11636.56227326394</v>
      </c>
      <c r="BF27" s="231">
        <f t="shared" ca="1" si="14"/>
        <v>425917.75947796204</v>
      </c>
      <c r="BG27" s="231">
        <f t="shared" ca="1" si="15"/>
        <v>845973.41362313391</v>
      </c>
      <c r="BH27" s="232">
        <f t="shared" ca="1" si="16"/>
        <v>8174549.6323870821</v>
      </c>
      <c r="BI27" s="244">
        <f t="shared" ca="1" si="49"/>
        <v>36.815532845681382</v>
      </c>
      <c r="BJ27" s="243">
        <f t="shared" ca="1" si="50"/>
        <v>19.404950432283517</v>
      </c>
      <c r="BK27" s="242">
        <f t="shared" ca="1" si="51"/>
        <v>56.220483277964902</v>
      </c>
      <c r="BL27" s="241">
        <f t="shared" ca="1" si="52"/>
        <v>26.507183648890592</v>
      </c>
      <c r="BM27" s="243">
        <f t="shared" ca="1" si="53"/>
        <v>8.5963930415015977</v>
      </c>
      <c r="BN27" s="243">
        <f t="shared" si="17"/>
        <v>0</v>
      </c>
      <c r="BO27" s="242">
        <f t="shared" ca="1" si="18"/>
        <v>35.103576690392195</v>
      </c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</row>
    <row r="28" spans="1:80" ht="12" customHeight="1" x14ac:dyDescent="0.15">
      <c r="A28" s="213">
        <f t="shared" si="19"/>
        <v>22</v>
      </c>
      <c r="B28" s="67">
        <f t="shared" si="20"/>
        <v>88</v>
      </c>
      <c r="C28" s="224">
        <f t="shared" si="21"/>
        <v>20.307692307692307</v>
      </c>
      <c r="D28" s="225">
        <f ca="1">IFERROR(OFFSET(extrapolation!P37,0,OS_dist_choice-1,1,1),0)</f>
        <v>0.72796206131963059</v>
      </c>
      <c r="E28" s="225">
        <f ca="1">IFERROR(OFFSET(extrapolation!D37,0,PFS_dist_choice-1,1,1),0)</f>
        <v>0.46733662376106033</v>
      </c>
      <c r="F28" s="214"/>
      <c r="G28" s="226">
        <f t="shared" ca="1" si="22"/>
        <v>467.33662376106031</v>
      </c>
      <c r="H28" s="224">
        <f t="shared" ca="1" si="23"/>
        <v>260.6254375585703</v>
      </c>
      <c r="I28" s="224">
        <f t="shared" ca="1" si="0"/>
        <v>272.03793868036939</v>
      </c>
      <c r="J28" s="227">
        <f t="shared" ca="1" si="1"/>
        <v>1000</v>
      </c>
      <c r="K28" s="238">
        <f t="shared" ca="1" si="24"/>
        <v>16.163536408556297</v>
      </c>
      <c r="L28" s="239">
        <f t="shared" ca="1" si="25"/>
        <v>15.469680563517727</v>
      </c>
      <c r="M28" s="238">
        <f t="shared" ca="1" si="26"/>
        <v>475.41839196533846</v>
      </c>
      <c r="N28" s="238">
        <f t="shared" ca="1" si="27"/>
        <v>260.27850963605101</v>
      </c>
      <c r="O28" s="239">
        <f t="shared" ca="1" si="28"/>
        <v>264.30309839861053</v>
      </c>
      <c r="P28" s="217"/>
      <c r="Q28" s="217"/>
      <c r="R28" s="224"/>
      <c r="S28" s="230">
        <f t="shared" ca="1" si="29"/>
        <v>7111030.313776833</v>
      </c>
      <c r="T28" s="231">
        <f t="shared" ca="1" si="30"/>
        <v>44271.956840295155</v>
      </c>
      <c r="U28" s="231">
        <f t="shared" ca="1" si="31"/>
        <v>73259.755582696147</v>
      </c>
      <c r="V28" s="231"/>
      <c r="W28" s="231">
        <f t="shared" ca="1" si="32"/>
        <v>179034.95971987501</v>
      </c>
      <c r="X28" s="231">
        <f t="shared" ca="1" si="33"/>
        <v>22379.369964984377</v>
      </c>
      <c r="Y28" s="231"/>
      <c r="Z28" s="232">
        <f t="shared" ca="1" si="2"/>
        <v>7429976.3558846833</v>
      </c>
      <c r="AA28" s="231">
        <f t="shared" ca="1" si="3"/>
        <v>11048.793433763452</v>
      </c>
      <c r="AB28" s="231">
        <f t="shared" ca="1" si="34"/>
        <v>65586.204943391524</v>
      </c>
      <c r="AC28" s="231">
        <f t="shared" ca="1" si="35"/>
        <v>352860.20018201752</v>
      </c>
      <c r="AD28" s="231">
        <f t="shared" ca="1" si="36"/>
        <v>12252.090284097829</v>
      </c>
      <c r="AE28" s="231">
        <f t="shared" ca="1" si="4"/>
        <v>443214.39083170792</v>
      </c>
      <c r="AF28" s="231">
        <f t="shared" ca="1" si="5"/>
        <v>884961.67967497825</v>
      </c>
      <c r="AG28" s="232">
        <f t="shared" ca="1" si="6"/>
        <v>8314938.0355596617</v>
      </c>
      <c r="AH28" s="244">
        <f t="shared" ca="1" si="37"/>
        <v>36.445489322462635</v>
      </c>
      <c r="AI28" s="243">
        <f t="shared" ca="1" si="38"/>
        <v>19.952904229457708</v>
      </c>
      <c r="AJ28" s="242">
        <f t="shared" ca="1" si="39"/>
        <v>56.398393551920343</v>
      </c>
      <c r="AK28" s="241">
        <f t="shared" ca="1" si="40"/>
        <v>26.240752312173097</v>
      </c>
      <c r="AL28" s="243">
        <f t="shared" ca="1" si="41"/>
        <v>8.839136573649764</v>
      </c>
      <c r="AM28" s="243"/>
      <c r="AN28" s="242">
        <f t="shared" ca="1" si="7"/>
        <v>35.079888885822861</v>
      </c>
      <c r="AO28" s="224"/>
      <c r="AP28" s="235">
        <f t="shared" si="42"/>
        <v>1.6923076923076923</v>
      </c>
      <c r="AQ28" s="235">
        <f t="shared" si="8"/>
        <v>0.9512079379843158</v>
      </c>
      <c r="AR28" s="235">
        <f t="shared" si="9"/>
        <v>0.97511865938994724</v>
      </c>
      <c r="AT28" s="230">
        <f t="shared" ca="1" si="10"/>
        <v>6764068.4817116233</v>
      </c>
      <c r="AU28" s="231">
        <f t="shared" ca="1" si="11"/>
        <v>42111.836776587777</v>
      </c>
      <c r="AV28" s="231">
        <f t="shared" ca="1" si="43"/>
        <v>69685.261045051375</v>
      </c>
      <c r="AW28" s="231"/>
      <c r="AX28" s="231">
        <f t="shared" ca="1" si="44"/>
        <v>170299.47486224736</v>
      </c>
      <c r="AY28" s="231">
        <f t="shared" ca="1" si="45"/>
        <v>21287.43435778092</v>
      </c>
      <c r="AZ28" s="231"/>
      <c r="BA28" s="232">
        <f t="shared" ca="1" si="12"/>
        <v>7067452.4887532908</v>
      </c>
      <c r="BB28" s="231">
        <f t="shared" ca="1" si="13"/>
        <v>10509.700019344782</v>
      </c>
      <c r="BC28" s="231">
        <f t="shared" ca="1" si="46"/>
        <v>62386.118764420193</v>
      </c>
      <c r="BD28" s="231">
        <f t="shared" ca="1" si="47"/>
        <v>335643.42341186979</v>
      </c>
      <c r="BE28" s="231">
        <f t="shared" ca="1" si="48"/>
        <v>11654.285535134366</v>
      </c>
      <c r="BF28" s="231">
        <f t="shared" ca="1" si="14"/>
        <v>421589.04678800353</v>
      </c>
      <c r="BG28" s="231">
        <f t="shared" ca="1" si="15"/>
        <v>841782.57451877266</v>
      </c>
      <c r="BH28" s="232">
        <f t="shared" ca="1" si="16"/>
        <v>7909235.0632720636</v>
      </c>
      <c r="BI28" s="244">
        <f t="shared" ca="1" si="49"/>
        <v>35.538676688930401</v>
      </c>
      <c r="BJ28" s="243">
        <f t="shared" ca="1" si="50"/>
        <v>19.45644922316481</v>
      </c>
      <c r="BK28" s="242">
        <f t="shared" ca="1" si="51"/>
        <v>54.995125912095212</v>
      </c>
      <c r="BL28" s="241">
        <f t="shared" ca="1" si="52"/>
        <v>25.587847216029889</v>
      </c>
      <c r="BM28" s="243">
        <f t="shared" ca="1" si="53"/>
        <v>8.6192070058620089</v>
      </c>
      <c r="BN28" s="243">
        <f t="shared" si="17"/>
        <v>0</v>
      </c>
      <c r="BO28" s="242">
        <f t="shared" ca="1" si="18"/>
        <v>34.207054221891894</v>
      </c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</row>
    <row r="29" spans="1:80" ht="12" customHeight="1" x14ac:dyDescent="0.15">
      <c r="A29" s="213">
        <f t="shared" si="19"/>
        <v>23</v>
      </c>
      <c r="B29" s="67">
        <f t="shared" si="20"/>
        <v>92</v>
      </c>
      <c r="C29" s="224">
        <f t="shared" si="21"/>
        <v>21.23076923076923</v>
      </c>
      <c r="D29" s="225">
        <f ca="1">IFERROR(OFFSET(extrapolation!P38,0,OS_dist_choice-1,1,1),0)</f>
        <v>0.71264610898318348</v>
      </c>
      <c r="E29" s="225">
        <f ca="1">IFERROR(OFFSET(extrapolation!D38,0,PFS_dist_choice-1,1,1),0)</f>
        <v>0.45184584112531634</v>
      </c>
      <c r="F29" s="214"/>
      <c r="G29" s="226">
        <f t="shared" ca="1" si="22"/>
        <v>451.84584112531633</v>
      </c>
      <c r="H29" s="224">
        <f t="shared" ca="1" si="23"/>
        <v>260.80026785786708</v>
      </c>
      <c r="I29" s="224">
        <f t="shared" ca="1" si="0"/>
        <v>287.35389101681653</v>
      </c>
      <c r="J29" s="227">
        <f t="shared" ca="1" si="1"/>
        <v>1000</v>
      </c>
      <c r="K29" s="238">
        <f t="shared" ca="1" si="24"/>
        <v>15.490782635743983</v>
      </c>
      <c r="L29" s="239">
        <f t="shared" ca="1" si="25"/>
        <v>15.31595233644714</v>
      </c>
      <c r="M29" s="238">
        <f t="shared" ca="1" si="26"/>
        <v>459.59123244318835</v>
      </c>
      <c r="N29" s="238">
        <f t="shared" ca="1" si="27"/>
        <v>260.71285270821869</v>
      </c>
      <c r="O29" s="239">
        <f t="shared" ca="1" si="28"/>
        <v>279.69591484859296</v>
      </c>
      <c r="P29" s="217"/>
      <c r="Q29" s="217"/>
      <c r="R29" s="224"/>
      <c r="S29" s="230">
        <f t="shared" ca="1" si="29"/>
        <v>6875321.3637262518</v>
      </c>
      <c r="T29" s="231">
        <f t="shared" ca="1" si="30"/>
        <v>42804.476601419869</v>
      </c>
      <c r="U29" s="231">
        <f t="shared" ca="1" si="31"/>
        <v>70820.86416041058</v>
      </c>
      <c r="V29" s="231"/>
      <c r="W29" s="231">
        <f t="shared" ca="1" si="32"/>
        <v>173074.70467838563</v>
      </c>
      <c r="X29" s="231">
        <f t="shared" ca="1" si="33"/>
        <v>21634.338084798204</v>
      </c>
      <c r="Y29" s="231"/>
      <c r="Z29" s="232">
        <f t="shared" ca="1" si="2"/>
        <v>7183655.7472512657</v>
      </c>
      <c r="AA29" s="231">
        <f t="shared" ca="1" si="3"/>
        <v>10588.923929980017</v>
      </c>
      <c r="AB29" s="231">
        <f t="shared" ca="1" si="34"/>
        <v>65695.652756761774</v>
      </c>
      <c r="AC29" s="231">
        <f t="shared" ca="1" si="35"/>
        <v>353449.0401273786</v>
      </c>
      <c r="AD29" s="231">
        <f t="shared" ca="1" si="36"/>
        <v>12272.536115533978</v>
      </c>
      <c r="AE29" s="231">
        <f t="shared" ca="1" si="4"/>
        <v>438809.99720283033</v>
      </c>
      <c r="AF29" s="231">
        <f t="shared" ca="1" si="5"/>
        <v>880816.15013248473</v>
      </c>
      <c r="AG29" s="232">
        <f t="shared" ca="1" si="6"/>
        <v>8064471.8973837504</v>
      </c>
      <c r="AH29" s="244">
        <f t="shared" ca="1" si="37"/>
        <v>35.232182090100679</v>
      </c>
      <c r="AI29" s="243">
        <f t="shared" ca="1" si="38"/>
        <v>19.986200892074262</v>
      </c>
      <c r="AJ29" s="242">
        <f t="shared" ca="1" si="39"/>
        <v>55.218382982174944</v>
      </c>
      <c r="AK29" s="241">
        <f t="shared" ca="1" si="40"/>
        <v>25.367171104872487</v>
      </c>
      <c r="AL29" s="243">
        <f t="shared" ca="1" si="41"/>
        <v>8.8538869951888977</v>
      </c>
      <c r="AM29" s="243"/>
      <c r="AN29" s="242">
        <f t="shared" ca="1" si="7"/>
        <v>34.221058100061384</v>
      </c>
      <c r="AO29" s="224"/>
      <c r="AP29" s="235">
        <f t="shared" si="42"/>
        <v>1.7692307692307692</v>
      </c>
      <c r="AQ29" s="235">
        <f t="shared" si="8"/>
        <v>0.94904758210249784</v>
      </c>
      <c r="AR29" s="235">
        <f t="shared" si="9"/>
        <v>0.97400251682363947</v>
      </c>
      <c r="AT29" s="230">
        <f t="shared" ca="1" si="10"/>
        <v>6525007.1164220469</v>
      </c>
      <c r="AU29" s="231">
        <f t="shared" ca="1" si="11"/>
        <v>40623.485021740467</v>
      </c>
      <c r="AV29" s="231">
        <f t="shared" ca="1" si="43"/>
        <v>67212.369893847106</v>
      </c>
      <c r="AW29" s="231"/>
      <c r="AX29" s="231">
        <f t="shared" ca="1" si="44"/>
        <v>164256.12999812575</v>
      </c>
      <c r="AY29" s="231">
        <f t="shared" ca="1" si="45"/>
        <v>20532.016249765718</v>
      </c>
      <c r="AZ29" s="231"/>
      <c r="BA29" s="232">
        <f t="shared" ca="1" si="12"/>
        <v>6817631.1175855258</v>
      </c>
      <c r="BB29" s="231">
        <f t="shared" ca="1" si="13"/>
        <v>10049.392652814815</v>
      </c>
      <c r="BC29" s="231">
        <f t="shared" ca="1" si="46"/>
        <v>62348.300403450055</v>
      </c>
      <c r="BD29" s="231">
        <f t="shared" ca="1" si="47"/>
        <v>335439.95692933741</v>
      </c>
      <c r="BE29" s="231">
        <f t="shared" ca="1" si="48"/>
        <v>11647.220726713103</v>
      </c>
      <c r="BF29" s="231">
        <f t="shared" ca="1" si="14"/>
        <v>416451.56684774999</v>
      </c>
      <c r="BG29" s="231">
        <f t="shared" ca="1" si="15"/>
        <v>835936.43756006542</v>
      </c>
      <c r="BH29" s="232">
        <f t="shared" ca="1" si="16"/>
        <v>7653567.5551455915</v>
      </c>
      <c r="BI29" s="244">
        <f t="shared" ca="1" si="49"/>
        <v>34.316234028946816</v>
      </c>
      <c r="BJ29" s="243">
        <f t="shared" ca="1" si="50"/>
        <v>19.4666099706232</v>
      </c>
      <c r="BK29" s="242">
        <f t="shared" ca="1" si="51"/>
        <v>53.782843999570019</v>
      </c>
      <c r="BL29" s="241">
        <f t="shared" ca="1" si="52"/>
        <v>24.707688500841705</v>
      </c>
      <c r="BM29" s="243">
        <f t="shared" ca="1" si="53"/>
        <v>8.6237082169860777</v>
      </c>
      <c r="BN29" s="243">
        <f t="shared" si="17"/>
        <v>0</v>
      </c>
      <c r="BO29" s="242">
        <f t="shared" ca="1" si="18"/>
        <v>33.331396717827779</v>
      </c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</row>
    <row r="30" spans="1:80" ht="12" customHeight="1" x14ac:dyDescent="0.15">
      <c r="A30" s="213">
        <f t="shared" si="19"/>
        <v>24</v>
      </c>
      <c r="B30" s="67">
        <f t="shared" si="20"/>
        <v>96</v>
      </c>
      <c r="C30" s="224">
        <f t="shared" si="21"/>
        <v>22.153846153846153</v>
      </c>
      <c r="D30" s="225">
        <f ca="1">IFERROR(OFFSET(extrapolation!P39,0,OS_dist_choice-1,1,1),0)</f>
        <v>0.69751030538508108</v>
      </c>
      <c r="E30" s="225">
        <f ca="1">IFERROR(OFFSET(extrapolation!D39,0,PFS_dist_choice-1,1,1),0)</f>
        <v>0.43699456937058989</v>
      </c>
      <c r="F30" s="214"/>
      <c r="G30" s="226">
        <f t="shared" ca="1" si="22"/>
        <v>436.99456937058989</v>
      </c>
      <c r="H30" s="224">
        <f t="shared" ca="1" si="23"/>
        <v>260.51573601449115</v>
      </c>
      <c r="I30" s="224">
        <f t="shared" ca="1" si="0"/>
        <v>302.4896946149189</v>
      </c>
      <c r="J30" s="227">
        <f t="shared" ca="1" si="1"/>
        <v>999.99999999999989</v>
      </c>
      <c r="K30" s="238">
        <f t="shared" ca="1" si="24"/>
        <v>14.85127175472644</v>
      </c>
      <c r="L30" s="239">
        <f t="shared" ca="1" si="25"/>
        <v>15.13580359810237</v>
      </c>
      <c r="M30" s="238">
        <f t="shared" ca="1" si="26"/>
        <v>444.42020524795311</v>
      </c>
      <c r="N30" s="238">
        <f t="shared" ca="1" si="27"/>
        <v>260.65800193617912</v>
      </c>
      <c r="O30" s="239">
        <f t="shared" ca="1" si="28"/>
        <v>294.92179281586772</v>
      </c>
      <c r="P30" s="217"/>
      <c r="Q30" s="217"/>
      <c r="R30" s="224"/>
      <c r="S30" s="230">
        <f t="shared" ca="1" si="29"/>
        <v>6649343.2608416965</v>
      </c>
      <c r="T30" s="231">
        <f t="shared" ca="1" si="30"/>
        <v>41397.578813574102</v>
      </c>
      <c r="U30" s="231">
        <f t="shared" ca="1" si="31"/>
        <v>68483.079667751736</v>
      </c>
      <c r="V30" s="231"/>
      <c r="W30" s="231">
        <f t="shared" ca="1" si="32"/>
        <v>167361.53857309517</v>
      </c>
      <c r="X30" s="231">
        <f t="shared" ca="1" si="33"/>
        <v>20920.192321636896</v>
      </c>
      <c r="Y30" s="231"/>
      <c r="Z30" s="232">
        <f t="shared" ca="1" si="2"/>
        <v>6947505.6502177548</v>
      </c>
      <c r="AA30" s="231">
        <f t="shared" ca="1" si="3"/>
        <v>10151.778032918372</v>
      </c>
      <c r="AB30" s="231">
        <f t="shared" ca="1" si="34"/>
        <v>65681.83120083953</v>
      </c>
      <c r="AC30" s="231">
        <f t="shared" ca="1" si="35"/>
        <v>353374.67880408274</v>
      </c>
      <c r="AD30" s="231">
        <f t="shared" ca="1" si="36"/>
        <v>12269.95412514176</v>
      </c>
      <c r="AE30" s="231">
        <f t="shared" ca="1" si="4"/>
        <v>433648.64218992362</v>
      </c>
      <c r="AF30" s="231">
        <f t="shared" ca="1" si="5"/>
        <v>875126.88435290603</v>
      </c>
      <c r="AG30" s="232">
        <f t="shared" ca="1" si="6"/>
        <v>7822632.5345706604</v>
      </c>
      <c r="AH30" s="244">
        <f t="shared" ca="1" si="37"/>
        <v>34.069173845154516</v>
      </c>
      <c r="AI30" s="243">
        <f t="shared" ca="1" si="38"/>
        <v>19.981996041650966</v>
      </c>
      <c r="AJ30" s="242">
        <f t="shared" ca="1" si="39"/>
        <v>54.051169886805482</v>
      </c>
      <c r="AK30" s="241">
        <f t="shared" ca="1" si="40"/>
        <v>24.529805168511253</v>
      </c>
      <c r="AL30" s="243">
        <f t="shared" ca="1" si="41"/>
        <v>8.8520242464513785</v>
      </c>
      <c r="AM30" s="243"/>
      <c r="AN30" s="242">
        <f t="shared" ca="1" si="7"/>
        <v>33.381829414962631</v>
      </c>
      <c r="AO30" s="224"/>
      <c r="AP30" s="235">
        <f t="shared" si="42"/>
        <v>1.8461538461538463</v>
      </c>
      <c r="AQ30" s="235">
        <f t="shared" si="8"/>
        <v>0.94689213275830408</v>
      </c>
      <c r="AR30" s="235">
        <f t="shared" si="9"/>
        <v>0.97288765181900705</v>
      </c>
      <c r="AT30" s="230">
        <f t="shared" ca="1" si="10"/>
        <v>6296210.82170045</v>
      </c>
      <c r="AU30" s="231">
        <f t="shared" ca="1" si="11"/>
        <v>39199.041693815168</v>
      </c>
      <c r="AV30" s="231">
        <f t="shared" ca="1" si="43"/>
        <v>64846.089364454288</v>
      </c>
      <c r="AW30" s="231"/>
      <c r="AX30" s="231">
        <f t="shared" ca="1" si="44"/>
        <v>158473.32420118927</v>
      </c>
      <c r="AY30" s="231">
        <f t="shared" ca="1" si="45"/>
        <v>19809.165525148659</v>
      </c>
      <c r="AZ30" s="231"/>
      <c r="BA30" s="232">
        <f t="shared" ca="1" si="12"/>
        <v>6578538.4424850577</v>
      </c>
      <c r="BB30" s="231">
        <f t="shared" ca="1" si="13"/>
        <v>9612.6387528789783</v>
      </c>
      <c r="BC30" s="231">
        <f t="shared" ca="1" si="46"/>
        <v>62193.609229233865</v>
      </c>
      <c r="BD30" s="231">
        <f t="shared" ca="1" si="47"/>
        <v>334607.70327557856</v>
      </c>
      <c r="BE30" s="231">
        <f t="shared" ca="1" si="48"/>
        <v>11618.323030402033</v>
      </c>
      <c r="BF30" s="231">
        <f t="shared" ca="1" si="14"/>
        <v>410618.48767095944</v>
      </c>
      <c r="BG30" s="231">
        <f t="shared" ca="1" si="15"/>
        <v>828650.76195905288</v>
      </c>
      <c r="BH30" s="232">
        <f t="shared" ca="1" si="16"/>
        <v>7407189.2044441104</v>
      </c>
      <c r="BI30" s="244">
        <f t="shared" ca="1" si="49"/>
        <v>33.145478541625906</v>
      </c>
      <c r="BJ30" s="243">
        <f t="shared" ca="1" si="50"/>
        <v>19.440237207618502</v>
      </c>
      <c r="BK30" s="242">
        <f t="shared" ca="1" si="51"/>
        <v>52.585715749244407</v>
      </c>
      <c r="BL30" s="241">
        <f t="shared" ca="1" si="52"/>
        <v>23.864744549970656</v>
      </c>
      <c r="BM30" s="243">
        <f t="shared" ca="1" si="53"/>
        <v>8.6120250829749967</v>
      </c>
      <c r="BN30" s="243">
        <f t="shared" si="17"/>
        <v>0</v>
      </c>
      <c r="BO30" s="242">
        <f t="shared" ca="1" si="18"/>
        <v>32.476769632945654</v>
      </c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</row>
    <row r="31" spans="1:80" ht="12" customHeight="1" x14ac:dyDescent="0.15">
      <c r="A31" s="213">
        <f t="shared" si="19"/>
        <v>25</v>
      </c>
      <c r="B31" s="67">
        <f t="shared" si="20"/>
        <v>100</v>
      </c>
      <c r="C31" s="224">
        <f t="shared" si="21"/>
        <v>23.076923076923077</v>
      </c>
      <c r="D31" s="225">
        <f ca="1">IFERROR(OFFSET(extrapolation!P40,0,OS_dist_choice-1,1,1),0)</f>
        <v>0.68257742056384707</v>
      </c>
      <c r="E31" s="225">
        <f ca="1">IFERROR(OFFSET(extrapolation!D40,0,PFS_dist_choice-1,1,1),0)</f>
        <v>0.42275128343340962</v>
      </c>
      <c r="F31" s="214"/>
      <c r="G31" s="226">
        <f t="shared" ca="1" si="22"/>
        <v>422.75128343340964</v>
      </c>
      <c r="H31" s="224">
        <f t="shared" ca="1" si="23"/>
        <v>259.82613713043742</v>
      </c>
      <c r="I31" s="224">
        <f t="shared" ca="1" si="0"/>
        <v>317.42257943615294</v>
      </c>
      <c r="J31" s="227">
        <f t="shared" ca="1" si="1"/>
        <v>1000</v>
      </c>
      <c r="K31" s="238">
        <f t="shared" ca="1" si="24"/>
        <v>14.243285937180246</v>
      </c>
      <c r="L31" s="239">
        <f t="shared" ca="1" si="25"/>
        <v>14.93288482123404</v>
      </c>
      <c r="M31" s="238">
        <f t="shared" ca="1" si="26"/>
        <v>429.87292640199973</v>
      </c>
      <c r="N31" s="238">
        <f t="shared" ca="1" si="27"/>
        <v>260.17093657246426</v>
      </c>
      <c r="O31" s="239">
        <f t="shared" ca="1" si="28"/>
        <v>309.9561370255359</v>
      </c>
      <c r="P31" s="217"/>
      <c r="Q31" s="217"/>
      <c r="R31" s="224"/>
      <c r="S31" s="230">
        <f t="shared" ca="1" si="29"/>
        <v>6432616.3173123049</v>
      </c>
      <c r="T31" s="231">
        <f t="shared" ca="1" si="30"/>
        <v>40048.27702934837</v>
      </c>
      <c r="U31" s="231">
        <f t="shared" ca="1" si="31"/>
        <v>66241.411884891611</v>
      </c>
      <c r="V31" s="231"/>
      <c r="W31" s="231">
        <f t="shared" ca="1" si="32"/>
        <v>161883.26611617068</v>
      </c>
      <c r="X31" s="231">
        <f t="shared" ca="1" si="33"/>
        <v>20235.408264521335</v>
      </c>
      <c r="Y31" s="231"/>
      <c r="Z31" s="232">
        <f t="shared" ca="1" si="2"/>
        <v>6721024.6806072369</v>
      </c>
      <c r="AA31" s="231">
        <f t="shared" ca="1" si="3"/>
        <v>9736.1814989092836</v>
      </c>
      <c r="AB31" s="231">
        <f t="shared" ca="1" si="34"/>
        <v>65559.098176088097</v>
      </c>
      <c r="AC31" s="231">
        <f t="shared" ca="1" si="35"/>
        <v>352714.36312153761</v>
      </c>
      <c r="AD31" s="231">
        <f t="shared" ca="1" si="36"/>
        <v>12247.02649727561</v>
      </c>
      <c r="AE31" s="231">
        <f t="shared" ca="1" si="4"/>
        <v>427834.91373517388</v>
      </c>
      <c r="AF31" s="231">
        <f t="shared" ca="1" si="5"/>
        <v>868091.58302898449</v>
      </c>
      <c r="AG31" s="232">
        <f t="shared" ca="1" si="6"/>
        <v>7589116.2636362212</v>
      </c>
      <c r="AH31" s="244">
        <f t="shared" ca="1" si="37"/>
        <v>32.953982037661852</v>
      </c>
      <c r="AI31" s="243">
        <f t="shared" ca="1" si="38"/>
        <v>19.944657697546884</v>
      </c>
      <c r="AJ31" s="242">
        <f t="shared" ca="1" si="39"/>
        <v>52.898639735208732</v>
      </c>
      <c r="AK31" s="241">
        <f t="shared" ca="1" si="40"/>
        <v>23.726867067116533</v>
      </c>
      <c r="AL31" s="243">
        <f t="shared" ca="1" si="41"/>
        <v>8.8354833600132689</v>
      </c>
      <c r="AM31" s="243"/>
      <c r="AN31" s="242">
        <f t="shared" ca="1" si="7"/>
        <v>32.5623504271298</v>
      </c>
      <c r="AO31" s="224"/>
      <c r="AP31" s="235">
        <f t="shared" si="42"/>
        <v>1.9230769230769231</v>
      </c>
      <c r="AQ31" s="235">
        <f t="shared" si="8"/>
        <v>0.94474157880814857</v>
      </c>
      <c r="AR31" s="235">
        <f t="shared" si="9"/>
        <v>0.9717740629137247</v>
      </c>
      <c r="AT31" s="230">
        <f t="shared" ca="1" si="10"/>
        <v>6077160.0954846852</v>
      </c>
      <c r="AU31" s="231">
        <f t="shared" ca="1" si="11"/>
        <v>37835.27246925269</v>
      </c>
      <c r="AV31" s="231">
        <f t="shared" ca="1" si="43"/>
        <v>62581.01604661336</v>
      </c>
      <c r="AW31" s="231"/>
      <c r="AX31" s="231">
        <f t="shared" ca="1" si="44"/>
        <v>152937.85241321076</v>
      </c>
      <c r="AY31" s="231">
        <f t="shared" ca="1" si="45"/>
        <v>19117.231551651344</v>
      </c>
      <c r="AZ31" s="231"/>
      <c r="BA31" s="232">
        <f t="shared" ca="1" si="12"/>
        <v>6349631.4679654138</v>
      </c>
      <c r="BB31" s="231">
        <f t="shared" ca="1" si="13"/>
        <v>9198.1754808422429</v>
      </c>
      <c r="BC31" s="231">
        <f t="shared" ca="1" si="46"/>
        <v>61936.40591611588</v>
      </c>
      <c r="BD31" s="231">
        <f t="shared" ca="1" si="47"/>
        <v>333223.92428375204</v>
      </c>
      <c r="BE31" s="231">
        <f t="shared" ca="1" si="48"/>
        <v>11570.27514874139</v>
      </c>
      <c r="BF31" s="231">
        <f t="shared" ca="1" si="14"/>
        <v>404193.43187141622</v>
      </c>
      <c r="BG31" s="231">
        <f t="shared" ca="1" si="15"/>
        <v>820122.21270086779</v>
      </c>
      <c r="BH31" s="232">
        <f t="shared" ca="1" si="16"/>
        <v>7169753.6806662809</v>
      </c>
      <c r="BI31" s="244">
        <f t="shared" ca="1" si="49"/>
        <v>32.023825013924565</v>
      </c>
      <c r="BJ31" s="243">
        <f t="shared" ca="1" si="50"/>
        <v>19.381701044168629</v>
      </c>
      <c r="BK31" s="242">
        <f t="shared" ca="1" si="51"/>
        <v>51.405526058093187</v>
      </c>
      <c r="BL31" s="241">
        <f t="shared" ca="1" si="52"/>
        <v>23.057154010025684</v>
      </c>
      <c r="BM31" s="243">
        <f t="shared" ca="1" si="53"/>
        <v>8.5860935625667025</v>
      </c>
      <c r="BN31" s="243">
        <f t="shared" si="17"/>
        <v>0</v>
      </c>
      <c r="BO31" s="242">
        <f t="shared" ca="1" si="18"/>
        <v>31.643247572592387</v>
      </c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</row>
    <row r="32" spans="1:80" ht="12" customHeight="1" x14ac:dyDescent="0.15">
      <c r="A32" s="213">
        <f t="shared" si="19"/>
        <v>26</v>
      </c>
      <c r="B32" s="67">
        <f t="shared" si="20"/>
        <v>104</v>
      </c>
      <c r="C32" s="224">
        <f t="shared" si="21"/>
        <v>24</v>
      </c>
      <c r="D32" s="225">
        <f ca="1">IFERROR(OFFSET(extrapolation!P41,0,OS_dist_choice-1,1,1),0)</f>
        <v>0.66786687986534665</v>
      </c>
      <c r="E32" s="225">
        <f ca="1">IFERROR(OFFSET(extrapolation!D41,0,PFS_dist_choice-1,1,1),0)</f>
        <v>0.40908612688305601</v>
      </c>
      <c r="F32" s="214"/>
      <c r="G32" s="226">
        <f t="shared" ca="1" si="22"/>
        <v>409.08612688305601</v>
      </c>
      <c r="H32" s="224">
        <f t="shared" ca="1" si="23"/>
        <v>258.78075298229061</v>
      </c>
      <c r="I32" s="224">
        <f t="shared" ca="1" si="0"/>
        <v>332.13312013465332</v>
      </c>
      <c r="J32" s="227">
        <f t="shared" ca="1" si="1"/>
        <v>1000</v>
      </c>
      <c r="K32" s="238">
        <f t="shared" ca="1" si="24"/>
        <v>13.665156550353629</v>
      </c>
      <c r="L32" s="239">
        <f t="shared" ca="1" si="25"/>
        <v>14.710540698500381</v>
      </c>
      <c r="M32" s="238">
        <f t="shared" ca="1" si="26"/>
        <v>415.9187051582328</v>
      </c>
      <c r="N32" s="238">
        <f t="shared" ca="1" si="27"/>
        <v>259.30344505636401</v>
      </c>
      <c r="O32" s="239">
        <f t="shared" ca="1" si="28"/>
        <v>324.77784978540313</v>
      </c>
      <c r="P32" s="217"/>
      <c r="Q32" s="217"/>
      <c r="R32" s="224"/>
      <c r="S32" s="230">
        <f t="shared" ca="1" si="29"/>
        <v>6224686.2353725815</v>
      </c>
      <c r="T32" s="231">
        <f t="shared" ca="1" si="30"/>
        <v>38753.742875050106</v>
      </c>
      <c r="U32" s="231">
        <f t="shared" ca="1" si="31"/>
        <v>64091.131510926258</v>
      </c>
      <c r="V32" s="231"/>
      <c r="W32" s="231">
        <f t="shared" ca="1" si="32"/>
        <v>156628.32966330793</v>
      </c>
      <c r="X32" s="231">
        <f t="shared" ca="1" si="33"/>
        <v>19578.541207913491</v>
      </c>
      <c r="Y32" s="231"/>
      <c r="Z32" s="232">
        <f t="shared" ca="1" si="2"/>
        <v>6503737.9806297794</v>
      </c>
      <c r="AA32" s="231">
        <f t="shared" ca="1" si="3"/>
        <v>9340.9937125499655</v>
      </c>
      <c r="AB32" s="231">
        <f t="shared" ca="1" si="34"/>
        <v>65340.503577397787</v>
      </c>
      <c r="AC32" s="231">
        <f t="shared" ca="1" si="35"/>
        <v>351538.30279118085</v>
      </c>
      <c r="AD32" s="231">
        <f t="shared" ca="1" si="36"/>
        <v>12206.191069138224</v>
      </c>
      <c r="AE32" s="231">
        <f t="shared" ca="1" si="4"/>
        <v>421464.63902214513</v>
      </c>
      <c r="AF32" s="231">
        <f t="shared" ca="1" si="5"/>
        <v>859890.63017241191</v>
      </c>
      <c r="AG32" s="232">
        <f t="shared" ca="1" si="6"/>
        <v>7363628.6108021913</v>
      </c>
      <c r="AH32" s="244">
        <f t="shared" ca="1" si="37"/>
        <v>31.884253920412092</v>
      </c>
      <c r="AI32" s="243">
        <f t="shared" ca="1" si="38"/>
        <v>19.87815595230169</v>
      </c>
      <c r="AJ32" s="242">
        <f t="shared" ca="1" si="39"/>
        <v>51.762409872713782</v>
      </c>
      <c r="AK32" s="241">
        <f t="shared" ca="1" si="40"/>
        <v>22.956662822696707</v>
      </c>
      <c r="AL32" s="243">
        <f t="shared" ca="1" si="41"/>
        <v>8.806023086869649</v>
      </c>
      <c r="AM32" s="243"/>
      <c r="AN32" s="242">
        <f t="shared" ca="1" si="7"/>
        <v>31.762685909566358</v>
      </c>
      <c r="AO32" s="224"/>
      <c r="AP32" s="235">
        <f t="shared" si="42"/>
        <v>2</v>
      </c>
      <c r="AQ32" s="235">
        <f t="shared" si="8"/>
        <v>0.94259590913375435</v>
      </c>
      <c r="AR32" s="235">
        <f t="shared" si="9"/>
        <v>0.9706617486471405</v>
      </c>
      <c r="AT32" s="230">
        <f t="shared" ca="1" si="10"/>
        <v>5867363.7811033856</v>
      </c>
      <c r="AU32" s="231">
        <f t="shared" ca="1" si="11"/>
        <v>36529.119497643609</v>
      </c>
      <c r="AV32" s="231">
        <f t="shared" ca="1" si="43"/>
        <v>60412.03837395255</v>
      </c>
      <c r="AW32" s="231"/>
      <c r="AX32" s="231">
        <f t="shared" ca="1" si="44"/>
        <v>147637.22279508712</v>
      </c>
      <c r="AY32" s="231">
        <f t="shared" ca="1" si="45"/>
        <v>18454.65284938589</v>
      </c>
      <c r="AZ32" s="231"/>
      <c r="BA32" s="232">
        <f t="shared" ca="1" si="12"/>
        <v>6130396.8146194546</v>
      </c>
      <c r="BB32" s="231">
        <f t="shared" ca="1" si="13"/>
        <v>8804.7824606937174</v>
      </c>
      <c r="BC32" s="231">
        <f t="shared" ca="1" si="46"/>
        <v>61589.691372794594</v>
      </c>
      <c r="BD32" s="231">
        <f t="shared" ca="1" si="47"/>
        <v>331358.5661147901</v>
      </c>
      <c r="BE32" s="231">
        <f t="shared" ca="1" si="48"/>
        <v>11505.505767874656</v>
      </c>
      <c r="BF32" s="231">
        <f t="shared" ca="1" si="14"/>
        <v>397270.84458680847</v>
      </c>
      <c r="BG32" s="231">
        <f t="shared" ca="1" si="15"/>
        <v>810529.39030296158</v>
      </c>
      <c r="BH32" s="232">
        <f t="shared" ca="1" si="16"/>
        <v>6940926.2049224162</v>
      </c>
      <c r="BI32" s="244">
        <f t="shared" ca="1" si="49"/>
        <v>30.948825664696646</v>
      </c>
      <c r="BJ32" s="243">
        <f t="shared" ca="1" si="50"/>
        <v>19.294965616541724</v>
      </c>
      <c r="BK32" s="242">
        <f t="shared" ca="1" si="51"/>
        <v>50.243791281238366</v>
      </c>
      <c r="BL32" s="241">
        <f t="shared" ca="1" si="52"/>
        <v>22.283154478581586</v>
      </c>
      <c r="BM32" s="243">
        <f t="shared" ca="1" si="53"/>
        <v>8.5476697681279834</v>
      </c>
      <c r="BN32" s="243">
        <f t="shared" si="17"/>
        <v>0</v>
      </c>
      <c r="BO32" s="242">
        <f t="shared" ca="1" si="18"/>
        <v>30.830824246709572</v>
      </c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</row>
    <row r="33" spans="1:80" ht="12" customHeight="1" x14ac:dyDescent="0.15">
      <c r="A33" s="213">
        <f t="shared" si="19"/>
        <v>27</v>
      </c>
      <c r="B33" s="67">
        <f t="shared" si="20"/>
        <v>108</v>
      </c>
      <c r="C33" s="224">
        <f t="shared" si="21"/>
        <v>24.923076923076927</v>
      </c>
      <c r="D33" s="225">
        <f ca="1">IFERROR(OFFSET(extrapolation!P42,0,OS_dist_choice-1,1,1),0)</f>
        <v>0.65339505764573236</v>
      </c>
      <c r="E33" s="225">
        <f ca="1">IFERROR(OFFSET(extrapolation!D42,0,PFS_dist_choice-1,1,1),0)</f>
        <v>0.39597084984851372</v>
      </c>
      <c r="F33" s="214"/>
      <c r="G33" s="226">
        <f t="shared" ca="1" si="22"/>
        <v>395.97084984851369</v>
      </c>
      <c r="H33" s="224">
        <f t="shared" ca="1" si="23"/>
        <v>257.42420779721868</v>
      </c>
      <c r="I33" s="224">
        <f t="shared" ca="1" si="0"/>
        <v>346.60494235426762</v>
      </c>
      <c r="J33" s="227">
        <f t="shared" ca="1" si="1"/>
        <v>1000</v>
      </c>
      <c r="K33" s="238">
        <f t="shared" ca="1" si="24"/>
        <v>13.115277034542316</v>
      </c>
      <c r="L33" s="239">
        <f t="shared" ca="1" si="25"/>
        <v>14.471822219614296</v>
      </c>
      <c r="M33" s="238">
        <f t="shared" ca="1" si="26"/>
        <v>402.52848836578482</v>
      </c>
      <c r="N33" s="238">
        <f t="shared" ca="1" si="27"/>
        <v>258.10248038975465</v>
      </c>
      <c r="O33" s="239">
        <f t="shared" ca="1" si="28"/>
        <v>339.36903124446047</v>
      </c>
      <c r="P33" s="217"/>
      <c r="Q33" s="217"/>
      <c r="R33" s="224"/>
      <c r="S33" s="230">
        <f t="shared" ca="1" si="29"/>
        <v>6025123.1627940992</v>
      </c>
      <c r="T33" s="231">
        <f t="shared" ca="1" si="30"/>
        <v>37511.300170369977</v>
      </c>
      <c r="U33" s="231">
        <f t="shared" ca="1" si="31"/>
        <v>62027.761590888396</v>
      </c>
      <c r="V33" s="231"/>
      <c r="W33" s="231">
        <f t="shared" ca="1" si="32"/>
        <v>151585.78826274071</v>
      </c>
      <c r="X33" s="231">
        <f t="shared" ca="1" si="33"/>
        <v>18948.223532842589</v>
      </c>
      <c r="Y33" s="231"/>
      <c r="Z33" s="232">
        <f t="shared" ca="1" si="2"/>
        <v>6295196.2363509415</v>
      </c>
      <c r="AA33" s="231">
        <f t="shared" ca="1" si="3"/>
        <v>8965.1164892684974</v>
      </c>
      <c r="AB33" s="231">
        <f t="shared" ca="1" si="34"/>
        <v>65037.87884336133</v>
      </c>
      <c r="AC33" s="231">
        <f t="shared" ca="1" si="35"/>
        <v>349910.15211034333</v>
      </c>
      <c r="AD33" s="231">
        <f t="shared" ca="1" si="36"/>
        <v>12149.65805938692</v>
      </c>
      <c r="AE33" s="231">
        <f t="shared" ca="1" si="4"/>
        <v>414625.2304923216</v>
      </c>
      <c r="AF33" s="231">
        <f t="shared" ca="1" si="5"/>
        <v>850688.03599468176</v>
      </c>
      <c r="AG33" s="232">
        <f t="shared" ca="1" si="6"/>
        <v>7145884.272345623</v>
      </c>
      <c r="AH33" s="244">
        <f t="shared" ca="1" si="37"/>
        <v>30.857762284030045</v>
      </c>
      <c r="AI33" s="243">
        <f t="shared" ca="1" si="38"/>
        <v>19.786090214683451</v>
      </c>
      <c r="AJ33" s="242">
        <f t="shared" ca="1" si="39"/>
        <v>50.6438524987135</v>
      </c>
      <c r="AK33" s="241">
        <f t="shared" ca="1" si="40"/>
        <v>22.217588844501631</v>
      </c>
      <c r="AL33" s="243">
        <f t="shared" ca="1" si="41"/>
        <v>8.7652379651047685</v>
      </c>
      <c r="AM33" s="243"/>
      <c r="AN33" s="242">
        <f t="shared" ca="1" si="7"/>
        <v>30.982826809606401</v>
      </c>
      <c r="AO33" s="224"/>
      <c r="AP33" s="235">
        <f t="shared" si="42"/>
        <v>2.0769230769230771</v>
      </c>
      <c r="AQ33" s="235">
        <f t="shared" si="8"/>
        <v>0.9404551126420958</v>
      </c>
      <c r="AR33" s="235">
        <f t="shared" si="9"/>
        <v>0.96955070756027439</v>
      </c>
      <c r="AT33" s="230">
        <f t="shared" ca="1" si="10"/>
        <v>5666357.8827480255</v>
      </c>
      <c r="AU33" s="231">
        <f t="shared" ca="1" si="11"/>
        <v>35277.694027076766</v>
      </c>
      <c r="AV33" s="231">
        <f t="shared" ca="1" si="43"/>
        <v>58334.325513896008</v>
      </c>
      <c r="AW33" s="231"/>
      <c r="AX33" s="231">
        <f t="shared" ca="1" si="44"/>
        <v>142559.62957557669</v>
      </c>
      <c r="AY33" s="231">
        <f t="shared" ca="1" si="45"/>
        <v>17819.953696947086</v>
      </c>
      <c r="AZ33" s="231"/>
      <c r="BA33" s="232">
        <f t="shared" ca="1" si="12"/>
        <v>5920349.4855615227</v>
      </c>
      <c r="BB33" s="231">
        <f t="shared" ca="1" si="13"/>
        <v>8431.2896377645156</v>
      </c>
      <c r="BC33" s="231">
        <f t="shared" ca="1" si="46"/>
        <v>61165.205673636359</v>
      </c>
      <c r="BD33" s="231">
        <f t="shared" ca="1" si="47"/>
        <v>329074.79151754582</v>
      </c>
      <c r="BE33" s="231">
        <f t="shared" ca="1" si="48"/>
        <v>11426.208038803674</v>
      </c>
      <c r="BF33" s="231">
        <f t="shared" ca="1" si="14"/>
        <v>389936.41784691124</v>
      </c>
      <c r="BG33" s="231">
        <f t="shared" ca="1" si="15"/>
        <v>800033.91271466168</v>
      </c>
      <c r="BH33" s="232">
        <f t="shared" ca="1" si="16"/>
        <v>6720383.3982761838</v>
      </c>
      <c r="BI33" s="244">
        <f t="shared" ca="1" si="49"/>
        <v>29.918165256208081</v>
      </c>
      <c r="BJ33" s="243">
        <f t="shared" ca="1" si="50"/>
        <v>19.183617767497761</v>
      </c>
      <c r="BK33" s="242">
        <f t="shared" ca="1" si="51"/>
        <v>49.101783023705842</v>
      </c>
      <c r="BL33" s="241">
        <f t="shared" ca="1" si="52"/>
        <v>21.541078984469817</v>
      </c>
      <c r="BM33" s="243">
        <f t="shared" ca="1" si="53"/>
        <v>8.4983426710015078</v>
      </c>
      <c r="BN33" s="243">
        <f t="shared" si="17"/>
        <v>0</v>
      </c>
      <c r="BO33" s="242">
        <f t="shared" ca="1" si="18"/>
        <v>30.039421655471326</v>
      </c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</row>
    <row r="34" spans="1:80" ht="12" customHeight="1" x14ac:dyDescent="0.15">
      <c r="A34" s="213">
        <f t="shared" si="19"/>
        <v>28</v>
      </c>
      <c r="B34" s="67">
        <f t="shared" si="20"/>
        <v>112</v>
      </c>
      <c r="C34" s="224">
        <f t="shared" si="21"/>
        <v>25.846153846153847</v>
      </c>
      <c r="D34" s="225">
        <f ca="1">IFERROR(OFFSET(extrapolation!P43,0,OS_dist_choice-1,1,1),0)</f>
        <v>0.63917555717156693</v>
      </c>
      <c r="E34" s="225">
        <f ca="1">IFERROR(OFFSET(extrapolation!D43,0,PFS_dist_choice-1,1,1),0)</f>
        <v>0.3833787392782857</v>
      </c>
      <c r="F34" s="214"/>
      <c r="G34" s="226">
        <f t="shared" ca="1" si="22"/>
        <v>383.37873927828571</v>
      </c>
      <c r="H34" s="224">
        <f t="shared" ca="1" si="23"/>
        <v>255.79681789328123</v>
      </c>
      <c r="I34" s="224">
        <f t="shared" ca="1" si="0"/>
        <v>360.82444282843306</v>
      </c>
      <c r="J34" s="227">
        <f t="shared" ca="1" si="1"/>
        <v>1000</v>
      </c>
      <c r="K34" s="238">
        <f t="shared" ca="1" si="24"/>
        <v>12.592110570227987</v>
      </c>
      <c r="L34" s="239">
        <f t="shared" ca="1" si="25"/>
        <v>14.219500474165443</v>
      </c>
      <c r="M34" s="238">
        <f t="shared" ca="1" si="26"/>
        <v>389.6747945633997</v>
      </c>
      <c r="N34" s="238">
        <f t="shared" ca="1" si="27"/>
        <v>256.61051284524996</v>
      </c>
      <c r="O34" s="239">
        <f t="shared" ca="1" si="28"/>
        <v>353.71469259135034</v>
      </c>
      <c r="P34" s="217"/>
      <c r="Q34" s="217"/>
      <c r="R34" s="224"/>
      <c r="S34" s="230">
        <f t="shared" ca="1" si="29"/>
        <v>5833520.6317134146</v>
      </c>
      <c r="T34" s="231">
        <f t="shared" ca="1" si="30"/>
        <v>36318.418321721227</v>
      </c>
      <c r="U34" s="231">
        <f t="shared" ca="1" si="31"/>
        <v>60047.067359845256</v>
      </c>
      <c r="V34" s="231"/>
      <c r="W34" s="231">
        <f t="shared" ca="1" si="32"/>
        <v>146745.29283586331</v>
      </c>
      <c r="X34" s="231">
        <f t="shared" ca="1" si="33"/>
        <v>18343.161604482913</v>
      </c>
      <c r="Y34" s="231"/>
      <c r="Z34" s="232">
        <f t="shared" ca="1" si="2"/>
        <v>6094974.571835327</v>
      </c>
      <c r="AA34" s="231">
        <f t="shared" ca="1" si="3"/>
        <v>8607.4993162950432</v>
      </c>
      <c r="AB34" s="231">
        <f t="shared" ca="1" si="34"/>
        <v>64661.925833335263</v>
      </c>
      <c r="AC34" s="231">
        <f t="shared" ca="1" si="35"/>
        <v>347887.48812953621</v>
      </c>
      <c r="AD34" s="231">
        <f t="shared" ca="1" si="36"/>
        <v>12079.42667116445</v>
      </c>
      <c r="AE34" s="231">
        <f t="shared" ca="1" si="4"/>
        <v>407396.08130313648</v>
      </c>
      <c r="AF34" s="231">
        <f t="shared" ca="1" si="5"/>
        <v>840632.42125346744</v>
      </c>
      <c r="AG34" s="232">
        <f t="shared" ca="1" si="6"/>
        <v>6935606.9930887949</v>
      </c>
      <c r="AH34" s="244">
        <f t="shared" ca="1" si="37"/>
        <v>29.872400404586426</v>
      </c>
      <c r="AI34" s="243">
        <f t="shared" ca="1" si="38"/>
        <v>19.671716248232713</v>
      </c>
      <c r="AJ34" s="242">
        <f t="shared" ca="1" si="39"/>
        <v>49.544116652819142</v>
      </c>
      <c r="AK34" s="241">
        <f t="shared" ca="1" si="40"/>
        <v>21.508128291302224</v>
      </c>
      <c r="AL34" s="243">
        <f t="shared" ca="1" si="41"/>
        <v>8.7145702979670912</v>
      </c>
      <c r="AM34" s="243"/>
      <c r="AN34" s="242">
        <f t="shared" ca="1" si="7"/>
        <v>30.222698589269314</v>
      </c>
      <c r="AO34" s="224"/>
      <c r="AP34" s="235">
        <f t="shared" si="42"/>
        <v>2.1538461538461537</v>
      </c>
      <c r="AQ34" s="235">
        <f t="shared" si="8"/>
        <v>0.93831917826534172</v>
      </c>
      <c r="AR34" s="235">
        <f t="shared" si="9"/>
        <v>0.96844093819581678</v>
      </c>
      <c r="AT34" s="230">
        <f t="shared" ca="1" si="10"/>
        <v>5473704.2855432481</v>
      </c>
      <c r="AU34" s="231">
        <f t="shared" ca="1" si="11"/>
        <v>34078.268435534395</v>
      </c>
      <c r="AV34" s="231">
        <f t="shared" ca="1" si="43"/>
        <v>56343.314902333623</v>
      </c>
      <c r="AW34" s="231"/>
      <c r="AX34" s="231">
        <f t="shared" ca="1" si="44"/>
        <v>137693.92258805421</v>
      </c>
      <c r="AY34" s="231">
        <f t="shared" ca="1" si="45"/>
        <v>17211.740323506776</v>
      </c>
      <c r="AZ34" s="231"/>
      <c r="BA34" s="232">
        <f t="shared" ca="1" si="12"/>
        <v>5719031.531792677</v>
      </c>
      <c r="BB34" s="231">
        <f t="shared" ca="1" si="13"/>
        <v>8076.5816853854558</v>
      </c>
      <c r="BC34" s="231">
        <f t="shared" ca="1" si="46"/>
        <v>60673.525112989613</v>
      </c>
      <c r="BD34" s="231">
        <f t="shared" ca="1" si="47"/>
        <v>326429.50199050026</v>
      </c>
      <c r="BE34" s="231">
        <f t="shared" ca="1" si="48"/>
        <v>11334.357708003479</v>
      </c>
      <c r="BF34" s="231">
        <f t="shared" ca="1" si="14"/>
        <v>382267.55623687938</v>
      </c>
      <c r="BG34" s="231">
        <f t="shared" ca="1" si="15"/>
        <v>788781.5227337582</v>
      </c>
      <c r="BH34" s="232">
        <f t="shared" ca="1" si="16"/>
        <v>6507813.0545264352</v>
      </c>
      <c r="BI34" s="244">
        <f t="shared" ca="1" si="49"/>
        <v>28.929655473978773</v>
      </c>
      <c r="BJ34" s="243">
        <f t="shared" ca="1" si="50"/>
        <v>19.05089533936038</v>
      </c>
      <c r="BK34" s="242">
        <f t="shared" ca="1" si="51"/>
        <v>47.980550813339157</v>
      </c>
      <c r="BL34" s="241">
        <f t="shared" ca="1" si="52"/>
        <v>20.829351941264715</v>
      </c>
      <c r="BM34" s="243">
        <f t="shared" ca="1" si="53"/>
        <v>8.4395466353366491</v>
      </c>
      <c r="BN34" s="243">
        <f t="shared" si="17"/>
        <v>0</v>
      </c>
      <c r="BO34" s="242">
        <f t="shared" ca="1" si="18"/>
        <v>29.268898576601362</v>
      </c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</row>
    <row r="35" spans="1:80" ht="12" customHeight="1" x14ac:dyDescent="0.15">
      <c r="A35" s="213">
        <f t="shared" si="19"/>
        <v>29</v>
      </c>
      <c r="B35" s="67">
        <f t="shared" si="20"/>
        <v>116</v>
      </c>
      <c r="C35" s="224">
        <f t="shared" si="21"/>
        <v>26.76923076923077</v>
      </c>
      <c r="D35" s="225">
        <f ca="1">IFERROR(OFFSET(extrapolation!P44,0,OS_dist_choice-1,1,1),0)</f>
        <v>0.6252194754810686</v>
      </c>
      <c r="E35" s="225">
        <f ca="1">IFERROR(OFFSET(extrapolation!D44,0,PFS_dist_choice-1,1,1),0)</f>
        <v>0.37128454519771581</v>
      </c>
      <c r="F35" s="214"/>
      <c r="G35" s="226">
        <f t="shared" ca="1" si="22"/>
        <v>371.28454519771583</v>
      </c>
      <c r="H35" s="224">
        <f t="shared" ca="1" si="23"/>
        <v>253.93493028335274</v>
      </c>
      <c r="I35" s="224">
        <f t="shared" ca="1" si="0"/>
        <v>374.78052451893143</v>
      </c>
      <c r="J35" s="227">
        <f t="shared" ca="1" si="1"/>
        <v>1000</v>
      </c>
      <c r="K35" s="238">
        <f t="shared" ca="1" si="24"/>
        <v>12.094194080569878</v>
      </c>
      <c r="L35" s="239">
        <f t="shared" ca="1" si="25"/>
        <v>13.956081690498365</v>
      </c>
      <c r="M35" s="238">
        <f t="shared" ca="1" si="26"/>
        <v>377.33164223800077</v>
      </c>
      <c r="N35" s="238">
        <f t="shared" ca="1" si="27"/>
        <v>254.86587408831699</v>
      </c>
      <c r="O35" s="239">
        <f t="shared" ca="1" si="28"/>
        <v>367.80248367368222</v>
      </c>
      <c r="P35" s="217"/>
      <c r="Q35" s="217"/>
      <c r="R35" s="224"/>
      <c r="S35" s="230">
        <f t="shared" ca="1" si="29"/>
        <v>5649494.4365577698</v>
      </c>
      <c r="T35" s="231">
        <f t="shared" ca="1" si="30"/>
        <v>35172.705336413019</v>
      </c>
      <c r="U35" s="231">
        <f t="shared" ca="1" si="31"/>
        <v>58145.045187878801</v>
      </c>
      <c r="V35" s="231"/>
      <c r="W35" s="231">
        <f t="shared" ca="1" si="32"/>
        <v>142097.05916055528</v>
      </c>
      <c r="X35" s="231">
        <f t="shared" ca="1" si="33"/>
        <v>17762.13239506941</v>
      </c>
      <c r="Y35" s="231"/>
      <c r="Z35" s="232">
        <f t="shared" ca="1" si="2"/>
        <v>5902671.3786376864</v>
      </c>
      <c r="AA35" s="231">
        <f t="shared" ca="1" si="3"/>
        <v>8267.1420886165215</v>
      </c>
      <c r="AB35" s="231">
        <f t="shared" ca="1" si="34"/>
        <v>64222.303540951652</v>
      </c>
      <c r="AC35" s="231">
        <f t="shared" ca="1" si="35"/>
        <v>345522.27717962919</v>
      </c>
      <c r="AD35" s="231">
        <f t="shared" ca="1" si="36"/>
        <v>11997.301290959345</v>
      </c>
      <c r="AE35" s="231">
        <f t="shared" ca="1" si="4"/>
        <v>399848.99619964912</v>
      </c>
      <c r="AF35" s="231">
        <f t="shared" ca="1" si="5"/>
        <v>829858.02029980579</v>
      </c>
      <c r="AG35" s="232">
        <f t="shared" ca="1" si="6"/>
        <v>6732529.3989374917</v>
      </c>
      <c r="AH35" s="244">
        <f t="shared" ca="1" si="37"/>
        <v>28.926176543912447</v>
      </c>
      <c r="AI35" s="243">
        <f t="shared" ca="1" si="38"/>
        <v>19.537972551602671</v>
      </c>
      <c r="AJ35" s="242">
        <f t="shared" ca="1" si="39"/>
        <v>48.464149095515118</v>
      </c>
      <c r="AK35" s="241">
        <f t="shared" ca="1" si="40"/>
        <v>20.82684711161696</v>
      </c>
      <c r="AL35" s="243">
        <f t="shared" ca="1" si="41"/>
        <v>8.6553218403599832</v>
      </c>
      <c r="AM35" s="243"/>
      <c r="AN35" s="242">
        <f t="shared" ca="1" si="7"/>
        <v>29.482168951976945</v>
      </c>
      <c r="AO35" s="224"/>
      <c r="AP35" s="235">
        <f t="shared" si="42"/>
        <v>2.2307692307692308</v>
      </c>
      <c r="AQ35" s="235">
        <f t="shared" si="8"/>
        <v>0.9361880949607978</v>
      </c>
      <c r="AR35" s="235">
        <f t="shared" si="9"/>
        <v>0.96733243909812572</v>
      </c>
      <c r="AT35" s="230">
        <f t="shared" ca="1" si="10"/>
        <v>5288989.4340526443</v>
      </c>
      <c r="AU35" s="231">
        <f t="shared" ca="1" si="11"/>
        <v>32928.268003513993</v>
      </c>
      <c r="AV35" s="231">
        <f t="shared" ca="1" si="43"/>
        <v>54434.699085849759</v>
      </c>
      <c r="AW35" s="231"/>
      <c r="AX35" s="231">
        <f t="shared" ca="1" si="44"/>
        <v>133029.57511505202</v>
      </c>
      <c r="AY35" s="231">
        <f t="shared" ca="1" si="45"/>
        <v>16628.696889381503</v>
      </c>
      <c r="AZ35" s="231"/>
      <c r="BA35" s="232">
        <f t="shared" ca="1" si="12"/>
        <v>5526010.6731464416</v>
      </c>
      <c r="BB35" s="231">
        <f t="shared" ca="1" si="13"/>
        <v>7739.6000027121327</v>
      </c>
      <c r="BC35" s="231">
        <f t="shared" ca="1" si="46"/>
        <v>60124.156005997625</v>
      </c>
      <c r="BD35" s="231">
        <f t="shared" ca="1" si="47"/>
        <v>323473.84243931377</v>
      </c>
      <c r="BE35" s="231">
        <f t="shared" ca="1" si="48"/>
        <v>11231.730640253949</v>
      </c>
      <c r="BF35" s="231">
        <f t="shared" ca="1" si="14"/>
        <v>374333.87002413679</v>
      </c>
      <c r="BG35" s="231">
        <f t="shared" ca="1" si="15"/>
        <v>776903.19911241427</v>
      </c>
      <c r="BH35" s="232">
        <f t="shared" ca="1" si="16"/>
        <v>6302913.872258855</v>
      </c>
      <c r="BI35" s="244">
        <f t="shared" ca="1" si="49"/>
        <v>27.981228910005822</v>
      </c>
      <c r="BJ35" s="243">
        <f t="shared" ca="1" si="50"/>
        <v>18.899714643374043</v>
      </c>
      <c r="BK35" s="242">
        <f t="shared" ca="1" si="51"/>
        <v>46.880943553379865</v>
      </c>
      <c r="BL35" s="241">
        <f t="shared" ca="1" si="52"/>
        <v>20.14648481520419</v>
      </c>
      <c r="BM35" s="243">
        <f t="shared" ca="1" si="53"/>
        <v>8.3725735870147009</v>
      </c>
      <c r="BN35" s="243">
        <f t="shared" si="17"/>
        <v>0</v>
      </c>
      <c r="BO35" s="242">
        <f t="shared" ca="1" si="18"/>
        <v>28.519058402218892</v>
      </c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</row>
    <row r="36" spans="1:80" ht="12" customHeight="1" x14ac:dyDescent="0.15">
      <c r="A36" s="213">
        <f t="shared" si="19"/>
        <v>30</v>
      </c>
      <c r="B36" s="67">
        <f t="shared" si="20"/>
        <v>120</v>
      </c>
      <c r="C36" s="224">
        <f t="shared" si="21"/>
        <v>27.69230769230769</v>
      </c>
      <c r="D36" s="225">
        <f ca="1">IFERROR(OFFSET(extrapolation!P45,0,OS_dist_choice-1,1,1),0)</f>
        <v>0.61153565240768226</v>
      </c>
      <c r="E36" s="225">
        <f ca="1">IFERROR(OFFSET(extrapolation!D45,0,PFS_dist_choice-1,1,1),0)</f>
        <v>0.35966440552756285</v>
      </c>
      <c r="F36" s="214"/>
      <c r="G36" s="226">
        <f t="shared" ca="1" si="22"/>
        <v>359.66440552756285</v>
      </c>
      <c r="H36" s="224">
        <f t="shared" ca="1" si="23"/>
        <v>251.87124688011943</v>
      </c>
      <c r="I36" s="224">
        <f t="shared" ca="1" si="0"/>
        <v>388.46434759231772</v>
      </c>
      <c r="J36" s="227">
        <f t="shared" ca="1" si="1"/>
        <v>1000</v>
      </c>
      <c r="K36" s="238">
        <f t="shared" ca="1" si="24"/>
        <v>11.62013967015298</v>
      </c>
      <c r="L36" s="239">
        <f t="shared" ca="1" si="25"/>
        <v>13.683823073386293</v>
      </c>
      <c r="M36" s="238">
        <f t="shared" ca="1" si="26"/>
        <v>365.47447536263934</v>
      </c>
      <c r="N36" s="238">
        <f t="shared" ca="1" si="27"/>
        <v>252.90308858173609</v>
      </c>
      <c r="O36" s="239">
        <f t="shared" ca="1" si="28"/>
        <v>381.62243605562458</v>
      </c>
      <c r="P36" s="217"/>
      <c r="Q36" s="217"/>
      <c r="R36" s="224"/>
      <c r="S36" s="230">
        <f t="shared" ca="1" si="29"/>
        <v>5472681.4900786895</v>
      </c>
      <c r="T36" s="231">
        <f t="shared" ca="1" si="30"/>
        <v>34071.900700527607</v>
      </c>
      <c r="U36" s="231">
        <f t="shared" ca="1" si="31"/>
        <v>56317.911105831023</v>
      </c>
      <c r="V36" s="231"/>
      <c r="W36" s="231">
        <f t="shared" ca="1" si="32"/>
        <v>137631.83982996418</v>
      </c>
      <c r="X36" s="231">
        <f t="shared" ca="1" si="33"/>
        <v>17203.979978745523</v>
      </c>
      <c r="Y36" s="231"/>
      <c r="Z36" s="232">
        <f t="shared" ca="1" si="2"/>
        <v>5717907.1216937583</v>
      </c>
      <c r="AA36" s="231">
        <f t="shared" ca="1" si="3"/>
        <v>7943.096092451462</v>
      </c>
      <c r="AB36" s="231">
        <f t="shared" ca="1" si="34"/>
        <v>63727.711602975141</v>
      </c>
      <c r="AC36" s="231">
        <f t="shared" ca="1" si="35"/>
        <v>342861.32415767224</v>
      </c>
      <c r="AD36" s="231">
        <f t="shared" ca="1" si="36"/>
        <v>11904.907088808062</v>
      </c>
      <c r="AE36" s="231">
        <f t="shared" ca="1" si="4"/>
        <v>392048.64527213317</v>
      </c>
      <c r="AF36" s="231">
        <f t="shared" ca="1" si="5"/>
        <v>818485.68421404017</v>
      </c>
      <c r="AG36" s="232">
        <f t="shared" ca="1" si="6"/>
        <v>6536392.8059077989</v>
      </c>
      <c r="AH36" s="244">
        <f t="shared" ca="1" si="37"/>
        <v>28.017208241352229</v>
      </c>
      <c r="AI36" s="243">
        <f t="shared" ca="1" si="38"/>
        <v>19.387505763966079</v>
      </c>
      <c r="AJ36" s="242">
        <f t="shared" ca="1" si="39"/>
        <v>47.404714005318311</v>
      </c>
      <c r="AK36" s="241">
        <f t="shared" ca="1" si="40"/>
        <v>20.172389933773605</v>
      </c>
      <c r="AL36" s="243">
        <f t="shared" ca="1" si="41"/>
        <v>8.5886650534369728</v>
      </c>
      <c r="AM36" s="243"/>
      <c r="AN36" s="242">
        <f t="shared" ca="1" si="7"/>
        <v>28.761054987210578</v>
      </c>
      <c r="AO36" s="224"/>
      <c r="AP36" s="235">
        <f t="shared" si="42"/>
        <v>2.3076923076923075</v>
      </c>
      <c r="AQ36" s="235">
        <f t="shared" si="8"/>
        <v>0.93406185171084954</v>
      </c>
      <c r="AR36" s="235">
        <f t="shared" si="9"/>
        <v>0.96622520881322549</v>
      </c>
      <c r="AT36" s="230">
        <f t="shared" ca="1" si="10"/>
        <v>5111823.0064465916</v>
      </c>
      <c r="AU36" s="231">
        <f t="shared" ca="1" si="11"/>
        <v>31825.262659643009</v>
      </c>
      <c r="AV36" s="231">
        <f t="shared" ca="1" si="43"/>
        <v>52604.412331999541</v>
      </c>
      <c r="AW36" s="231"/>
      <c r="AX36" s="231">
        <f t="shared" ca="1" si="44"/>
        <v>128556.65116594741</v>
      </c>
      <c r="AY36" s="231">
        <f t="shared" ca="1" si="45"/>
        <v>16069.581395743426</v>
      </c>
      <c r="AZ36" s="231"/>
      <c r="BA36" s="232">
        <f t="shared" ca="1" si="12"/>
        <v>5340878.9139999254</v>
      </c>
      <c r="BB36" s="231">
        <f t="shared" ca="1" si="13"/>
        <v>7419.3430444324258</v>
      </c>
      <c r="BC36" s="231">
        <f t="shared" ca="1" si="46"/>
        <v>59525.624305169949</v>
      </c>
      <c r="BD36" s="231">
        <f t="shared" ca="1" si="47"/>
        <v>320253.68332274916</v>
      </c>
      <c r="BE36" s="231">
        <f t="shared" ca="1" si="48"/>
        <v>11119.919559817678</v>
      </c>
      <c r="BF36" s="231">
        <f t="shared" ca="1" si="14"/>
        <v>366197.68356361869</v>
      </c>
      <c r="BG36" s="231">
        <f t="shared" ca="1" si="15"/>
        <v>764516.25379578804</v>
      </c>
      <c r="BH36" s="232">
        <f t="shared" ca="1" si="16"/>
        <v>6105395.167795714</v>
      </c>
      <c r="BI36" s="244">
        <f t="shared" ca="1" si="49"/>
        <v>27.070932883364179</v>
      </c>
      <c r="BJ36" s="243">
        <f t="shared" ca="1" si="50"/>
        <v>18.732696805155737</v>
      </c>
      <c r="BK36" s="242">
        <f t="shared" ca="1" si="51"/>
        <v>45.803629688519919</v>
      </c>
      <c r="BL36" s="241">
        <f t="shared" ca="1" si="52"/>
        <v>19.491071676022209</v>
      </c>
      <c r="BM36" s="243">
        <f t="shared" ca="1" si="53"/>
        <v>8.2985846846839912</v>
      </c>
      <c r="BN36" s="243">
        <f t="shared" si="17"/>
        <v>0</v>
      </c>
      <c r="BO36" s="242">
        <f t="shared" ca="1" si="18"/>
        <v>27.7896563607062</v>
      </c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</row>
    <row r="37" spans="1:80" ht="12" customHeight="1" x14ac:dyDescent="0.15">
      <c r="A37" s="213">
        <f t="shared" si="19"/>
        <v>31</v>
      </c>
      <c r="B37" s="67">
        <f t="shared" si="20"/>
        <v>124</v>
      </c>
      <c r="C37" s="224">
        <f t="shared" si="21"/>
        <v>28.615384615384613</v>
      </c>
      <c r="D37" s="225">
        <f ca="1">IFERROR(OFFSET(extrapolation!P46,0,OS_dist_choice-1,1,1),0)</f>
        <v>0.59813090334627939</v>
      </c>
      <c r="E37" s="225">
        <f ca="1">IFERROR(OFFSET(extrapolation!D46,0,PFS_dist_choice-1,1,1),0)</f>
        <v>0.34849577123984377</v>
      </c>
      <c r="F37" s="214"/>
      <c r="G37" s="226">
        <f t="shared" ca="1" si="22"/>
        <v>348.49577123984375</v>
      </c>
      <c r="H37" s="224">
        <f t="shared" ca="1" si="23"/>
        <v>249.63513210643566</v>
      </c>
      <c r="I37" s="224">
        <f t="shared" ca="1" si="0"/>
        <v>401.86909665372059</v>
      </c>
      <c r="J37" s="227">
        <f t="shared" ca="1" si="1"/>
        <v>1000</v>
      </c>
      <c r="K37" s="238">
        <f t="shared" ca="1" si="24"/>
        <v>11.168634287719101</v>
      </c>
      <c r="L37" s="239">
        <f t="shared" ca="1" si="25"/>
        <v>13.404749061402867</v>
      </c>
      <c r="M37" s="238">
        <f t="shared" ca="1" si="26"/>
        <v>354.0800883837033</v>
      </c>
      <c r="N37" s="238">
        <f t="shared" ca="1" si="27"/>
        <v>250.75318949327755</v>
      </c>
      <c r="O37" s="239">
        <f t="shared" ca="1" si="28"/>
        <v>395.16672212301916</v>
      </c>
      <c r="P37" s="217"/>
      <c r="Q37" s="217"/>
      <c r="R37" s="224"/>
      <c r="S37" s="230">
        <f t="shared" ca="1" si="29"/>
        <v>5302738.6845174804</v>
      </c>
      <c r="T37" s="231">
        <f t="shared" ca="1" si="30"/>
        <v>33013.868288747813</v>
      </c>
      <c r="U37" s="231">
        <f t="shared" ca="1" si="31"/>
        <v>54562.089246182884</v>
      </c>
      <c r="V37" s="231"/>
      <c r="W37" s="231">
        <f t="shared" ca="1" si="32"/>
        <v>133340.89600388851</v>
      </c>
      <c r="X37" s="231">
        <f t="shared" ca="1" si="33"/>
        <v>16667.612000486064</v>
      </c>
      <c r="Y37" s="231"/>
      <c r="Z37" s="232">
        <f t="shared" ca="1" si="2"/>
        <v>5540323.1500567859</v>
      </c>
      <c r="AA37" s="231">
        <f t="shared" ca="1" si="3"/>
        <v>7634.4637747054794</v>
      </c>
      <c r="AB37" s="231">
        <f t="shared" ca="1" si="34"/>
        <v>63185.969903207384</v>
      </c>
      <c r="AC37" s="231">
        <f t="shared" ca="1" si="35"/>
        <v>339946.70080369117</v>
      </c>
      <c r="AD37" s="231">
        <f t="shared" ca="1" si="36"/>
        <v>11803.704889017054</v>
      </c>
      <c r="AE37" s="231">
        <f t="shared" ca="1" si="4"/>
        <v>384053.02973822923</v>
      </c>
      <c r="AF37" s="231">
        <f t="shared" ca="1" si="5"/>
        <v>806623.86910885037</v>
      </c>
      <c r="AG37" s="232">
        <f t="shared" ca="1" si="6"/>
        <v>6346947.019165636</v>
      </c>
      <c r="AH37" s="244">
        <f t="shared" ca="1" si="37"/>
        <v>27.143716563295531</v>
      </c>
      <c r="AI37" s="243">
        <f t="shared" ca="1" si="38"/>
        <v>19.222694882441534</v>
      </c>
      <c r="AJ37" s="242">
        <f t="shared" ca="1" si="39"/>
        <v>46.366411445737064</v>
      </c>
      <c r="AK37" s="241">
        <f t="shared" ca="1" si="40"/>
        <v>19.543475925572782</v>
      </c>
      <c r="AL37" s="243">
        <f t="shared" ca="1" si="41"/>
        <v>8.5156538329215987</v>
      </c>
      <c r="AM37" s="243"/>
      <c r="AN37" s="242">
        <f t="shared" ca="1" si="7"/>
        <v>28.059129758494379</v>
      </c>
      <c r="AO37" s="224"/>
      <c r="AP37" s="235">
        <f t="shared" si="42"/>
        <v>2.3846153846153846</v>
      </c>
      <c r="AQ37" s="235">
        <f t="shared" si="8"/>
        <v>0.93194043752290512</v>
      </c>
      <c r="AR37" s="235">
        <f t="shared" si="9"/>
        <v>0.96511924588880471</v>
      </c>
      <c r="AT37" s="230">
        <f t="shared" ca="1" si="10"/>
        <v>4941836.6097188555</v>
      </c>
      <c r="AU37" s="231">
        <f t="shared" ca="1" si="11"/>
        <v>30766.958857339199</v>
      </c>
      <c r="AV37" s="231">
        <f t="shared" ca="1" si="43"/>
        <v>50848.617324251471</v>
      </c>
      <c r="AW37" s="231"/>
      <c r="AX37" s="231">
        <f t="shared" ca="1" si="44"/>
        <v>124265.77296156005</v>
      </c>
      <c r="AY37" s="231">
        <f t="shared" ca="1" si="45"/>
        <v>15533.221620195007</v>
      </c>
      <c r="AZ37" s="231"/>
      <c r="BA37" s="232">
        <f t="shared" ca="1" si="12"/>
        <v>5163251.1804822013</v>
      </c>
      <c r="BB37" s="231">
        <f t="shared" ca="1" si="13"/>
        <v>7114.8655104517939</v>
      </c>
      <c r="BC37" s="231">
        <f t="shared" ca="1" si="46"/>
        <v>58885.560436904205</v>
      </c>
      <c r="BD37" s="231">
        <f t="shared" ca="1" si="47"/>
        <v>316810.0770814601</v>
      </c>
      <c r="BE37" s="231">
        <f t="shared" ca="1" si="48"/>
        <v>11000.349898661807</v>
      </c>
      <c r="BF37" s="231">
        <f t="shared" ca="1" si="14"/>
        <v>357914.54856624262</v>
      </c>
      <c r="BG37" s="231">
        <f t="shared" ca="1" si="15"/>
        <v>751725.40149372059</v>
      </c>
      <c r="BH37" s="232">
        <f t="shared" ca="1" si="16"/>
        <v>5914976.5819759211</v>
      </c>
      <c r="BI37" s="244">
        <f t="shared" ca="1" si="49"/>
        <v>26.196923260187241</v>
      </c>
      <c r="BJ37" s="243">
        <f t="shared" ca="1" si="50"/>
        <v>18.552192788892558</v>
      </c>
      <c r="BK37" s="242">
        <f t="shared" ca="1" si="51"/>
        <v>44.749116049079802</v>
      </c>
      <c r="BL37" s="241">
        <f t="shared" ca="1" si="52"/>
        <v>18.861784747334813</v>
      </c>
      <c r="BM37" s="243">
        <f t="shared" ca="1" si="53"/>
        <v>8.2186214054794036</v>
      </c>
      <c r="BN37" s="243">
        <f t="shared" si="17"/>
        <v>0</v>
      </c>
      <c r="BO37" s="242">
        <f t="shared" ca="1" si="18"/>
        <v>27.080406152814213</v>
      </c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</row>
    <row r="38" spans="1:80" ht="12" customHeight="1" x14ac:dyDescent="0.15">
      <c r="A38" s="213">
        <f t="shared" si="19"/>
        <v>32</v>
      </c>
      <c r="B38" s="67">
        <f t="shared" si="20"/>
        <v>128</v>
      </c>
      <c r="C38" s="224">
        <f t="shared" si="21"/>
        <v>29.53846153846154</v>
      </c>
      <c r="D38" s="225">
        <f ca="1">IFERROR(OFFSET(extrapolation!P47,0,OS_dist_choice-1,1,1),0)</f>
        <v>0.58501023566229793</v>
      </c>
      <c r="E38" s="225">
        <f ca="1">IFERROR(OFFSET(extrapolation!D47,0,PFS_dist_choice-1,1,1),0)</f>
        <v>0.33775733306147515</v>
      </c>
      <c r="F38" s="214"/>
      <c r="G38" s="226">
        <f t="shared" ca="1" si="22"/>
        <v>337.75733306147515</v>
      </c>
      <c r="H38" s="224">
        <f t="shared" ca="1" si="23"/>
        <v>247.25290260082278</v>
      </c>
      <c r="I38" s="224">
        <f t="shared" ca="1" si="0"/>
        <v>414.98976433770207</v>
      </c>
      <c r="J38" s="227">
        <f t="shared" ca="1" si="1"/>
        <v>1000</v>
      </c>
      <c r="K38" s="238">
        <f t="shared" ca="1" si="24"/>
        <v>10.738438178368597</v>
      </c>
      <c r="L38" s="239">
        <f t="shared" ca="1" si="25"/>
        <v>13.12066768398148</v>
      </c>
      <c r="M38" s="238">
        <f t="shared" ca="1" si="26"/>
        <v>343.12655215065945</v>
      </c>
      <c r="N38" s="238">
        <f t="shared" ca="1" si="27"/>
        <v>248.44401735362922</v>
      </c>
      <c r="O38" s="239">
        <f t="shared" ca="1" si="28"/>
        <v>408.42943049571136</v>
      </c>
      <c r="P38" s="217"/>
      <c r="Q38" s="217"/>
      <c r="R38" s="224"/>
      <c r="S38" s="230">
        <f t="shared" ca="1" si="29"/>
        <v>5139341.776322159</v>
      </c>
      <c r="T38" s="231">
        <f t="shared" ca="1" si="30"/>
        <v>31996.58942081132</v>
      </c>
      <c r="U38" s="231">
        <f t="shared" ca="1" si="31"/>
        <v>52874.200429173245</v>
      </c>
      <c r="V38" s="231"/>
      <c r="W38" s="231">
        <f t="shared" ca="1" si="32"/>
        <v>129215.96951510393</v>
      </c>
      <c r="X38" s="231">
        <f t="shared" ca="1" si="33"/>
        <v>16151.996189387992</v>
      </c>
      <c r="Y38" s="231"/>
      <c r="Z38" s="232">
        <f t="shared" ca="1" si="2"/>
        <v>5369580.5318766357</v>
      </c>
      <c r="AA38" s="231">
        <f t="shared" ca="1" si="3"/>
        <v>7340.3976849538385</v>
      </c>
      <c r="AB38" s="231">
        <f t="shared" ca="1" si="34"/>
        <v>62604.093829718571</v>
      </c>
      <c r="AC38" s="231">
        <f t="shared" ca="1" si="35"/>
        <v>336816.1505919568</v>
      </c>
      <c r="AD38" s="231">
        <f t="shared" ca="1" si="36"/>
        <v>11695.005228887389</v>
      </c>
      <c r="AE38" s="231">
        <f t="shared" ca="1" si="4"/>
        <v>375913.95058119838</v>
      </c>
      <c r="AF38" s="231">
        <f t="shared" ca="1" si="5"/>
        <v>794369.59791671496</v>
      </c>
      <c r="AG38" s="232">
        <f t="shared" ca="1" si="6"/>
        <v>6163950.1297933506</v>
      </c>
      <c r="AH38" s="244">
        <f t="shared" ca="1" si="37"/>
        <v>26.304020424964996</v>
      </c>
      <c r="AI38" s="243">
        <f t="shared" ca="1" si="38"/>
        <v>19.045674157157066</v>
      </c>
      <c r="AJ38" s="242">
        <f t="shared" ca="1" si="39"/>
        <v>45.349694582122062</v>
      </c>
      <c r="AK38" s="241">
        <f t="shared" ca="1" si="40"/>
        <v>18.938894705974796</v>
      </c>
      <c r="AL38" s="243">
        <f t="shared" ca="1" si="41"/>
        <v>8.4372336516205806</v>
      </c>
      <c r="AM38" s="243"/>
      <c r="AN38" s="242">
        <f t="shared" ca="1" si="7"/>
        <v>27.376128357595377</v>
      </c>
      <c r="AO38" s="224"/>
      <c r="AP38" s="235">
        <f t="shared" si="42"/>
        <v>2.4615384615384617</v>
      </c>
      <c r="AQ38" s="235">
        <f t="shared" si="8"/>
        <v>0.92982384142933927</v>
      </c>
      <c r="AR38" s="235">
        <f t="shared" si="9"/>
        <v>0.96401454887421423</v>
      </c>
      <c r="AT38" s="230">
        <f t="shared" ca="1" si="10"/>
        <v>4778682.5128781544</v>
      </c>
      <c r="AU38" s="231">
        <f t="shared" ca="1" si="11"/>
        <v>29751.191687896138</v>
      </c>
      <c r="AV38" s="231">
        <f t="shared" ca="1" si="43"/>
        <v>49163.692155558689</v>
      </c>
      <c r="AW38" s="231"/>
      <c r="AX38" s="231">
        <f t="shared" ca="1" si="44"/>
        <v>120148.08914855034</v>
      </c>
      <c r="AY38" s="231">
        <f t="shared" ca="1" si="45"/>
        <v>15018.511143568792</v>
      </c>
      <c r="AZ38" s="231"/>
      <c r="BA38" s="232">
        <f t="shared" ca="1" si="12"/>
        <v>4992763.9970137281</v>
      </c>
      <c r="BB38" s="231">
        <f t="shared" ca="1" si="13"/>
        <v>6825.2767730428068</v>
      </c>
      <c r="BC38" s="231">
        <f t="shared" ca="1" si="46"/>
        <v>58210.779013951716</v>
      </c>
      <c r="BD38" s="231">
        <f t="shared" ca="1" si="47"/>
        <v>313179.68699885608</v>
      </c>
      <c r="BE38" s="231">
        <f t="shared" ca="1" si="48"/>
        <v>10874.29468746028</v>
      </c>
      <c r="BF38" s="231">
        <f t="shared" ca="1" si="14"/>
        <v>349533.7535762887</v>
      </c>
      <c r="BG38" s="231">
        <f t="shared" ca="1" si="15"/>
        <v>738623.79104959953</v>
      </c>
      <c r="BH38" s="232">
        <f t="shared" ca="1" si="16"/>
        <v>5731387.7880633278</v>
      </c>
      <c r="BI38" s="244">
        <f t="shared" ca="1" si="49"/>
        <v>25.357458383550746</v>
      </c>
      <c r="BJ38" s="243">
        <f t="shared" ca="1" si="50"/>
        <v>18.36030698061705</v>
      </c>
      <c r="BK38" s="242">
        <f t="shared" ca="1" si="51"/>
        <v>43.717765364167796</v>
      </c>
      <c r="BL38" s="241">
        <f t="shared" ca="1" si="52"/>
        <v>18.257370036156537</v>
      </c>
      <c r="BM38" s="243">
        <f t="shared" ca="1" si="53"/>
        <v>8.133615992413354</v>
      </c>
      <c r="BN38" s="243">
        <f t="shared" si="17"/>
        <v>0</v>
      </c>
      <c r="BO38" s="242">
        <f t="shared" ca="1" si="18"/>
        <v>26.390986028569891</v>
      </c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</row>
    <row r="39" spans="1:80" ht="12" customHeight="1" x14ac:dyDescent="0.15">
      <c r="A39" s="213">
        <f t="shared" si="19"/>
        <v>33</v>
      </c>
      <c r="B39" s="67">
        <f t="shared" si="20"/>
        <v>132</v>
      </c>
      <c r="C39" s="224">
        <f t="shared" si="21"/>
        <v>30.46153846153846</v>
      </c>
      <c r="D39" s="225">
        <f ca="1">IFERROR(OFFSET(extrapolation!P48,0,OS_dist_choice-1,1,1),0)</f>
        <v>0.5721770489073037</v>
      </c>
      <c r="E39" s="225">
        <f ca="1">IFERROR(OFFSET(extrapolation!D48,0,PFS_dist_choice-1,1,1),0)</f>
        <v>0.3274289505296466</v>
      </c>
      <c r="F39" s="214"/>
      <c r="G39" s="226">
        <f t="shared" ca="1" si="22"/>
        <v>327.42895052964661</v>
      </c>
      <c r="H39" s="224">
        <f t="shared" ca="1" si="23"/>
        <v>244.74809837765707</v>
      </c>
      <c r="I39" s="224">
        <f t="shared" ca="1" si="0"/>
        <v>427.82295109269631</v>
      </c>
      <c r="J39" s="227">
        <f t="shared" ca="1" si="1"/>
        <v>1000</v>
      </c>
      <c r="K39" s="238">
        <f t="shared" ca="1" si="24"/>
        <v>10.328382531828538</v>
      </c>
      <c r="L39" s="239">
        <f t="shared" ca="1" si="25"/>
        <v>12.833186754994244</v>
      </c>
      <c r="M39" s="238">
        <f t="shared" ca="1" si="26"/>
        <v>332.59314179556088</v>
      </c>
      <c r="N39" s="238">
        <f t="shared" ca="1" si="27"/>
        <v>246.00050048923993</v>
      </c>
      <c r="O39" s="239">
        <f t="shared" ca="1" si="28"/>
        <v>421.40635771519919</v>
      </c>
      <c r="P39" s="217"/>
      <c r="Q39" s="217"/>
      <c r="R39" s="224"/>
      <c r="S39" s="230">
        <f t="shared" ca="1" si="29"/>
        <v>4982184.3066485068</v>
      </c>
      <c r="T39" s="231">
        <f t="shared" ca="1" si="30"/>
        <v>31018.156140750314</v>
      </c>
      <c r="U39" s="231">
        <f t="shared" ca="1" si="31"/>
        <v>51251.051049367547</v>
      </c>
      <c r="V39" s="231"/>
      <c r="W39" s="231">
        <f t="shared" ca="1" si="32"/>
        <v>125249.25570993951</v>
      </c>
      <c r="X39" s="231">
        <f t="shared" ca="1" si="33"/>
        <v>15656.156963742438</v>
      </c>
      <c r="Y39" s="231"/>
      <c r="Z39" s="232">
        <f t="shared" ca="1" si="2"/>
        <v>5205358.9265123066</v>
      </c>
      <c r="AA39" s="231">
        <f t="shared" ca="1" si="3"/>
        <v>7060.0988678848762</v>
      </c>
      <c r="AB39" s="231">
        <f t="shared" ca="1" si="34"/>
        <v>61988.364939636318</v>
      </c>
      <c r="AC39" s="231">
        <f t="shared" ca="1" si="35"/>
        <v>333503.46891446377</v>
      </c>
      <c r="AD39" s="231">
        <f t="shared" ca="1" si="36"/>
        <v>11579.981559529992</v>
      </c>
      <c r="AE39" s="231">
        <f t="shared" ca="1" si="4"/>
        <v>367677.47250437905</v>
      </c>
      <c r="AF39" s="231">
        <f t="shared" ca="1" si="5"/>
        <v>781809.38678589405</v>
      </c>
      <c r="AG39" s="232">
        <f t="shared" ca="1" si="6"/>
        <v>5987168.3132982003</v>
      </c>
      <c r="AH39" s="244">
        <f t="shared" ca="1" si="37"/>
        <v>25.49653106167202</v>
      </c>
      <c r="AI39" s="243">
        <f t="shared" ca="1" si="38"/>
        <v>18.858354589181978</v>
      </c>
      <c r="AJ39" s="242">
        <f t="shared" ca="1" si="39"/>
        <v>44.354885650854001</v>
      </c>
      <c r="AK39" s="241">
        <f t="shared" ca="1" si="40"/>
        <v>18.357502364403853</v>
      </c>
      <c r="AL39" s="243">
        <f t="shared" ca="1" si="41"/>
        <v>8.3542510830076164</v>
      </c>
      <c r="AM39" s="243"/>
      <c r="AN39" s="242">
        <f t="shared" ca="1" si="7"/>
        <v>26.711753447411468</v>
      </c>
      <c r="AO39" s="224"/>
      <c r="AP39" s="235">
        <f t="shared" si="42"/>
        <v>2.5384615384615383</v>
      </c>
      <c r="AQ39" s="235">
        <f t="shared" si="8"/>
        <v>0.92771205248743538</v>
      </c>
      <c r="AR39" s="235">
        <f t="shared" si="9"/>
        <v>0.96291111632046555</v>
      </c>
      <c r="AT39" s="230">
        <f t="shared" ca="1" si="10"/>
        <v>4622032.4289915767</v>
      </c>
      <c r="AU39" s="231">
        <f t="shared" ca="1" si="11"/>
        <v>28775.917297711221</v>
      </c>
      <c r="AV39" s="231">
        <f t="shared" ca="1" si="43"/>
        <v>47546.217761147098</v>
      </c>
      <c r="AW39" s="231"/>
      <c r="AX39" s="231">
        <f t="shared" ca="1" si="44"/>
        <v>116195.24408719162</v>
      </c>
      <c r="AY39" s="231">
        <f t="shared" ca="1" si="45"/>
        <v>14524.405510898952</v>
      </c>
      <c r="AZ39" s="231"/>
      <c r="BA39" s="232">
        <f t="shared" ca="1" si="12"/>
        <v>4829074.2136485251</v>
      </c>
      <c r="BB39" s="231">
        <f t="shared" ca="1" si="13"/>
        <v>6549.7388114896976</v>
      </c>
      <c r="BC39" s="231">
        <f t="shared" ca="1" si="46"/>
        <v>57507.353268490187</v>
      </c>
      <c r="BD39" s="231">
        <f t="shared" ca="1" si="47"/>
        <v>309395.18765831681</v>
      </c>
      <c r="BE39" s="231">
        <f t="shared" ca="1" si="48"/>
        <v>10742.888460358221</v>
      </c>
      <c r="BF39" s="231">
        <f t="shared" ca="1" si="14"/>
        <v>341098.82267043006</v>
      </c>
      <c r="BG39" s="231">
        <f t="shared" ca="1" si="15"/>
        <v>725293.99086908496</v>
      </c>
      <c r="BH39" s="232">
        <f t="shared" ca="1" si="16"/>
        <v>5554368.2045176094</v>
      </c>
      <c r="BI39" s="244">
        <f t="shared" ca="1" si="49"/>
        <v>24.550893186894029</v>
      </c>
      <c r="BJ39" s="243">
        <f t="shared" ca="1" si="50"/>
        <v>18.158919269436392</v>
      </c>
      <c r="BK39" s="242">
        <f t="shared" ca="1" si="51"/>
        <v>42.709812456330425</v>
      </c>
      <c r="BL39" s="241">
        <f t="shared" ca="1" si="52"/>
        <v>17.676643094563701</v>
      </c>
      <c r="BM39" s="243">
        <f t="shared" ca="1" si="53"/>
        <v>8.0444012363603221</v>
      </c>
      <c r="BN39" s="243">
        <f t="shared" si="17"/>
        <v>0</v>
      </c>
      <c r="BO39" s="242">
        <f t="shared" ca="1" si="18"/>
        <v>25.72104433092402</v>
      </c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</row>
    <row r="40" spans="1:80" ht="12" customHeight="1" x14ac:dyDescent="0.15">
      <c r="A40" s="213">
        <f t="shared" si="19"/>
        <v>34</v>
      </c>
      <c r="B40" s="67">
        <f t="shared" si="20"/>
        <v>136</v>
      </c>
      <c r="C40" s="224">
        <f t="shared" si="21"/>
        <v>31.384615384615387</v>
      </c>
      <c r="D40" s="225">
        <f ca="1">IFERROR(OFFSET(extrapolation!P49,0,OS_dist_choice-1,1,1),0)</f>
        <v>0.55963331921504311</v>
      </c>
      <c r="E40" s="225">
        <f ca="1">IFERROR(OFFSET(extrapolation!D49,0,PFS_dist_choice-1,1,1),0)</f>
        <v>0.31749158391050081</v>
      </c>
      <c r="F40" s="214"/>
      <c r="G40" s="226">
        <f t="shared" ca="1" si="22"/>
        <v>317.49158391050082</v>
      </c>
      <c r="H40" s="224">
        <f t="shared" ca="1" si="23"/>
        <v>242.14173530454229</v>
      </c>
      <c r="I40" s="224">
        <f t="shared" ca="1" si="0"/>
        <v>440.36668078495688</v>
      </c>
      <c r="J40" s="227">
        <f t="shared" ca="1" si="1"/>
        <v>1000</v>
      </c>
      <c r="K40" s="238">
        <f t="shared" ca="1" si="24"/>
        <v>9.9373666191457914</v>
      </c>
      <c r="L40" s="239">
        <f t="shared" ca="1" si="25"/>
        <v>12.54372969226057</v>
      </c>
      <c r="M40" s="238">
        <f t="shared" ca="1" si="26"/>
        <v>322.46026722007372</v>
      </c>
      <c r="N40" s="238">
        <f t="shared" ca="1" si="27"/>
        <v>243.44491684109968</v>
      </c>
      <c r="O40" s="239">
        <f t="shared" ca="1" si="28"/>
        <v>434.09481593882663</v>
      </c>
      <c r="P40" s="217"/>
      <c r="Q40" s="217"/>
      <c r="R40" s="224"/>
      <c r="S40" s="230">
        <f t="shared" ca="1" si="29"/>
        <v>4830976.5654294295</v>
      </c>
      <c r="T40" s="231">
        <f t="shared" ca="1" si="30"/>
        <v>30076.764767379267</v>
      </c>
      <c r="U40" s="231">
        <f t="shared" ca="1" si="31"/>
        <v>49689.622364032992</v>
      </c>
      <c r="V40" s="231"/>
      <c r="W40" s="231">
        <f t="shared" ca="1" si="32"/>
        <v>121433.37727080424</v>
      </c>
      <c r="X40" s="231">
        <f t="shared" ca="1" si="33"/>
        <v>15179.17215885053</v>
      </c>
      <c r="Y40" s="231"/>
      <c r="Z40" s="232">
        <f t="shared" ca="1" si="2"/>
        <v>5047355.5019904962</v>
      </c>
      <c r="AA40" s="231">
        <f t="shared" ca="1" si="3"/>
        <v>6792.8149060496935</v>
      </c>
      <c r="AB40" s="231">
        <f t="shared" ca="1" si="34"/>
        <v>61344.396933475233</v>
      </c>
      <c r="AC40" s="231">
        <f t="shared" ca="1" si="35"/>
        <v>330038.85802927928</v>
      </c>
      <c r="AD40" s="231">
        <f t="shared" ca="1" si="36"/>
        <v>11459.682570461086</v>
      </c>
      <c r="AE40" s="231">
        <f t="shared" ca="1" si="4"/>
        <v>359384.37716833234</v>
      </c>
      <c r="AF40" s="231">
        <f t="shared" ca="1" si="5"/>
        <v>769020.1296075976</v>
      </c>
      <c r="AG40" s="232">
        <f t="shared" ca="1" si="6"/>
        <v>5816375.6315980935</v>
      </c>
      <c r="AH40" s="244">
        <f t="shared" ca="1" si="37"/>
        <v>24.719746699964585</v>
      </c>
      <c r="AI40" s="243">
        <f t="shared" ca="1" si="38"/>
        <v>18.662444001507982</v>
      </c>
      <c r="AJ40" s="242">
        <f t="shared" ca="1" si="39"/>
        <v>43.382190701472567</v>
      </c>
      <c r="AK40" s="241">
        <f t="shared" ca="1" si="40"/>
        <v>17.798217623974502</v>
      </c>
      <c r="AL40" s="243">
        <f t="shared" ca="1" si="41"/>
        <v>8.2674626926680368</v>
      </c>
      <c r="AM40" s="243"/>
      <c r="AN40" s="242">
        <f t="shared" ca="1" si="7"/>
        <v>26.065680316642538</v>
      </c>
      <c r="AO40" s="224"/>
      <c r="AP40" s="235">
        <f t="shared" si="42"/>
        <v>2.6153846153846154</v>
      </c>
      <c r="AQ40" s="235">
        <f t="shared" si="8"/>
        <v>0.9256050597793305</v>
      </c>
      <c r="AR40" s="235">
        <f t="shared" si="9"/>
        <v>0.96180894678022866</v>
      </c>
      <c r="AT40" s="230">
        <f t="shared" ca="1" si="10"/>
        <v>4471576.3526368523</v>
      </c>
      <c r="AU40" s="231">
        <f t="shared" ca="1" si="11"/>
        <v>27839.205650478947</v>
      </c>
      <c r="AV40" s="231">
        <f t="shared" ca="1" si="43"/>
        <v>45992.965878673116</v>
      </c>
      <c r="AW40" s="231"/>
      <c r="AX40" s="231">
        <f t="shared" ca="1" si="44"/>
        <v>112399.34842794875</v>
      </c>
      <c r="AY40" s="231">
        <f t="shared" ca="1" si="45"/>
        <v>14049.918553493593</v>
      </c>
      <c r="AZ40" s="231"/>
      <c r="BA40" s="232">
        <f t="shared" ca="1" si="12"/>
        <v>4671857.7911474463</v>
      </c>
      <c r="BB40" s="231">
        <f t="shared" ca="1" si="13"/>
        <v>6287.4638471840535</v>
      </c>
      <c r="BC40" s="231">
        <f t="shared" ca="1" si="46"/>
        <v>56780.68419073632</v>
      </c>
      <c r="BD40" s="231">
        <f t="shared" ca="1" si="47"/>
        <v>305485.636915693</v>
      </c>
      <c r="BE40" s="231">
        <f t="shared" ca="1" si="48"/>
        <v>10607.140170683784</v>
      </c>
      <c r="BF40" s="231">
        <f t="shared" ca="1" si="14"/>
        <v>332647.99791265174</v>
      </c>
      <c r="BG40" s="231">
        <f t="shared" ca="1" si="15"/>
        <v>711808.92303694889</v>
      </c>
      <c r="BH40" s="232">
        <f t="shared" ca="1" si="16"/>
        <v>5383666.7141843941</v>
      </c>
      <c r="BI40" s="244">
        <f t="shared" ca="1" si="49"/>
        <v>23.77567353816697</v>
      </c>
      <c r="BJ40" s="243">
        <f t="shared" ca="1" si="50"/>
        <v>17.949705609435387</v>
      </c>
      <c r="BK40" s="242">
        <f t="shared" ca="1" si="51"/>
        <v>41.725379147602361</v>
      </c>
      <c r="BL40" s="241">
        <f t="shared" ca="1" si="52"/>
        <v>17.118484947480219</v>
      </c>
      <c r="BM40" s="243">
        <f t="shared" ca="1" si="53"/>
        <v>7.9517195849798776</v>
      </c>
      <c r="BN40" s="243">
        <f t="shared" si="17"/>
        <v>0</v>
      </c>
      <c r="BO40" s="242">
        <f t="shared" ca="1" si="18"/>
        <v>25.070204532460096</v>
      </c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</row>
    <row r="41" spans="1:80" ht="12" customHeight="1" x14ac:dyDescent="0.15">
      <c r="A41" s="213">
        <f t="shared" si="19"/>
        <v>35</v>
      </c>
      <c r="B41" s="67">
        <f t="shared" si="20"/>
        <v>140</v>
      </c>
      <c r="C41" s="224">
        <f t="shared" si="21"/>
        <v>32.307692307692307</v>
      </c>
      <c r="D41" s="225">
        <f ca="1">IFERROR(OFFSET(extrapolation!P50,0,OS_dist_choice-1,1,1),0)</f>
        <v>0.54737976841537372</v>
      </c>
      <c r="E41" s="225">
        <f ca="1">IFERROR(OFFSET(extrapolation!D50,0,PFS_dist_choice-1,1,1),0)</f>
        <v>0.30792722928294813</v>
      </c>
      <c r="F41" s="214"/>
      <c r="G41" s="226">
        <f t="shared" ca="1" si="22"/>
        <v>307.92722928294813</v>
      </c>
      <c r="H41" s="224">
        <f t="shared" ca="1" si="23"/>
        <v>239.45253913242561</v>
      </c>
      <c r="I41" s="224">
        <f t="shared" ca="1" si="0"/>
        <v>452.62023158462625</v>
      </c>
      <c r="J41" s="227">
        <f t="shared" ca="1" si="1"/>
        <v>1000</v>
      </c>
      <c r="K41" s="238">
        <f t="shared" ca="1" si="24"/>
        <v>9.5643546275526887</v>
      </c>
      <c r="L41" s="239">
        <f t="shared" ca="1" si="25"/>
        <v>12.25355079966937</v>
      </c>
      <c r="M41" s="238">
        <f t="shared" ca="1" si="26"/>
        <v>312.70940659672448</v>
      </c>
      <c r="N41" s="238">
        <f t="shared" ca="1" si="27"/>
        <v>240.79713721848395</v>
      </c>
      <c r="O41" s="239">
        <f t="shared" ca="1" si="28"/>
        <v>446.49345618479157</v>
      </c>
      <c r="P41" s="217"/>
      <c r="Q41" s="217"/>
      <c r="R41" s="224"/>
      <c r="S41" s="230">
        <f t="shared" ca="1" si="29"/>
        <v>4685444.6036052424</v>
      </c>
      <c r="T41" s="231">
        <f t="shared" ca="1" si="30"/>
        <v>29170.709744623804</v>
      </c>
      <c r="U41" s="231">
        <f t="shared" ca="1" si="31"/>
        <v>48187.060245991117</v>
      </c>
      <c r="V41" s="231"/>
      <c r="W41" s="231">
        <f t="shared" ca="1" si="32"/>
        <v>117761.35917382089</v>
      </c>
      <c r="X41" s="231">
        <f t="shared" ca="1" si="33"/>
        <v>14720.169896727612</v>
      </c>
      <c r="Y41" s="231"/>
      <c r="Z41" s="232">
        <f t="shared" ca="1" si="2"/>
        <v>4895283.9026664058</v>
      </c>
      <c r="AA41" s="231">
        <f t="shared" ca="1" si="3"/>
        <v>6537.837756293824</v>
      </c>
      <c r="AB41" s="231">
        <f t="shared" ca="1" si="34"/>
        <v>60677.196951361315</v>
      </c>
      <c r="AC41" s="231">
        <f t="shared" ca="1" si="35"/>
        <v>326449.25684022804</v>
      </c>
      <c r="AD41" s="231">
        <f t="shared" ca="1" si="36"/>
        <v>11335.043640285696</v>
      </c>
      <c r="AE41" s="231">
        <f t="shared" ca="1" si="4"/>
        <v>351070.60103158822</v>
      </c>
      <c r="AF41" s="231">
        <f t="shared" ca="1" si="5"/>
        <v>756069.93621975707</v>
      </c>
      <c r="AG41" s="232">
        <f t="shared" ca="1" si="6"/>
        <v>5651353.8388861632</v>
      </c>
      <c r="AH41" s="244">
        <f t="shared" ca="1" si="37"/>
        <v>23.972247459844723</v>
      </c>
      <c r="AI41" s="243">
        <f t="shared" ca="1" si="38"/>
        <v>18.459465686837923</v>
      </c>
      <c r="AJ41" s="242">
        <f t="shared" ca="1" si="39"/>
        <v>42.431713146682647</v>
      </c>
      <c r="AK41" s="241">
        <f t="shared" ca="1" si="40"/>
        <v>17.260018171088202</v>
      </c>
      <c r="AL41" s="243">
        <f t="shared" ca="1" si="41"/>
        <v>8.1775432992691997</v>
      </c>
      <c r="AM41" s="243"/>
      <c r="AN41" s="242">
        <f t="shared" ca="1" si="7"/>
        <v>25.437561470357402</v>
      </c>
      <c r="AO41" s="224"/>
      <c r="AP41" s="235">
        <f t="shared" si="42"/>
        <v>2.6923076923076925</v>
      </c>
      <c r="AQ41" s="235">
        <f t="shared" si="8"/>
        <v>0.92350285241195706</v>
      </c>
      <c r="AR41" s="235">
        <f t="shared" si="9"/>
        <v>0.96070803880782996</v>
      </c>
      <c r="AT41" s="230">
        <f t="shared" ca="1" si="10"/>
        <v>4327021.4562476529</v>
      </c>
      <c r="AU41" s="231">
        <f t="shared" ca="1" si="11"/>
        <v>26939.233656041353</v>
      </c>
      <c r="AV41" s="231">
        <f t="shared" ca="1" si="43"/>
        <v>44500.887586519617</v>
      </c>
      <c r="AW41" s="231"/>
      <c r="AX41" s="231">
        <f t="shared" ca="1" si="44"/>
        <v>108752.95110093258</v>
      </c>
      <c r="AY41" s="231">
        <f t="shared" ca="1" si="45"/>
        <v>13594.118887616572</v>
      </c>
      <c r="AZ41" s="231"/>
      <c r="BA41" s="232">
        <f t="shared" ca="1" si="12"/>
        <v>4520808.647478763</v>
      </c>
      <c r="BB41" s="231">
        <f t="shared" ca="1" si="13"/>
        <v>6037.711816543936</v>
      </c>
      <c r="BC41" s="231">
        <f t="shared" ca="1" si="46"/>
        <v>56035.564460944282</v>
      </c>
      <c r="BD41" s="231">
        <f t="shared" ca="1" si="47"/>
        <v>301476.81985971419</v>
      </c>
      <c r="BE41" s="231">
        <f t="shared" ca="1" si="48"/>
        <v>10467.945134017853</v>
      </c>
      <c r="BF41" s="231">
        <f t="shared" ca="1" si="14"/>
        <v>324214.70145065186</v>
      </c>
      <c r="BG41" s="231">
        <f t="shared" ca="1" si="15"/>
        <v>698232.74272187205</v>
      </c>
      <c r="BH41" s="232">
        <f t="shared" ca="1" si="16"/>
        <v>5219041.3902006354</v>
      </c>
      <c r="BI41" s="244">
        <f t="shared" ca="1" si="49"/>
        <v>23.030330842963409</v>
      </c>
      <c r="BJ41" s="243">
        <f t="shared" ca="1" si="50"/>
        <v>17.734157077442493</v>
      </c>
      <c r="BK41" s="242">
        <f t="shared" ca="1" si="51"/>
        <v>40.764487920405898</v>
      </c>
      <c r="BL41" s="241">
        <f t="shared" ca="1" si="52"/>
        <v>16.581838206933654</v>
      </c>
      <c r="BM41" s="243">
        <f t="shared" ca="1" si="53"/>
        <v>7.8562315853070244</v>
      </c>
      <c r="BN41" s="243">
        <f t="shared" si="17"/>
        <v>0</v>
      </c>
      <c r="BO41" s="242">
        <f t="shared" ca="1" si="18"/>
        <v>24.438069792240679</v>
      </c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</row>
    <row r="42" spans="1:80" ht="12" customHeight="1" x14ac:dyDescent="0.15">
      <c r="A42" s="213">
        <f t="shared" si="19"/>
        <v>36</v>
      </c>
      <c r="B42" s="67">
        <f t="shared" si="20"/>
        <v>144</v>
      </c>
      <c r="C42" s="224">
        <f t="shared" si="21"/>
        <v>33.230769230769226</v>
      </c>
      <c r="D42" s="225">
        <f ca="1">IFERROR(OFFSET(extrapolation!P51,0,OS_dist_choice-1,1,1),0)</f>
        <v>0.53541601852526377</v>
      </c>
      <c r="E42" s="225">
        <f ca="1">IFERROR(OFFSET(extrapolation!D51,0,PFS_dist_choice-1,1,1),0)</f>
        <v>0.29871885693968292</v>
      </c>
      <c r="F42" s="214"/>
      <c r="G42" s="226">
        <f t="shared" ca="1" si="22"/>
        <v>298.71885693968289</v>
      </c>
      <c r="H42" s="224">
        <f t="shared" ca="1" si="23"/>
        <v>236.69716158558094</v>
      </c>
      <c r="I42" s="224">
        <f t="shared" ca="1" si="0"/>
        <v>464.58398147473622</v>
      </c>
      <c r="J42" s="227">
        <f t="shared" ca="1" si="1"/>
        <v>1000</v>
      </c>
      <c r="K42" s="238">
        <f t="shared" ca="1" si="24"/>
        <v>9.2083723432652391</v>
      </c>
      <c r="L42" s="239">
        <f t="shared" ca="1" si="25"/>
        <v>11.963749890109966</v>
      </c>
      <c r="M42" s="238">
        <f t="shared" ca="1" si="26"/>
        <v>303.32304311131554</v>
      </c>
      <c r="N42" s="238">
        <f t="shared" ca="1" si="27"/>
        <v>238.07485035900328</v>
      </c>
      <c r="O42" s="239">
        <f t="shared" ca="1" si="28"/>
        <v>458.60210652968124</v>
      </c>
      <c r="P42" s="217"/>
      <c r="Q42" s="217"/>
      <c r="R42" s="224"/>
      <c r="S42" s="230">
        <f t="shared" ca="1" si="29"/>
        <v>4545329.2958287597</v>
      </c>
      <c r="T42" s="231">
        <f t="shared" ca="1" si="30"/>
        <v>28298.37780609625</v>
      </c>
      <c r="U42" s="231">
        <f t="shared" ca="1" si="31"/>
        <v>46740.665435919203</v>
      </c>
      <c r="V42" s="231"/>
      <c r="W42" s="231">
        <f t="shared" ca="1" si="32"/>
        <v>114226.60486703165</v>
      </c>
      <c r="X42" s="231">
        <f t="shared" ca="1" si="33"/>
        <v>14278.325608378957</v>
      </c>
      <c r="Y42" s="231"/>
      <c r="Z42" s="232">
        <f t="shared" ca="1" si="2"/>
        <v>4748873.2695461866</v>
      </c>
      <c r="AA42" s="231">
        <f t="shared" ca="1" si="3"/>
        <v>6294.5014822412459</v>
      </c>
      <c r="AB42" s="231">
        <f t="shared" ca="1" si="34"/>
        <v>59991.222284723408</v>
      </c>
      <c r="AC42" s="231">
        <f t="shared" ca="1" si="35"/>
        <v>322758.64601134165</v>
      </c>
      <c r="AD42" s="231">
        <f t="shared" ca="1" si="36"/>
        <v>11206.897430949361</v>
      </c>
      <c r="AE42" s="231">
        <f t="shared" ca="1" si="4"/>
        <v>342767.65430521843</v>
      </c>
      <c r="AF42" s="231">
        <f t="shared" ca="1" si="5"/>
        <v>743018.92151447409</v>
      </c>
      <c r="AG42" s="232">
        <f t="shared" ca="1" si="6"/>
        <v>5491892.1910606604</v>
      </c>
      <c r="AH42" s="244">
        <f t="shared" ca="1" si="37"/>
        <v>23.252690505453348</v>
      </c>
      <c r="AI42" s="243">
        <f t="shared" ca="1" si="38"/>
        <v>18.250775660649122</v>
      </c>
      <c r="AJ42" s="242">
        <f t="shared" ca="1" si="39"/>
        <v>41.50346616610247</v>
      </c>
      <c r="AK42" s="241">
        <f t="shared" ca="1" si="40"/>
        <v>16.741937163926409</v>
      </c>
      <c r="AL42" s="243">
        <f t="shared" ca="1" si="41"/>
        <v>8.0850936176675603</v>
      </c>
      <c r="AM42" s="243"/>
      <c r="AN42" s="242">
        <f t="shared" ca="1" si="7"/>
        <v>24.827030781593969</v>
      </c>
      <c r="AO42" s="224"/>
      <c r="AP42" s="235">
        <f t="shared" si="42"/>
        <v>2.7692307692307692</v>
      </c>
      <c r="AQ42" s="235">
        <f t="shared" si="8"/>
        <v>0.92140541951698829</v>
      </c>
      <c r="AR42" s="235">
        <f t="shared" si="9"/>
        <v>0.95960839095925077</v>
      </c>
      <c r="AT42" s="230">
        <f t="shared" ca="1" si="10"/>
        <v>4188091.0466659553</v>
      </c>
      <c r="AU42" s="231">
        <f t="shared" ca="1" si="11"/>
        <v>26074.278674076348</v>
      </c>
      <c r="AV42" s="231">
        <f t="shared" ca="1" si="43"/>
        <v>43067.102444486329</v>
      </c>
      <c r="AW42" s="231"/>
      <c r="AX42" s="231">
        <f t="shared" ca="1" si="44"/>
        <v>105249.01277750856</v>
      </c>
      <c r="AY42" s="231">
        <f t="shared" ca="1" si="45"/>
        <v>13156.12659718857</v>
      </c>
      <c r="AZ42" s="231"/>
      <c r="BA42" s="232">
        <f t="shared" ca="1" si="12"/>
        <v>4375637.5671592159</v>
      </c>
      <c r="BB42" s="231">
        <f t="shared" ca="1" si="13"/>
        <v>5799.7877788947999</v>
      </c>
      <c r="BC42" s="231">
        <f t="shared" ca="1" si="46"/>
        <v>55276.237336592465</v>
      </c>
      <c r="BD42" s="231">
        <f t="shared" ca="1" si="47"/>
        <v>297391.5656308154</v>
      </c>
      <c r="BE42" s="231">
        <f t="shared" ca="1" si="48"/>
        <v>10326.096028847754</v>
      </c>
      <c r="BF42" s="231">
        <f t="shared" ca="1" si="14"/>
        <v>315827.97431195382</v>
      </c>
      <c r="BG42" s="231">
        <f t="shared" ca="1" si="15"/>
        <v>684621.66108710424</v>
      </c>
      <c r="BH42" s="232">
        <f t="shared" ca="1" si="16"/>
        <v>5060259.22824632</v>
      </c>
      <c r="BI42" s="244">
        <f t="shared" ca="1" si="49"/>
        <v>22.313476921411535</v>
      </c>
      <c r="BJ42" s="243">
        <f t="shared" ca="1" si="50"/>
        <v>17.513597465473762</v>
      </c>
      <c r="BK42" s="242">
        <f t="shared" ca="1" si="51"/>
        <v>39.827074386885293</v>
      </c>
      <c r="BL42" s="241">
        <f t="shared" ca="1" si="52"/>
        <v>16.065703383416302</v>
      </c>
      <c r="BM42" s="243">
        <f t="shared" ca="1" si="53"/>
        <v>7.7585236772048756</v>
      </c>
      <c r="BN42" s="243">
        <f t="shared" si="17"/>
        <v>0</v>
      </c>
      <c r="BO42" s="242">
        <f t="shared" ca="1" si="18"/>
        <v>23.82422706062118</v>
      </c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</row>
    <row r="43" spans="1:80" ht="12" customHeight="1" x14ac:dyDescent="0.15">
      <c r="A43" s="213">
        <f t="shared" si="19"/>
        <v>37</v>
      </c>
      <c r="B43" s="67">
        <f t="shared" si="20"/>
        <v>148</v>
      </c>
      <c r="C43" s="224">
        <f t="shared" si="21"/>
        <v>34.153846153846153</v>
      </c>
      <c r="D43" s="225">
        <f ca="1">IFERROR(OFFSET(extrapolation!P52,0,OS_dist_choice-1,1,1),0)</f>
        <v>0.52374073236216534</v>
      </c>
      <c r="E43" s="225">
        <f ca="1">IFERROR(OFFSET(extrapolation!D52,0,PFS_dist_choice-1,1,1),0)</f>
        <v>0.28985035315132834</v>
      </c>
      <c r="F43" s="214"/>
      <c r="G43" s="226">
        <f t="shared" ca="1" si="22"/>
        <v>289.85035315132836</v>
      </c>
      <c r="H43" s="224">
        <f t="shared" ca="1" si="23"/>
        <v>233.89037921083695</v>
      </c>
      <c r="I43" s="224">
        <f t="shared" ca="1" si="0"/>
        <v>476.25926763783468</v>
      </c>
      <c r="J43" s="227">
        <f t="shared" ca="1" si="1"/>
        <v>1000</v>
      </c>
      <c r="K43" s="238">
        <f t="shared" ca="1" si="24"/>
        <v>8.8685037883545306</v>
      </c>
      <c r="L43" s="239">
        <f t="shared" ca="1" si="25"/>
        <v>11.675286163098463</v>
      </c>
      <c r="M43" s="238">
        <f t="shared" ca="1" si="26"/>
        <v>294.2846050455056</v>
      </c>
      <c r="N43" s="238">
        <f t="shared" ca="1" si="27"/>
        <v>235.29377039820895</v>
      </c>
      <c r="O43" s="239">
        <f t="shared" ca="1" si="28"/>
        <v>470.42162455628545</v>
      </c>
      <c r="P43" s="217"/>
      <c r="Q43" s="217"/>
      <c r="R43" s="224"/>
      <c r="S43" s="230">
        <f t="shared" ca="1" si="29"/>
        <v>4410385.4543440035</v>
      </c>
      <c r="T43" s="231">
        <f t="shared" ca="1" si="30"/>
        <v>27458.242458268756</v>
      </c>
      <c r="U43" s="231">
        <f t="shared" ca="1" si="31"/>
        <v>45347.884309355526</v>
      </c>
      <c r="V43" s="231"/>
      <c r="W43" s="231">
        <f t="shared" ca="1" si="32"/>
        <v>110822.87370645668</v>
      </c>
      <c r="X43" s="231">
        <f t="shared" ca="1" si="33"/>
        <v>13852.859213307085</v>
      </c>
      <c r="Y43" s="231"/>
      <c r="Z43" s="232">
        <f t="shared" ca="1" si="2"/>
        <v>4607867.3140313914</v>
      </c>
      <c r="AA43" s="231">
        <f t="shared" ca="1" si="3"/>
        <v>6062.1799553845176</v>
      </c>
      <c r="AB43" s="231">
        <f t="shared" ca="1" si="34"/>
        <v>59290.43265546178</v>
      </c>
      <c r="AC43" s="231">
        <f t="shared" ca="1" si="35"/>
        <v>318988.32923390088</v>
      </c>
      <c r="AD43" s="231">
        <f t="shared" ca="1" si="36"/>
        <v>11075.983653954891</v>
      </c>
      <c r="AE43" s="231">
        <f t="shared" ca="1" si="4"/>
        <v>334503.01855404716</v>
      </c>
      <c r="AF43" s="231">
        <f t="shared" ca="1" si="5"/>
        <v>729919.9440527492</v>
      </c>
      <c r="AG43" s="232">
        <f t="shared" ca="1" si="6"/>
        <v>5337787.2580841407</v>
      </c>
      <c r="AH43" s="244">
        <f t="shared" ca="1" si="37"/>
        <v>22.559805451811521</v>
      </c>
      <c r="AI43" s="243">
        <f t="shared" ca="1" si="38"/>
        <v>18.037578565776457</v>
      </c>
      <c r="AJ43" s="242">
        <f t="shared" ca="1" si="39"/>
        <v>40.597384017587977</v>
      </c>
      <c r="AK43" s="241">
        <f t="shared" ca="1" si="40"/>
        <v>16.243059925304294</v>
      </c>
      <c r="AL43" s="243">
        <f t="shared" ca="1" si="41"/>
        <v>7.9906473046389701</v>
      </c>
      <c r="AM43" s="243"/>
      <c r="AN43" s="242">
        <f t="shared" ca="1" si="7"/>
        <v>24.233707229943263</v>
      </c>
      <c r="AO43" s="224"/>
      <c r="AP43" s="235">
        <f t="shared" si="42"/>
        <v>2.8461538461538463</v>
      </c>
      <c r="AQ43" s="235">
        <f t="shared" si="8"/>
        <v>0.91931275025078074</v>
      </c>
      <c r="AR43" s="235">
        <f t="shared" si="9"/>
        <v>0.95851000179212531</v>
      </c>
      <c r="AT43" s="230">
        <f t="shared" ca="1" si="10"/>
        <v>4054523.5816990249</v>
      </c>
      <c r="AU43" s="231">
        <f t="shared" ca="1" si="11"/>
        <v>25242.71239136381</v>
      </c>
      <c r="AV43" s="231">
        <f t="shared" ca="1" si="43"/>
        <v>41688.888242487854</v>
      </c>
      <c r="AW43" s="231"/>
      <c r="AX43" s="231">
        <f t="shared" ca="1" si="44"/>
        <v>101880.88081777762</v>
      </c>
      <c r="AY43" s="231">
        <f t="shared" ca="1" si="45"/>
        <v>12735.110102222203</v>
      </c>
      <c r="AZ43" s="231"/>
      <c r="BA43" s="232">
        <f t="shared" ca="1" si="12"/>
        <v>4236071.1732528768</v>
      </c>
      <c r="BB43" s="231">
        <f t="shared" ca="1" si="13"/>
        <v>5573.0393272996962</v>
      </c>
      <c r="BC43" s="231">
        <f t="shared" ca="1" si="46"/>
        <v>54506.45070805127</v>
      </c>
      <c r="BD43" s="231">
        <f t="shared" ca="1" si="47"/>
        <v>293250.03824591893</v>
      </c>
      <c r="BE43" s="231">
        <f t="shared" ca="1" si="48"/>
        <v>10182.292994649963</v>
      </c>
      <c r="BF43" s="231">
        <f t="shared" ca="1" si="14"/>
        <v>307512.88995410904</v>
      </c>
      <c r="BG43" s="231">
        <f t="shared" ca="1" si="15"/>
        <v>671024.71123002889</v>
      </c>
      <c r="BH43" s="232">
        <f t="shared" ca="1" si="16"/>
        <v>4907095.8844829053</v>
      </c>
      <c r="BI43" s="244">
        <f t="shared" ca="1" si="49"/>
        <v>21.62379916404586</v>
      </c>
      <c r="BJ43" s="243">
        <f t="shared" ca="1" si="50"/>
        <v>17.289199463407993</v>
      </c>
      <c r="BK43" s="242">
        <f t="shared" ca="1" si="51"/>
        <v>38.912998627453852</v>
      </c>
      <c r="BL43" s="241">
        <f t="shared" ca="1" si="52"/>
        <v>15.569135398113017</v>
      </c>
      <c r="BM43" s="243">
        <f t="shared" ca="1" si="53"/>
        <v>7.6591153622897403</v>
      </c>
      <c r="BN43" s="243">
        <f t="shared" si="17"/>
        <v>0</v>
      </c>
      <c r="BO43" s="242">
        <f t="shared" ca="1" si="18"/>
        <v>23.228250760402759</v>
      </c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</row>
    <row r="44" spans="1:80" ht="12" customHeight="1" x14ac:dyDescent="0.15">
      <c r="A44" s="213">
        <f t="shared" si="19"/>
        <v>38</v>
      </c>
      <c r="B44" s="67">
        <f t="shared" si="20"/>
        <v>152</v>
      </c>
      <c r="C44" s="224">
        <f t="shared" si="21"/>
        <v>35.076923076923073</v>
      </c>
      <c r="D44" s="225">
        <f ca="1">IFERROR(OFFSET(extrapolation!P53,0,OS_dist_choice-1,1,1),0)</f>
        <v>0.51235174108108905</v>
      </c>
      <c r="E44" s="225">
        <f ca="1">IFERROR(OFFSET(extrapolation!D53,0,PFS_dist_choice-1,1,1),0)</f>
        <v>0.28130646526542458</v>
      </c>
      <c r="F44" s="214"/>
      <c r="G44" s="226">
        <f t="shared" ca="1" si="22"/>
        <v>281.30646526542455</v>
      </c>
      <c r="H44" s="224">
        <f t="shared" ca="1" si="23"/>
        <v>231.04527581566452</v>
      </c>
      <c r="I44" s="224">
        <f t="shared" ca="1" si="0"/>
        <v>487.64825891891093</v>
      </c>
      <c r="J44" s="227">
        <f t="shared" ca="1" si="1"/>
        <v>1000</v>
      </c>
      <c r="K44" s="238">
        <f t="shared" ca="1" si="24"/>
        <v>8.5438878859038141</v>
      </c>
      <c r="L44" s="239">
        <f t="shared" ca="1" si="25"/>
        <v>11.388991281076244</v>
      </c>
      <c r="M44" s="238">
        <f t="shared" ca="1" si="26"/>
        <v>285.57840920837646</v>
      </c>
      <c r="N44" s="238">
        <f t="shared" ca="1" si="27"/>
        <v>232.46782751325074</v>
      </c>
      <c r="O44" s="239">
        <f t="shared" ca="1" si="28"/>
        <v>481.95376327837278</v>
      </c>
      <c r="P44" s="217"/>
      <c r="Q44" s="217"/>
      <c r="R44" s="224"/>
      <c r="S44" s="230">
        <f t="shared" ca="1" si="29"/>
        <v>4280380.993608146</v>
      </c>
      <c r="T44" s="231">
        <f t="shared" ca="1" si="30"/>
        <v>26648.858779564285</v>
      </c>
      <c r="U44" s="231">
        <f t="shared" ca="1" si="31"/>
        <v>44006.300159767838</v>
      </c>
      <c r="V44" s="231"/>
      <c r="W44" s="231">
        <f t="shared" ca="1" si="32"/>
        <v>107544.25965332724</v>
      </c>
      <c r="X44" s="231">
        <f t="shared" ca="1" si="33"/>
        <v>13443.032456665906</v>
      </c>
      <c r="Y44" s="231"/>
      <c r="Z44" s="232">
        <f t="shared" ca="1" si="2"/>
        <v>4472023.444657472</v>
      </c>
      <c r="AA44" s="231">
        <f t="shared" ca="1" si="3"/>
        <v>5840.2845755099706</v>
      </c>
      <c r="AB44" s="231">
        <f t="shared" ca="1" si="34"/>
        <v>58578.338255235059</v>
      </c>
      <c r="AC44" s="231">
        <f t="shared" ca="1" si="35"/>
        <v>315157.19168250007</v>
      </c>
      <c r="AD44" s="231">
        <f t="shared" ca="1" si="36"/>
        <v>10942.958044531251</v>
      </c>
      <c r="AE44" s="231">
        <f t="shared" ca="1" si="4"/>
        <v>326300.52133940143</v>
      </c>
      <c r="AF44" s="231">
        <f t="shared" ca="1" si="5"/>
        <v>716819.29389717779</v>
      </c>
      <c r="AG44" s="232">
        <f t="shared" ca="1" si="6"/>
        <v>5188842.73855465</v>
      </c>
      <c r="AH44" s="244">
        <f t="shared" ca="1" si="37"/>
        <v>21.892390028294432</v>
      </c>
      <c r="AI44" s="243">
        <f t="shared" ca="1" si="38"/>
        <v>17.820942287121206</v>
      </c>
      <c r="AJ44" s="242">
        <f t="shared" ca="1" si="39"/>
        <v>39.713332315415641</v>
      </c>
      <c r="AK44" s="241">
        <f t="shared" ca="1" si="40"/>
        <v>15.762520820371991</v>
      </c>
      <c r="AL44" s="243">
        <f t="shared" ca="1" si="41"/>
        <v>7.8946774331946941</v>
      </c>
      <c r="AM44" s="243"/>
      <c r="AN44" s="242">
        <f t="shared" ca="1" si="7"/>
        <v>23.657198253566683</v>
      </c>
      <c r="AO44" s="224"/>
      <c r="AP44" s="235">
        <f t="shared" si="42"/>
        <v>2.9230769230769229</v>
      </c>
      <c r="AQ44" s="235">
        <f t="shared" si="8"/>
        <v>0.91722483379431907</v>
      </c>
      <c r="AR44" s="235">
        <f t="shared" si="9"/>
        <v>0.95741286986573859</v>
      </c>
      <c r="AT44" s="230">
        <f t="shared" ca="1" si="10"/>
        <v>3926071.7454385939</v>
      </c>
      <c r="AU44" s="231">
        <f t="shared" ca="1" si="11"/>
        <v>24442.99506489413</v>
      </c>
      <c r="AV44" s="231">
        <f t="shared" ca="1" si="43"/>
        <v>40363.671349945973</v>
      </c>
      <c r="AW44" s="231"/>
      <c r="AX44" s="231">
        <f t="shared" ca="1" si="44"/>
        <v>98642.265686056169</v>
      </c>
      <c r="AY44" s="231">
        <f t="shared" ca="1" si="45"/>
        <v>12330.283210757021</v>
      </c>
      <c r="AZ44" s="231"/>
      <c r="BA44" s="232">
        <f t="shared" ca="1" si="12"/>
        <v>4101850.9607502478</v>
      </c>
      <c r="BB44" s="231">
        <f t="shared" ca="1" si="13"/>
        <v>5356.8540490836585</v>
      </c>
      <c r="BC44" s="231">
        <f t="shared" ca="1" si="46"/>
        <v>53729.506570105383</v>
      </c>
      <c r="BD44" s="231">
        <f t="shared" ca="1" si="47"/>
        <v>289070.00276006549</v>
      </c>
      <c r="BE44" s="231">
        <f t="shared" ca="1" si="48"/>
        <v>10037.152873613384</v>
      </c>
      <c r="BF44" s="231">
        <f t="shared" ca="1" si="14"/>
        <v>299290.94145253213</v>
      </c>
      <c r="BG44" s="231">
        <f t="shared" ca="1" si="15"/>
        <v>657484.45770540007</v>
      </c>
      <c r="BH44" s="232">
        <f t="shared" ca="1" si="16"/>
        <v>4759335.4184556482</v>
      </c>
      <c r="BI44" s="244">
        <f t="shared" ca="1" si="49"/>
        <v>20.960055965209449</v>
      </c>
      <c r="BJ44" s="243">
        <f t="shared" ca="1" si="50"/>
        <v>17.061999498824413</v>
      </c>
      <c r="BK44" s="242">
        <f t="shared" ca="1" si="51"/>
        <v>38.022055464033869</v>
      </c>
      <c r="BL44" s="241">
        <f t="shared" ca="1" si="52"/>
        <v>15.091240294950804</v>
      </c>
      <c r="BM44" s="243">
        <f t="shared" ca="1" si="53"/>
        <v>7.5584657779792144</v>
      </c>
      <c r="BN44" s="243">
        <f t="shared" si="17"/>
        <v>0</v>
      </c>
      <c r="BO44" s="242">
        <f t="shared" ca="1" si="18"/>
        <v>22.649706072930016</v>
      </c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</row>
    <row r="45" spans="1:80" ht="12" customHeight="1" x14ac:dyDescent="0.15">
      <c r="A45" s="213">
        <f t="shared" si="19"/>
        <v>39</v>
      </c>
      <c r="B45" s="67">
        <f t="shared" si="20"/>
        <v>156</v>
      </c>
      <c r="C45" s="224">
        <f t="shared" si="21"/>
        <v>36</v>
      </c>
      <c r="D45" s="225">
        <f ca="1">IFERROR(OFFSET(extrapolation!P54,0,OS_dist_choice-1,1,1),0)</f>
        <v>0.50124615946777662</v>
      </c>
      <c r="E45" s="225">
        <f ca="1">IFERROR(OFFSET(extrapolation!D54,0,PFS_dist_choice-1,1,1),0)</f>
        <v>0.27307275006098009</v>
      </c>
      <c r="F45" s="214"/>
      <c r="G45" s="226">
        <f t="shared" ca="1" si="22"/>
        <v>273.07275006098007</v>
      </c>
      <c r="H45" s="224">
        <f t="shared" ca="1" si="23"/>
        <v>228.17340940679657</v>
      </c>
      <c r="I45" s="224">
        <f t="shared" ca="1" si="0"/>
        <v>498.75384053222336</v>
      </c>
      <c r="J45" s="227">
        <f t="shared" ca="1" si="1"/>
        <v>1000</v>
      </c>
      <c r="K45" s="238">
        <f t="shared" ca="1" si="24"/>
        <v>8.2337152044444792</v>
      </c>
      <c r="L45" s="239">
        <f t="shared" ca="1" si="25"/>
        <v>11.105581613312438</v>
      </c>
      <c r="M45" s="238">
        <f t="shared" ca="1" si="26"/>
        <v>277.18960766320231</v>
      </c>
      <c r="N45" s="238">
        <f t="shared" ca="1" si="27"/>
        <v>229.60934261123055</v>
      </c>
      <c r="O45" s="239">
        <f t="shared" ca="1" si="28"/>
        <v>493.20104972556715</v>
      </c>
      <c r="P45" s="217"/>
      <c r="Q45" s="217"/>
      <c r="R45" s="224"/>
      <c r="S45" s="230">
        <f t="shared" ca="1" si="29"/>
        <v>4155096.1444503679</v>
      </c>
      <c r="T45" s="231">
        <f t="shared" ca="1" si="30"/>
        <v>25868.858527855315</v>
      </c>
      <c r="U45" s="231">
        <f t="shared" ca="1" si="31"/>
        <v>42713.624989397045</v>
      </c>
      <c r="V45" s="231"/>
      <c r="W45" s="231">
        <f t="shared" ca="1" si="32"/>
        <v>104385.17121223938</v>
      </c>
      <c r="X45" s="231">
        <f t="shared" ca="1" si="33"/>
        <v>13048.146401529923</v>
      </c>
      <c r="Y45" s="231"/>
      <c r="Z45" s="232">
        <f t="shared" ca="1" si="2"/>
        <v>4341111.9455813896</v>
      </c>
      <c r="AA45" s="231">
        <f t="shared" ca="1" si="3"/>
        <v>5628.2620453149957</v>
      </c>
      <c r="AB45" s="231">
        <f t="shared" ca="1" si="34"/>
        <v>57858.043764254471</v>
      </c>
      <c r="AC45" s="231">
        <f t="shared" ca="1" si="35"/>
        <v>311281.93684046756</v>
      </c>
      <c r="AD45" s="231">
        <f t="shared" ca="1" si="36"/>
        <v>10808.400584738456</v>
      </c>
      <c r="AE45" s="231">
        <f t="shared" ca="1" si="4"/>
        <v>318180.68701328215</v>
      </c>
      <c r="AF45" s="231">
        <f t="shared" ca="1" si="5"/>
        <v>703757.33024805761</v>
      </c>
      <c r="AG45" s="232">
        <f t="shared" ca="1" si="6"/>
        <v>5044869.2758294474</v>
      </c>
      <c r="AH45" s="244">
        <f t="shared" ca="1" si="37"/>
        <v>21.24930599471503</v>
      </c>
      <c r="AI45" s="243">
        <f t="shared" ca="1" si="38"/>
        <v>17.601811343229173</v>
      </c>
      <c r="AJ45" s="242">
        <f t="shared" ca="1" si="39"/>
        <v>38.851117337944203</v>
      </c>
      <c r="AK45" s="241">
        <f t="shared" ca="1" si="40"/>
        <v>15.299500316194822</v>
      </c>
      <c r="AL45" s="243">
        <f t="shared" ca="1" si="41"/>
        <v>7.797602425050524</v>
      </c>
      <c r="AM45" s="243"/>
      <c r="AN45" s="242">
        <f t="shared" ca="1" si="7"/>
        <v>23.097102741245344</v>
      </c>
      <c r="AO45" s="224"/>
      <c r="AP45" s="235">
        <f t="shared" si="42"/>
        <v>3</v>
      </c>
      <c r="AQ45" s="235">
        <f t="shared" si="8"/>
        <v>0.91514165935315961</v>
      </c>
      <c r="AR45" s="235">
        <f t="shared" si="9"/>
        <v>0.95631699374102519</v>
      </c>
      <c r="AT45" s="230">
        <f t="shared" ca="1" si="10"/>
        <v>3802501.5804042253</v>
      </c>
      <c r="AU45" s="231">
        <f t="shared" ca="1" si="11"/>
        <v>23673.670118753646</v>
      </c>
      <c r="AV45" s="231">
        <f t="shared" ca="1" si="43"/>
        <v>39089.017649785397</v>
      </c>
      <c r="AW45" s="231"/>
      <c r="AX45" s="231">
        <f t="shared" ca="1" si="44"/>
        <v>95527.218795032415</v>
      </c>
      <c r="AY45" s="231">
        <f t="shared" ca="1" si="45"/>
        <v>11940.902349379052</v>
      </c>
      <c r="AZ45" s="231"/>
      <c r="BA45" s="232">
        <f t="shared" ca="1" si="12"/>
        <v>3972732.3893171758</v>
      </c>
      <c r="BB45" s="231">
        <f t="shared" ca="1" si="13"/>
        <v>5150.6570674239729</v>
      </c>
      <c r="BC45" s="231">
        <f t="shared" ca="1" si="46"/>
        <v>52948.306177347564</v>
      </c>
      <c r="BD45" s="231">
        <f t="shared" ca="1" si="47"/>
        <v>284867.0682068509</v>
      </c>
      <c r="BE45" s="231">
        <f t="shared" ca="1" si="48"/>
        <v>9891.2176460712108</v>
      </c>
      <c r="BF45" s="231">
        <f t="shared" ca="1" si="14"/>
        <v>291180.40188746335</v>
      </c>
      <c r="BG45" s="231">
        <f t="shared" ca="1" si="15"/>
        <v>644037.650985157</v>
      </c>
      <c r="BH45" s="232">
        <f t="shared" ca="1" si="16"/>
        <v>4616770.0403023334</v>
      </c>
      <c r="BI45" s="244">
        <f t="shared" ca="1" si="49"/>
        <v>20.321072427949023</v>
      </c>
      <c r="BJ45" s="243">
        <f t="shared" ca="1" si="50"/>
        <v>16.832911308153598</v>
      </c>
      <c r="BK45" s="242">
        <f t="shared" ca="1" si="51"/>
        <v>37.153983736102624</v>
      </c>
      <c r="BL45" s="241">
        <f t="shared" ca="1" si="52"/>
        <v>14.631172148123296</v>
      </c>
      <c r="BM45" s="243">
        <f t="shared" ca="1" si="53"/>
        <v>7.4569797095120451</v>
      </c>
      <c r="BN45" s="243">
        <f t="shared" si="17"/>
        <v>0</v>
      </c>
      <c r="BO45" s="242">
        <f t="shared" ca="1" si="18"/>
        <v>22.088151857635339</v>
      </c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</row>
    <row r="46" spans="1:80" ht="12" customHeight="1" x14ac:dyDescent="0.15">
      <c r="A46" s="213">
        <f t="shared" si="19"/>
        <v>40</v>
      </c>
      <c r="B46" s="67">
        <f t="shared" si="20"/>
        <v>160</v>
      </c>
      <c r="C46" s="224">
        <f t="shared" si="21"/>
        <v>36.923076923076927</v>
      </c>
      <c r="D46" s="225">
        <f ca="1">IFERROR(OFFSET(extrapolation!P55,0,OS_dist_choice-1,1,1),0)</f>
        <v>0.49042048983117387</v>
      </c>
      <c r="E46" s="225">
        <f ca="1">IFERROR(OFFSET(extrapolation!D55,0,PFS_dist_choice-1,1,1),0)</f>
        <v>0.26513552524536244</v>
      </c>
      <c r="F46" s="214"/>
      <c r="G46" s="226">
        <f t="shared" ca="1" si="22"/>
        <v>265.13552524536243</v>
      </c>
      <c r="H46" s="224">
        <f t="shared" ca="1" si="23"/>
        <v>225.28496458581145</v>
      </c>
      <c r="I46" s="224">
        <f t="shared" ca="1" si="0"/>
        <v>509.57951016882606</v>
      </c>
      <c r="J46" s="227">
        <f t="shared" ca="1" si="1"/>
        <v>1000</v>
      </c>
      <c r="K46" s="238">
        <f t="shared" ca="1" si="24"/>
        <v>7.9372248156176397</v>
      </c>
      <c r="L46" s="239">
        <f t="shared" ca="1" si="25"/>
        <v>10.825669636602697</v>
      </c>
      <c r="M46" s="238">
        <f t="shared" ca="1" si="26"/>
        <v>269.10413765317128</v>
      </c>
      <c r="N46" s="238">
        <f t="shared" ca="1" si="27"/>
        <v>226.72918699630401</v>
      </c>
      <c r="O46" s="239">
        <f t="shared" ca="1" si="28"/>
        <v>504.16667535052471</v>
      </c>
      <c r="P46" s="217"/>
      <c r="Q46" s="217"/>
      <c r="R46" s="224"/>
      <c r="S46" s="230">
        <f t="shared" ca="1" si="29"/>
        <v>4034322.7160447733</v>
      </c>
      <c r="T46" s="231">
        <f t="shared" ca="1" si="30"/>
        <v>25116.945545644005</v>
      </c>
      <c r="U46" s="231">
        <f t="shared" ca="1" si="31"/>
        <v>41467.691793044643</v>
      </c>
      <c r="V46" s="231"/>
      <c r="W46" s="231">
        <f t="shared" ca="1" si="32"/>
        <v>101340.31257398185</v>
      </c>
      <c r="X46" s="231">
        <f t="shared" ca="1" si="33"/>
        <v>12667.539071747731</v>
      </c>
      <c r="Y46" s="231"/>
      <c r="Z46" s="232">
        <f t="shared" ca="1" si="2"/>
        <v>4214915.2050291914</v>
      </c>
      <c r="AA46" s="231">
        <f t="shared" ca="1" si="3"/>
        <v>5425.5922224221631</v>
      </c>
      <c r="AB46" s="231">
        <f t="shared" ca="1" si="34"/>
        <v>57132.288584952228</v>
      </c>
      <c r="AC46" s="231">
        <f t="shared" ca="1" si="35"/>
        <v>307377.30296093819</v>
      </c>
      <c r="AD46" s="231">
        <f t="shared" ca="1" si="36"/>
        <v>10672.823019477019</v>
      </c>
      <c r="AE46" s="231">
        <f t="shared" ca="1" si="4"/>
        <v>310161.06335431139</v>
      </c>
      <c r="AF46" s="231">
        <f t="shared" ca="1" si="5"/>
        <v>690769.07014210103</v>
      </c>
      <c r="AG46" s="232">
        <f t="shared" ca="1" si="6"/>
        <v>4905684.2751712929</v>
      </c>
      <c r="AH46" s="244">
        <f t="shared" ca="1" si="37"/>
        <v>20.629475302638731</v>
      </c>
      <c r="AI46" s="243">
        <f t="shared" ca="1" si="38"/>
        <v>17.381019126342267</v>
      </c>
      <c r="AJ46" s="242">
        <f t="shared" ca="1" si="39"/>
        <v>38.010494428980998</v>
      </c>
      <c r="AK46" s="241">
        <f t="shared" ca="1" si="40"/>
        <v>14.853222217899885</v>
      </c>
      <c r="AL46" s="243">
        <f t="shared" ca="1" si="41"/>
        <v>7.6997914729696246</v>
      </c>
      <c r="AM46" s="243"/>
      <c r="AN46" s="242">
        <f t="shared" ca="1" si="7"/>
        <v>22.553013690869509</v>
      </c>
      <c r="AO46" s="224"/>
      <c r="AP46" s="235">
        <f t="shared" si="42"/>
        <v>3.0769230769230771</v>
      </c>
      <c r="AQ46" s="235">
        <f t="shared" si="8"/>
        <v>0.91306321615737451</v>
      </c>
      <c r="AR46" s="235">
        <f t="shared" si="9"/>
        <v>0.95522237198056592</v>
      </c>
      <c r="AT46" s="230">
        <f t="shared" ca="1" si="10"/>
        <v>3683591.6741285953</v>
      </c>
      <c r="AU46" s="231">
        <f t="shared" ca="1" si="11"/>
        <v>22933.359079955357</v>
      </c>
      <c r="AV46" s="231">
        <f t="shared" ca="1" si="43"/>
        <v>37862.62403518011</v>
      </c>
      <c r="AW46" s="231"/>
      <c r="AX46" s="231">
        <f t="shared" ca="1" si="44"/>
        <v>92530.111725193492</v>
      </c>
      <c r="AY46" s="231">
        <f t="shared" ca="1" si="45"/>
        <v>11566.263965649187</v>
      </c>
      <c r="AZ46" s="231"/>
      <c r="BA46" s="232">
        <f t="shared" ca="1" si="12"/>
        <v>3848484.032934573</v>
      </c>
      <c r="BB46" s="231">
        <f t="shared" ca="1" si="13"/>
        <v>4953.9086841632179</v>
      </c>
      <c r="BC46" s="231">
        <f t="shared" ca="1" si="46"/>
        <v>52165.39116180774</v>
      </c>
      <c r="BD46" s="231">
        <f t="shared" ca="1" si="47"/>
        <v>280654.90881529392</v>
      </c>
      <c r="BE46" s="231">
        <f t="shared" ca="1" si="48"/>
        <v>9744.9621116421476</v>
      </c>
      <c r="BF46" s="231">
        <f t="shared" ca="1" si="14"/>
        <v>283196.65803307877</v>
      </c>
      <c r="BG46" s="231">
        <f t="shared" ca="1" si="15"/>
        <v>630715.82880598574</v>
      </c>
      <c r="BH46" s="232">
        <f t="shared" ca="1" si="16"/>
        <v>4479199.8617405593</v>
      </c>
      <c r="BI46" s="244">
        <f t="shared" ca="1" si="49"/>
        <v>19.705736331301072</v>
      </c>
      <c r="BJ46" s="243">
        <f t="shared" ca="1" si="50"/>
        <v>16.602738317304244</v>
      </c>
      <c r="BK46" s="242">
        <f t="shared" ca="1" si="51"/>
        <v>36.308474648605312</v>
      </c>
      <c r="BL46" s="241">
        <f t="shared" ca="1" si="52"/>
        <v>14.188130158536771</v>
      </c>
      <c r="BM46" s="243">
        <f t="shared" ca="1" si="53"/>
        <v>7.3550130745657807</v>
      </c>
      <c r="BN46" s="243">
        <f t="shared" si="17"/>
        <v>0</v>
      </c>
      <c r="BO46" s="242">
        <f t="shared" ca="1" si="18"/>
        <v>21.543143233102551</v>
      </c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</row>
    <row r="47" spans="1:80" ht="12" customHeight="1" x14ac:dyDescent="0.15">
      <c r="A47" s="213">
        <f t="shared" si="19"/>
        <v>41</v>
      </c>
      <c r="B47" s="67">
        <f t="shared" si="20"/>
        <v>164</v>
      </c>
      <c r="C47" s="224">
        <f t="shared" si="21"/>
        <v>37.846153846153847</v>
      </c>
      <c r="D47" s="225">
        <f ca="1">IFERROR(OFFSET(extrapolation!P56,0,OS_dist_choice-1,1,1),0)</f>
        <v>0.47987071533309827</v>
      </c>
      <c r="E47" s="225">
        <f ca="1">IFERROR(OFFSET(extrapolation!D56,0,PFS_dist_choice-1,1,1),0)</f>
        <v>0.25748182395870667</v>
      </c>
      <c r="F47" s="214"/>
      <c r="G47" s="226">
        <f t="shared" ca="1" si="22"/>
        <v>257.48182395870668</v>
      </c>
      <c r="H47" s="224">
        <f t="shared" ca="1" si="23"/>
        <v>222.38889137439173</v>
      </c>
      <c r="I47" s="224">
        <f t="shared" ca="1" si="0"/>
        <v>520.12928466690164</v>
      </c>
      <c r="J47" s="227">
        <f t="shared" ca="1" si="1"/>
        <v>1000</v>
      </c>
      <c r="K47" s="238">
        <f t="shared" ca="1" si="24"/>
        <v>7.6537012866557461</v>
      </c>
      <c r="L47" s="239">
        <f t="shared" ca="1" si="25"/>
        <v>10.549774498075578</v>
      </c>
      <c r="M47" s="238">
        <f t="shared" ca="1" si="26"/>
        <v>261.30867460203456</v>
      </c>
      <c r="N47" s="238">
        <f t="shared" ca="1" si="27"/>
        <v>223.83692798010159</v>
      </c>
      <c r="O47" s="239">
        <f t="shared" ca="1" si="28"/>
        <v>514.85439741786388</v>
      </c>
      <c r="P47" s="217"/>
      <c r="Q47" s="217"/>
      <c r="R47" s="224"/>
      <c r="S47" s="230">
        <f t="shared" ca="1" si="29"/>
        <v>3917863.4036459476</v>
      </c>
      <c r="T47" s="231">
        <f t="shared" ca="1" si="30"/>
        <v>24391.891450152059</v>
      </c>
      <c r="U47" s="231">
        <f t="shared" ca="1" si="31"/>
        <v>40266.447315692043</v>
      </c>
      <c r="V47" s="231"/>
      <c r="W47" s="231">
        <f t="shared" ca="1" si="32"/>
        <v>98404.665916332582</v>
      </c>
      <c r="X47" s="231">
        <f t="shared" ca="1" si="33"/>
        <v>12300.583239541573</v>
      </c>
      <c r="Y47" s="231"/>
      <c r="Z47" s="232">
        <f t="shared" ca="1" si="2"/>
        <v>4093226.9915676657</v>
      </c>
      <c r="AA47" s="231">
        <f t="shared" ca="1" si="3"/>
        <v>5231.7860635513016</v>
      </c>
      <c r="AB47" s="231">
        <f t="shared" ca="1" si="34"/>
        <v>56403.483533581406</v>
      </c>
      <c r="AC47" s="231">
        <f t="shared" ca="1" si="35"/>
        <v>303456.26047125092</v>
      </c>
      <c r="AD47" s="231">
        <f t="shared" ca="1" si="36"/>
        <v>10536.675710807322</v>
      </c>
      <c r="AE47" s="231">
        <f t="shared" ca="1" si="4"/>
        <v>302256.52419762692</v>
      </c>
      <c r="AF47" s="231">
        <f t="shared" ca="1" si="5"/>
        <v>677884.72997681785</v>
      </c>
      <c r="AG47" s="232">
        <f t="shared" ca="1" si="6"/>
        <v>4771111.7215444837</v>
      </c>
      <c r="AH47" s="244">
        <f t="shared" ca="1" si="37"/>
        <v>20.031876492421542</v>
      </c>
      <c r="AI47" s="243">
        <f t="shared" ca="1" si="38"/>
        <v>17.159299064867472</v>
      </c>
      <c r="AJ47" s="242">
        <f t="shared" ca="1" si="39"/>
        <v>37.191175557289014</v>
      </c>
      <c r="AK47" s="241">
        <f t="shared" ca="1" si="40"/>
        <v>14.42295107454351</v>
      </c>
      <c r="AL47" s="243">
        <f t="shared" ca="1" si="41"/>
        <v>7.6015694857362899</v>
      </c>
      <c r="AM47" s="243"/>
      <c r="AN47" s="242">
        <f t="shared" ca="1" si="7"/>
        <v>22.0245205602798</v>
      </c>
      <c r="AO47" s="224"/>
      <c r="AP47" s="235">
        <f t="shared" si="42"/>
        <v>3.1538461538461537</v>
      </c>
      <c r="AQ47" s="235">
        <f t="shared" si="8"/>
        <v>0.91098949346149682</v>
      </c>
      <c r="AR47" s="235">
        <f t="shared" si="9"/>
        <v>0.95412900314858806</v>
      </c>
      <c r="AT47" s="230">
        <f t="shared" ca="1" si="10"/>
        <v>3569132.3975387579</v>
      </c>
      <c r="AU47" s="231">
        <f t="shared" ca="1" si="11"/>
        <v>22220.756836741839</v>
      </c>
      <c r="AV47" s="231">
        <f t="shared" ca="1" si="43"/>
        <v>36682.310443616341</v>
      </c>
      <c r="AW47" s="231"/>
      <c r="AX47" s="231">
        <f t="shared" ca="1" si="44"/>
        <v>89645.616757367636</v>
      </c>
      <c r="AY47" s="231">
        <f t="shared" ca="1" si="45"/>
        <v>11205.702094670954</v>
      </c>
      <c r="AZ47" s="231"/>
      <c r="BA47" s="232">
        <f t="shared" ca="1" si="12"/>
        <v>3728886.7836711542</v>
      </c>
      <c r="BB47" s="231">
        <f t="shared" ca="1" si="13"/>
        <v>4766.1021359335191</v>
      </c>
      <c r="BC47" s="231">
        <f t="shared" ca="1" si="46"/>
        <v>51382.9808937212</v>
      </c>
      <c r="BD47" s="231">
        <f t="shared" ca="1" si="47"/>
        <v>276445.46501442493</v>
      </c>
      <c r="BE47" s="231">
        <f t="shared" ca="1" si="48"/>
        <v>9598.8008685564182</v>
      </c>
      <c r="BF47" s="231">
        <f t="shared" ca="1" si="14"/>
        <v>275352.51787422883</v>
      </c>
      <c r="BG47" s="231">
        <f t="shared" ca="1" si="15"/>
        <v>617545.86678686482</v>
      </c>
      <c r="BH47" s="232">
        <f t="shared" ca="1" si="16"/>
        <v>4346432.6504580192</v>
      </c>
      <c r="BI47" s="244">
        <f t="shared" ca="1" si="49"/>
        <v>19.112994348909801</v>
      </c>
      <c r="BJ47" s="243">
        <f t="shared" ca="1" si="50"/>
        <v>16.3721849114905</v>
      </c>
      <c r="BK47" s="242">
        <f t="shared" ca="1" si="51"/>
        <v>35.485179260400301</v>
      </c>
      <c r="BL47" s="241">
        <f t="shared" ca="1" si="52"/>
        <v>13.761355931215057</v>
      </c>
      <c r="BM47" s="243">
        <f t="shared" ca="1" si="53"/>
        <v>7.2528779157902914</v>
      </c>
      <c r="BN47" s="243">
        <f t="shared" si="17"/>
        <v>0</v>
      </c>
      <c r="BO47" s="242">
        <f t="shared" ca="1" si="18"/>
        <v>21.014233847005347</v>
      </c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</row>
    <row r="48" spans="1:80" ht="12" customHeight="1" x14ac:dyDescent="0.15">
      <c r="A48" s="213">
        <f t="shared" si="19"/>
        <v>42</v>
      </c>
      <c r="B48" s="67">
        <f t="shared" si="20"/>
        <v>168</v>
      </c>
      <c r="C48" s="224">
        <f t="shared" si="21"/>
        <v>38.769230769230774</v>
      </c>
      <c r="D48" s="225">
        <f ca="1">IFERROR(OFFSET(extrapolation!P57,0,OS_dist_choice-1,1,1),0)</f>
        <v>0.4695923835751134</v>
      </c>
      <c r="E48" s="225">
        <f ca="1">IFERROR(OFFSET(extrapolation!D57,0,PFS_dist_choice-1,1,1),0)</f>
        <v>0.25009935213842005</v>
      </c>
      <c r="F48" s="214"/>
      <c r="G48" s="226">
        <f t="shared" ca="1" si="22"/>
        <v>250.09935213842004</v>
      </c>
      <c r="H48" s="224">
        <f t="shared" ca="1" si="23"/>
        <v>219.4930314366934</v>
      </c>
      <c r="I48" s="224">
        <f t="shared" ca="1" si="0"/>
        <v>530.40761642488656</v>
      </c>
      <c r="J48" s="227">
        <f t="shared" ca="1" si="1"/>
        <v>1000</v>
      </c>
      <c r="K48" s="238">
        <f t="shared" ca="1" si="24"/>
        <v>7.3824718202866393</v>
      </c>
      <c r="L48" s="239">
        <f t="shared" ca="1" si="25"/>
        <v>10.278331757984915</v>
      </c>
      <c r="M48" s="238">
        <f t="shared" ca="1" si="26"/>
        <v>253.79058804856336</v>
      </c>
      <c r="N48" s="238">
        <f t="shared" ca="1" si="27"/>
        <v>220.94096140554257</v>
      </c>
      <c r="O48" s="239">
        <f t="shared" ca="1" si="28"/>
        <v>525.2684505458941</v>
      </c>
      <c r="P48" s="217"/>
      <c r="Q48" s="217"/>
      <c r="R48" s="224"/>
      <c r="S48" s="230">
        <f t="shared" ca="1" si="29"/>
        <v>3805531.1398439514</v>
      </c>
      <c r="T48" s="231">
        <f t="shared" ca="1" si="30"/>
        <v>23692.531594354561</v>
      </c>
      <c r="U48" s="231">
        <f t="shared" ca="1" si="31"/>
        <v>39107.945262206049</v>
      </c>
      <c r="V48" s="231"/>
      <c r="W48" s="231">
        <f t="shared" ca="1" si="32"/>
        <v>95573.474809680192</v>
      </c>
      <c r="X48" s="231">
        <f t="shared" ca="1" si="33"/>
        <v>11946.684351210024</v>
      </c>
      <c r="Y48" s="231"/>
      <c r="Z48" s="232">
        <f t="shared" ca="1" si="2"/>
        <v>3975851.7758614025</v>
      </c>
      <c r="AA48" s="231">
        <f t="shared" ca="1" si="3"/>
        <v>5046.3836694640904</v>
      </c>
      <c r="AB48" s="231">
        <f t="shared" ca="1" si="34"/>
        <v>55673.74423419081</v>
      </c>
      <c r="AC48" s="231">
        <f t="shared" ca="1" si="35"/>
        <v>299530.19163580146</v>
      </c>
      <c r="AD48" s="231">
        <f t="shared" ca="1" si="36"/>
        <v>10400.353876243105</v>
      </c>
      <c r="AE48" s="231">
        <f t="shared" ca="1" si="4"/>
        <v>294479.54857094883</v>
      </c>
      <c r="AF48" s="231">
        <f t="shared" ca="1" si="5"/>
        <v>665130.22198664828</v>
      </c>
      <c r="AG48" s="232">
        <f t="shared" ca="1" si="6"/>
        <v>4640981.9978480507</v>
      </c>
      <c r="AH48" s="244">
        <f t="shared" ca="1" si="37"/>
        <v>19.455541315153386</v>
      </c>
      <c r="AI48" s="243">
        <f t="shared" ca="1" si="38"/>
        <v>16.937294782628861</v>
      </c>
      <c r="AJ48" s="242">
        <f t="shared" ca="1" si="39"/>
        <v>36.392836097782251</v>
      </c>
      <c r="AK48" s="241">
        <f t="shared" ca="1" si="40"/>
        <v>14.007989746910438</v>
      </c>
      <c r="AL48" s="243">
        <f t="shared" ca="1" si="41"/>
        <v>7.5032215887045854</v>
      </c>
      <c r="AM48" s="243"/>
      <c r="AN48" s="242">
        <f t="shared" ca="1" si="7"/>
        <v>21.511211335615023</v>
      </c>
      <c r="AO48" s="224"/>
      <c r="AP48" s="235">
        <f t="shared" si="42"/>
        <v>3.2307692307692308</v>
      </c>
      <c r="AQ48" s="235">
        <f t="shared" si="8"/>
        <v>0.90892048054446373</v>
      </c>
      <c r="AR48" s="235">
        <f t="shared" si="9"/>
        <v>0.95303688581096135</v>
      </c>
      <c r="AT48" s="230">
        <f t="shared" ca="1" si="10"/>
        <v>3458925.1923538852</v>
      </c>
      <c r="AU48" s="231">
        <f t="shared" ca="1" si="11"/>
        <v>21534.627202055635</v>
      </c>
      <c r="AV48" s="231">
        <f t="shared" ca="1" si="43"/>
        <v>35546.012400830907</v>
      </c>
      <c r="AW48" s="231"/>
      <c r="AX48" s="231">
        <f t="shared" ca="1" si="44"/>
        <v>86868.68865131872</v>
      </c>
      <c r="AY48" s="231">
        <f t="shared" ca="1" si="45"/>
        <v>10858.58608141484</v>
      </c>
      <c r="AZ48" s="231"/>
      <c r="BA48" s="232">
        <f t="shared" ca="1" si="12"/>
        <v>3613733.1066895053</v>
      </c>
      <c r="BB48" s="231">
        <f t="shared" ca="1" si="13"/>
        <v>4586.761469861035</v>
      </c>
      <c r="BC48" s="231">
        <f t="shared" ca="1" si="46"/>
        <v>50603.006363050277</v>
      </c>
      <c r="BD48" s="231">
        <f t="shared" ca="1" si="47"/>
        <v>272249.12571918796</v>
      </c>
      <c r="BE48" s="231">
        <f t="shared" ca="1" si="48"/>
        <v>9453.0946430273598</v>
      </c>
      <c r="BF48" s="231">
        <f t="shared" ca="1" si="14"/>
        <v>267658.49279762356</v>
      </c>
      <c r="BG48" s="231">
        <f t="shared" ca="1" si="15"/>
        <v>604550.48099275015</v>
      </c>
      <c r="BH48" s="232">
        <f t="shared" ca="1" si="16"/>
        <v>4218283.5876822555</v>
      </c>
      <c r="BI48" s="244">
        <f t="shared" ca="1" si="49"/>
        <v>18.541848506760278</v>
      </c>
      <c r="BJ48" s="243">
        <f t="shared" ca="1" si="50"/>
        <v>16.141866673698853</v>
      </c>
      <c r="BK48" s="242">
        <f t="shared" ca="1" si="51"/>
        <v>34.683715180459139</v>
      </c>
      <c r="BL48" s="241">
        <f t="shared" ca="1" si="52"/>
        <v>13.3501309248674</v>
      </c>
      <c r="BM48" s="243">
        <f t="shared" ca="1" si="53"/>
        <v>7.150846936448592</v>
      </c>
      <c r="BN48" s="243">
        <f t="shared" si="17"/>
        <v>0</v>
      </c>
      <c r="BO48" s="242">
        <f t="shared" ca="1" si="18"/>
        <v>20.500977861315992</v>
      </c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</row>
    <row r="49" spans="1:80" ht="12" customHeight="1" x14ac:dyDescent="0.15">
      <c r="A49" s="213">
        <f t="shared" si="19"/>
        <v>43</v>
      </c>
      <c r="B49" s="67">
        <f t="shared" si="20"/>
        <v>172</v>
      </c>
      <c r="C49" s="224">
        <f t="shared" si="21"/>
        <v>39.692307692307693</v>
      </c>
      <c r="D49" s="225">
        <f ca="1">IFERROR(OFFSET(extrapolation!P58,0,OS_dist_choice-1,1,1),0)</f>
        <v>0.45958068123527701</v>
      </c>
      <c r="E49" s="225">
        <f ca="1">IFERROR(OFFSET(extrapolation!D58,0,PFS_dist_choice-1,1,1),0)</f>
        <v>0.24297644859026013</v>
      </c>
      <c r="F49" s="214"/>
      <c r="G49" s="226">
        <f t="shared" ca="1" si="22"/>
        <v>242.97644859026013</v>
      </c>
      <c r="H49" s="224">
        <f t="shared" ca="1" si="23"/>
        <v>216.60423264501685</v>
      </c>
      <c r="I49" s="224">
        <f t="shared" ca="1" si="0"/>
        <v>540.41931876472302</v>
      </c>
      <c r="J49" s="227">
        <f t="shared" ca="1" si="1"/>
        <v>1000</v>
      </c>
      <c r="K49" s="238">
        <f t="shared" ca="1" si="24"/>
        <v>7.1229035481599112</v>
      </c>
      <c r="L49" s="239">
        <f t="shared" ca="1" si="25"/>
        <v>10.011702339836461</v>
      </c>
      <c r="M49" s="238">
        <f t="shared" ca="1" si="26"/>
        <v>246.53790036434009</v>
      </c>
      <c r="N49" s="238">
        <f t="shared" ca="1" si="27"/>
        <v>218.04863204085513</v>
      </c>
      <c r="O49" s="239">
        <f t="shared" ca="1" si="28"/>
        <v>535.41346759480484</v>
      </c>
      <c r="P49" s="217"/>
      <c r="Q49" s="217"/>
      <c r="R49" s="224"/>
      <c r="S49" s="230">
        <f t="shared" ca="1" si="29"/>
        <v>3697148.4870027513</v>
      </c>
      <c r="T49" s="231">
        <f t="shared" ca="1" si="30"/>
        <v>23017.761284414224</v>
      </c>
      <c r="U49" s="231">
        <f t="shared" ca="1" si="31"/>
        <v>37990.339935943106</v>
      </c>
      <c r="V49" s="231"/>
      <c r="W49" s="231">
        <f t="shared" ca="1" si="32"/>
        <v>92842.228670804645</v>
      </c>
      <c r="X49" s="231">
        <f t="shared" ca="1" si="33"/>
        <v>11605.278583850581</v>
      </c>
      <c r="Y49" s="231"/>
      <c r="Z49" s="232">
        <f t="shared" ca="1" si="2"/>
        <v>3862604.095477764</v>
      </c>
      <c r="AA49" s="231">
        <f t="shared" ca="1" si="3"/>
        <v>4868.952434850793</v>
      </c>
      <c r="AB49" s="231">
        <f t="shared" ca="1" si="34"/>
        <v>54944.92145607734</v>
      </c>
      <c r="AC49" s="231">
        <f t="shared" ca="1" si="35"/>
        <v>295609.05377450422</v>
      </c>
      <c r="AD49" s="231">
        <f t="shared" ca="1" si="36"/>
        <v>10264.203256059174</v>
      </c>
      <c r="AE49" s="231">
        <f t="shared" ca="1" si="4"/>
        <v>286840.47712036112</v>
      </c>
      <c r="AF49" s="231">
        <f t="shared" ca="1" si="5"/>
        <v>652527.6080418526</v>
      </c>
      <c r="AG49" s="232">
        <f t="shared" ca="1" si="6"/>
        <v>4515131.7035196163</v>
      </c>
      <c r="AH49" s="244">
        <f t="shared" ca="1" si="37"/>
        <v>18.899551567971312</v>
      </c>
      <c r="AI49" s="243">
        <f t="shared" ca="1" si="38"/>
        <v>16.715569328251728</v>
      </c>
      <c r="AJ49" s="242">
        <f t="shared" ca="1" si="39"/>
        <v>35.61512089622304</v>
      </c>
      <c r="AK49" s="241">
        <f t="shared" ca="1" si="40"/>
        <v>13.607677128939343</v>
      </c>
      <c r="AL49" s="243">
        <f t="shared" ca="1" si="41"/>
        <v>7.4049972124155161</v>
      </c>
      <c r="AM49" s="243"/>
      <c r="AN49" s="242">
        <f t="shared" ca="1" si="7"/>
        <v>21.01267434135486</v>
      </c>
      <c r="AO49" s="224"/>
      <c r="AP49" s="235">
        <f t="shared" si="42"/>
        <v>3.3076923076923075</v>
      </c>
      <c r="AQ49" s="235">
        <f t="shared" si="8"/>
        <v>0.90685616670956259</v>
      </c>
      <c r="AR49" s="235">
        <f t="shared" si="9"/>
        <v>0.95194601853519756</v>
      </c>
      <c r="AT49" s="230">
        <f t="shared" ca="1" si="10"/>
        <v>3352781.9046793743</v>
      </c>
      <c r="AU49" s="231">
        <f t="shared" ca="1" si="11"/>
        <v>20873.79876461966</v>
      </c>
      <c r="AV49" s="231">
        <f t="shared" ca="1" si="43"/>
        <v>34451.774046302577</v>
      </c>
      <c r="AW49" s="231"/>
      <c r="AX49" s="231">
        <f t="shared" ca="1" si="44"/>
        <v>84194.54760117855</v>
      </c>
      <c r="AY49" s="231">
        <f t="shared" ca="1" si="45"/>
        <v>10524.318450147319</v>
      </c>
      <c r="AZ49" s="231"/>
      <c r="BA49" s="232">
        <f t="shared" ca="1" si="12"/>
        <v>3502826.3435416226</v>
      </c>
      <c r="BB49" s="231">
        <f t="shared" ca="1" si="13"/>
        <v>4415.4395409599811</v>
      </c>
      <c r="BC49" s="231">
        <f t="shared" ca="1" si="46"/>
        <v>49827.140851816293</v>
      </c>
      <c r="BD49" s="231">
        <f t="shared" ca="1" si="47"/>
        <v>268074.89335058787</v>
      </c>
      <c r="BE49" s="231">
        <f t="shared" ca="1" si="48"/>
        <v>9308.1560191176341</v>
      </c>
      <c r="BF49" s="231">
        <f t="shared" ca="1" si="14"/>
        <v>260123.05553851268</v>
      </c>
      <c r="BG49" s="231">
        <f t="shared" ca="1" si="15"/>
        <v>591748.68530099443</v>
      </c>
      <c r="BH49" s="232">
        <f t="shared" ca="1" si="16"/>
        <v>4094575.0288426164</v>
      </c>
      <c r="BI49" s="244">
        <f t="shared" ca="1" si="49"/>
        <v>17.99135286723094</v>
      </c>
      <c r="BJ49" s="243">
        <f t="shared" ca="1" si="50"/>
        <v>15.9123196695783</v>
      </c>
      <c r="BK49" s="242">
        <f t="shared" ca="1" si="51"/>
        <v>33.903672536809239</v>
      </c>
      <c r="BL49" s="241">
        <f t="shared" ca="1" si="52"/>
        <v>12.953774064406277</v>
      </c>
      <c r="BM49" s="243">
        <f t="shared" ca="1" si="53"/>
        <v>7.049157613623187</v>
      </c>
      <c r="BN49" s="243">
        <f t="shared" si="17"/>
        <v>0</v>
      </c>
      <c r="BO49" s="242">
        <f t="shared" ca="1" si="18"/>
        <v>20.002931678029462</v>
      </c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7"/>
      <c r="CA49" s="67"/>
      <c r="CB49" s="67"/>
    </row>
    <row r="50" spans="1:80" ht="12" customHeight="1" x14ac:dyDescent="0.15">
      <c r="A50" s="213">
        <f t="shared" si="19"/>
        <v>44</v>
      </c>
      <c r="B50" s="67">
        <f t="shared" si="20"/>
        <v>176</v>
      </c>
      <c r="C50" s="224">
        <f t="shared" si="21"/>
        <v>40.615384615384613</v>
      </c>
      <c r="D50" s="225">
        <f ca="1">IFERROR(OFFSET(extrapolation!P59,0,OS_dist_choice-1,1,1),0)</f>
        <v>0.4498305005131914</v>
      </c>
      <c r="E50" s="225">
        <f ca="1">IFERROR(OFFSET(extrapolation!D59,0,PFS_dist_choice-1,1,1),0)</f>
        <v>0.2361020476109621</v>
      </c>
      <c r="F50" s="214"/>
      <c r="G50" s="226">
        <f t="shared" ca="1" si="22"/>
        <v>236.1020476109621</v>
      </c>
      <c r="H50" s="224">
        <f t="shared" ca="1" si="23"/>
        <v>213.72845290222926</v>
      </c>
      <c r="I50" s="224">
        <f t="shared" ca="1" si="0"/>
        <v>550.1694994868086</v>
      </c>
      <c r="J50" s="227">
        <f t="shared" ca="1" si="1"/>
        <v>1000</v>
      </c>
      <c r="K50" s="238">
        <f t="shared" ca="1" si="24"/>
        <v>6.8744009792980307</v>
      </c>
      <c r="L50" s="239">
        <f t="shared" ca="1" si="25"/>
        <v>9.7501807220855881</v>
      </c>
      <c r="M50" s="238">
        <f t="shared" ca="1" si="26"/>
        <v>239.53924810061113</v>
      </c>
      <c r="N50" s="238">
        <f t="shared" ca="1" si="27"/>
        <v>215.16634277362306</v>
      </c>
      <c r="O50" s="239">
        <f t="shared" ca="1" si="28"/>
        <v>545.29440912576581</v>
      </c>
      <c r="P50" s="217"/>
      <c r="Q50" s="217"/>
      <c r="R50" s="224"/>
      <c r="S50" s="230">
        <f t="shared" ca="1" si="29"/>
        <v>3592547.0685232123</v>
      </c>
      <c r="T50" s="231">
        <f t="shared" ca="1" si="30"/>
        <v>22366.532238830223</v>
      </c>
      <c r="U50" s="231">
        <f t="shared" ca="1" si="31"/>
        <v>36911.880282479702</v>
      </c>
      <c r="V50" s="231"/>
      <c r="W50" s="231">
        <f t="shared" ca="1" si="32"/>
        <v>90206.648206720551</v>
      </c>
      <c r="X50" s="231">
        <f t="shared" ca="1" si="33"/>
        <v>11275.831025840069</v>
      </c>
      <c r="Y50" s="231"/>
      <c r="Z50" s="232">
        <f t="shared" ca="1" si="2"/>
        <v>3753307.9602770833</v>
      </c>
      <c r="AA50" s="231">
        <f t="shared" ca="1" si="3"/>
        <v>4699.0853041861783</v>
      </c>
      <c r="AB50" s="231">
        <f t="shared" ca="1" si="34"/>
        <v>54218.628629016232</v>
      </c>
      <c r="AC50" s="231">
        <f t="shared" ca="1" si="35"/>
        <v>291701.52729742345</v>
      </c>
      <c r="AD50" s="231">
        <f t="shared" ca="1" si="36"/>
        <v>10128.525253382759</v>
      </c>
      <c r="AE50" s="231">
        <f t="shared" ca="1" si="4"/>
        <v>279347.74680670956</v>
      </c>
      <c r="AF50" s="231">
        <f t="shared" ca="1" si="5"/>
        <v>640095.5132907182</v>
      </c>
      <c r="AG50" s="232">
        <f t="shared" ca="1" si="6"/>
        <v>4393403.4735678015</v>
      </c>
      <c r="AH50" s="244">
        <f t="shared" ca="1" si="37"/>
        <v>18.363036130916118</v>
      </c>
      <c r="AI50" s="243">
        <f t="shared" ca="1" si="38"/>
        <v>16.494613545958785</v>
      </c>
      <c r="AJ50" s="242">
        <f t="shared" ca="1" si="39"/>
        <v>34.8576496768749</v>
      </c>
      <c r="AK50" s="241">
        <f t="shared" ca="1" si="40"/>
        <v>13.221386014259604</v>
      </c>
      <c r="AL50" s="243">
        <f t="shared" ca="1" si="41"/>
        <v>7.3071138008597423</v>
      </c>
      <c r="AM50" s="243"/>
      <c r="AN50" s="242">
        <f t="shared" ca="1" si="7"/>
        <v>20.528499815119346</v>
      </c>
      <c r="AO50" s="224"/>
      <c r="AP50" s="235">
        <f t="shared" si="42"/>
        <v>3.3846153846153846</v>
      </c>
      <c r="AQ50" s="235">
        <f t="shared" si="8"/>
        <v>0.90479654128437381</v>
      </c>
      <c r="AR50" s="235">
        <f t="shared" si="9"/>
        <v>0.95085639989044812</v>
      </c>
      <c r="AT50" s="230">
        <f t="shared" ca="1" si="10"/>
        <v>3250524.162001119</v>
      </c>
      <c r="AU50" s="231">
        <f t="shared" ca="1" si="11"/>
        <v>20237.161010219028</v>
      </c>
      <c r="AV50" s="231">
        <f t="shared" ca="1" si="43"/>
        <v>33397.741611890509</v>
      </c>
      <c r="AW50" s="231"/>
      <c r="AX50" s="231">
        <f t="shared" ca="1" si="44"/>
        <v>81618.663298297019</v>
      </c>
      <c r="AY50" s="231">
        <f t="shared" ca="1" si="45"/>
        <v>10202.332912287127</v>
      </c>
      <c r="AZ50" s="231"/>
      <c r="BA50" s="232">
        <f t="shared" ca="1" si="12"/>
        <v>3395980.0608338127</v>
      </c>
      <c r="BB50" s="231">
        <f t="shared" ca="1" si="13"/>
        <v>4251.7161304278834</v>
      </c>
      <c r="BC50" s="231">
        <f t="shared" ca="1" si="46"/>
        <v>49056.827656715817</v>
      </c>
      <c r="BD50" s="231">
        <f t="shared" ca="1" si="47"/>
        <v>263930.53298607812</v>
      </c>
      <c r="BE50" s="231">
        <f t="shared" ca="1" si="48"/>
        <v>9164.2546175721563</v>
      </c>
      <c r="BF50" s="231">
        <f t="shared" ca="1" si="14"/>
        <v>252752.8751262938</v>
      </c>
      <c r="BG50" s="231">
        <f t="shared" ca="1" si="15"/>
        <v>579156.20651708776</v>
      </c>
      <c r="BH50" s="232">
        <f t="shared" ca="1" si="16"/>
        <v>3975136.2673509005</v>
      </c>
      <c r="BI50" s="244">
        <f t="shared" ca="1" si="49"/>
        <v>17.460610426501123</v>
      </c>
      <c r="BJ50" s="243">
        <f t="shared" ca="1" si="50"/>
        <v>15.684008853894589</v>
      </c>
      <c r="BK50" s="242">
        <f t="shared" ca="1" si="51"/>
        <v>33.144619280395709</v>
      </c>
      <c r="BL50" s="241">
        <f t="shared" ca="1" si="52"/>
        <v>12.571639507080809</v>
      </c>
      <c r="BM50" s="243">
        <f t="shared" ca="1" si="53"/>
        <v>6.9480159222753031</v>
      </c>
      <c r="BN50" s="243">
        <f t="shared" si="17"/>
        <v>0</v>
      </c>
      <c r="BO50" s="242">
        <f t="shared" ca="1" si="18"/>
        <v>19.51965542935611</v>
      </c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</row>
    <row r="51" spans="1:80" ht="12" customHeight="1" x14ac:dyDescent="0.15">
      <c r="A51" s="213">
        <f t="shared" si="19"/>
        <v>45</v>
      </c>
      <c r="B51" s="67">
        <f t="shared" si="20"/>
        <v>180</v>
      </c>
      <c r="C51" s="224">
        <f t="shared" si="21"/>
        <v>41.53846153846154</v>
      </c>
      <c r="D51" s="225">
        <f ca="1">IFERROR(OFFSET(extrapolation!P60,0,OS_dist_choice-1,1,1),0)</f>
        <v>0.44033649810276621</v>
      </c>
      <c r="E51" s="225">
        <f ca="1">IFERROR(OFFSET(extrapolation!D60,0,PFS_dist_choice-1,1,1),0)</f>
        <v>0.22946564400917968</v>
      </c>
      <c r="F51" s="214"/>
      <c r="G51" s="226">
        <f t="shared" ca="1" si="22"/>
        <v>229.46564400917967</v>
      </c>
      <c r="H51" s="224">
        <f t="shared" ca="1" si="23"/>
        <v>210.87085409358656</v>
      </c>
      <c r="I51" s="224">
        <f t="shared" ca="1" si="0"/>
        <v>559.6635018972338</v>
      </c>
      <c r="J51" s="227">
        <f t="shared" ca="1" si="1"/>
        <v>1000</v>
      </c>
      <c r="K51" s="238">
        <f t="shared" ca="1" si="24"/>
        <v>6.6364036017824333</v>
      </c>
      <c r="L51" s="239">
        <f t="shared" ca="1" si="25"/>
        <v>9.4940024104251961</v>
      </c>
      <c r="M51" s="238">
        <f t="shared" ca="1" si="26"/>
        <v>232.78384581007089</v>
      </c>
      <c r="N51" s="238">
        <f t="shared" ca="1" si="27"/>
        <v>212.29965349790791</v>
      </c>
      <c r="O51" s="239">
        <f t="shared" ca="1" si="28"/>
        <v>554.91650069202115</v>
      </c>
      <c r="P51" s="217"/>
      <c r="Q51" s="217"/>
      <c r="R51" s="224"/>
      <c r="S51" s="230">
        <f t="shared" ca="1" si="29"/>
        <v>3491567.0365990275</v>
      </c>
      <c r="T51" s="231">
        <f t="shared" ca="1" si="30"/>
        <v>21737.849274785211</v>
      </c>
      <c r="U51" s="231">
        <f t="shared" ca="1" si="31"/>
        <v>35870.904314718136</v>
      </c>
      <c r="V51" s="231"/>
      <c r="W51" s="231">
        <f t="shared" ca="1" si="32"/>
        <v>87662.671790539738</v>
      </c>
      <c r="X51" s="231">
        <f t="shared" ca="1" si="33"/>
        <v>10957.833973817467</v>
      </c>
      <c r="Y51" s="231"/>
      <c r="Z51" s="232">
        <f t="shared" ca="1" si="2"/>
        <v>3647796.2959528882</v>
      </c>
      <c r="AA51" s="231">
        <f t="shared" ca="1" si="3"/>
        <v>4536.3991323311584</v>
      </c>
      <c r="AB51" s="231">
        <f t="shared" ca="1" si="34"/>
        <v>53496.266761303916</v>
      </c>
      <c r="AC51" s="231">
        <f t="shared" ca="1" si="35"/>
        <v>287815.14976628218</v>
      </c>
      <c r="AD51" s="231">
        <f t="shared" ca="1" si="36"/>
        <v>9993.5815891070197</v>
      </c>
      <c r="AE51" s="231">
        <f t="shared" ca="1" si="4"/>
        <v>272008.10499053507</v>
      </c>
      <c r="AF51" s="231">
        <f t="shared" ca="1" si="5"/>
        <v>627849.50223955931</v>
      </c>
      <c r="AG51" s="232">
        <f t="shared" ca="1" si="6"/>
        <v>4275645.7981924471</v>
      </c>
      <c r="AH51" s="244">
        <f t="shared" ca="1" si="37"/>
        <v>17.845168193516727</v>
      </c>
      <c r="AI51" s="243">
        <f t="shared" ca="1" si="38"/>
        <v>16.274853656239348</v>
      </c>
      <c r="AJ51" s="242">
        <f t="shared" ca="1" si="39"/>
        <v>34.120021849756071</v>
      </c>
      <c r="AK51" s="241">
        <f t="shared" ca="1" si="40"/>
        <v>12.848521099332043</v>
      </c>
      <c r="AL51" s="243">
        <f t="shared" ca="1" si="41"/>
        <v>7.2097601697140314</v>
      </c>
      <c r="AM51" s="243"/>
      <c r="AN51" s="242">
        <f t="shared" ca="1" si="7"/>
        <v>20.058281269046073</v>
      </c>
      <c r="AO51" s="224"/>
      <c r="AP51" s="235">
        <f t="shared" si="42"/>
        <v>3.4615384615384617</v>
      </c>
      <c r="AQ51" s="235">
        <f t="shared" si="8"/>
        <v>0.9027415936207176</v>
      </c>
      <c r="AR51" s="235">
        <f t="shared" si="9"/>
        <v>0.94976802844750197</v>
      </c>
      <c r="AT51" s="230">
        <f t="shared" ca="1" si="10"/>
        <v>3151982.7908529723</v>
      </c>
      <c r="AU51" s="231">
        <f t="shared" ca="1" si="11"/>
        <v>19623.66069620656</v>
      </c>
      <c r="AV51" s="231">
        <f t="shared" ca="1" si="43"/>
        <v>32382.157325684926</v>
      </c>
      <c r="AW51" s="231"/>
      <c r="AX51" s="231">
        <f t="shared" ca="1" si="44"/>
        <v>79136.740033241775</v>
      </c>
      <c r="AY51" s="231">
        <f t="shared" ca="1" si="45"/>
        <v>9892.0925041552218</v>
      </c>
      <c r="AZ51" s="231"/>
      <c r="BA51" s="232">
        <f t="shared" ca="1" si="12"/>
        <v>3293017.4414122612</v>
      </c>
      <c r="BB51" s="231">
        <f t="shared" ca="1" si="13"/>
        <v>4095.1961820202705</v>
      </c>
      <c r="BC51" s="231">
        <f t="shared" ca="1" si="46"/>
        <v>48293.30510885852</v>
      </c>
      <c r="BD51" s="231">
        <f t="shared" ca="1" si="47"/>
        <v>259822.70696819908</v>
      </c>
      <c r="BE51" s="231">
        <f t="shared" ca="1" si="48"/>
        <v>9021.621769729134</v>
      </c>
      <c r="BF51" s="231">
        <f t="shared" ca="1" si="14"/>
        <v>245553.03017690708</v>
      </c>
      <c r="BG51" s="231">
        <f t="shared" ca="1" si="15"/>
        <v>566785.86020571413</v>
      </c>
      <c r="BH51" s="232">
        <f t="shared" ca="1" si="16"/>
        <v>3859803.3016179749</v>
      </c>
      <c r="BI51" s="244">
        <f t="shared" ca="1" si="49"/>
        <v>16.948770212470453</v>
      </c>
      <c r="BJ51" s="243">
        <f t="shared" ca="1" si="50"/>
        <v>15.457335670358065</v>
      </c>
      <c r="BK51" s="242">
        <f t="shared" ca="1" si="51"/>
        <v>32.406105882828513</v>
      </c>
      <c r="BL51" s="241">
        <f t="shared" ca="1" si="52"/>
        <v>12.203114552978725</v>
      </c>
      <c r="BM51" s="243">
        <f t="shared" ca="1" si="53"/>
        <v>6.8475997019686226</v>
      </c>
      <c r="BN51" s="243">
        <f t="shared" si="17"/>
        <v>0</v>
      </c>
      <c r="BO51" s="242">
        <f t="shared" ca="1" si="18"/>
        <v>19.050714254947348</v>
      </c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</row>
    <row r="52" spans="1:80" ht="12" customHeight="1" x14ac:dyDescent="0.15">
      <c r="A52" s="213">
        <f t="shared" si="19"/>
        <v>46</v>
      </c>
      <c r="B52" s="67">
        <f t="shared" si="20"/>
        <v>184</v>
      </c>
      <c r="C52" s="224">
        <f t="shared" si="21"/>
        <v>42.46153846153846</v>
      </c>
      <c r="D52" s="225">
        <f ca="1">IFERROR(OFFSET(extrapolation!P61,0,OS_dist_choice-1,1,1),0)</f>
        <v>0.431093147370118</v>
      </c>
      <c r="E52" s="225">
        <f ca="1">IFERROR(OFFSET(extrapolation!D61,0,PFS_dist_choice-1,1,1),0)</f>
        <v>0.22305726037550544</v>
      </c>
      <c r="F52" s="214"/>
      <c r="G52" s="226">
        <f t="shared" ca="1" si="22"/>
        <v>223.05726037550545</v>
      </c>
      <c r="H52" s="224">
        <f t="shared" ca="1" si="23"/>
        <v>208.03588699461261</v>
      </c>
      <c r="I52" s="224">
        <f t="shared" ca="1" si="0"/>
        <v>568.906852629882</v>
      </c>
      <c r="J52" s="227">
        <f t="shared" ca="1" si="1"/>
        <v>1000</v>
      </c>
      <c r="K52" s="238">
        <f t="shared" ca="1" si="24"/>
        <v>6.4083836336742195</v>
      </c>
      <c r="L52" s="239">
        <f t="shared" ca="1" si="25"/>
        <v>9.2433507326481958</v>
      </c>
      <c r="M52" s="238">
        <f t="shared" ca="1" si="26"/>
        <v>226.26145219234257</v>
      </c>
      <c r="N52" s="238">
        <f t="shared" ca="1" si="27"/>
        <v>209.45337054409958</v>
      </c>
      <c r="O52" s="239">
        <f t="shared" ca="1" si="28"/>
        <v>564.2851772635579</v>
      </c>
      <c r="P52" s="217"/>
      <c r="Q52" s="217"/>
      <c r="R52" s="224"/>
      <c r="S52" s="230">
        <f t="shared" ca="1" si="29"/>
        <v>3394056.5741948062</v>
      </c>
      <c r="T52" s="231">
        <f t="shared" ca="1" si="30"/>
        <v>21130.767207553232</v>
      </c>
      <c r="U52" s="231">
        <f t="shared" ca="1" si="31"/>
        <v>34865.833896063086</v>
      </c>
      <c r="V52" s="231"/>
      <c r="W52" s="231">
        <f t="shared" ca="1" si="32"/>
        <v>85206.442712401142</v>
      </c>
      <c r="X52" s="231">
        <f t="shared" ca="1" si="33"/>
        <v>10650.805339050143</v>
      </c>
      <c r="Y52" s="231"/>
      <c r="Z52" s="232">
        <f t="shared" ca="1" si="2"/>
        <v>3545910.4233498736</v>
      </c>
      <c r="AA52" s="231">
        <f t="shared" ca="1" si="3"/>
        <v>4380.5331471456793</v>
      </c>
      <c r="AB52" s="231">
        <f t="shared" ca="1" si="34"/>
        <v>52779.046974713056</v>
      </c>
      <c r="AC52" s="231">
        <f t="shared" ca="1" si="35"/>
        <v>283956.43713472516</v>
      </c>
      <c r="AD52" s="231">
        <f t="shared" ca="1" si="36"/>
        <v>9859.5985116224001</v>
      </c>
      <c r="AE52" s="231">
        <f t="shared" ca="1" si="4"/>
        <v>264826.80410841672</v>
      </c>
      <c r="AF52" s="231">
        <f t="shared" ca="1" si="5"/>
        <v>615802.41987662297</v>
      </c>
      <c r="AG52" s="232">
        <f t="shared" ca="1" si="6"/>
        <v>4161712.8432264966</v>
      </c>
      <c r="AH52" s="244">
        <f t="shared" ca="1" si="37"/>
        <v>17.345162659508809</v>
      </c>
      <c r="AI52" s="243">
        <f t="shared" ca="1" si="38"/>
        <v>16.056658111525774</v>
      </c>
      <c r="AJ52" s="242">
        <f t="shared" ca="1" si="39"/>
        <v>33.401820771034579</v>
      </c>
      <c r="AK52" s="241">
        <f t="shared" ca="1" si="40"/>
        <v>12.488517114846342</v>
      </c>
      <c r="AL52" s="243">
        <f t="shared" ca="1" si="41"/>
        <v>7.1130995434059177</v>
      </c>
      <c r="AM52" s="243"/>
      <c r="AN52" s="242">
        <f t="shared" ca="1" si="7"/>
        <v>19.601616658252262</v>
      </c>
      <c r="AO52" s="224"/>
      <c r="AP52" s="235">
        <f t="shared" si="42"/>
        <v>3.5384615384615383</v>
      </c>
      <c r="AQ52" s="235">
        <f t="shared" si="8"/>
        <v>0.90069131309459738</v>
      </c>
      <c r="AR52" s="235">
        <f t="shared" si="9"/>
        <v>0.94868090277878392</v>
      </c>
      <c r="AT52" s="230">
        <f t="shared" ca="1" si="10"/>
        <v>3056997.272528871</v>
      </c>
      <c r="AU52" s="231">
        <f t="shared" ca="1" si="11"/>
        <v>19032.29846286738</v>
      </c>
      <c r="AV52" s="231">
        <f t="shared" ca="1" si="43"/>
        <v>31403.353713983182</v>
      </c>
      <c r="AW52" s="231"/>
      <c r="AX52" s="231">
        <f t="shared" ca="1" si="44"/>
        <v>76744.702770752177</v>
      </c>
      <c r="AY52" s="231">
        <f t="shared" ca="1" si="45"/>
        <v>9593.0878463440222</v>
      </c>
      <c r="AZ52" s="231"/>
      <c r="BA52" s="232">
        <f t="shared" ca="1" si="12"/>
        <v>3193770.7153228172</v>
      </c>
      <c r="BB52" s="231">
        <f t="shared" ca="1" si="13"/>
        <v>3945.5081523570511</v>
      </c>
      <c r="BC52" s="231">
        <f t="shared" ca="1" si="46"/>
        <v>47537.629123535742</v>
      </c>
      <c r="BD52" s="231">
        <f t="shared" ca="1" si="47"/>
        <v>255757.0962245391</v>
      </c>
      <c r="BE52" s="231">
        <f t="shared" ca="1" si="48"/>
        <v>8880.4547300187169</v>
      </c>
      <c r="BF52" s="231">
        <f t="shared" ca="1" si="14"/>
        <v>238527.20193505558</v>
      </c>
      <c r="BG52" s="231">
        <f t="shared" ca="1" si="15"/>
        <v>554647.89016550616</v>
      </c>
      <c r="BH52" s="232">
        <f t="shared" ca="1" si="16"/>
        <v>3748418.6054883236</v>
      </c>
      <c r="BI52" s="244">
        <f t="shared" ca="1" si="49"/>
        <v>16.455024570667668</v>
      </c>
      <c r="BJ52" s="243">
        <f t="shared" ca="1" si="50"/>
        <v>15.232644912852555</v>
      </c>
      <c r="BK52" s="242">
        <f t="shared" ca="1" si="51"/>
        <v>31.687669483520221</v>
      </c>
      <c r="BL52" s="241">
        <f t="shared" ca="1" si="52"/>
        <v>11.847617690880721</v>
      </c>
      <c r="BM52" s="243">
        <f t="shared" ca="1" si="53"/>
        <v>6.7480616963936813</v>
      </c>
      <c r="BN52" s="243">
        <f t="shared" si="17"/>
        <v>0</v>
      </c>
      <c r="BO52" s="242">
        <f t="shared" ca="1" si="18"/>
        <v>18.595679387274405</v>
      </c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</row>
    <row r="53" spans="1:80" ht="12" customHeight="1" x14ac:dyDescent="0.15">
      <c r="A53" s="213">
        <f t="shared" si="19"/>
        <v>47</v>
      </c>
      <c r="B53" s="67">
        <f t="shared" si="20"/>
        <v>188</v>
      </c>
      <c r="C53" s="224">
        <f t="shared" si="21"/>
        <v>43.384615384615387</v>
      </c>
      <c r="D53" s="225">
        <f ca="1">IFERROR(OFFSET(extrapolation!P62,0,OS_dist_choice-1,1,1),0)</f>
        <v>0.42209478437041426</v>
      </c>
      <c r="E53" s="225">
        <f ca="1">IFERROR(OFFSET(extrapolation!D62,0,PFS_dist_choice-1,1,1),0)</f>
        <v>0.21686741645787277</v>
      </c>
      <c r="F53" s="214"/>
      <c r="G53" s="226">
        <f t="shared" ca="1" si="22"/>
        <v>216.86741645787276</v>
      </c>
      <c r="H53" s="224">
        <f t="shared" ca="1" si="23"/>
        <v>205.22736791254147</v>
      </c>
      <c r="I53" s="224">
        <f t="shared" ca="1" si="0"/>
        <v>577.90521562958577</v>
      </c>
      <c r="J53" s="227">
        <f t="shared" ca="1" si="1"/>
        <v>1000</v>
      </c>
      <c r="K53" s="238">
        <f t="shared" ca="1" si="24"/>
        <v>6.189843917632686</v>
      </c>
      <c r="L53" s="239">
        <f t="shared" ca="1" si="25"/>
        <v>8.9983629997037724</v>
      </c>
      <c r="M53" s="238">
        <f t="shared" ca="1" si="26"/>
        <v>219.96233841668911</v>
      </c>
      <c r="N53" s="238">
        <f t="shared" ca="1" si="27"/>
        <v>206.63162745357704</v>
      </c>
      <c r="O53" s="239">
        <f t="shared" ca="1" si="28"/>
        <v>573.40603412973383</v>
      </c>
      <c r="P53" s="217"/>
      <c r="Q53" s="217"/>
      <c r="R53" s="224"/>
      <c r="S53" s="230">
        <f t="shared" ca="1" si="29"/>
        <v>3299871.4290598128</v>
      </c>
      <c r="T53" s="231">
        <f t="shared" ca="1" si="30"/>
        <v>20544.387949355598</v>
      </c>
      <c r="U53" s="231">
        <f t="shared" ca="1" si="31"/>
        <v>33895.169859099173</v>
      </c>
      <c r="V53" s="231"/>
      <c r="W53" s="231">
        <f t="shared" ca="1" si="32"/>
        <v>82834.297250310454</v>
      </c>
      <c r="X53" s="231">
        <f t="shared" ca="1" si="33"/>
        <v>10354.287156288807</v>
      </c>
      <c r="Y53" s="231"/>
      <c r="Z53" s="232">
        <f t="shared" ca="1" si="2"/>
        <v>3447499.5712748668</v>
      </c>
      <c r="AA53" s="231">
        <f t="shared" ca="1" si="3"/>
        <v>4231.1475103281055</v>
      </c>
      <c r="AB53" s="231">
        <f t="shared" ca="1" si="34"/>
        <v>52068.010858472066</v>
      </c>
      <c r="AC53" s="231">
        <f t="shared" ca="1" si="35"/>
        <v>280130.99325472029</v>
      </c>
      <c r="AD53" s="231">
        <f t="shared" ca="1" si="36"/>
        <v>9726.7705991222319</v>
      </c>
      <c r="AE53" s="231">
        <f t="shared" ca="1" si="4"/>
        <v>257807.77819043666</v>
      </c>
      <c r="AF53" s="231">
        <f t="shared" ca="1" si="5"/>
        <v>603964.70041307935</v>
      </c>
      <c r="AG53" s="232">
        <f t="shared" ca="1" si="6"/>
        <v>4051464.2716879463</v>
      </c>
      <c r="AH53" s="244">
        <f t="shared" ca="1" si="37"/>
        <v>16.862273718459399</v>
      </c>
      <c r="AI53" s="243">
        <f t="shared" ca="1" si="38"/>
        <v>15.840343788364564</v>
      </c>
      <c r="AJ53" s="242">
        <f t="shared" ca="1" si="39"/>
        <v>32.702617506823962</v>
      </c>
      <c r="AK53" s="241">
        <f t="shared" ca="1" si="40"/>
        <v>12.140837077290767</v>
      </c>
      <c r="AL53" s="243">
        <f t="shared" ca="1" si="41"/>
        <v>7.0172722982455014</v>
      </c>
      <c r="AM53" s="243"/>
      <c r="AN53" s="242">
        <f t="shared" ca="1" si="7"/>
        <v>19.15810937553627</v>
      </c>
      <c r="AO53" s="224"/>
      <c r="AP53" s="235">
        <f t="shared" si="42"/>
        <v>3.6153846153846154</v>
      </c>
      <c r="AQ53" s="235">
        <f t="shared" si="8"/>
        <v>0.89864568910614584</v>
      </c>
      <c r="AR53" s="235">
        <f t="shared" si="9"/>
        <v>0.94759502145835361</v>
      </c>
      <c r="AT53" s="230">
        <f t="shared" ca="1" si="10"/>
        <v>2965415.234329138</v>
      </c>
      <c r="AU53" s="231">
        <f t="shared" ca="1" si="11"/>
        <v>18462.12566601266</v>
      </c>
      <c r="AV53" s="231">
        <f t="shared" ca="1" si="43"/>
        <v>30459.748275400041</v>
      </c>
      <c r="AW53" s="231"/>
      <c r="AX53" s="231">
        <f t="shared" ca="1" si="44"/>
        <v>74438.684134128562</v>
      </c>
      <c r="AY53" s="231">
        <f t="shared" ca="1" si="45"/>
        <v>9304.8355167660702</v>
      </c>
      <c r="AZ53" s="231"/>
      <c r="BA53" s="232">
        <f t="shared" ca="1" si="12"/>
        <v>3098080.6279214448</v>
      </c>
      <c r="BB53" s="231">
        <f t="shared" ca="1" si="13"/>
        <v>3802.3024701285535</v>
      </c>
      <c r="BC53" s="231">
        <f t="shared" ca="1" si="46"/>
        <v>46790.693498297915</v>
      </c>
      <c r="BD53" s="231">
        <f t="shared" ca="1" si="47"/>
        <v>251738.5094733772</v>
      </c>
      <c r="BE53" s="231">
        <f t="shared" ca="1" si="48"/>
        <v>8740.9204678255974</v>
      </c>
      <c r="BF53" s="231">
        <f t="shared" ca="1" si="14"/>
        <v>231677.84848886935</v>
      </c>
      <c r="BG53" s="231">
        <f t="shared" ca="1" si="15"/>
        <v>542750.27439849859</v>
      </c>
      <c r="BH53" s="232">
        <f t="shared" ca="1" si="16"/>
        <v>3640830.9023199435</v>
      </c>
      <c r="BI53" s="244">
        <f t="shared" ca="1" si="49"/>
        <v>15.978606626080166</v>
      </c>
      <c r="BJ53" s="243">
        <f t="shared" ca="1" si="50"/>
        <v>15.010230912043017</v>
      </c>
      <c r="BK53" s="242">
        <f t="shared" ca="1" si="51"/>
        <v>30.988837538123182</v>
      </c>
      <c r="BL53" s="241">
        <f t="shared" ca="1" si="52"/>
        <v>11.50459677077772</v>
      </c>
      <c r="BM53" s="243">
        <f t="shared" ca="1" si="53"/>
        <v>6.6495322940350565</v>
      </c>
      <c r="BN53" s="243">
        <f t="shared" si="17"/>
        <v>0</v>
      </c>
      <c r="BO53" s="242">
        <f t="shared" ca="1" si="18"/>
        <v>18.154129064812778</v>
      </c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</row>
    <row r="54" spans="1:80" ht="12" customHeight="1" x14ac:dyDescent="0.15">
      <c r="A54" s="213">
        <f t="shared" si="19"/>
        <v>48</v>
      </c>
      <c r="B54" s="67">
        <f t="shared" si="20"/>
        <v>192</v>
      </c>
      <c r="C54" s="224">
        <f t="shared" si="21"/>
        <v>44.307692307692307</v>
      </c>
      <c r="D54" s="225">
        <f ca="1">IFERROR(OFFSET(extrapolation!P63,0,OS_dist_choice-1,1,1),0)</f>
        <v>0.41333564829342012</v>
      </c>
      <c r="E54" s="225">
        <f ca="1">IFERROR(OFFSET(extrapolation!D63,0,PFS_dist_choice-1,1,1),0)</f>
        <v>0.21088710050510284</v>
      </c>
      <c r="F54" s="214"/>
      <c r="G54" s="226">
        <f t="shared" ca="1" si="22"/>
        <v>210.88710050510284</v>
      </c>
      <c r="H54" s="224">
        <f t="shared" ca="1" si="23"/>
        <v>202.44854778831723</v>
      </c>
      <c r="I54" s="224">
        <f t="shared" ca="1" si="0"/>
        <v>586.66435170657996</v>
      </c>
      <c r="J54" s="227">
        <f t="shared" ca="1" si="1"/>
        <v>1000</v>
      </c>
      <c r="K54" s="238">
        <f t="shared" ca="1" si="24"/>
        <v>5.9803159527699279</v>
      </c>
      <c r="L54" s="239">
        <f t="shared" ca="1" si="25"/>
        <v>8.7591360769941957</v>
      </c>
      <c r="M54" s="238">
        <f t="shared" ca="1" si="26"/>
        <v>213.87725848148779</v>
      </c>
      <c r="N54" s="238">
        <f t="shared" ca="1" si="27"/>
        <v>203.83795785042935</v>
      </c>
      <c r="O54" s="239">
        <f t="shared" ca="1" si="28"/>
        <v>582.28478366808281</v>
      </c>
      <c r="P54" s="217"/>
      <c r="Q54" s="217"/>
      <c r="R54" s="224"/>
      <c r="S54" s="230">
        <f t="shared" ca="1" si="29"/>
        <v>3208874.47768916</v>
      </c>
      <c r="T54" s="231">
        <f t="shared" ca="1" si="30"/>
        <v>19977.857794664091</v>
      </c>
      <c r="U54" s="231">
        <f t="shared" ca="1" si="31"/>
        <v>32957.48743812435</v>
      </c>
      <c r="V54" s="231"/>
      <c r="W54" s="231">
        <f t="shared" ca="1" si="32"/>
        <v>80542.753507992602</v>
      </c>
      <c r="X54" s="231">
        <f t="shared" ca="1" si="33"/>
        <v>10067.844188499075</v>
      </c>
      <c r="Y54" s="231"/>
      <c r="Z54" s="232">
        <f t="shared" ca="1" si="2"/>
        <v>3352420.42061844</v>
      </c>
      <c r="AA54" s="231">
        <f t="shared" ca="1" si="3"/>
        <v>4087.9219720640917</v>
      </c>
      <c r="AB54" s="231">
        <f t="shared" ca="1" si="34"/>
        <v>51364.048831824635</v>
      </c>
      <c r="AC54" s="231">
        <f t="shared" ca="1" si="35"/>
        <v>276343.60866892594</v>
      </c>
      <c r="AD54" s="231">
        <f t="shared" ca="1" si="36"/>
        <v>9595.2641898932616</v>
      </c>
      <c r="AE54" s="231">
        <f t="shared" ca="1" si="4"/>
        <v>250953.80248073017</v>
      </c>
      <c r="AF54" s="231">
        <f t="shared" ca="1" si="5"/>
        <v>592344.64614343806</v>
      </c>
      <c r="AG54" s="232">
        <f t="shared" ca="1" si="6"/>
        <v>3944765.0667618783</v>
      </c>
      <c r="AH54" s="244">
        <f t="shared" ca="1" si="37"/>
        <v>16.395792573529523</v>
      </c>
      <c r="AI54" s="243">
        <f t="shared" ca="1" si="38"/>
        <v>15.626181573749546</v>
      </c>
      <c r="AJ54" s="242">
        <f t="shared" ca="1" si="39"/>
        <v>32.021974147279067</v>
      </c>
      <c r="AK54" s="241">
        <f t="shared" ca="1" si="40"/>
        <v>11.804970652941256</v>
      </c>
      <c r="AL54" s="243">
        <f t="shared" ca="1" si="41"/>
        <v>6.922398437171049</v>
      </c>
      <c r="AM54" s="243"/>
      <c r="AN54" s="242">
        <f t="shared" ca="1" si="7"/>
        <v>18.727369090112305</v>
      </c>
      <c r="AO54" s="224"/>
      <c r="AP54" s="235">
        <f t="shared" si="42"/>
        <v>3.6923076923076925</v>
      </c>
      <c r="AQ54" s="235">
        <f t="shared" si="8"/>
        <v>0.89660471107956985</v>
      </c>
      <c r="AR54" s="235">
        <f t="shared" si="9"/>
        <v>0.94651038306190149</v>
      </c>
      <c r="AT54" s="230">
        <f t="shared" ca="1" si="10"/>
        <v>2877091.9739590948</v>
      </c>
      <c r="AU54" s="231">
        <f t="shared" ca="1" si="11"/>
        <v>17912.241415973531</v>
      </c>
      <c r="AV54" s="231">
        <f t="shared" ca="1" si="43"/>
        <v>29549.838502368035</v>
      </c>
      <c r="AW54" s="231"/>
      <c r="AX54" s="231">
        <f t="shared" ca="1" si="44"/>
        <v>72215.012238586714</v>
      </c>
      <c r="AY54" s="231">
        <f t="shared" ca="1" si="45"/>
        <v>9026.8765298233393</v>
      </c>
      <c r="AZ54" s="231"/>
      <c r="BA54" s="232">
        <f t="shared" ca="1" si="12"/>
        <v>3005795.9426458464</v>
      </c>
      <c r="BB54" s="231">
        <f t="shared" ca="1" si="13"/>
        <v>3665.2500986783502</v>
      </c>
      <c r="BC54" s="231">
        <f t="shared" ca="1" si="46"/>
        <v>46053.248162735043</v>
      </c>
      <c r="BD54" s="231">
        <f t="shared" ca="1" si="47"/>
        <v>247770.98140928807</v>
      </c>
      <c r="BE54" s="231">
        <f t="shared" ca="1" si="48"/>
        <v>8603.1590767113903</v>
      </c>
      <c r="BF54" s="231">
        <f t="shared" ca="1" si="14"/>
        <v>225006.3615675545</v>
      </c>
      <c r="BG54" s="231">
        <f t="shared" ca="1" si="15"/>
        <v>531099.00031496736</v>
      </c>
      <c r="BH54" s="232">
        <f t="shared" ca="1" si="16"/>
        <v>3536894.9429608141</v>
      </c>
      <c r="BI54" s="244">
        <f t="shared" ca="1" si="49"/>
        <v>15.518787909374907</v>
      </c>
      <c r="BJ54" s="243">
        <f t="shared" ca="1" si="50"/>
        <v>14.79034310716451</v>
      </c>
      <c r="BK54" s="242">
        <f t="shared" ca="1" si="51"/>
        <v>30.309131016539418</v>
      </c>
      <c r="BL54" s="241">
        <f t="shared" ca="1" si="52"/>
        <v>11.173527294749933</v>
      </c>
      <c r="BM54" s="243">
        <f t="shared" ca="1" si="53"/>
        <v>6.5521219964738782</v>
      </c>
      <c r="BN54" s="243">
        <f t="shared" si="17"/>
        <v>0</v>
      </c>
      <c r="BO54" s="242">
        <f t="shared" ca="1" si="18"/>
        <v>17.72564929122381</v>
      </c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</row>
    <row r="55" spans="1:80" ht="12" customHeight="1" x14ac:dyDescent="0.15">
      <c r="A55" s="213">
        <f t="shared" si="19"/>
        <v>49</v>
      </c>
      <c r="B55" s="67">
        <f t="shared" si="20"/>
        <v>196</v>
      </c>
      <c r="C55" s="224">
        <f t="shared" si="21"/>
        <v>45.230769230769226</v>
      </c>
      <c r="D55" s="225">
        <f ca="1">IFERROR(OFFSET(extrapolation!P64,0,OS_dist_choice-1,1,1),0)</f>
        <v>0.40480991688382434</v>
      </c>
      <c r="E55" s="225">
        <f ca="1">IFERROR(OFFSET(extrapolation!D64,0,PFS_dist_choice-1,1,1),0)</f>
        <v>0.20510774244837071</v>
      </c>
      <c r="F55" s="214"/>
      <c r="G55" s="226">
        <f t="shared" ca="1" si="22"/>
        <v>205.10774244837071</v>
      </c>
      <c r="H55" s="224">
        <f t="shared" ca="1" si="23"/>
        <v>199.70217443545368</v>
      </c>
      <c r="I55" s="224">
        <f t="shared" ca="1" si="0"/>
        <v>595.19008311617563</v>
      </c>
      <c r="J55" s="227">
        <f t="shared" ca="1" si="1"/>
        <v>1000</v>
      </c>
      <c r="K55" s="238">
        <f t="shared" ca="1" si="24"/>
        <v>5.7793580567321214</v>
      </c>
      <c r="L55" s="239">
        <f t="shared" ca="1" si="25"/>
        <v>8.5257314095956644</v>
      </c>
      <c r="M55" s="238">
        <f t="shared" ca="1" si="26"/>
        <v>207.99742147673678</v>
      </c>
      <c r="N55" s="238">
        <f t="shared" ca="1" si="27"/>
        <v>201.07536111188546</v>
      </c>
      <c r="O55" s="239">
        <f t="shared" ca="1" si="28"/>
        <v>590.9272174113778</v>
      </c>
      <c r="P55" s="217"/>
      <c r="Q55" s="217"/>
      <c r="R55" s="224"/>
      <c r="S55" s="230">
        <f t="shared" ca="1" si="29"/>
        <v>3120935.3172509135</v>
      </c>
      <c r="T55" s="231">
        <f t="shared" ca="1" si="30"/>
        <v>19430.364879614757</v>
      </c>
      <c r="U55" s="231">
        <f t="shared" ca="1" si="31"/>
        <v>32051.431994931576</v>
      </c>
      <c r="V55" s="231"/>
      <c r="W55" s="231">
        <f t="shared" ca="1" si="32"/>
        <v>78328.500969395449</v>
      </c>
      <c r="X55" s="231">
        <f t="shared" ca="1" si="33"/>
        <v>9791.0626211744311</v>
      </c>
      <c r="Y55" s="231"/>
      <c r="Z55" s="232">
        <f t="shared" ca="1" si="2"/>
        <v>3260536.6777160298</v>
      </c>
      <c r="AA55" s="231">
        <f t="shared" ca="1" si="3"/>
        <v>3950.5546146935799</v>
      </c>
      <c r="AB55" s="231">
        <f t="shared" ca="1" si="34"/>
        <v>50667.916691973973</v>
      </c>
      <c r="AC55" s="231">
        <f t="shared" ca="1" si="35"/>
        <v>272598.3496402498</v>
      </c>
      <c r="AD55" s="231">
        <f t="shared" ca="1" si="36"/>
        <v>9465.2204736197837</v>
      </c>
      <c r="AE55" s="231">
        <f t="shared" ca="1" si="4"/>
        <v>244266.63741267566</v>
      </c>
      <c r="AF55" s="231">
        <f t="shared" ca="1" si="5"/>
        <v>580948.6788332127</v>
      </c>
      <c r="AG55" s="232">
        <f t="shared" ca="1" si="6"/>
        <v>3841485.3565492425</v>
      </c>
      <c r="AH55" s="244">
        <f t="shared" ca="1" si="37"/>
        <v>15.945045315122876</v>
      </c>
      <c r="AI55" s="243">
        <f t="shared" ca="1" si="38"/>
        <v>15.414401399405319</v>
      </c>
      <c r="AJ55" s="242">
        <f t="shared" ca="1" si="39"/>
        <v>31.359446714528197</v>
      </c>
      <c r="AK55" s="241">
        <f t="shared" ca="1" si="40"/>
        <v>11.48043262688847</v>
      </c>
      <c r="AL55" s="243">
        <f t="shared" ca="1" si="41"/>
        <v>6.8285798199365564</v>
      </c>
      <c r="AM55" s="243"/>
      <c r="AN55" s="242">
        <f t="shared" ca="1" si="7"/>
        <v>18.309012446825026</v>
      </c>
      <c r="AO55" s="224"/>
      <c r="AP55" s="235">
        <f t="shared" si="42"/>
        <v>3.7692307692307692</v>
      </c>
      <c r="AQ55" s="235">
        <f t="shared" si="8"/>
        <v>0.89456836846309529</v>
      </c>
      <c r="AR55" s="235">
        <f t="shared" si="9"/>
        <v>0.94542698616674969</v>
      </c>
      <c r="AT55" s="230">
        <f t="shared" ca="1" si="10"/>
        <v>2791890.0148320026</v>
      </c>
      <c r="AU55" s="231">
        <f t="shared" ca="1" si="11"/>
        <v>17381.789808999602</v>
      </c>
      <c r="AV55" s="231">
        <f t="shared" ca="1" si="43"/>
        <v>28672.197226611792</v>
      </c>
      <c r="AW55" s="231"/>
      <c r="AX55" s="231">
        <f t="shared" ca="1" si="44"/>
        <v>70070.199316352067</v>
      </c>
      <c r="AY55" s="231">
        <f t="shared" ca="1" si="45"/>
        <v>8758.7749145440084</v>
      </c>
      <c r="AZ55" s="231"/>
      <c r="BA55" s="232">
        <f t="shared" ca="1" si="12"/>
        <v>2916772.97609851</v>
      </c>
      <c r="BB55" s="231">
        <f t="shared" ca="1" si="13"/>
        <v>3534.041196190788</v>
      </c>
      <c r="BC55" s="231">
        <f t="shared" ca="1" si="46"/>
        <v>45325.915568563192</v>
      </c>
      <c r="BD55" s="231">
        <f t="shared" ca="1" si="47"/>
        <v>243857.86088341067</v>
      </c>
      <c r="BE55" s="231">
        <f t="shared" ca="1" si="48"/>
        <v>8467.2868362295358</v>
      </c>
      <c r="BF55" s="231">
        <f t="shared" ca="1" si="14"/>
        <v>218513.20730022373</v>
      </c>
      <c r="BG55" s="231">
        <f t="shared" ca="1" si="15"/>
        <v>519698.31178461784</v>
      </c>
      <c r="BH55" s="232">
        <f t="shared" ca="1" si="16"/>
        <v>3436471.2878831276</v>
      </c>
      <c r="BI55" s="244">
        <f t="shared" ca="1" si="49"/>
        <v>15.074876136568871</v>
      </c>
      <c r="BJ55" s="243">
        <f t="shared" ca="1" si="50"/>
        <v>14.5731910586043</v>
      </c>
      <c r="BK55" s="242">
        <f t="shared" ca="1" si="51"/>
        <v>29.648067195173173</v>
      </c>
      <c r="BL55" s="241">
        <f t="shared" ca="1" si="52"/>
        <v>10.853910818329588</v>
      </c>
      <c r="BM55" s="243">
        <f t="shared" ca="1" si="53"/>
        <v>6.4559236389617052</v>
      </c>
      <c r="BN55" s="243">
        <f t="shared" si="17"/>
        <v>0</v>
      </c>
      <c r="BO55" s="242">
        <f t="shared" ca="1" si="18"/>
        <v>17.309834457291291</v>
      </c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67"/>
      <c r="CB55" s="67"/>
    </row>
    <row r="56" spans="1:80" ht="12" customHeight="1" x14ac:dyDescent="0.15">
      <c r="A56" s="213">
        <f t="shared" si="19"/>
        <v>50</v>
      </c>
      <c r="B56" s="67">
        <f t="shared" si="20"/>
        <v>200</v>
      </c>
      <c r="C56" s="224">
        <f t="shared" si="21"/>
        <v>46.153846153846153</v>
      </c>
      <c r="D56" s="225">
        <f ca="1">IFERROR(OFFSET(extrapolation!P65,0,OS_dist_choice-1,1,1),0)</f>
        <v>0.39651173733981421</v>
      </c>
      <c r="E56" s="225">
        <f ca="1">IFERROR(OFFSET(extrapolation!D65,0,PFS_dist_choice-1,1,1),0)</f>
        <v>0.19952118879765146</v>
      </c>
      <c r="F56" s="214"/>
      <c r="G56" s="226">
        <f t="shared" ca="1" si="22"/>
        <v>199.52118879765146</v>
      </c>
      <c r="H56" s="224">
        <f t="shared" ca="1" si="23"/>
        <v>196.99054854216274</v>
      </c>
      <c r="I56" s="224">
        <f t="shared" ca="1" si="0"/>
        <v>603.4882626601858</v>
      </c>
      <c r="J56" s="227">
        <f t="shared" ca="1" si="1"/>
        <v>1000</v>
      </c>
      <c r="K56" s="238">
        <f t="shared" ca="1" si="24"/>
        <v>5.586553650719253</v>
      </c>
      <c r="L56" s="239">
        <f t="shared" ca="1" si="25"/>
        <v>8.2981795440101678</v>
      </c>
      <c r="M56" s="238">
        <f t="shared" ca="1" si="26"/>
        <v>202.31446562301107</v>
      </c>
      <c r="N56" s="238">
        <f t="shared" ca="1" si="27"/>
        <v>198.34636148880821</v>
      </c>
      <c r="O56" s="239">
        <f t="shared" ca="1" si="28"/>
        <v>599.33917288818066</v>
      </c>
      <c r="P56" s="217"/>
      <c r="Q56" s="217"/>
      <c r="R56" s="224"/>
      <c r="S56" s="230">
        <f t="shared" ca="1" si="29"/>
        <v>3035929.8836084679</v>
      </c>
      <c r="T56" s="231">
        <f t="shared" ca="1" si="30"/>
        <v>18901.136803886009</v>
      </c>
      <c r="U56" s="231">
        <f t="shared" ca="1" si="31"/>
        <v>31175.715018333096</v>
      </c>
      <c r="V56" s="231"/>
      <c r="W56" s="231">
        <f t="shared" ca="1" si="32"/>
        <v>76188.390722176002</v>
      </c>
      <c r="X56" s="231">
        <f t="shared" ca="1" si="33"/>
        <v>9523.5488402720002</v>
      </c>
      <c r="Y56" s="231"/>
      <c r="Z56" s="232">
        <f t="shared" ca="1" si="2"/>
        <v>3171718.6749931346</v>
      </c>
      <c r="AA56" s="231">
        <f t="shared" ca="1" si="3"/>
        <v>3818.7606804139518</v>
      </c>
      <c r="AB56" s="231">
        <f t="shared" ca="1" si="34"/>
        <v>49980.250511543418</v>
      </c>
      <c r="AC56" s="231">
        <f t="shared" ca="1" si="35"/>
        <v>268898.63830164488</v>
      </c>
      <c r="AD56" s="231">
        <f t="shared" ca="1" si="36"/>
        <v>9336.7582743626699</v>
      </c>
      <c r="AE56" s="231">
        <f t="shared" ca="1" si="4"/>
        <v>237747.15815943625</v>
      </c>
      <c r="AF56" s="231">
        <f t="shared" ca="1" si="5"/>
        <v>569781.56592740119</v>
      </c>
      <c r="AG56" s="232">
        <f t="shared" ca="1" si="6"/>
        <v>3741500.2409205358</v>
      </c>
      <c r="AH56" s="244">
        <f t="shared" ca="1" si="37"/>
        <v>15.509390930716798</v>
      </c>
      <c r="AI56" s="243">
        <f t="shared" ca="1" si="38"/>
        <v>15.205196773953812</v>
      </c>
      <c r="AJ56" s="242">
        <f t="shared" ca="1" si="39"/>
        <v>30.71458770467061</v>
      </c>
      <c r="AK56" s="241">
        <f t="shared" ca="1" si="40"/>
        <v>11.166761470116095</v>
      </c>
      <c r="AL56" s="243">
        <f t="shared" ca="1" si="41"/>
        <v>6.7359021708615385</v>
      </c>
      <c r="AM56" s="243"/>
      <c r="AN56" s="242">
        <f t="shared" ca="1" si="7"/>
        <v>17.902663640977632</v>
      </c>
      <c r="AO56" s="224"/>
      <c r="AP56" s="235">
        <f t="shared" si="42"/>
        <v>3.8461538461538463</v>
      </c>
      <c r="AQ56" s="235">
        <f t="shared" si="8"/>
        <v>0.89253665072891331</v>
      </c>
      <c r="AR56" s="235">
        <f t="shared" si="9"/>
        <v>0.94434482935184771</v>
      </c>
      <c r="AT56" s="230">
        <f t="shared" ca="1" si="10"/>
        <v>2709678.6901637213</v>
      </c>
      <c r="AU56" s="231">
        <f t="shared" ca="1" si="11"/>
        <v>16869.957337909414</v>
      </c>
      <c r="AV56" s="231">
        <f t="shared" ca="1" si="43"/>
        <v>27825.468266542102</v>
      </c>
      <c r="AW56" s="231"/>
      <c r="AX56" s="231">
        <f t="shared" ca="1" si="44"/>
        <v>68000.931079596776</v>
      </c>
      <c r="AY56" s="231">
        <f t="shared" ca="1" si="45"/>
        <v>8500.116384949597</v>
      </c>
      <c r="AZ56" s="231"/>
      <c r="BA56" s="232">
        <f t="shared" ca="1" si="12"/>
        <v>2830875.1632327191</v>
      </c>
      <c r="BB56" s="231">
        <f t="shared" ca="1" si="13"/>
        <v>3408.3838676319347</v>
      </c>
      <c r="BC56" s="231">
        <f t="shared" ca="1" si="46"/>
        <v>44609.205394165016</v>
      </c>
      <c r="BD56" s="231">
        <f t="shared" ca="1" si="47"/>
        <v>240001.89001531561</v>
      </c>
      <c r="BE56" s="231">
        <f t="shared" ca="1" si="48"/>
        <v>8333.3989588651257</v>
      </c>
      <c r="BF56" s="231">
        <f t="shared" ca="1" si="14"/>
        <v>212198.05226394045</v>
      </c>
      <c r="BG56" s="231">
        <f t="shared" ca="1" si="15"/>
        <v>508550.93049991818</v>
      </c>
      <c r="BH56" s="232">
        <f t="shared" ca="1" si="16"/>
        <v>3339426.0937326374</v>
      </c>
      <c r="BI56" s="244">
        <f t="shared" ca="1" si="49"/>
        <v>14.646213131818849</v>
      </c>
      <c r="BJ56" s="243">
        <f t="shared" ca="1" si="50"/>
        <v>14.358948952760677</v>
      </c>
      <c r="BK56" s="242">
        <f t="shared" ca="1" si="51"/>
        <v>29.005162084579528</v>
      </c>
      <c r="BL56" s="241">
        <f t="shared" ca="1" si="52"/>
        <v>10.545273454909571</v>
      </c>
      <c r="BM56" s="243">
        <f t="shared" ca="1" si="53"/>
        <v>6.3610143860729798</v>
      </c>
      <c r="BN56" s="243">
        <f t="shared" si="17"/>
        <v>0</v>
      </c>
      <c r="BO56" s="242">
        <f t="shared" ca="1" si="18"/>
        <v>16.90628784098255</v>
      </c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</row>
    <row r="57" spans="1:80" ht="12" customHeight="1" x14ac:dyDescent="0.15">
      <c r="A57" s="213">
        <f t="shared" si="19"/>
        <v>51</v>
      </c>
      <c r="B57" s="67">
        <f t="shared" si="20"/>
        <v>204</v>
      </c>
      <c r="C57" s="224">
        <f t="shared" si="21"/>
        <v>47.076923076923073</v>
      </c>
      <c r="D57" s="225">
        <f ca="1">IFERROR(OFFSET(extrapolation!P66,0,OS_dist_choice-1,1,1),0)</f>
        <v>0.38843525315229749</v>
      </c>
      <c r="E57" s="225">
        <f ca="1">IFERROR(OFFSET(extrapolation!D66,0,PFS_dist_choice-1,1,1),0)</f>
        <v>0.19411967913750772</v>
      </c>
      <c r="F57" s="214"/>
      <c r="G57" s="226">
        <f t="shared" ca="1" si="22"/>
        <v>194.11967913750772</v>
      </c>
      <c r="H57" s="224">
        <f t="shared" ca="1" si="23"/>
        <v>194.3155740147896</v>
      </c>
      <c r="I57" s="224">
        <f t="shared" ca="1" si="0"/>
        <v>611.56474684770262</v>
      </c>
      <c r="J57" s="227">
        <f t="shared" ca="1" si="1"/>
        <v>1000</v>
      </c>
      <c r="K57" s="238">
        <f t="shared" ca="1" si="24"/>
        <v>5.4015096601437449</v>
      </c>
      <c r="L57" s="239">
        <f t="shared" ca="1" si="25"/>
        <v>8.0764841875168258</v>
      </c>
      <c r="M57" s="238">
        <f t="shared" ca="1" si="26"/>
        <v>196.82043396757959</v>
      </c>
      <c r="N57" s="238">
        <f t="shared" ca="1" si="27"/>
        <v>195.65306127847617</v>
      </c>
      <c r="O57" s="239">
        <f t="shared" ca="1" si="28"/>
        <v>607.52650475394421</v>
      </c>
      <c r="P57" s="217"/>
      <c r="Q57" s="217"/>
      <c r="R57" s="224"/>
      <c r="S57" s="230">
        <f t="shared" ca="1" si="29"/>
        <v>2953740.0936786318</v>
      </c>
      <c r="T57" s="231">
        <f t="shared" ca="1" si="30"/>
        <v>18389.438404086326</v>
      </c>
      <c r="U57" s="231">
        <f t="shared" ca="1" si="31"/>
        <v>30329.110379045494</v>
      </c>
      <c r="V57" s="231"/>
      <c r="W57" s="231">
        <f t="shared" ca="1" si="32"/>
        <v>74119.426305246991</v>
      </c>
      <c r="X57" s="231">
        <f t="shared" ca="1" si="33"/>
        <v>9264.9282881558738</v>
      </c>
      <c r="Y57" s="231"/>
      <c r="Z57" s="232">
        <f t="shared" ca="1" si="2"/>
        <v>3085842.9970551664</v>
      </c>
      <c r="AA57" s="231">
        <f t="shared" ca="1" si="3"/>
        <v>3692.2714780296405</v>
      </c>
      <c r="AB57" s="231">
        <f t="shared" ca="1" si="34"/>
        <v>49301.580037304426</v>
      </c>
      <c r="AC57" s="231">
        <f t="shared" ca="1" si="35"/>
        <v>265247.32474257721</v>
      </c>
      <c r="AD57" s="231">
        <f t="shared" ca="1" si="36"/>
        <v>9209.9765535617098</v>
      </c>
      <c r="AE57" s="231">
        <f t="shared" ca="1" si="4"/>
        <v>231395.47093648618</v>
      </c>
      <c r="AF57" s="231">
        <f t="shared" ca="1" si="5"/>
        <v>558846.62374795915</v>
      </c>
      <c r="AG57" s="232">
        <f t="shared" ca="1" si="6"/>
        <v>3644689.6208031257</v>
      </c>
      <c r="AH57" s="244">
        <f t="shared" ca="1" si="37"/>
        <v>15.088219441730946</v>
      </c>
      <c r="AI57" s="243">
        <f t="shared" ca="1" si="38"/>
        <v>14.998728859130276</v>
      </c>
      <c r="AJ57" s="242">
        <f t="shared" ca="1" si="39"/>
        <v>30.086948300861224</v>
      </c>
      <c r="AK57" s="241">
        <f t="shared" ca="1" si="40"/>
        <v>10.86351799804628</v>
      </c>
      <c r="AL57" s="243">
        <f t="shared" ca="1" si="41"/>
        <v>6.6444368845947128</v>
      </c>
      <c r="AM57" s="243"/>
      <c r="AN57" s="242">
        <f t="shared" ca="1" si="7"/>
        <v>17.507954882640995</v>
      </c>
      <c r="AO57" s="224"/>
      <c r="AP57" s="235">
        <f t="shared" si="42"/>
        <v>3.9230769230769229</v>
      </c>
      <c r="AQ57" s="235">
        <f t="shared" si="8"/>
        <v>0.89050954737312527</v>
      </c>
      <c r="AR57" s="235">
        <f t="shared" si="9"/>
        <v>0.94326391119777209</v>
      </c>
      <c r="AT57" s="230">
        <f t="shared" ca="1" si="10"/>
        <v>2630333.7538796109</v>
      </c>
      <c r="AU57" s="231">
        <f t="shared" ca="1" si="11"/>
        <v>16375.97046966888</v>
      </c>
      <c r="AV57" s="231">
        <f t="shared" ca="1" si="43"/>
        <v>27008.36235587336</v>
      </c>
      <c r="AW57" s="231"/>
      <c r="AX57" s="231">
        <f t="shared" ca="1" si="44"/>
        <v>66004.056770641211</v>
      </c>
      <c r="AY57" s="231">
        <f t="shared" ca="1" si="45"/>
        <v>8250.5070963301514</v>
      </c>
      <c r="AZ57" s="231"/>
      <c r="BA57" s="232">
        <f t="shared" ca="1" si="12"/>
        <v>2747972.6505721244</v>
      </c>
      <c r="BB57" s="231">
        <f t="shared" ca="1" si="13"/>
        <v>3288.0030026788754</v>
      </c>
      <c r="BC57" s="231">
        <f t="shared" ca="1" si="46"/>
        <v>43903.527723799874</v>
      </c>
      <c r="BD57" s="231">
        <f t="shared" ca="1" si="47"/>
        <v>236205.27509844481</v>
      </c>
      <c r="BE57" s="231">
        <f t="shared" ca="1" si="48"/>
        <v>8201.5720520293344</v>
      </c>
      <c r="BF57" s="231">
        <f t="shared" ca="1" si="14"/>
        <v>206059.87608784146</v>
      </c>
      <c r="BG57" s="231">
        <f t="shared" ca="1" si="15"/>
        <v>497658.25396479433</v>
      </c>
      <c r="BH57" s="232">
        <f t="shared" ca="1" si="16"/>
        <v>3245630.9045369192</v>
      </c>
      <c r="BI57" s="244">
        <f t="shared" ca="1" si="49"/>
        <v>14.232172883617396</v>
      </c>
      <c r="BJ57" s="243">
        <f t="shared" ca="1" si="50"/>
        <v>14.147759646658121</v>
      </c>
      <c r="BK57" s="242">
        <f t="shared" ca="1" si="51"/>
        <v>28.379932530275521</v>
      </c>
      <c r="BL57" s="241">
        <f t="shared" ca="1" si="52"/>
        <v>10.247164476204524</v>
      </c>
      <c r="BM57" s="243">
        <f t="shared" ca="1" si="53"/>
        <v>6.2674575234695489</v>
      </c>
      <c r="BN57" s="243">
        <f t="shared" si="17"/>
        <v>0</v>
      </c>
      <c r="BO57" s="242">
        <f t="shared" ca="1" si="18"/>
        <v>16.514621999674077</v>
      </c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</row>
    <row r="58" spans="1:80" ht="12" customHeight="1" x14ac:dyDescent="0.15">
      <c r="A58" s="213">
        <f t="shared" si="19"/>
        <v>52</v>
      </c>
      <c r="B58" s="67">
        <f t="shared" si="20"/>
        <v>208</v>
      </c>
      <c r="C58" s="224">
        <f t="shared" si="21"/>
        <v>48</v>
      </c>
      <c r="D58" s="225">
        <f ca="1">IFERROR(OFFSET(extrapolation!P67,0,OS_dist_choice-1,1,1),0)</f>
        <v>0.38057462730799313</v>
      </c>
      <c r="E58" s="225">
        <f ca="1">IFERROR(OFFSET(extrapolation!D67,0,PFS_dist_choice-1,1,1),0)</f>
        <v>0.18889582411382033</v>
      </c>
      <c r="F58" s="214"/>
      <c r="G58" s="226">
        <f t="shared" ca="1" si="22"/>
        <v>188.89582411382034</v>
      </c>
      <c r="H58" s="224">
        <f t="shared" ca="1" si="23"/>
        <v>191.6788031941727</v>
      </c>
      <c r="I58" s="224">
        <f t="shared" ca="1" si="0"/>
        <v>619.42537269200693</v>
      </c>
      <c r="J58" s="227">
        <f t="shared" ca="1" si="1"/>
        <v>1000</v>
      </c>
      <c r="K58" s="238">
        <f t="shared" ca="1" si="24"/>
        <v>5.2238550236873778</v>
      </c>
      <c r="L58" s="239">
        <f t="shared" ca="1" si="25"/>
        <v>7.8606258443043089</v>
      </c>
      <c r="M58" s="238">
        <f t="shared" ca="1" si="26"/>
        <v>191.50775162566401</v>
      </c>
      <c r="N58" s="238">
        <f t="shared" ca="1" si="27"/>
        <v>192.99718860448115</v>
      </c>
      <c r="O58" s="239">
        <f t="shared" ca="1" si="28"/>
        <v>615.49505976985483</v>
      </c>
      <c r="P58" s="217"/>
      <c r="Q58" s="217"/>
      <c r="R58" s="224"/>
      <c r="S58" s="230">
        <f t="shared" ca="1" si="29"/>
        <v>2874253.510476009</v>
      </c>
      <c r="T58" s="231">
        <f t="shared" ca="1" si="30"/>
        <v>17894.569668382679</v>
      </c>
      <c r="U58" s="231">
        <f t="shared" ca="1" si="31"/>
        <v>29510.450822673902</v>
      </c>
      <c r="V58" s="231"/>
      <c r="W58" s="231">
        <f t="shared" ca="1" si="32"/>
        <v>72118.755138199063</v>
      </c>
      <c r="X58" s="231">
        <f t="shared" ca="1" si="33"/>
        <v>9014.8443922748829</v>
      </c>
      <c r="Y58" s="231"/>
      <c r="Z58" s="232">
        <f t="shared" ca="1" si="2"/>
        <v>3002792.1304975394</v>
      </c>
      <c r="AA58" s="231">
        <f t="shared" ca="1" si="3"/>
        <v>3570.8333637987917</v>
      </c>
      <c r="AB58" s="231">
        <f t="shared" ca="1" si="34"/>
        <v>48632.340729980278</v>
      </c>
      <c r="AC58" s="231">
        <f t="shared" ca="1" si="35"/>
        <v>261646.75178434778</v>
      </c>
      <c r="AD58" s="231">
        <f t="shared" ca="1" si="36"/>
        <v>9084.9566591787407</v>
      </c>
      <c r="AE58" s="231">
        <f t="shared" ca="1" si="4"/>
        <v>225211.01717869492</v>
      </c>
      <c r="AF58" s="231">
        <f t="shared" ca="1" si="5"/>
        <v>548145.89971600054</v>
      </c>
      <c r="AG58" s="232">
        <f t="shared" ca="1" si="6"/>
        <v>3550938.03021354</v>
      </c>
      <c r="AH58" s="244">
        <f t="shared" ca="1" si="37"/>
        <v>14.680950158846249</v>
      </c>
      <c r="AI58" s="243">
        <f t="shared" ca="1" si="38"/>
        <v>14.795130132581717</v>
      </c>
      <c r="AJ58" s="242">
        <f t="shared" ca="1" si="39"/>
        <v>29.476080291427966</v>
      </c>
      <c r="AK58" s="241">
        <f t="shared" ca="1" si="40"/>
        <v>10.570284114369299</v>
      </c>
      <c r="AL58" s="243">
        <f t="shared" ca="1" si="41"/>
        <v>6.5542426487337009</v>
      </c>
      <c r="AM58" s="243"/>
      <c r="AN58" s="242">
        <f t="shared" ca="1" si="7"/>
        <v>17.124526763102999</v>
      </c>
      <c r="AO58" s="224"/>
      <c r="AP58" s="235">
        <f t="shared" si="42"/>
        <v>4</v>
      </c>
      <c r="AQ58" s="235">
        <f t="shared" si="8"/>
        <v>0.888487047915689</v>
      </c>
      <c r="AR58" s="235">
        <f t="shared" si="9"/>
        <v>0.94218423028672449</v>
      </c>
      <c r="AT58" s="230">
        <f t="shared" ca="1" si="10"/>
        <v>2553737.0164841353</v>
      </c>
      <c r="AU58" s="231">
        <f t="shared" ca="1" si="11"/>
        <v>15899.093378382957</v>
      </c>
      <c r="AV58" s="231">
        <f t="shared" ca="1" si="43"/>
        <v>26219.65333409865</v>
      </c>
      <c r="AW58" s="231"/>
      <c r="AX58" s="231">
        <f t="shared" ca="1" si="44"/>
        <v>64076.579852092917</v>
      </c>
      <c r="AY58" s="231">
        <f t="shared" ca="1" si="45"/>
        <v>8009.5724815116146</v>
      </c>
      <c r="AZ58" s="231"/>
      <c r="BA58" s="232">
        <f t="shared" ca="1" si="12"/>
        <v>2667941.9155302211</v>
      </c>
      <c r="BB58" s="231">
        <f t="shared" ca="1" si="13"/>
        <v>3172.6391940004378</v>
      </c>
      <c r="BC58" s="231">
        <f t="shared" ca="1" si="46"/>
        <v>43209.204848410103</v>
      </c>
      <c r="BD58" s="231">
        <f t="shared" ca="1" si="47"/>
        <v>232469.7500896042</v>
      </c>
      <c r="BE58" s="231">
        <f t="shared" ca="1" si="48"/>
        <v>8071.8663225556993</v>
      </c>
      <c r="BF58" s="231">
        <f t="shared" ca="1" si="14"/>
        <v>200097.07181118819</v>
      </c>
      <c r="BG58" s="231">
        <f t="shared" ca="1" si="15"/>
        <v>487020.53226575861</v>
      </c>
      <c r="BH58" s="232">
        <f t="shared" ca="1" si="16"/>
        <v>3154962.4477959797</v>
      </c>
      <c r="BI58" s="244">
        <f t="shared" ca="1" si="49"/>
        <v>13.832159725290319</v>
      </c>
      <c r="BJ58" s="243">
        <f t="shared" ca="1" si="50"/>
        <v>13.93973829595843</v>
      </c>
      <c r="BK58" s="242">
        <f t="shared" ca="1" si="51"/>
        <v>27.771898021248749</v>
      </c>
      <c r="BL58" s="241">
        <f t="shared" ca="1" si="52"/>
        <v>9.9591550022090285</v>
      </c>
      <c r="BM58" s="243">
        <f t="shared" ca="1" si="53"/>
        <v>6.1753040651095841</v>
      </c>
      <c r="BN58" s="243">
        <f t="shared" si="17"/>
        <v>0</v>
      </c>
      <c r="BO58" s="242">
        <f t="shared" ca="1" si="18"/>
        <v>16.134459067318613</v>
      </c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</row>
    <row r="59" spans="1:80" ht="12" customHeight="1" x14ac:dyDescent="0.15">
      <c r="A59" s="213">
        <f t="shared" si="19"/>
        <v>53</v>
      </c>
      <c r="B59" s="67">
        <f t="shared" si="20"/>
        <v>212</v>
      </c>
      <c r="C59" s="224">
        <f t="shared" si="21"/>
        <v>48.92307692307692</v>
      </c>
      <c r="D59" s="225">
        <f ca="1">IFERROR(OFFSET(extrapolation!P68,0,OS_dist_choice-1,1,1),0)</f>
        <v>0.3729240622425431</v>
      </c>
      <c r="E59" s="225">
        <f ca="1">IFERROR(OFFSET(extrapolation!D68,0,PFS_dist_choice-1,1,1),0)</f>
        <v>0.18384258481005211</v>
      </c>
      <c r="F59" s="214"/>
      <c r="G59" s="226">
        <f t="shared" ca="1" si="22"/>
        <v>183.8425848100521</v>
      </c>
      <c r="H59" s="224">
        <f t="shared" ca="1" si="23"/>
        <v>189.08147743249106</v>
      </c>
      <c r="I59" s="224">
        <f t="shared" ca="1" si="0"/>
        <v>627.07593775745681</v>
      </c>
      <c r="J59" s="227">
        <f t="shared" ca="1" si="1"/>
        <v>1000</v>
      </c>
      <c r="K59" s="238">
        <f t="shared" ca="1" si="24"/>
        <v>5.0532393037682368</v>
      </c>
      <c r="L59" s="239">
        <f t="shared" ca="1" si="25"/>
        <v>7.6505650654498822</v>
      </c>
      <c r="M59" s="238">
        <f t="shared" ca="1" si="26"/>
        <v>186.36920446193622</v>
      </c>
      <c r="N59" s="238">
        <f t="shared" ca="1" si="27"/>
        <v>190.38014031333188</v>
      </c>
      <c r="O59" s="239">
        <f t="shared" ca="1" si="28"/>
        <v>623.25065522473187</v>
      </c>
      <c r="P59" s="217"/>
      <c r="Q59" s="217"/>
      <c r="R59" s="224"/>
      <c r="S59" s="230">
        <f t="shared" ca="1" si="29"/>
        <v>2797363.029300631</v>
      </c>
      <c r="T59" s="231">
        <f t="shared" ca="1" si="30"/>
        <v>17415.86378276287</v>
      </c>
      <c r="U59" s="231">
        <f t="shared" ca="1" si="31"/>
        <v>28718.624684630213</v>
      </c>
      <c r="V59" s="231"/>
      <c r="W59" s="231">
        <f t="shared" ca="1" si="32"/>
        <v>70183.66049309379</v>
      </c>
      <c r="X59" s="231">
        <f t="shared" ca="1" si="33"/>
        <v>8772.9575616367238</v>
      </c>
      <c r="Y59" s="231"/>
      <c r="Z59" s="232">
        <f t="shared" ca="1" si="2"/>
        <v>2922454.1358227553</v>
      </c>
      <c r="AA59" s="231">
        <f t="shared" ca="1" si="3"/>
        <v>3454.2067916000533</v>
      </c>
      <c r="AB59" s="231">
        <f t="shared" ca="1" si="34"/>
        <v>47972.884573534335</v>
      </c>
      <c r="AC59" s="231">
        <f t="shared" ca="1" si="35"/>
        <v>258098.81313512081</v>
      </c>
      <c r="AD59" s="231">
        <f t="shared" ca="1" si="36"/>
        <v>8961.7643449694715</v>
      </c>
      <c r="AE59" s="231">
        <f t="shared" ca="1" si="4"/>
        <v>219192.66665391668</v>
      </c>
      <c r="AF59" s="231">
        <f t="shared" ca="1" si="5"/>
        <v>537680.33549914137</v>
      </c>
      <c r="AG59" s="232">
        <f t="shared" ca="1" si="6"/>
        <v>3460134.4713218966</v>
      </c>
      <c r="AH59" s="244">
        <f t="shared" ca="1" si="37"/>
        <v>14.287030047732276</v>
      </c>
      <c r="AI59" s="243">
        <f t="shared" ca="1" si="38"/>
        <v>14.594507676312917</v>
      </c>
      <c r="AJ59" s="242">
        <f t="shared" ca="1" si="39"/>
        <v>28.881537724045195</v>
      </c>
      <c r="AK59" s="241">
        <f t="shared" ca="1" si="40"/>
        <v>10.286661634367238</v>
      </c>
      <c r="AL59" s="243">
        <f t="shared" ca="1" si="41"/>
        <v>6.4653669006066226</v>
      </c>
      <c r="AM59" s="243"/>
      <c r="AN59" s="242">
        <f t="shared" ca="1" si="7"/>
        <v>16.75202853497386</v>
      </c>
      <c r="AO59" s="224"/>
      <c r="AP59" s="235">
        <f t="shared" si="42"/>
        <v>4.0769230769230766</v>
      </c>
      <c r="AQ59" s="235">
        <f t="shared" si="8"/>
        <v>0.88646914190036363</v>
      </c>
      <c r="AR59" s="235">
        <f t="shared" si="9"/>
        <v>0.94110578520252819</v>
      </c>
      <c r="AT59" s="230">
        <f t="shared" ca="1" si="10"/>
        <v>2479776.0041679321</v>
      </c>
      <c r="AU59" s="231">
        <f t="shared" ca="1" si="11"/>
        <v>15438.625822959422</v>
      </c>
      <c r="AV59" s="231">
        <f t="shared" ca="1" si="43"/>
        <v>25458.174580742747</v>
      </c>
      <c r="AW59" s="231"/>
      <c r="AX59" s="231">
        <f t="shared" ca="1" si="44"/>
        <v>62215.649292739305</v>
      </c>
      <c r="AY59" s="231">
        <f t="shared" ca="1" si="45"/>
        <v>7776.9561615924131</v>
      </c>
      <c r="AZ59" s="231"/>
      <c r="BA59" s="232">
        <f t="shared" ca="1" si="12"/>
        <v>2590665.4100259668</v>
      </c>
      <c r="BB59" s="231">
        <f t="shared" ca="1" si="13"/>
        <v>3062.0477304961073</v>
      </c>
      <c r="BC59" s="231">
        <f t="shared" ca="1" si="46"/>
        <v>42526.481822386173</v>
      </c>
      <c r="BD59" s="231">
        <f t="shared" ca="1" si="47"/>
        <v>228796.63340539284</v>
      </c>
      <c r="BE59" s="231">
        <f t="shared" ca="1" si="48"/>
        <v>7944.3275487983619</v>
      </c>
      <c r="BF59" s="231">
        <f t="shared" ca="1" si="14"/>
        <v>194307.53511954995</v>
      </c>
      <c r="BG59" s="231">
        <f t="shared" ca="1" si="15"/>
        <v>476637.02562662348</v>
      </c>
      <c r="BH59" s="232">
        <f t="shared" ca="1" si="16"/>
        <v>3067302.4356525899</v>
      </c>
      <c r="BI59" s="244">
        <f t="shared" ca="1" si="49"/>
        <v>13.445606631283198</v>
      </c>
      <c r="BJ59" s="243">
        <f t="shared" ca="1" si="50"/>
        <v>13.734975606360793</v>
      </c>
      <c r="BK59" s="242">
        <f t="shared" ca="1" si="51"/>
        <v>27.180582237643993</v>
      </c>
      <c r="BL59" s="241">
        <f t="shared" ca="1" si="52"/>
        <v>9.6808367745239021</v>
      </c>
      <c r="BM59" s="243">
        <f t="shared" ca="1" si="53"/>
        <v>6.0845941936178312</v>
      </c>
      <c r="BN59" s="243">
        <f t="shared" si="17"/>
        <v>0</v>
      </c>
      <c r="BO59" s="242">
        <f t="shared" ca="1" si="18"/>
        <v>15.765430968141732</v>
      </c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</row>
    <row r="60" spans="1:80" ht="12" customHeight="1" x14ac:dyDescent="0.15">
      <c r="A60" s="213">
        <f t="shared" si="19"/>
        <v>54</v>
      </c>
      <c r="B60" s="67">
        <f t="shared" si="20"/>
        <v>216</v>
      </c>
      <c r="C60" s="224">
        <f t="shared" si="21"/>
        <v>49.846153846153854</v>
      </c>
      <c r="D60" s="225">
        <f ca="1">IFERROR(OFFSET(extrapolation!P69,0,OS_dist_choice-1,1,1),0)</f>
        <v>0.36547781689498887</v>
      </c>
      <c r="E60" s="225">
        <f ca="1">IFERROR(OFFSET(extrapolation!D69,0,PFS_dist_choice-1,1,1),0)</f>
        <v>0.17895325341839552</v>
      </c>
      <c r="F60" s="214"/>
      <c r="G60" s="226">
        <f t="shared" ca="1" si="22"/>
        <v>178.95325341839552</v>
      </c>
      <c r="H60" s="224">
        <f t="shared" ca="1" si="23"/>
        <v>186.52456347659324</v>
      </c>
      <c r="I60" s="224">
        <f t="shared" ca="1" si="0"/>
        <v>634.52218310501121</v>
      </c>
      <c r="J60" s="227">
        <f t="shared" ca="1" si="1"/>
        <v>1000</v>
      </c>
      <c r="K60" s="238">
        <f t="shared" ca="1" si="24"/>
        <v>4.889331391656583</v>
      </c>
      <c r="L60" s="239">
        <f t="shared" ca="1" si="25"/>
        <v>7.4462453475543953</v>
      </c>
      <c r="M60" s="238">
        <f t="shared" ca="1" si="26"/>
        <v>181.39791911422381</v>
      </c>
      <c r="N60" s="238">
        <f t="shared" ca="1" si="27"/>
        <v>187.80302045454215</v>
      </c>
      <c r="O60" s="239">
        <f t="shared" ca="1" si="28"/>
        <v>630.79906043123401</v>
      </c>
      <c r="P60" s="217"/>
      <c r="Q60" s="217"/>
      <c r="R60" s="224"/>
      <c r="S60" s="230">
        <f t="shared" ca="1" si="29"/>
        <v>2722966.5836286414</v>
      </c>
      <c r="T60" s="231">
        <f t="shared" ca="1" si="30"/>
        <v>16952.68529996544</v>
      </c>
      <c r="U60" s="231">
        <f t="shared" ca="1" si="31"/>
        <v>27952.572811879352</v>
      </c>
      <c r="V60" s="231"/>
      <c r="W60" s="231">
        <f t="shared" ca="1" si="32"/>
        <v>68311.553971710862</v>
      </c>
      <c r="X60" s="231">
        <f t="shared" ca="1" si="33"/>
        <v>8538.9442464638578</v>
      </c>
      <c r="Y60" s="231"/>
      <c r="Z60" s="232">
        <f t="shared" ca="1" si="2"/>
        <v>2844722.3399586612</v>
      </c>
      <c r="AA60" s="231">
        <f t="shared" ca="1" si="3"/>
        <v>3342.165427797856</v>
      </c>
      <c r="AB60" s="231">
        <f t="shared" ca="1" si="34"/>
        <v>47323.489771563887</v>
      </c>
      <c r="AC60" s="231">
        <f t="shared" ca="1" si="35"/>
        <v>254605.00555747192</v>
      </c>
      <c r="AD60" s="231">
        <f t="shared" ca="1" si="36"/>
        <v>8840.4515818566633</v>
      </c>
      <c r="AE60" s="231">
        <f t="shared" ca="1" si="4"/>
        <v>213338.80051038964</v>
      </c>
      <c r="AF60" s="231">
        <f t="shared" ca="1" si="5"/>
        <v>527449.91284907993</v>
      </c>
      <c r="AG60" s="232">
        <f t="shared" ca="1" si="6"/>
        <v>3372172.2528077411</v>
      </c>
      <c r="AH60" s="244">
        <f t="shared" ca="1" si="37"/>
        <v>13.905932197668081</v>
      </c>
      <c r="AI60" s="243">
        <f t="shared" ca="1" si="38"/>
        <v>14.396946126563122</v>
      </c>
      <c r="AJ60" s="242">
        <f t="shared" ca="1" si="39"/>
        <v>28.302878324231202</v>
      </c>
      <c r="AK60" s="241">
        <f t="shared" ca="1" si="40"/>
        <v>10.012271182321017</v>
      </c>
      <c r="AL60" s="243">
        <f t="shared" ca="1" si="41"/>
        <v>6.377847134067463</v>
      </c>
      <c r="AM60" s="243"/>
      <c r="AN60" s="242">
        <f t="shared" ca="1" si="7"/>
        <v>16.390118316388481</v>
      </c>
      <c r="AO60" s="224"/>
      <c r="AP60" s="235">
        <f t="shared" si="42"/>
        <v>4.1538461538461542</v>
      </c>
      <c r="AQ60" s="235">
        <f t="shared" si="8"/>
        <v>0.88445581889465696</v>
      </c>
      <c r="AR60" s="235">
        <f t="shared" si="9"/>
        <v>0.94002857453062871</v>
      </c>
      <c r="AT60" s="230">
        <f t="shared" ca="1" si="10"/>
        <v>2408343.6395460563</v>
      </c>
      <c r="AU60" s="231">
        <f t="shared" ca="1" si="11"/>
        <v>14993.901159444347</v>
      </c>
      <c r="AV60" s="231">
        <f t="shared" ca="1" si="43"/>
        <v>24722.815676543276</v>
      </c>
      <c r="AW60" s="231"/>
      <c r="AX60" s="231">
        <f t="shared" ca="1" si="44"/>
        <v>60418.551408016086</v>
      </c>
      <c r="AY60" s="231">
        <f t="shared" ca="1" si="45"/>
        <v>7552.3189260020108</v>
      </c>
      <c r="AZ60" s="231"/>
      <c r="BA60" s="232">
        <f t="shared" ca="1" si="12"/>
        <v>2516031.2267160625</v>
      </c>
      <c r="BB60" s="231">
        <f t="shared" ca="1" si="13"/>
        <v>2955.997660324364</v>
      </c>
      <c r="BC60" s="231">
        <f t="shared" ca="1" si="46"/>
        <v>41855.535898861461</v>
      </c>
      <c r="BD60" s="231">
        <f t="shared" ca="1" si="47"/>
        <v>225186.87868501252</v>
      </c>
      <c r="BE60" s="231">
        <f t="shared" ca="1" si="48"/>
        <v>7818.9888432296011</v>
      </c>
      <c r="BF60" s="231">
        <f t="shared" ca="1" si="14"/>
        <v>188688.74350742053</v>
      </c>
      <c r="BG60" s="231">
        <f t="shared" ca="1" si="15"/>
        <v>466506.14459484845</v>
      </c>
      <c r="BH60" s="232">
        <f t="shared" ca="1" si="16"/>
        <v>2982537.3713109107</v>
      </c>
      <c r="BI60" s="244">
        <f t="shared" ca="1" si="49"/>
        <v>13.0719736212935</v>
      </c>
      <c r="BJ60" s="243">
        <f t="shared" ca="1" si="50"/>
        <v>13.533540744947388</v>
      </c>
      <c r="BK60" s="242">
        <f t="shared" ca="1" si="51"/>
        <v>26.605514366240886</v>
      </c>
      <c r="BL60" s="241">
        <f t="shared" ca="1" si="52"/>
        <v>9.4118210073313175</v>
      </c>
      <c r="BM60" s="243">
        <f t="shared" ca="1" si="53"/>
        <v>5.9953585500116926</v>
      </c>
      <c r="BN60" s="243">
        <f t="shared" si="17"/>
        <v>0</v>
      </c>
      <c r="BO60" s="242">
        <f t="shared" ca="1" si="18"/>
        <v>15.407179557343012</v>
      </c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</row>
    <row r="61" spans="1:80" ht="12" customHeight="1" x14ac:dyDescent="0.15">
      <c r="A61" s="213">
        <f t="shared" si="19"/>
        <v>55</v>
      </c>
      <c r="B61" s="67">
        <f t="shared" si="20"/>
        <v>220</v>
      </c>
      <c r="C61" s="224">
        <f t="shared" si="21"/>
        <v>50.769230769230774</v>
      </c>
      <c r="D61" s="225">
        <f ca="1">IFERROR(OFFSET(extrapolation!P70,0,OS_dist_choice-1,1,1),0)</f>
        <v>0.35823022118245762</v>
      </c>
      <c r="E61" s="225">
        <f ca="1">IFERROR(OFFSET(extrapolation!D70,0,PFS_dist_choice-1,1,1),0)</f>
        <v>0.17422143511757004</v>
      </c>
      <c r="F61" s="214"/>
      <c r="G61" s="226">
        <f t="shared" ca="1" si="22"/>
        <v>174.22143511757005</v>
      </c>
      <c r="H61" s="224">
        <f t="shared" ca="1" si="23"/>
        <v>184.00878606488754</v>
      </c>
      <c r="I61" s="224">
        <f t="shared" ca="1" si="0"/>
        <v>641.76977881754237</v>
      </c>
      <c r="J61" s="227">
        <f t="shared" ca="1" si="1"/>
        <v>1000</v>
      </c>
      <c r="K61" s="238">
        <f t="shared" ca="1" si="24"/>
        <v>4.7318183008254664</v>
      </c>
      <c r="L61" s="239">
        <f t="shared" ca="1" si="25"/>
        <v>7.2475957125311652</v>
      </c>
      <c r="M61" s="238">
        <f t="shared" ca="1" si="26"/>
        <v>176.58734426798279</v>
      </c>
      <c r="N61" s="238">
        <f t="shared" ca="1" si="27"/>
        <v>185.26667477074039</v>
      </c>
      <c r="O61" s="239">
        <f t="shared" ca="1" si="28"/>
        <v>638.14598096127679</v>
      </c>
      <c r="P61" s="217"/>
      <c r="Q61" s="217"/>
      <c r="R61" s="224"/>
      <c r="S61" s="230">
        <f t="shared" ca="1" si="29"/>
        <v>2650966.8693634537</v>
      </c>
      <c r="T61" s="231">
        <f t="shared" ca="1" si="30"/>
        <v>16504.428422718494</v>
      </c>
      <c r="U61" s="231">
        <f t="shared" ca="1" si="31"/>
        <v>27211.285677422893</v>
      </c>
      <c r="V61" s="231"/>
      <c r="W61" s="231">
        <f t="shared" ca="1" si="32"/>
        <v>66499.968453814028</v>
      </c>
      <c r="X61" s="231">
        <f t="shared" ca="1" si="33"/>
        <v>8312.4960567267535</v>
      </c>
      <c r="Y61" s="231"/>
      <c r="Z61" s="232">
        <f t="shared" ca="1" si="2"/>
        <v>2769495.0479741353</v>
      </c>
      <c r="AA61" s="231">
        <f t="shared" ca="1" si="3"/>
        <v>3234.4953264216888</v>
      </c>
      <c r="AB61" s="231">
        <f t="shared" ca="1" si="34"/>
        <v>46684.369438280453</v>
      </c>
      <c r="AC61" s="231">
        <f t="shared" ca="1" si="35"/>
        <v>251166.47562671223</v>
      </c>
      <c r="AD61" s="231">
        <f t="shared" ca="1" si="36"/>
        <v>8721.0581814830621</v>
      </c>
      <c r="AE61" s="231">
        <f t="shared" ca="1" si="4"/>
        <v>207647.38518902884</v>
      </c>
      <c r="AF61" s="231">
        <f t="shared" ca="1" si="5"/>
        <v>517453.78376192623</v>
      </c>
      <c r="AG61" s="232">
        <f t="shared" ca="1" si="6"/>
        <v>3286948.8317360617</v>
      </c>
      <c r="AH61" s="244">
        <f t="shared" ca="1" si="37"/>
        <v>13.537154386046591</v>
      </c>
      <c r="AI61" s="243">
        <f t="shared" ca="1" si="38"/>
        <v>14.202510317811722</v>
      </c>
      <c r="AJ61" s="242">
        <f t="shared" ca="1" si="39"/>
        <v>27.739664703858313</v>
      </c>
      <c r="AK61" s="241">
        <f t="shared" ca="1" si="40"/>
        <v>9.7467511579535451</v>
      </c>
      <c r="AL61" s="243">
        <f t="shared" ca="1" si="41"/>
        <v>6.2917120707905934</v>
      </c>
      <c r="AM61" s="243"/>
      <c r="AN61" s="242">
        <f t="shared" ca="1" si="7"/>
        <v>16.038463228744138</v>
      </c>
      <c r="AO61" s="224"/>
      <c r="AP61" s="235">
        <f t="shared" si="42"/>
        <v>4.2307692307692308</v>
      </c>
      <c r="AQ61" s="235">
        <f t="shared" si="8"/>
        <v>0.88244706848977073</v>
      </c>
      <c r="AR61" s="235">
        <f t="shared" si="9"/>
        <v>0.93895259685809018</v>
      </c>
      <c r="AT61" s="230">
        <f t="shared" ca="1" si="10"/>
        <v>2339337.9425332849</v>
      </c>
      <c r="AU61" s="231">
        <f t="shared" ca="1" si="11"/>
        <v>14564.284478727186</v>
      </c>
      <c r="AV61" s="231">
        <f t="shared" ca="1" si="43"/>
        <v>24012.519275879516</v>
      </c>
      <c r="AW61" s="231"/>
      <c r="AX61" s="231">
        <f t="shared" ca="1" si="44"/>
        <v>58682.702216730424</v>
      </c>
      <c r="AY61" s="231">
        <f t="shared" ca="1" si="45"/>
        <v>7335.337777091303</v>
      </c>
      <c r="AZ61" s="231"/>
      <c r="BA61" s="232">
        <f t="shared" ca="1" si="12"/>
        <v>2443932.7862817128</v>
      </c>
      <c r="BB61" s="231">
        <f t="shared" ca="1" si="13"/>
        <v>2854.2709188446834</v>
      </c>
      <c r="BC61" s="231">
        <f t="shared" ca="1" si="46"/>
        <v>41196.484955104032</v>
      </c>
      <c r="BD61" s="231">
        <f t="shared" ca="1" si="47"/>
        <v>221641.12011969966</v>
      </c>
      <c r="BE61" s="231">
        <f t="shared" ca="1" si="48"/>
        <v>7695.8722263784593</v>
      </c>
      <c r="BF61" s="231">
        <f t="shared" ca="1" si="14"/>
        <v>183237.82633962473</v>
      </c>
      <c r="BG61" s="231">
        <f t="shared" ca="1" si="15"/>
        <v>456625.57455965155</v>
      </c>
      <c r="BH61" s="232">
        <f t="shared" ca="1" si="16"/>
        <v>2900558.3608413641</v>
      </c>
      <c r="BI61" s="244">
        <f t="shared" ca="1" si="49"/>
        <v>12.710746264847332</v>
      </c>
      <c r="BJ61" s="243">
        <f t="shared" ca="1" si="50"/>
        <v>13.335483944813136</v>
      </c>
      <c r="BK61" s="242">
        <f t="shared" ca="1" si="51"/>
        <v>26.046230209660468</v>
      </c>
      <c r="BL61" s="241">
        <f t="shared" ca="1" si="52"/>
        <v>9.1517373106900788</v>
      </c>
      <c r="BM61" s="243">
        <f t="shared" ca="1" si="53"/>
        <v>5.90761938755222</v>
      </c>
      <c r="BN61" s="243">
        <f t="shared" si="17"/>
        <v>0</v>
      </c>
      <c r="BO61" s="242">
        <f t="shared" ca="1" si="18"/>
        <v>15.059356698242299</v>
      </c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</row>
    <row r="62" spans="1:80" ht="12" customHeight="1" x14ac:dyDescent="0.15">
      <c r="A62" s="213">
        <f t="shared" si="19"/>
        <v>56</v>
      </c>
      <c r="B62" s="67">
        <f t="shared" si="20"/>
        <v>224</v>
      </c>
      <c r="C62" s="224">
        <f t="shared" si="21"/>
        <v>51.692307692307693</v>
      </c>
      <c r="D62" s="225">
        <f ca="1">IFERROR(OFFSET(extrapolation!P71,0,OS_dist_choice-1,1,1),0)</f>
        <v>0.35117568818371958</v>
      </c>
      <c r="E62" s="225">
        <f ca="1">IFERROR(OFFSET(extrapolation!D71,0,PFS_dist_choice-1,1,1),0)</f>
        <v>0.16964103107512019</v>
      </c>
      <c r="F62" s="214"/>
      <c r="G62" s="226">
        <f t="shared" ca="1" si="22"/>
        <v>169.6410310751202</v>
      </c>
      <c r="H62" s="224">
        <f t="shared" ca="1" si="23"/>
        <v>181.53465710859939</v>
      </c>
      <c r="I62" s="224">
        <f t="shared" ca="1" si="0"/>
        <v>648.82431181628044</v>
      </c>
      <c r="J62" s="227">
        <f t="shared" ca="1" si="1"/>
        <v>1000</v>
      </c>
      <c r="K62" s="238">
        <f t="shared" ca="1" si="24"/>
        <v>4.5804040424498567</v>
      </c>
      <c r="L62" s="239">
        <f t="shared" ca="1" si="25"/>
        <v>7.0545329987380683</v>
      </c>
      <c r="M62" s="238">
        <f t="shared" ca="1" si="26"/>
        <v>171.93123309634512</v>
      </c>
      <c r="N62" s="238">
        <f t="shared" ca="1" si="27"/>
        <v>182.77172158674347</v>
      </c>
      <c r="O62" s="239">
        <f t="shared" ca="1" si="28"/>
        <v>645.29704531691141</v>
      </c>
      <c r="P62" s="217"/>
      <c r="Q62" s="217"/>
      <c r="R62" s="224"/>
      <c r="S62" s="230">
        <f t="shared" ca="1" si="29"/>
        <v>2581271.0861973995</v>
      </c>
      <c r="T62" s="231">
        <f t="shared" ca="1" si="30"/>
        <v>16070.515393505248</v>
      </c>
      <c r="U62" s="231">
        <f t="shared" ca="1" si="31"/>
        <v>26493.800674392332</v>
      </c>
      <c r="V62" s="231"/>
      <c r="W62" s="231">
        <f t="shared" ca="1" si="32"/>
        <v>64746.55148435403</v>
      </c>
      <c r="X62" s="231">
        <f t="shared" ca="1" si="33"/>
        <v>8093.3189355442537</v>
      </c>
      <c r="Y62" s="231"/>
      <c r="Z62" s="232">
        <f t="shared" ca="1" si="2"/>
        <v>2696675.2726851953</v>
      </c>
      <c r="AA62" s="231">
        <f t="shared" ca="1" si="3"/>
        <v>3130.9941604990499</v>
      </c>
      <c r="AB62" s="231">
        <f t="shared" ca="1" si="34"/>
        <v>46055.679382084105</v>
      </c>
      <c r="AC62" s="231">
        <f t="shared" ca="1" si="35"/>
        <v>247784.06160727996</v>
      </c>
      <c r="AD62" s="231">
        <f t="shared" ca="1" si="36"/>
        <v>8603.6132502527762</v>
      </c>
      <c r="AE62" s="231">
        <f t="shared" ca="1" si="4"/>
        <v>202116.03806555172</v>
      </c>
      <c r="AF62" s="231">
        <f t="shared" ca="1" si="5"/>
        <v>507690.38646566763</v>
      </c>
      <c r="AG62" s="232">
        <f t="shared" ca="1" si="6"/>
        <v>3204365.6591508631</v>
      </c>
      <c r="AH62" s="244">
        <f t="shared" ca="1" si="37"/>
        <v>13.180217732231796</v>
      </c>
      <c r="AI62" s="243">
        <f t="shared" ca="1" si="38"/>
        <v>14.011247650729135</v>
      </c>
      <c r="AJ62" s="242">
        <f t="shared" ca="1" si="39"/>
        <v>27.191465382960931</v>
      </c>
      <c r="AK62" s="241">
        <f t="shared" ca="1" si="40"/>
        <v>9.4897567672068934</v>
      </c>
      <c r="AL62" s="243">
        <f t="shared" ca="1" si="41"/>
        <v>6.2069827092730074</v>
      </c>
      <c r="AM62" s="243"/>
      <c r="AN62" s="242">
        <f t="shared" ca="1" si="7"/>
        <v>15.696739476479902</v>
      </c>
      <c r="AO62" s="224"/>
      <c r="AP62" s="235">
        <f t="shared" si="42"/>
        <v>4.3076923076923075</v>
      </c>
      <c r="AQ62" s="235">
        <f t="shared" si="8"/>
        <v>0.88044288030054607</v>
      </c>
      <c r="AR62" s="235">
        <f t="shared" si="9"/>
        <v>0.93787785077359376</v>
      </c>
      <c r="AT62" s="230">
        <f t="shared" ca="1" si="10"/>
        <v>2272661.7499681576</v>
      </c>
      <c r="AU62" s="231">
        <f t="shared" ca="1" si="11"/>
        <v>14149.170860972024</v>
      </c>
      <c r="AV62" s="231">
        <f t="shared" ca="1" si="43"/>
        <v>23326.278175870535</v>
      </c>
      <c r="AW62" s="231"/>
      <c r="AX62" s="231">
        <f t="shared" ca="1" si="44"/>
        <v>57005.640278412262</v>
      </c>
      <c r="AY62" s="231">
        <f t="shared" ca="1" si="45"/>
        <v>7125.7050348015327</v>
      </c>
      <c r="AZ62" s="231"/>
      <c r="BA62" s="232">
        <f t="shared" ca="1" si="12"/>
        <v>2374268.5443182141</v>
      </c>
      <c r="BB62" s="231">
        <f t="shared" ca="1" si="13"/>
        <v>2756.6615168739736</v>
      </c>
      <c r="BC62" s="231">
        <f t="shared" ca="1" si="46"/>
        <v>40549.395009360604</v>
      </c>
      <c r="BD62" s="231">
        <f t="shared" ca="1" si="47"/>
        <v>218159.71289408152</v>
      </c>
      <c r="BE62" s="231">
        <f t="shared" ca="1" si="48"/>
        <v>7574.9900310444973</v>
      </c>
      <c r="BF62" s="231">
        <f t="shared" ca="1" si="14"/>
        <v>177951.62670936916</v>
      </c>
      <c r="BG62" s="231">
        <f t="shared" ca="1" si="15"/>
        <v>446992.3861607298</v>
      </c>
      <c r="BH62" s="232">
        <f t="shared" ca="1" si="16"/>
        <v>2821260.9304789435</v>
      </c>
      <c r="BI62" s="244">
        <f t="shared" ca="1" si="49"/>
        <v>12.361434279433567</v>
      </c>
      <c r="BJ62" s="243">
        <f t="shared" ca="1" si="50"/>
        <v>13.140838833322407</v>
      </c>
      <c r="BK62" s="242">
        <f t="shared" ca="1" si="51"/>
        <v>25.502273112755972</v>
      </c>
      <c r="BL62" s="241">
        <f t="shared" ca="1" si="52"/>
        <v>8.9002326811921684</v>
      </c>
      <c r="BM62" s="243">
        <f t="shared" ca="1" si="53"/>
        <v>5.8213916031618265</v>
      </c>
      <c r="BN62" s="243">
        <f t="shared" si="17"/>
        <v>0</v>
      </c>
      <c r="BO62" s="242">
        <f t="shared" ca="1" si="18"/>
        <v>14.721624284353995</v>
      </c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</row>
    <row r="63" spans="1:80" ht="12" customHeight="1" x14ac:dyDescent="0.15">
      <c r="A63" s="213">
        <f t="shared" si="19"/>
        <v>57</v>
      </c>
      <c r="B63" s="67">
        <f t="shared" si="20"/>
        <v>228</v>
      </c>
      <c r="C63" s="224">
        <f t="shared" si="21"/>
        <v>52.61538461538462</v>
      </c>
      <c r="D63" s="225">
        <f ca="1">IFERROR(OFFSET(extrapolation!P72,0,OS_dist_choice-1,1,1),0)</f>
        <v>0.34430872429239556</v>
      </c>
      <c r="E63" s="225">
        <f ca="1">IFERROR(OFFSET(extrapolation!D72,0,PFS_dist_choice-1,1,1),0)</f>
        <v>0.16520622249781147</v>
      </c>
      <c r="F63" s="214"/>
      <c r="G63" s="226">
        <f t="shared" ca="1" si="22"/>
        <v>165.20622249781147</v>
      </c>
      <c r="H63" s="224">
        <f t="shared" ca="1" si="23"/>
        <v>179.1025017945841</v>
      </c>
      <c r="I63" s="224">
        <f t="shared" ca="1" si="0"/>
        <v>655.6912757076044</v>
      </c>
      <c r="J63" s="227">
        <f t="shared" ca="1" si="1"/>
        <v>1000</v>
      </c>
      <c r="K63" s="238">
        <f t="shared" ca="1" si="24"/>
        <v>4.4348085773087291</v>
      </c>
      <c r="L63" s="239">
        <f t="shared" ca="1" si="25"/>
        <v>6.8669638913239623</v>
      </c>
      <c r="M63" s="238">
        <f t="shared" ca="1" si="26"/>
        <v>167.42362678646583</v>
      </c>
      <c r="N63" s="238">
        <f t="shared" ca="1" si="27"/>
        <v>180.31857945159175</v>
      </c>
      <c r="O63" s="239">
        <f t="shared" ca="1" si="28"/>
        <v>652.25779376194237</v>
      </c>
      <c r="P63" s="217"/>
      <c r="Q63" s="217"/>
      <c r="R63" s="224"/>
      <c r="S63" s="230">
        <f t="shared" ca="1" si="29"/>
        <v>2513790.6949213166</v>
      </c>
      <c r="T63" s="231">
        <f t="shared" ca="1" si="30"/>
        <v>15650.394983618506</v>
      </c>
      <c r="U63" s="231">
        <f t="shared" ca="1" si="31"/>
        <v>25799.199577536045</v>
      </c>
      <c r="V63" s="231"/>
      <c r="W63" s="231">
        <f t="shared" ca="1" si="32"/>
        <v>63049.059069754447</v>
      </c>
      <c r="X63" s="231">
        <f t="shared" ca="1" si="33"/>
        <v>7881.1323837193058</v>
      </c>
      <c r="Y63" s="231"/>
      <c r="Z63" s="232">
        <f t="shared" ca="1" si="2"/>
        <v>2626170.4809359447</v>
      </c>
      <c r="AA63" s="231">
        <f t="shared" ca="1" si="3"/>
        <v>3031.4705056146231</v>
      </c>
      <c r="AB63" s="231">
        <f t="shared" ca="1" si="34"/>
        <v>45437.525070933691</v>
      </c>
      <c r="AC63" s="231">
        <f t="shared" ca="1" si="35"/>
        <v>244458.33092711362</v>
      </c>
      <c r="AD63" s="231">
        <f t="shared" ca="1" si="36"/>
        <v>8488.1364905247774</v>
      </c>
      <c r="AE63" s="231">
        <f t="shared" ca="1" si="4"/>
        <v>196742.08562095865</v>
      </c>
      <c r="AF63" s="231">
        <f t="shared" ca="1" si="5"/>
        <v>498157.54861514538</v>
      </c>
      <c r="AG63" s="232">
        <f t="shared" ca="1" si="6"/>
        <v>3124328.0295510902</v>
      </c>
      <c r="AH63" s="244">
        <f t="shared" ca="1" si="37"/>
        <v>12.834665434691427</v>
      </c>
      <c r="AI63" s="243">
        <f t="shared" ca="1" si="38"/>
        <v>13.823190211210321</v>
      </c>
      <c r="AJ63" s="242">
        <f t="shared" ca="1" si="39"/>
        <v>26.657855645901748</v>
      </c>
      <c r="AK63" s="241">
        <f t="shared" ca="1" si="40"/>
        <v>9.2409591129778264</v>
      </c>
      <c r="AL63" s="243">
        <f t="shared" ca="1" si="41"/>
        <v>6.1236732635661717</v>
      </c>
      <c r="AM63" s="243"/>
      <c r="AN63" s="242">
        <f t="shared" ca="1" si="7"/>
        <v>15.364632376543998</v>
      </c>
      <c r="AO63" s="224"/>
      <c r="AP63" s="235">
        <f t="shared" si="42"/>
        <v>4.384615384615385</v>
      </c>
      <c r="AQ63" s="235">
        <f t="shared" si="8"/>
        <v>0.8784432439654114</v>
      </c>
      <c r="AR63" s="235">
        <f t="shared" si="9"/>
        <v>0.93680433486743664</v>
      </c>
      <c r="AT63" s="230">
        <f t="shared" ca="1" si="10"/>
        <v>2208222.4526967471</v>
      </c>
      <c r="AU63" s="231">
        <f t="shared" ca="1" si="11"/>
        <v>13747.983738749841</v>
      </c>
      <c r="AV63" s="231">
        <f t="shared" ca="1" si="43"/>
        <v>22663.132568601835</v>
      </c>
      <c r="AW63" s="231"/>
      <c r="AX63" s="231">
        <f t="shared" ca="1" si="44"/>
        <v>55385.019978201941</v>
      </c>
      <c r="AY63" s="231">
        <f t="shared" ca="1" si="45"/>
        <v>6923.1274972752426</v>
      </c>
      <c r="AZ63" s="231"/>
      <c r="BA63" s="232">
        <f t="shared" ca="1" si="12"/>
        <v>2306941.7164795757</v>
      </c>
      <c r="BB63" s="231">
        <f t="shared" ca="1" si="13"/>
        <v>2662.9747849375754</v>
      </c>
      <c r="BC63" s="231">
        <f t="shared" ca="1" si="46"/>
        <v>39914.286921070699</v>
      </c>
      <c r="BD63" s="231">
        <f t="shared" ca="1" si="47"/>
        <v>214742.76923398374</v>
      </c>
      <c r="BE63" s="231">
        <f t="shared" ca="1" si="48"/>
        <v>7456.3461539577684</v>
      </c>
      <c r="BF63" s="231">
        <f t="shared" ca="1" si="14"/>
        <v>172826.75591739564</v>
      </c>
      <c r="BG63" s="231">
        <f t="shared" ca="1" si="15"/>
        <v>437603.13301134546</v>
      </c>
      <c r="BH63" s="232">
        <f t="shared" ca="1" si="16"/>
        <v>2744544.8494909215</v>
      </c>
      <c r="BI63" s="244">
        <f t="shared" ca="1" si="49"/>
        <v>12.023570215792182</v>
      </c>
      <c r="BJ63" s="243">
        <f t="shared" ca="1" si="50"/>
        <v>12.949624511558945</v>
      </c>
      <c r="BK63" s="242">
        <f t="shared" ca="1" si="51"/>
        <v>24.973194727351128</v>
      </c>
      <c r="BL63" s="241">
        <f t="shared" ca="1" si="52"/>
        <v>8.6569705553703695</v>
      </c>
      <c r="BM63" s="243">
        <f t="shared" ca="1" si="53"/>
        <v>5.7366836586206125</v>
      </c>
      <c r="BN63" s="243">
        <f t="shared" si="17"/>
        <v>0</v>
      </c>
      <c r="BO63" s="242">
        <f t="shared" ca="1" si="18"/>
        <v>14.393654213990983</v>
      </c>
      <c r="BP63" s="67"/>
      <c r="BQ63" s="67"/>
      <c r="BR63" s="67"/>
      <c r="BS63" s="67"/>
      <c r="BT63" s="67"/>
      <c r="BU63" s="67"/>
      <c r="BV63" s="67"/>
      <c r="BW63" s="67"/>
      <c r="BX63" s="67"/>
      <c r="BY63" s="67"/>
      <c r="BZ63" s="67"/>
      <c r="CA63" s="67"/>
      <c r="CB63" s="67"/>
    </row>
    <row r="64" spans="1:80" ht="12" customHeight="1" x14ac:dyDescent="0.15">
      <c r="A64" s="213">
        <f t="shared" si="19"/>
        <v>58</v>
      </c>
      <c r="B64" s="67">
        <f t="shared" si="20"/>
        <v>232</v>
      </c>
      <c r="C64" s="224">
        <f t="shared" si="21"/>
        <v>53.53846153846154</v>
      </c>
      <c r="D64" s="225">
        <f ca="1">IFERROR(OFFSET(extrapolation!P73,0,OS_dist_choice-1,1,1),0)</f>
        <v>0.33762393757490489</v>
      </c>
      <c r="E64" s="225">
        <f ca="1">IFERROR(OFFSET(extrapolation!D73,0,PFS_dist_choice-1,1,1),0)</f>
        <v>0.16091145565908005</v>
      </c>
      <c r="F64" s="214"/>
      <c r="G64" s="226">
        <f t="shared" ca="1" si="22"/>
        <v>160.91145565908005</v>
      </c>
      <c r="H64" s="224">
        <f t="shared" ca="1" si="23"/>
        <v>176.71248191582481</v>
      </c>
      <c r="I64" s="224">
        <f t="shared" ca="1" si="0"/>
        <v>662.37606242509514</v>
      </c>
      <c r="J64" s="227">
        <f t="shared" ca="1" si="1"/>
        <v>1000</v>
      </c>
      <c r="K64" s="238">
        <f t="shared" ca="1" si="24"/>
        <v>4.2947668387314195</v>
      </c>
      <c r="L64" s="239">
        <f t="shared" ca="1" si="25"/>
        <v>6.6847867174907378</v>
      </c>
      <c r="M64" s="238">
        <f t="shared" ca="1" si="26"/>
        <v>163.05883907844577</v>
      </c>
      <c r="N64" s="238">
        <f t="shared" ca="1" si="27"/>
        <v>177.90749185520446</v>
      </c>
      <c r="O64" s="239">
        <f t="shared" ca="1" si="28"/>
        <v>659.03366906634983</v>
      </c>
      <c r="P64" s="217"/>
      <c r="Q64" s="217"/>
      <c r="R64" s="224"/>
      <c r="S64" s="230">
        <f t="shared" ca="1" si="29"/>
        <v>2448441.1896010633</v>
      </c>
      <c r="T64" s="231">
        <f t="shared" ca="1" si="30"/>
        <v>15243.541074773857</v>
      </c>
      <c r="U64" s="231">
        <f t="shared" ca="1" si="31"/>
        <v>25126.606160739459</v>
      </c>
      <c r="V64" s="231"/>
      <c r="W64" s="231">
        <f t="shared" ca="1" si="32"/>
        <v>61405.349855517423</v>
      </c>
      <c r="X64" s="231">
        <f t="shared" ca="1" si="33"/>
        <v>7675.6687319396779</v>
      </c>
      <c r="Y64" s="231"/>
      <c r="Z64" s="232">
        <f t="shared" ca="1" si="2"/>
        <v>2557892.3554240335</v>
      </c>
      <c r="AA64" s="231">
        <f t="shared" ca="1" si="3"/>
        <v>2935.7431720326772</v>
      </c>
      <c r="AB64" s="231">
        <f t="shared" ca="1" si="34"/>
        <v>44829.967860566052</v>
      </c>
      <c r="AC64" s="231">
        <f t="shared" ca="1" si="35"/>
        <v>241189.61368608117</v>
      </c>
      <c r="AD64" s="231">
        <f t="shared" ca="1" si="36"/>
        <v>8374.6393641000395</v>
      </c>
      <c r="AE64" s="231">
        <f t="shared" ca="1" si="4"/>
        <v>191522.61487672408</v>
      </c>
      <c r="AF64" s="231">
        <f t="shared" ca="1" si="5"/>
        <v>488852.57895950403</v>
      </c>
      <c r="AG64" s="232">
        <f t="shared" ca="1" si="6"/>
        <v>3046744.9343835376</v>
      </c>
      <c r="AH64" s="244">
        <f t="shared" ca="1" si="37"/>
        <v>12.500061585753542</v>
      </c>
      <c r="AI64" s="243">
        <f t="shared" ca="1" si="38"/>
        <v>13.638356665149145</v>
      </c>
      <c r="AJ64" s="242">
        <f t="shared" ca="1" si="39"/>
        <v>26.138418250902689</v>
      </c>
      <c r="AK64" s="241">
        <f t="shared" ca="1" si="40"/>
        <v>9.0000443417425497</v>
      </c>
      <c r="AL64" s="243">
        <f t="shared" ca="1" si="41"/>
        <v>6.0417920026610714</v>
      </c>
      <c r="AM64" s="243"/>
      <c r="AN64" s="242">
        <f t="shared" ca="1" si="7"/>
        <v>15.04183634440362</v>
      </c>
      <c r="AO64" s="224"/>
      <c r="AP64" s="235">
        <f t="shared" si="42"/>
        <v>4.4615384615384617</v>
      </c>
      <c r="AQ64" s="235">
        <f t="shared" si="8"/>
        <v>0.87644814914632785</v>
      </c>
      <c r="AR64" s="235">
        <f t="shared" si="9"/>
        <v>0.93573204773152907</v>
      </c>
      <c r="AT64" s="230">
        <f t="shared" ca="1" si="10"/>
        <v>2145931.7489194851</v>
      </c>
      <c r="AU64" s="231">
        <f t="shared" ca="1" si="11"/>
        <v>13360.173361421572</v>
      </c>
      <c r="AV64" s="231">
        <f t="shared" ca="1" si="43"/>
        <v>22022.167463908816</v>
      </c>
      <c r="AW64" s="231"/>
      <c r="AX64" s="231">
        <f t="shared" ca="1" si="44"/>
        <v>53818.605228550972</v>
      </c>
      <c r="AY64" s="231">
        <f t="shared" ca="1" si="45"/>
        <v>6727.3256535688715</v>
      </c>
      <c r="AZ64" s="231"/>
      <c r="BA64" s="232">
        <f t="shared" ca="1" si="12"/>
        <v>2241860.0206269352</v>
      </c>
      <c r="BB64" s="231">
        <f t="shared" ca="1" si="13"/>
        <v>2573.0266694970096</v>
      </c>
      <c r="BC64" s="231">
        <f t="shared" ca="1" si="46"/>
        <v>39291.142357682482</v>
      </c>
      <c r="BD64" s="231">
        <f t="shared" ca="1" si="47"/>
        <v>211390.19050848368</v>
      </c>
      <c r="BE64" s="231">
        <f t="shared" ca="1" si="48"/>
        <v>7339.9371704334599</v>
      </c>
      <c r="BF64" s="231">
        <f t="shared" ca="1" si="14"/>
        <v>167859.64132836976</v>
      </c>
      <c r="BG64" s="231">
        <f t="shared" ca="1" si="15"/>
        <v>428453.93803446641</v>
      </c>
      <c r="BH64" s="232">
        <f t="shared" ca="1" si="16"/>
        <v>2670313.9586614016</v>
      </c>
      <c r="BI64" s="244">
        <f t="shared" ca="1" si="49"/>
        <v>11.696708224407386</v>
      </c>
      <c r="BJ64" s="243">
        <f t="shared" ca="1" si="50"/>
        <v>12.761847409972956</v>
      </c>
      <c r="BK64" s="242">
        <f t="shared" ca="1" si="51"/>
        <v>24.458555634380346</v>
      </c>
      <c r="BL64" s="241">
        <f t="shared" ca="1" si="52"/>
        <v>8.4216299215733184</v>
      </c>
      <c r="BM64" s="243">
        <f t="shared" ca="1" si="53"/>
        <v>5.6534984026180206</v>
      </c>
      <c r="BN64" s="243">
        <f t="shared" si="17"/>
        <v>0</v>
      </c>
      <c r="BO64" s="242">
        <f t="shared" ca="1" si="18"/>
        <v>14.075128324191336</v>
      </c>
      <c r="BP64" s="67"/>
      <c r="BQ64" s="67"/>
      <c r="BR64" s="67"/>
      <c r="BS64" s="67"/>
      <c r="BT64" s="67"/>
      <c r="BU64" s="67"/>
      <c r="BV64" s="67"/>
      <c r="BW64" s="67"/>
      <c r="BX64" s="67"/>
      <c r="BY64" s="67"/>
      <c r="BZ64" s="67"/>
      <c r="CA64" s="67"/>
      <c r="CB64" s="67"/>
    </row>
    <row r="65" spans="1:80" ht="12" customHeight="1" x14ac:dyDescent="0.15">
      <c r="A65" s="213">
        <f t="shared" si="19"/>
        <v>59</v>
      </c>
      <c r="B65" s="67">
        <f t="shared" si="20"/>
        <v>236</v>
      </c>
      <c r="C65" s="224">
        <f t="shared" si="21"/>
        <v>54.46153846153846</v>
      </c>
      <c r="D65" s="225">
        <f ca="1">IFERROR(OFFSET(extrapolation!P74,0,OS_dist_choice-1,1,1),0)</f>
        <v>0.33111604454469856</v>
      </c>
      <c r="E65" s="225">
        <f ca="1">IFERROR(OFFSET(extrapolation!D74,0,PFS_dist_choice-1,1,1),0)</f>
        <v>0.15675142783755291</v>
      </c>
      <c r="F65" s="214"/>
      <c r="G65" s="226">
        <f t="shared" ca="1" si="22"/>
        <v>156.75142783755291</v>
      </c>
      <c r="H65" s="224">
        <f t="shared" ca="1" si="23"/>
        <v>174.36461670714561</v>
      </c>
      <c r="I65" s="224">
        <f t="shared" ca="1" si="0"/>
        <v>668.88395545530148</v>
      </c>
      <c r="J65" s="227">
        <f t="shared" ca="1" si="1"/>
        <v>1000</v>
      </c>
      <c r="K65" s="238">
        <f t="shared" ca="1" si="24"/>
        <v>4.1600278215271373</v>
      </c>
      <c r="L65" s="239">
        <f t="shared" ca="1" si="25"/>
        <v>6.5078930302063327</v>
      </c>
      <c r="M65" s="238">
        <f t="shared" ca="1" si="26"/>
        <v>158.83144174831648</v>
      </c>
      <c r="N65" s="238">
        <f t="shared" ca="1" si="27"/>
        <v>175.53854931148521</v>
      </c>
      <c r="O65" s="239">
        <f t="shared" ca="1" si="28"/>
        <v>665.63000894019831</v>
      </c>
      <c r="P65" s="217"/>
      <c r="Q65" s="217"/>
      <c r="R65" s="224"/>
      <c r="S65" s="230">
        <f t="shared" ca="1" si="29"/>
        <v>2385141.8836169485</v>
      </c>
      <c r="T65" s="231">
        <f t="shared" ca="1" si="30"/>
        <v>14849.451327030825</v>
      </c>
      <c r="U65" s="231">
        <f t="shared" ca="1" si="31"/>
        <v>24475.183960020742</v>
      </c>
      <c r="V65" s="231"/>
      <c r="W65" s="231">
        <f t="shared" ca="1" si="32"/>
        <v>59813.379659348015</v>
      </c>
      <c r="X65" s="231">
        <f t="shared" ca="1" si="33"/>
        <v>7476.6724574185018</v>
      </c>
      <c r="Y65" s="231"/>
      <c r="Z65" s="232">
        <f t="shared" ca="1" si="2"/>
        <v>2491756.5710207666</v>
      </c>
      <c r="AA65" s="231">
        <f t="shared" ca="1" si="3"/>
        <v>2843.6405819231045</v>
      </c>
      <c r="AB65" s="231">
        <f t="shared" ca="1" si="34"/>
        <v>44233.030559101004</v>
      </c>
      <c r="AC65" s="231">
        <f t="shared" ca="1" si="35"/>
        <v>237978.03259409888</v>
      </c>
      <c r="AD65" s="231">
        <f t="shared" ca="1" si="36"/>
        <v>8263.1261317395438</v>
      </c>
      <c r="AE65" s="231">
        <f t="shared" ca="1" si="4"/>
        <v>186454.51876899786</v>
      </c>
      <c r="AF65" s="231">
        <f t="shared" ca="1" si="5"/>
        <v>479772.34863586037</v>
      </c>
      <c r="AG65" s="232">
        <f t="shared" ca="1" si="6"/>
        <v>2971528.9196566269</v>
      </c>
      <c r="AH65" s="244">
        <f t="shared" ca="1" si="37"/>
        <v>12.175990058734731</v>
      </c>
      <c r="AI65" s="243">
        <f t="shared" ca="1" si="38"/>
        <v>13.456753951325355</v>
      </c>
      <c r="AJ65" s="242">
        <f t="shared" ca="1" si="39"/>
        <v>25.632744010060087</v>
      </c>
      <c r="AK65" s="241">
        <f t="shared" ca="1" si="40"/>
        <v>8.7667128422890066</v>
      </c>
      <c r="AL65" s="243">
        <f t="shared" ca="1" si="41"/>
        <v>5.9613420004371322</v>
      </c>
      <c r="AM65" s="243"/>
      <c r="AN65" s="242">
        <f t="shared" ca="1" si="7"/>
        <v>14.728054842726138</v>
      </c>
      <c r="AO65" s="224"/>
      <c r="AP65" s="235">
        <f t="shared" si="42"/>
        <v>4.5384615384615383</v>
      </c>
      <c r="AQ65" s="235">
        <f t="shared" si="8"/>
        <v>0.87445758552873531</v>
      </c>
      <c r="AR65" s="235">
        <f t="shared" si="9"/>
        <v>0.93466098795939323</v>
      </c>
      <c r="AT65" s="230">
        <f t="shared" ca="1" si="10"/>
        <v>2085705.4126911366</v>
      </c>
      <c r="AU65" s="231">
        <f t="shared" ca="1" si="11"/>
        <v>12985.21535386185</v>
      </c>
      <c r="AV65" s="231">
        <f t="shared" ca="1" si="43"/>
        <v>21402.510271051367</v>
      </c>
      <c r="AW65" s="231"/>
      <c r="AX65" s="231">
        <f t="shared" ca="1" si="44"/>
        <v>52304.263559227031</v>
      </c>
      <c r="AY65" s="231">
        <f t="shared" ca="1" si="45"/>
        <v>6538.0329449033788</v>
      </c>
      <c r="AZ65" s="231"/>
      <c r="BA65" s="232">
        <f t="shared" ca="1" si="12"/>
        <v>2178935.4348201803</v>
      </c>
      <c r="BB65" s="231">
        <f t="shared" ca="1" si="13"/>
        <v>2486.6430773800057</v>
      </c>
      <c r="BC65" s="231">
        <f t="shared" ca="1" si="46"/>
        <v>38679.909103330232</v>
      </c>
      <c r="BD65" s="231">
        <f t="shared" ca="1" si="47"/>
        <v>208101.69579111438</v>
      </c>
      <c r="BE65" s="231">
        <f t="shared" ca="1" si="48"/>
        <v>7225.7533260803602</v>
      </c>
      <c r="BF65" s="231">
        <f t="shared" ca="1" si="14"/>
        <v>163046.56829366012</v>
      </c>
      <c r="BG65" s="231">
        <f t="shared" ca="1" si="15"/>
        <v>419540.56959156512</v>
      </c>
      <c r="BH65" s="232">
        <f t="shared" ca="1" si="16"/>
        <v>2598476.0044117454</v>
      </c>
      <c r="BI65" s="244">
        <f t="shared" ca="1" si="49"/>
        <v>11.380422897680754</v>
      </c>
      <c r="BJ65" s="243">
        <f t="shared" ca="1" si="50"/>
        <v>12.577502942872226</v>
      </c>
      <c r="BK65" s="242">
        <f t="shared" ca="1" si="51"/>
        <v>23.957925840552981</v>
      </c>
      <c r="BL65" s="241">
        <f t="shared" ca="1" si="52"/>
        <v>8.193904486330144</v>
      </c>
      <c r="BM65" s="243">
        <f t="shared" ca="1" si="53"/>
        <v>5.571833803692396</v>
      </c>
      <c r="BN65" s="243">
        <f t="shared" si="17"/>
        <v>0</v>
      </c>
      <c r="BO65" s="242">
        <f t="shared" ca="1" si="18"/>
        <v>13.765738290022538</v>
      </c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</row>
    <row r="66" spans="1:80" ht="12" customHeight="1" x14ac:dyDescent="0.15">
      <c r="A66" s="213">
        <f t="shared" si="19"/>
        <v>60</v>
      </c>
      <c r="B66" s="67">
        <f t="shared" si="20"/>
        <v>240</v>
      </c>
      <c r="C66" s="224">
        <f t="shared" si="21"/>
        <v>55.38461538461538</v>
      </c>
      <c r="D66" s="225">
        <f ca="1">IFERROR(OFFSET(extrapolation!P75,0,OS_dist_choice-1,1,1),0)</f>
        <v>0.32477987554277987</v>
      </c>
      <c r="E66" s="225">
        <f ca="1">IFERROR(OFFSET(extrapolation!D75,0,PFS_dist_choice-1,1,1),0)</f>
        <v>0.15272107410533875</v>
      </c>
      <c r="F66" s="214"/>
      <c r="G66" s="226">
        <f t="shared" ca="1" si="22"/>
        <v>152.72107410533874</v>
      </c>
      <c r="H66" s="224">
        <f t="shared" ca="1" si="23"/>
        <v>172.05880143744116</v>
      </c>
      <c r="I66" s="224">
        <f t="shared" ca="1" si="0"/>
        <v>675.22012445722009</v>
      </c>
      <c r="J66" s="227">
        <f t="shared" ca="1" si="1"/>
        <v>1000</v>
      </c>
      <c r="K66" s="238">
        <f t="shared" ca="1" si="24"/>
        <v>4.0303537322141665</v>
      </c>
      <c r="L66" s="239">
        <f t="shared" ca="1" si="25"/>
        <v>6.3361690019186199</v>
      </c>
      <c r="M66" s="238">
        <f t="shared" ca="1" si="26"/>
        <v>154.73625097144583</v>
      </c>
      <c r="N66" s="238">
        <f t="shared" ca="1" si="27"/>
        <v>173.21170907229339</v>
      </c>
      <c r="O66" s="239">
        <f t="shared" ca="1" si="28"/>
        <v>672.05203995626084</v>
      </c>
      <c r="P66" s="217"/>
      <c r="Q66" s="217"/>
      <c r="R66" s="224"/>
      <c r="S66" s="230">
        <f t="shared" ca="1" si="29"/>
        <v>2323815.7086333423</v>
      </c>
      <c r="T66" s="231">
        <f t="shared" ca="1" si="30"/>
        <v>14467.645927214919</v>
      </c>
      <c r="U66" s="231">
        <f t="shared" ca="1" si="31"/>
        <v>23844.134172195267</v>
      </c>
      <c r="V66" s="231"/>
      <c r="W66" s="231">
        <f t="shared" ca="1" si="32"/>
        <v>58271.196335830959</v>
      </c>
      <c r="X66" s="231">
        <f t="shared" ca="1" si="33"/>
        <v>7283.8995419788698</v>
      </c>
      <c r="Y66" s="231"/>
      <c r="Z66" s="232">
        <f t="shared" ca="1" si="2"/>
        <v>2427682.5846105618</v>
      </c>
      <c r="AA66" s="231">
        <f t="shared" ca="1" si="3"/>
        <v>2755.0001884896492</v>
      </c>
      <c r="AB66" s="231">
        <f t="shared" ca="1" si="34"/>
        <v>43646.702394660693</v>
      </c>
      <c r="AC66" s="231">
        <f t="shared" ca="1" si="35"/>
        <v>234823.52969740995</v>
      </c>
      <c r="AD66" s="231">
        <f t="shared" ca="1" si="36"/>
        <v>8153.5947811600663</v>
      </c>
      <c r="AE66" s="231">
        <f t="shared" ca="1" si="4"/>
        <v>181534.53607923258</v>
      </c>
      <c r="AF66" s="231">
        <f t="shared" ca="1" si="5"/>
        <v>470913.36314095295</v>
      </c>
      <c r="AG66" s="232">
        <f t="shared" ca="1" si="6"/>
        <v>2898595.9477515146</v>
      </c>
      <c r="AH66" s="244">
        <f t="shared" ca="1" si="37"/>
        <v>11.862053462561214</v>
      </c>
      <c r="AI66" s="243">
        <f t="shared" ca="1" si="38"/>
        <v>13.278378792674099</v>
      </c>
      <c r="AJ66" s="242">
        <f t="shared" ca="1" si="39"/>
        <v>25.140432255235311</v>
      </c>
      <c r="AK66" s="241">
        <f t="shared" ca="1" si="40"/>
        <v>8.5406784930440729</v>
      </c>
      <c r="AL66" s="243">
        <f t="shared" ca="1" si="41"/>
        <v>5.8823218051546258</v>
      </c>
      <c r="AM66" s="243"/>
      <c r="AN66" s="242">
        <f t="shared" ca="1" si="7"/>
        <v>14.423000298198698</v>
      </c>
      <c r="AO66" s="224"/>
      <c r="AP66" s="235">
        <f t="shared" si="42"/>
        <v>4.615384615384615</v>
      </c>
      <c r="AQ66" s="235">
        <f t="shared" si="8"/>
        <v>0.87247154282150097</v>
      </c>
      <c r="AR66" s="235">
        <f t="shared" si="9"/>
        <v>0.93359115414616112</v>
      </c>
      <c r="AT66" s="230">
        <f t="shared" ca="1" si="10"/>
        <v>2027463.0765441717</v>
      </c>
      <c r="AU66" s="231">
        <f t="shared" ca="1" si="11"/>
        <v>12622.609363112406</v>
      </c>
      <c r="AV66" s="231">
        <f t="shared" ca="1" si="43"/>
        <v>20803.328528458078</v>
      </c>
      <c r="AW66" s="231"/>
      <c r="AX66" s="231">
        <f t="shared" ca="1" si="44"/>
        <v>50839.960569177034</v>
      </c>
      <c r="AY66" s="231">
        <f t="shared" ca="1" si="45"/>
        <v>6354.9950711471292</v>
      </c>
      <c r="AZ66" s="231"/>
      <c r="BA66" s="232">
        <f t="shared" ca="1" si="12"/>
        <v>2118083.970076066</v>
      </c>
      <c r="BB66" s="231">
        <f t="shared" ca="1" si="13"/>
        <v>2403.6592649250902</v>
      </c>
      <c r="BC66" s="231">
        <f t="shared" ca="1" si="46"/>
        <v>38080.505777340513</v>
      </c>
      <c r="BD66" s="231">
        <f t="shared" ca="1" si="47"/>
        <v>204876.8472458898</v>
      </c>
      <c r="BE66" s="231">
        <f t="shared" ca="1" si="48"/>
        <v>7113.7794182600619</v>
      </c>
      <c r="BF66" s="231">
        <f t="shared" ca="1" si="14"/>
        <v>158383.71676843349</v>
      </c>
      <c r="BG66" s="231">
        <f t="shared" ca="1" si="15"/>
        <v>410858.50847484899</v>
      </c>
      <c r="BH66" s="232">
        <f t="shared" ca="1" si="16"/>
        <v>2528942.4785509147</v>
      </c>
      <c r="BI66" s="244">
        <f t="shared" ca="1" si="49"/>
        <v>11.07430818265599</v>
      </c>
      <c r="BJ66" s="243">
        <f t="shared" ca="1" si="50"/>
        <v>12.396576982242522</v>
      </c>
      <c r="BK66" s="242">
        <f t="shared" ca="1" si="51"/>
        <v>23.470885164898512</v>
      </c>
      <c r="BL66" s="241">
        <f t="shared" ca="1" si="52"/>
        <v>7.9735018915123117</v>
      </c>
      <c r="BM66" s="243">
        <f t="shared" ca="1" si="53"/>
        <v>5.4916836031334366</v>
      </c>
      <c r="BN66" s="243">
        <f t="shared" si="17"/>
        <v>0</v>
      </c>
      <c r="BO66" s="242">
        <f t="shared" ca="1" si="18"/>
        <v>13.465185494645748</v>
      </c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</row>
    <row r="67" spans="1:80" ht="12" customHeight="1" x14ac:dyDescent="0.15">
      <c r="A67" s="213">
        <f t="shared" si="19"/>
        <v>61</v>
      </c>
      <c r="B67" s="67">
        <f t="shared" si="20"/>
        <v>244</v>
      </c>
      <c r="C67" s="224">
        <f t="shared" si="21"/>
        <v>56.307692307692307</v>
      </c>
      <c r="D67" s="225">
        <f ca="1">IFERROR(OFFSET(extrapolation!P76,0,OS_dist_choice-1,1,1),0)</f>
        <v>0.31861037889488603</v>
      </c>
      <c r="E67" s="225">
        <f ca="1">IFERROR(OFFSET(extrapolation!D76,0,PFS_dist_choice-1,1,1),0)</f>
        <v>0.14881555490916243</v>
      </c>
      <c r="F67" s="214"/>
      <c r="G67" s="226">
        <f t="shared" ca="1" si="22"/>
        <v>148.81555490916242</v>
      </c>
      <c r="H67" s="224">
        <f t="shared" ca="1" si="23"/>
        <v>169.79482398572361</v>
      </c>
      <c r="I67" s="224">
        <f t="shared" ca="1" si="0"/>
        <v>681.38962110511397</v>
      </c>
      <c r="J67" s="227">
        <f t="shared" ca="1" si="1"/>
        <v>1000</v>
      </c>
      <c r="K67" s="238">
        <f t="shared" ca="1" si="24"/>
        <v>3.9055191961763285</v>
      </c>
      <c r="L67" s="239">
        <f t="shared" ca="1" si="25"/>
        <v>6.1694966478938795</v>
      </c>
      <c r="M67" s="238">
        <f t="shared" ca="1" si="26"/>
        <v>150.76831450725058</v>
      </c>
      <c r="N67" s="238">
        <f t="shared" ca="1" si="27"/>
        <v>170.92681271158239</v>
      </c>
      <c r="O67" s="239">
        <f t="shared" ca="1" si="28"/>
        <v>678.30487278116698</v>
      </c>
      <c r="P67" s="217"/>
      <c r="Q67" s="217"/>
      <c r="R67" s="224"/>
      <c r="S67" s="230">
        <f t="shared" ca="1" si="29"/>
        <v>2264389.0256322543</v>
      </c>
      <c r="T67" s="231">
        <f t="shared" ca="1" si="30"/>
        <v>14097.666412447708</v>
      </c>
      <c r="U67" s="231">
        <f t="shared" ca="1" si="31"/>
        <v>23232.693680099612</v>
      </c>
      <c r="V67" s="231"/>
      <c r="W67" s="231">
        <f t="shared" ca="1" si="32"/>
        <v>56776.934950398456</v>
      </c>
      <c r="X67" s="231">
        <f t="shared" ca="1" si="33"/>
        <v>7097.116868799807</v>
      </c>
      <c r="Y67" s="231"/>
      <c r="Z67" s="232">
        <f t="shared" ca="1" si="2"/>
        <v>2365593.4375439999</v>
      </c>
      <c r="AA67" s="231">
        <f t="shared" ca="1" si="3"/>
        <v>2669.6679340114993</v>
      </c>
      <c r="AB67" s="231">
        <f t="shared" ca="1" si="34"/>
        <v>43070.943446303609</v>
      </c>
      <c r="AC67" s="231">
        <f t="shared" ca="1" si="35"/>
        <v>231725.89021744276</v>
      </c>
      <c r="AD67" s="231">
        <f t="shared" ca="1" si="36"/>
        <v>8046.0378547723176</v>
      </c>
      <c r="AE67" s="231">
        <f t="shared" ca="1" si="4"/>
        <v>176759.28648346692</v>
      </c>
      <c r="AF67" s="231">
        <f t="shared" ca="1" si="5"/>
        <v>462271.82593599707</v>
      </c>
      <c r="AG67" s="232">
        <f t="shared" ca="1" si="6"/>
        <v>2827865.2634799969</v>
      </c>
      <c r="AH67" s="244">
        <f t="shared" ca="1" si="37"/>
        <v>11.557872159351174</v>
      </c>
      <c r="AI67" s="243">
        <f t="shared" ca="1" si="38"/>
        <v>13.103219044282838</v>
      </c>
      <c r="AJ67" s="242">
        <f t="shared" ca="1" si="39"/>
        <v>24.661091203634012</v>
      </c>
      <c r="AK67" s="241">
        <f t="shared" ca="1" si="40"/>
        <v>8.3216679547328454</v>
      </c>
      <c r="AL67" s="243">
        <f t="shared" ca="1" si="41"/>
        <v>5.8047260366172972</v>
      </c>
      <c r="AM67" s="243"/>
      <c r="AN67" s="242">
        <f t="shared" ca="1" si="7"/>
        <v>14.126393991350142</v>
      </c>
      <c r="AO67" s="224"/>
      <c r="AP67" s="235">
        <f t="shared" si="42"/>
        <v>4.6923076923076925</v>
      </c>
      <c r="AQ67" s="235">
        <f t="shared" si="8"/>
        <v>0.87049001075686383</v>
      </c>
      <c r="AR67" s="235">
        <f t="shared" si="9"/>
        <v>0.932522544888573</v>
      </c>
      <c r="AT67" s="230">
        <f t="shared" ca="1" si="10"/>
        <v>1971128.0272803456</v>
      </c>
      <c r="AU67" s="231">
        <f t="shared" ca="1" si="11"/>
        <v>12271.877787018284</v>
      </c>
      <c r="AV67" s="231">
        <f t="shared" ca="1" si="43"/>
        <v>20223.827771500833</v>
      </c>
      <c r="AW67" s="231"/>
      <c r="AX67" s="231">
        <f t="shared" ca="1" si="44"/>
        <v>49423.754715714109</v>
      </c>
      <c r="AY67" s="231">
        <f t="shared" ca="1" si="45"/>
        <v>6177.9693394642636</v>
      </c>
      <c r="AZ67" s="231"/>
      <c r="BA67" s="232">
        <f t="shared" ca="1" si="12"/>
        <v>2059225.4568940429</v>
      </c>
      <c r="BB67" s="231">
        <f t="shared" ca="1" si="13"/>
        <v>2323.9192685949242</v>
      </c>
      <c r="BC67" s="231">
        <f t="shared" ca="1" si="46"/>
        <v>37492.826023881105</v>
      </c>
      <c r="BD67" s="231">
        <f t="shared" ca="1" si="47"/>
        <v>201715.07266802559</v>
      </c>
      <c r="BE67" s="231">
        <f t="shared" ca="1" si="48"/>
        <v>7003.9955787508879</v>
      </c>
      <c r="BF67" s="231">
        <f t="shared" ca="1" si="14"/>
        <v>153867.19319236869</v>
      </c>
      <c r="BG67" s="231">
        <f t="shared" ca="1" si="15"/>
        <v>402403.00673162116</v>
      </c>
      <c r="BH67" s="232">
        <f t="shared" ca="1" si="16"/>
        <v>2461628.4636256639</v>
      </c>
      <c r="BI67" s="244">
        <f t="shared" ca="1" si="49"/>
        <v>10.777976359534943</v>
      </c>
      <c r="BJ67" s="243">
        <f t="shared" ca="1" si="50"/>
        <v>12.219047169407048</v>
      </c>
      <c r="BK67" s="242">
        <f t="shared" ca="1" si="51"/>
        <v>22.997023528941991</v>
      </c>
      <c r="BL67" s="241">
        <f t="shared" ca="1" si="52"/>
        <v>7.7601429788651597</v>
      </c>
      <c r="BM67" s="243">
        <f t="shared" ca="1" si="53"/>
        <v>5.4130378960473218</v>
      </c>
      <c r="BN67" s="243">
        <f t="shared" si="17"/>
        <v>0</v>
      </c>
      <c r="BO67" s="242">
        <f t="shared" ca="1" si="18"/>
        <v>13.173180874912481</v>
      </c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</row>
    <row r="68" spans="1:80" ht="12" customHeight="1" x14ac:dyDescent="0.15">
      <c r="A68" s="213">
        <f t="shared" si="19"/>
        <v>62</v>
      </c>
      <c r="B68" s="67">
        <f t="shared" si="20"/>
        <v>248</v>
      </c>
      <c r="C68" s="224">
        <f t="shared" si="21"/>
        <v>57.230769230769226</v>
      </c>
      <c r="D68" s="225">
        <f ca="1">IFERROR(OFFSET(extrapolation!P77,0,OS_dist_choice-1,1,1),0)</f>
        <v>0.31260262399783917</v>
      </c>
      <c r="E68" s="225">
        <f ca="1">IFERROR(OFFSET(extrapolation!D77,0,PFS_dist_choice-1,1,1),0)</f>
        <v>0.1450302443915048</v>
      </c>
      <c r="F68" s="214"/>
      <c r="G68" s="226">
        <f t="shared" ca="1" si="22"/>
        <v>145.03024439150479</v>
      </c>
      <c r="H68" s="224">
        <f t="shared" ca="1" si="23"/>
        <v>167.57237960633449</v>
      </c>
      <c r="I68" s="224">
        <f t="shared" ca="1" si="0"/>
        <v>687.39737600216074</v>
      </c>
      <c r="J68" s="227">
        <f t="shared" ca="1" si="1"/>
        <v>1000</v>
      </c>
      <c r="K68" s="238">
        <f t="shared" ca="1" si="24"/>
        <v>3.7853105176576207</v>
      </c>
      <c r="L68" s="239">
        <f t="shared" ca="1" si="25"/>
        <v>6.007754897046766</v>
      </c>
      <c r="M68" s="238">
        <f t="shared" ca="1" si="26"/>
        <v>146.92289965033359</v>
      </c>
      <c r="N68" s="238">
        <f t="shared" ca="1" si="27"/>
        <v>168.68360179602905</v>
      </c>
      <c r="O68" s="239">
        <f t="shared" ca="1" si="28"/>
        <v>684.3934985536373</v>
      </c>
      <c r="P68" s="217"/>
      <c r="Q68" s="217"/>
      <c r="R68" s="224"/>
      <c r="S68" s="230">
        <f t="shared" ca="1" si="29"/>
        <v>2206791.4472068921</v>
      </c>
      <c r="T68" s="231">
        <f t="shared" ca="1" si="30"/>
        <v>13739.074563779466</v>
      </c>
      <c r="U68" s="231">
        <f t="shared" ca="1" si="31"/>
        <v>22640.133195918035</v>
      </c>
      <c r="V68" s="231"/>
      <c r="W68" s="231">
        <f t="shared" ca="1" si="32"/>
        <v>55328.813241921227</v>
      </c>
      <c r="X68" s="231">
        <f t="shared" ca="1" si="33"/>
        <v>6916.1016552401534</v>
      </c>
      <c r="Y68" s="231"/>
      <c r="Z68" s="232">
        <f t="shared" ca="1" si="2"/>
        <v>2305415.5698637511</v>
      </c>
      <c r="AA68" s="231">
        <f t="shared" ca="1" si="3"/>
        <v>2587.4977440030921</v>
      </c>
      <c r="AB68" s="231">
        <f t="shared" ca="1" si="34"/>
        <v>42505.688592783597</v>
      </c>
      <c r="AC68" s="231">
        <f t="shared" ca="1" si="35"/>
        <v>228684.76379552091</v>
      </c>
      <c r="AD68" s="231">
        <f t="shared" ca="1" si="36"/>
        <v>7940.4431873444755</v>
      </c>
      <c r="AE68" s="231">
        <f t="shared" ca="1" si="4"/>
        <v>172125.30123216083</v>
      </c>
      <c r="AF68" s="231">
        <f t="shared" ca="1" si="5"/>
        <v>453843.69455181289</v>
      </c>
      <c r="AG68" s="232">
        <f t="shared" ca="1" si="6"/>
        <v>2759259.264415564</v>
      </c>
      <c r="AH68" s="244">
        <f t="shared" ca="1" si="37"/>
        <v>11.263083340751102</v>
      </c>
      <c r="AI68" s="243">
        <f t="shared" ca="1" si="38"/>
        <v>12.931254894699011</v>
      </c>
      <c r="AJ68" s="242">
        <f t="shared" ca="1" si="39"/>
        <v>24.194338235450111</v>
      </c>
      <c r="AK68" s="241">
        <f t="shared" ca="1" si="40"/>
        <v>8.1094200053407928</v>
      </c>
      <c r="AL68" s="243">
        <f t="shared" ca="1" si="41"/>
        <v>5.7285459183516618</v>
      </c>
      <c r="AM68" s="243"/>
      <c r="AN68" s="242">
        <f t="shared" ca="1" si="7"/>
        <v>13.837965923692455</v>
      </c>
      <c r="AO68" s="224"/>
      <c r="AP68" s="235">
        <f t="shared" si="42"/>
        <v>4.7692307692307692</v>
      </c>
      <c r="AQ68" s="235">
        <f t="shared" si="8"/>
        <v>0.86851297909038372</v>
      </c>
      <c r="AR68" s="235">
        <f t="shared" si="9"/>
        <v>0.93145515878497509</v>
      </c>
      <c r="AT68" s="230">
        <f t="shared" ca="1" si="10"/>
        <v>1916627.0140448371</v>
      </c>
      <c r="AU68" s="231">
        <f t="shared" ca="1" si="11"/>
        <v>11932.564579333019</v>
      </c>
      <c r="AV68" s="231">
        <f t="shared" ca="1" si="43"/>
        <v>19663.249528989862</v>
      </c>
      <c r="AW68" s="231"/>
      <c r="AX68" s="231">
        <f t="shared" ca="1" si="44"/>
        <v>48053.792418276476</v>
      </c>
      <c r="AY68" s="231">
        <f t="shared" ca="1" si="45"/>
        <v>6006.7240522845595</v>
      </c>
      <c r="AZ68" s="231"/>
      <c r="BA68" s="232">
        <f t="shared" ca="1" si="12"/>
        <v>2002283.3446237212</v>
      </c>
      <c r="BB68" s="231">
        <f t="shared" ca="1" si="13"/>
        <v>2247.2753740337726</v>
      </c>
      <c r="BC68" s="231">
        <f t="shared" ca="1" si="46"/>
        <v>36916.742228006624</v>
      </c>
      <c r="BD68" s="231">
        <f t="shared" ca="1" si="47"/>
        <v>198615.6854766286</v>
      </c>
      <c r="BE68" s="231">
        <f t="shared" ca="1" si="48"/>
        <v>6896.3779679384925</v>
      </c>
      <c r="BF68" s="231">
        <f t="shared" ca="1" si="14"/>
        <v>149493.05814997369</v>
      </c>
      <c r="BG68" s="231">
        <f t="shared" ca="1" si="15"/>
        <v>394169.13919658115</v>
      </c>
      <c r="BH68" s="232">
        <f t="shared" ca="1" si="16"/>
        <v>2396452.4838203024</v>
      </c>
      <c r="BI68" s="244">
        <f t="shared" ca="1" si="49"/>
        <v>10.491057081567725</v>
      </c>
      <c r="BJ68" s="243">
        <f t="shared" ca="1" si="50"/>
        <v>12.044884081230853</v>
      </c>
      <c r="BK68" s="242">
        <f t="shared" ca="1" si="51"/>
        <v>22.535941162798576</v>
      </c>
      <c r="BL68" s="241">
        <f t="shared" ca="1" si="52"/>
        <v>7.5535610987287614</v>
      </c>
      <c r="BM68" s="243">
        <f t="shared" ca="1" si="53"/>
        <v>5.335883647985268</v>
      </c>
      <c r="BN68" s="243">
        <f t="shared" si="17"/>
        <v>0</v>
      </c>
      <c r="BO68" s="242">
        <f t="shared" ca="1" si="18"/>
        <v>12.88944474671403</v>
      </c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7"/>
      <c r="CA68" s="67"/>
      <c r="CB68" s="67"/>
    </row>
    <row r="69" spans="1:80" ht="12" customHeight="1" x14ac:dyDescent="0.15">
      <c r="A69" s="213">
        <f t="shared" si="19"/>
        <v>63</v>
      </c>
      <c r="B69" s="67">
        <f t="shared" si="20"/>
        <v>252</v>
      </c>
      <c r="C69" s="224">
        <f t="shared" si="21"/>
        <v>58.153846153846146</v>
      </c>
      <c r="D69" s="225">
        <f ca="1">IFERROR(OFFSET(extrapolation!P78,0,OS_dist_choice-1,1,1),0)</f>
        <v>0.30675180347137859</v>
      </c>
      <c r="E69" s="225">
        <f ca="1">IFERROR(OFFSET(extrapolation!D78,0,PFS_dist_choice-1,1,1),0)</f>
        <v>0.14136071940266204</v>
      </c>
      <c r="F69" s="214"/>
      <c r="G69" s="226">
        <f t="shared" ca="1" si="22"/>
        <v>141.36071940266203</v>
      </c>
      <c r="H69" s="224">
        <f t="shared" ca="1" si="23"/>
        <v>165.39108406871651</v>
      </c>
      <c r="I69" s="224">
        <f t="shared" ca="1" si="0"/>
        <v>693.24819652862152</v>
      </c>
      <c r="J69" s="227">
        <f t="shared" ca="1" si="1"/>
        <v>1000</v>
      </c>
      <c r="K69" s="238">
        <f t="shared" ca="1" si="24"/>
        <v>3.6695249888427668</v>
      </c>
      <c r="L69" s="239">
        <f t="shared" ca="1" si="25"/>
        <v>5.8508205264607795</v>
      </c>
      <c r="M69" s="238">
        <f t="shared" ca="1" si="26"/>
        <v>143.19548189708343</v>
      </c>
      <c r="N69" s="238">
        <f t="shared" ca="1" si="27"/>
        <v>166.4817318375255</v>
      </c>
      <c r="O69" s="239">
        <f t="shared" ca="1" si="28"/>
        <v>690.32278626539119</v>
      </c>
      <c r="P69" s="217"/>
      <c r="Q69" s="217"/>
      <c r="R69" s="224"/>
      <c r="S69" s="230">
        <f t="shared" ca="1" si="29"/>
        <v>2150955.6703683026</v>
      </c>
      <c r="T69" s="231">
        <f t="shared" ca="1" si="30"/>
        <v>13391.451365274286</v>
      </c>
      <c r="U69" s="231">
        <f t="shared" ca="1" si="31"/>
        <v>22065.755514758366</v>
      </c>
      <c r="V69" s="231"/>
      <c r="W69" s="231">
        <f t="shared" ca="1" si="32"/>
        <v>53925.127354731267</v>
      </c>
      <c r="X69" s="231">
        <f t="shared" ca="1" si="33"/>
        <v>6740.6409193414083</v>
      </c>
      <c r="Y69" s="231"/>
      <c r="Z69" s="232">
        <f t="shared" ca="1" si="2"/>
        <v>2247078.6455224077</v>
      </c>
      <c r="AA69" s="231">
        <f t="shared" ca="1" si="3"/>
        <v>2508.3510549272296</v>
      </c>
      <c r="AB69" s="231">
        <f t="shared" ca="1" si="34"/>
        <v>41950.85102836445</v>
      </c>
      <c r="AC69" s="231">
        <f t="shared" ca="1" si="35"/>
        <v>225699.68340828974</v>
      </c>
      <c r="AD69" s="231">
        <f t="shared" ca="1" si="36"/>
        <v>7836.794562787838</v>
      </c>
      <c r="AE69" s="231">
        <f t="shared" ca="1" si="4"/>
        <v>167629.04992469307</v>
      </c>
      <c r="AF69" s="231">
        <f t="shared" ca="1" si="5"/>
        <v>445624.72997906234</v>
      </c>
      <c r="AG69" s="232">
        <f t="shared" ca="1" si="6"/>
        <v>2692703.3755014702</v>
      </c>
      <c r="AH69" s="244">
        <f t="shared" ca="1" si="37"/>
        <v>10.977340159119331</v>
      </c>
      <c r="AI69" s="243">
        <f t="shared" ca="1" si="38"/>
        <v>12.762459935525568</v>
      </c>
      <c r="AJ69" s="242">
        <f t="shared" ca="1" si="39"/>
        <v>23.739800094644899</v>
      </c>
      <c r="AK69" s="241">
        <f t="shared" ca="1" si="40"/>
        <v>7.9036849145659183</v>
      </c>
      <c r="AL69" s="243">
        <f t="shared" ca="1" si="41"/>
        <v>5.6537697514378262</v>
      </c>
      <c r="AM69" s="243"/>
      <c r="AN69" s="242">
        <f t="shared" ca="1" si="7"/>
        <v>13.557454666003744</v>
      </c>
      <c r="AO69" s="224"/>
      <c r="AP69" s="235">
        <f t="shared" si="42"/>
        <v>4.8461538461538458</v>
      </c>
      <c r="AQ69" s="235">
        <f t="shared" si="8"/>
        <v>0.86654043760088673</v>
      </c>
      <c r="AR69" s="235">
        <f t="shared" si="9"/>
        <v>0.93038899443531797</v>
      </c>
      <c r="AT69" s="230">
        <f t="shared" ca="1" si="10"/>
        <v>1863890.0678610576</v>
      </c>
      <c r="AU69" s="231">
        <f t="shared" ca="1" si="11"/>
        <v>11604.234126175772</v>
      </c>
      <c r="AV69" s="231">
        <f t="shared" ca="1" si="43"/>
        <v>19120.869439752893</v>
      </c>
      <c r="AW69" s="231"/>
      <c r="AX69" s="231">
        <f t="shared" ca="1" si="44"/>
        <v>46728.303455652378</v>
      </c>
      <c r="AY69" s="231">
        <f t="shared" ca="1" si="45"/>
        <v>5841.0379319565473</v>
      </c>
      <c r="AZ69" s="231"/>
      <c r="BA69" s="232">
        <f t="shared" ca="1" si="12"/>
        <v>1947184.5128145949</v>
      </c>
      <c r="BB69" s="231">
        <f t="shared" ca="1" si="13"/>
        <v>2173.5876207932874</v>
      </c>
      <c r="BC69" s="231">
        <f t="shared" ca="1" si="46"/>
        <v>36352.108807848541</v>
      </c>
      <c r="BD69" s="231">
        <f t="shared" ca="1" si="47"/>
        <v>195577.90242700098</v>
      </c>
      <c r="BE69" s="231">
        <f t="shared" ca="1" si="48"/>
        <v>6790.8993898264225</v>
      </c>
      <c r="BF69" s="231">
        <f t="shared" ca="1" si="14"/>
        <v>145257.35027636442</v>
      </c>
      <c r="BG69" s="231">
        <f t="shared" ca="1" si="15"/>
        <v>386151.84852183366</v>
      </c>
      <c r="BH69" s="232">
        <f t="shared" ca="1" si="16"/>
        <v>2333336.3613364287</v>
      </c>
      <c r="BI69" s="244">
        <f t="shared" ca="1" si="49"/>
        <v>10.213196472217467</v>
      </c>
      <c r="BJ69" s="243">
        <f t="shared" ca="1" si="50"/>
        <v>11.874052265934667</v>
      </c>
      <c r="BK69" s="242">
        <f t="shared" ca="1" si="51"/>
        <v>22.087248738152134</v>
      </c>
      <c r="BL69" s="241">
        <f t="shared" ca="1" si="52"/>
        <v>7.3535014599965765</v>
      </c>
      <c r="BM69" s="243">
        <f t="shared" ca="1" si="53"/>
        <v>5.2602051538090571</v>
      </c>
      <c r="BN69" s="243">
        <f t="shared" si="17"/>
        <v>0</v>
      </c>
      <c r="BO69" s="242">
        <f t="shared" ca="1" si="18"/>
        <v>12.613706613805634</v>
      </c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</row>
    <row r="70" spans="1:80" ht="12" customHeight="1" x14ac:dyDescent="0.15">
      <c r="A70" s="213">
        <f t="shared" si="19"/>
        <v>64</v>
      </c>
      <c r="B70" s="67">
        <f t="shared" si="20"/>
        <v>256</v>
      </c>
      <c r="C70" s="224">
        <f t="shared" si="21"/>
        <v>59.07692307692308</v>
      </c>
      <c r="D70" s="225">
        <f ca="1">IFERROR(OFFSET(extrapolation!P79,0,OS_dist_choice-1,1,1),0)</f>
        <v>0.30105323449711885</v>
      </c>
      <c r="E70" s="225">
        <f ca="1">IFERROR(OFFSET(extrapolation!D79,0,PFS_dist_choice-1,1,1),0)</f>
        <v>0.13780274915816226</v>
      </c>
      <c r="F70" s="214"/>
      <c r="G70" s="226">
        <f t="shared" ca="1" si="22"/>
        <v>137.80274915816227</v>
      </c>
      <c r="H70" s="224">
        <f t="shared" ca="1" si="23"/>
        <v>163.25048533895665</v>
      </c>
      <c r="I70" s="224">
        <f t="shared" ref="I70:I133" ca="1" si="54">cohort_size*(1-D70)</f>
        <v>698.94676550288114</v>
      </c>
      <c r="J70" s="227">
        <f t="shared" ref="J70:J133" ca="1" si="55">G70+H70+I70</f>
        <v>1000</v>
      </c>
      <c r="K70" s="238">
        <f t="shared" ca="1" si="24"/>
        <v>3.5579702444997565</v>
      </c>
      <c r="L70" s="239">
        <f t="shared" ca="1" si="25"/>
        <v>5.6985689742596151</v>
      </c>
      <c r="M70" s="238">
        <f t="shared" ca="1" si="26"/>
        <v>139.58173428041215</v>
      </c>
      <c r="N70" s="238">
        <f t="shared" ca="1" si="27"/>
        <v>164.32078470383658</v>
      </c>
      <c r="O70" s="239">
        <f t="shared" ca="1" si="28"/>
        <v>696.09748101575133</v>
      </c>
      <c r="P70" s="217"/>
      <c r="Q70" s="217"/>
      <c r="R70" s="224"/>
      <c r="S70" s="230">
        <f t="shared" ca="1" si="29"/>
        <v>2096817.3191718219</v>
      </c>
      <c r="T70" s="231">
        <f t="shared" ca="1" si="30"/>
        <v>13054.396024231546</v>
      </c>
      <c r="U70" s="231">
        <f t="shared" ca="1" si="31"/>
        <v>21508.893871184868</v>
      </c>
      <c r="V70" s="231"/>
      <c r="W70" s="231">
        <f t="shared" ca="1" si="32"/>
        <v>52564.247822254729</v>
      </c>
      <c r="X70" s="231">
        <f t="shared" ca="1" si="33"/>
        <v>6570.5309777818411</v>
      </c>
      <c r="Y70" s="231"/>
      <c r="Z70" s="232">
        <f t="shared" ref="Z70:Z133" ca="1" si="56">SUM(S70:Y70)</f>
        <v>2190515.3878672752</v>
      </c>
      <c r="AA70" s="231">
        <f t="shared" ref="AA70:AA133" ca="1" si="57">PD_lumpsum_inavo*K70</f>
        <v>2432.0963730526764</v>
      </c>
      <c r="AB70" s="231">
        <f t="shared" ca="1" si="34"/>
        <v>41406.32539011589</v>
      </c>
      <c r="AC70" s="231">
        <f t="shared" ca="1" si="35"/>
        <v>222770.08219287457</v>
      </c>
      <c r="AD70" s="231">
        <f t="shared" ca="1" si="36"/>
        <v>7735.0722983636997</v>
      </c>
      <c r="AE70" s="231">
        <f t="shared" ref="AE70:AE133" ca="1" si="58">End_of_life_costs_per_patient*L70</f>
        <v>163266.96379854772</v>
      </c>
      <c r="AF70" s="231">
        <f t="shared" ref="AF70:AF133" ca="1" si="59">SUM(AA70:AE70)</f>
        <v>437610.54005295457</v>
      </c>
      <c r="AG70" s="232">
        <f t="shared" ref="AG70:AG133" ca="1" si="60">Z70+AF70</f>
        <v>2628125.9279202297</v>
      </c>
      <c r="AH70" s="244">
        <f t="shared" ca="1" si="37"/>
        <v>10.700310909928927</v>
      </c>
      <c r="AI70" s="243">
        <f t="shared" ca="1" si="38"/>
        <v>12.596802112819779</v>
      </c>
      <c r="AJ70" s="242">
        <f t="shared" ca="1" si="39"/>
        <v>23.297113022748704</v>
      </c>
      <c r="AK70" s="241">
        <f t="shared" ca="1" si="40"/>
        <v>7.7042238551488271</v>
      </c>
      <c r="AL70" s="243">
        <f t="shared" ca="1" si="41"/>
        <v>5.5803833359791621</v>
      </c>
      <c r="AM70" s="243"/>
      <c r="AN70" s="242">
        <f t="shared" ref="AN70:AN133" ca="1" si="61">AK70+AL70-AM70</f>
        <v>13.284607191127989</v>
      </c>
      <c r="AO70" s="224"/>
      <c r="AP70" s="235">
        <f t="shared" si="42"/>
        <v>4.9230769230769234</v>
      </c>
      <c r="AQ70" s="235">
        <f t="shared" ref="AQ70:AQ133" si="62">1/(1+cDR)^AP70</f>
        <v>0.86457237609041282</v>
      </c>
      <c r="AR70" s="235">
        <f t="shared" ref="AR70:AR133" si="63">1/(1+oDR)^AP70</f>
        <v>0.92932405044115496</v>
      </c>
      <c r="AT70" s="230">
        <f t="shared" ref="AT70:AT133" ca="1" si="64">S70*AQ70</f>
        <v>1812850.3318639116</v>
      </c>
      <c r="AU70" s="231">
        <f t="shared" ref="AU70:AU133" ca="1" si="65">T70*AQ70</f>
        <v>11286.470189095106</v>
      </c>
      <c r="AV70" s="231">
        <f t="shared" ca="1" si="43"/>
        <v>18595.99548128682</v>
      </c>
      <c r="AW70" s="231"/>
      <c r="AX70" s="231">
        <f t="shared" ca="1" si="44"/>
        <v>45445.59663709208</v>
      </c>
      <c r="AY70" s="231">
        <f t="shared" ca="1" si="45"/>
        <v>5680.69957963651</v>
      </c>
      <c r="AZ70" s="231"/>
      <c r="BA70" s="232">
        <f t="shared" ref="BA70:BA133" ca="1" si="66">Z70*AQ70</f>
        <v>1893859.0937510224</v>
      </c>
      <c r="BB70" s="231">
        <f t="shared" ref="BB70:BB133" ca="1" si="67">AA70*AQ70</f>
        <v>2102.7233401310277</v>
      </c>
      <c r="BC70" s="231">
        <f t="shared" ca="1" si="46"/>
        <v>35798.765127705286</v>
      </c>
      <c r="BD70" s="231">
        <f t="shared" ca="1" si="47"/>
        <v>192600.85928335012</v>
      </c>
      <c r="BE70" s="231">
        <f t="shared" ca="1" si="48"/>
        <v>6687.5298362274343</v>
      </c>
      <c r="BF70" s="231">
        <f t="shared" ref="BF70:BF133" ca="1" si="68">AE70*AQ70</f>
        <v>141156.10682837781</v>
      </c>
      <c r="BG70" s="231">
        <f t="shared" ref="BG70:BG133" ca="1" si="69">AF70*AQ70</f>
        <v>378345.9844157917</v>
      </c>
      <c r="BH70" s="232">
        <f t="shared" ref="BH70:BH133" ca="1" si="70">AG70*AQ70</f>
        <v>2272205.0781668141</v>
      </c>
      <c r="BI70" s="244">
        <f t="shared" ca="1" si="49"/>
        <v>9.9440562757948303</v>
      </c>
      <c r="BJ70" s="243">
        <f t="shared" ca="1" si="50"/>
        <v>11.706511162091376</v>
      </c>
      <c r="BK70" s="242">
        <f t="shared" ca="1" si="51"/>
        <v>21.650567437886206</v>
      </c>
      <c r="BL70" s="241">
        <f t="shared" ca="1" si="52"/>
        <v>7.1597205185722776</v>
      </c>
      <c r="BM70" s="243">
        <f t="shared" ca="1" si="53"/>
        <v>5.1859844448064791</v>
      </c>
      <c r="BN70" s="243">
        <f t="shared" ref="BN70:BN133" si="71">AM70*AR70</f>
        <v>0</v>
      </c>
      <c r="BO70" s="242">
        <f t="shared" ref="BO70:BO133" ca="1" si="72">AN70*AR70</f>
        <v>12.345704963378758</v>
      </c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</row>
    <row r="71" spans="1:80" ht="12" customHeight="1" x14ac:dyDescent="0.15">
      <c r="A71" s="213">
        <f t="shared" ref="A71:A134" si="73">A70+1</f>
        <v>65</v>
      </c>
      <c r="B71" s="67">
        <f t="shared" ref="B71:B134" si="74">A71*cycle_length_days/7</f>
        <v>260</v>
      </c>
      <c r="C71" s="224">
        <f t="shared" ref="C71:C134" si="75">B71/52*12</f>
        <v>60</v>
      </c>
      <c r="D71" s="225">
        <f ca="1">IFERROR(OFFSET(extrapolation!P80,0,OS_dist_choice-1,1,1),0)</f>
        <v>0.29550235945301684</v>
      </c>
      <c r="E71" s="225">
        <f ca="1">IFERROR(OFFSET(extrapolation!D80,0,PFS_dist_choice-1,1,1),0)</f>
        <v>0.13435228549922429</v>
      </c>
      <c r="F71" s="214"/>
      <c r="G71" s="226">
        <f t="shared" ref="G71:G134" ca="1" si="76">cohort_size*IF(E71&gt;D71,D71,E71)</f>
        <v>134.35228549922428</v>
      </c>
      <c r="H71" s="224">
        <f t="shared" ref="H71:H134" ca="1" si="77">cohort_size-G71-I71</f>
        <v>161.15007395379257</v>
      </c>
      <c r="I71" s="224">
        <f t="shared" ca="1" si="54"/>
        <v>704.49764054698312</v>
      </c>
      <c r="J71" s="227">
        <f t="shared" ca="1" si="55"/>
        <v>1000</v>
      </c>
      <c r="K71" s="238">
        <f t="shared" ref="K71:K134" ca="1" si="78">MAX(0,G70-G71)</f>
        <v>3.4504636589379913</v>
      </c>
      <c r="L71" s="239">
        <f t="shared" ref="L71:L134" ca="1" si="79">I71-I70</f>
        <v>5.5508750441019856</v>
      </c>
      <c r="M71" s="238">
        <f t="shared" ref="M71:M134" ca="1" si="80">(G71+G70)/2</f>
        <v>136.07751732869326</v>
      </c>
      <c r="N71" s="238">
        <f t="shared" ref="N71:N134" ca="1" si="81">(H71+H70)/2</f>
        <v>162.20027964637461</v>
      </c>
      <c r="O71" s="239">
        <f t="shared" ref="O71:O134" ca="1" si="82">(I71+I70)/2</f>
        <v>701.72220302493213</v>
      </c>
      <c r="P71" s="217"/>
      <c r="Q71" s="217"/>
      <c r="R71" s="224"/>
      <c r="S71" s="230">
        <f t="shared" ref="S71:S134" ca="1" si="83">SD_drugacq_c2_inavo*G71</f>
        <v>2044314.7965194602</v>
      </c>
      <c r="T71" s="231">
        <f t="shared" ref="T71:T134" ca="1" si="84">SD_admin_c2_inavo*G71</f>
        <v>12727.525048534995</v>
      </c>
      <c r="U71" s="231">
        <f t="shared" ref="U71:U134" ca="1" si="85">SD_hcru_c2_inavo*M71</f>
        <v>20968.910391937428</v>
      </c>
      <c r="V71" s="231"/>
      <c r="W71" s="231">
        <f t="shared" ref="W71:W134" ca="1" si="86">Societal_informal_PFS_per_cycle*M71</f>
        <v>51244.615785708622</v>
      </c>
      <c r="X71" s="231">
        <f t="shared" ref="X71:X134" ca="1" si="87">Patient_time_c2plus*M71</f>
        <v>6405.5769732135777</v>
      </c>
      <c r="Y71" s="231"/>
      <c r="Z71" s="232">
        <f t="shared" ca="1" si="56"/>
        <v>2135661.4247188545</v>
      </c>
      <c r="AA71" s="231">
        <f t="shared" ca="1" si="57"/>
        <v>2358.6088622371362</v>
      </c>
      <c r="AB71" s="231">
        <f t="shared" ref="AB71:AB134" ca="1" si="88">PD_ongoing_inavo*N71</f>
        <v>40871.990536744132</v>
      </c>
      <c r="AC71" s="231">
        <f t="shared" ref="AC71:AC134" ca="1" si="89">Societal_informal_PD_per_cycle*N71</f>
        <v>219895.30839726122</v>
      </c>
      <c r="AD71" s="231">
        <f t="shared" ref="AD71:AD134" ca="1" si="90">Patient_time_PD_per_cycle*N71</f>
        <v>7635.2537637937921</v>
      </c>
      <c r="AE71" s="231">
        <f t="shared" ca="1" si="58"/>
        <v>159035.45591345732</v>
      </c>
      <c r="AF71" s="231">
        <f t="shared" ca="1" si="59"/>
        <v>429796.61747349362</v>
      </c>
      <c r="AG71" s="232">
        <f t="shared" ca="1" si="60"/>
        <v>2565458.0421923483</v>
      </c>
      <c r="AH71" s="244">
        <f t="shared" ref="AH71:AH134" ca="1" si="91">M71*cycle_length_days/365.25</f>
        <v>10.431678262021659</v>
      </c>
      <c r="AI71" s="243">
        <f t="shared" ref="AI71:AI134" ca="1" si="92">N71*cycle_length_days/365.25</f>
        <v>12.434244572480463</v>
      </c>
      <c r="AJ71" s="242">
        <f t="shared" ref="AJ71:AJ134" ca="1" si="93">AH71+AI71</f>
        <v>22.865922834502122</v>
      </c>
      <c r="AK71" s="241">
        <f t="shared" ref="AK71:AK134" ca="1" si="94">AH71*utility_pfs</f>
        <v>7.5108083486555941</v>
      </c>
      <c r="AL71" s="243">
        <f t="shared" ref="AL71:AL134" ca="1" si="95">AI71*utility_pd</f>
        <v>5.5083703456088449</v>
      </c>
      <c r="AM71" s="243"/>
      <c r="AN71" s="242">
        <f t="shared" ca="1" si="61"/>
        <v>13.01917869426444</v>
      </c>
      <c r="AO71" s="224"/>
      <c r="AP71" s="235">
        <f t="shared" ref="AP71:AP134" si="96">B71/52</f>
        <v>5</v>
      </c>
      <c r="AQ71" s="235">
        <f t="shared" si="62"/>
        <v>0.86260878438416411</v>
      </c>
      <c r="AR71" s="235">
        <f t="shared" si="63"/>
        <v>0.92826032540563996</v>
      </c>
      <c r="AT71" s="230">
        <f t="shared" ca="1" si="64"/>
        <v>1763443.9015242113</v>
      </c>
      <c r="AU71" s="231">
        <f t="shared" ca="1" si="65"/>
        <v>10978.874910335771</v>
      </c>
      <c r="AV71" s="231">
        <f t="shared" ref="AV71:AV134" ca="1" si="97">U71*AQ71</f>
        <v>18087.966303049612</v>
      </c>
      <c r="AW71" s="231"/>
      <c r="AX71" s="231">
        <f t="shared" ref="AX71:AX134" ca="1" si="98">W71*AQ71</f>
        <v>44204.055729143663</v>
      </c>
      <c r="AY71" s="231">
        <f t="shared" ref="AY71:AY134" ca="1" si="99">X71*AQ71</f>
        <v>5525.5069661429579</v>
      </c>
      <c r="AZ71" s="231"/>
      <c r="BA71" s="232">
        <f t="shared" ca="1" si="66"/>
        <v>1842240.3054328831</v>
      </c>
      <c r="BB71" s="231">
        <f t="shared" ca="1" si="67"/>
        <v>2034.5567234920925</v>
      </c>
      <c r="BC71" s="231">
        <f t="shared" ref="BC71:BC134" ca="1" si="100">AB71*AQ71</f>
        <v>35256.538072261916</v>
      </c>
      <c r="BD71" s="231">
        <f t="shared" ref="BD71:BD134" ca="1" si="101">AC71*AQ71</f>
        <v>189683.62466834238</v>
      </c>
      <c r="BE71" s="231">
        <f t="shared" ref="BE71:BE134" ca="1" si="102">AD71*AQ71</f>
        <v>6586.2369676507769</v>
      </c>
      <c r="BF71" s="231">
        <f t="shared" ca="1" si="68"/>
        <v>137185.38129948874</v>
      </c>
      <c r="BG71" s="231">
        <f t="shared" ca="1" si="69"/>
        <v>370746.33773123589</v>
      </c>
      <c r="BH71" s="232">
        <f t="shared" ca="1" si="70"/>
        <v>2212986.6431641192</v>
      </c>
      <c r="BI71" s="244">
        <f t="shared" ref="BI71:BI134" ca="1" si="103">AH71*AR71</f>
        <v>9.6833130580311657</v>
      </c>
      <c r="BJ71" s="243">
        <f t="shared" ref="BJ71:BJ134" ca="1" si="104">AI71*AR71</f>
        <v>11.542215913024027</v>
      </c>
      <c r="BK71" s="242">
        <f t="shared" ref="BK71:BK134" ca="1" si="105">AJ71*AR71</f>
        <v>21.225528971055194</v>
      </c>
      <c r="BL71" s="241">
        <f t="shared" ref="BL71:BL134" ca="1" si="106">AK71*AR71</f>
        <v>6.9719854017824394</v>
      </c>
      <c r="BM71" s="243">
        <f t="shared" ref="BM71:BM134" ca="1" si="107">AL71*AR71</f>
        <v>5.1132016494696435</v>
      </c>
      <c r="BN71" s="243">
        <f t="shared" si="71"/>
        <v>0</v>
      </c>
      <c r="BO71" s="242">
        <f t="shared" ca="1" si="72"/>
        <v>12.085187051252083</v>
      </c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7"/>
      <c r="CA71" s="67"/>
      <c r="CB71" s="67"/>
    </row>
    <row r="72" spans="1:80" ht="12" customHeight="1" x14ac:dyDescent="0.15">
      <c r="A72" s="213">
        <f t="shared" si="73"/>
        <v>66</v>
      </c>
      <c r="B72" s="67">
        <f t="shared" si="74"/>
        <v>264</v>
      </c>
      <c r="C72" s="224">
        <f t="shared" si="75"/>
        <v>60.92307692307692</v>
      </c>
      <c r="D72" s="225">
        <f ca="1">IFERROR(OFFSET(extrapolation!P81,0,OS_dist_choice-1,1,1),0)</f>
        <v>0.29009474593978019</v>
      </c>
      <c r="E72" s="225">
        <f ca="1">IFERROR(OFFSET(extrapolation!D81,0,PFS_dist_choice-1,1,1),0)</f>
        <v>0.13100545371694361</v>
      </c>
      <c r="F72" s="214"/>
      <c r="G72" s="226">
        <f t="shared" ca="1" si="76"/>
        <v>131.00545371694361</v>
      </c>
      <c r="H72" s="224">
        <f t="shared" ca="1" si="77"/>
        <v>159.08929222283666</v>
      </c>
      <c r="I72" s="224">
        <f t="shared" ca="1" si="54"/>
        <v>709.9052540602197</v>
      </c>
      <c r="J72" s="227">
        <f t="shared" ca="1" si="55"/>
        <v>1000</v>
      </c>
      <c r="K72" s="238">
        <f t="shared" ca="1" si="78"/>
        <v>3.3468317822806739</v>
      </c>
      <c r="L72" s="239">
        <f t="shared" ca="1" si="79"/>
        <v>5.4076135132365835</v>
      </c>
      <c r="M72" s="238">
        <f t="shared" ca="1" si="80"/>
        <v>132.67886960808394</v>
      </c>
      <c r="N72" s="238">
        <f t="shared" ca="1" si="81"/>
        <v>160.11968308831462</v>
      </c>
      <c r="O72" s="239">
        <f t="shared" ca="1" si="82"/>
        <v>707.20144730360141</v>
      </c>
      <c r="P72" s="217"/>
      <c r="Q72" s="217"/>
      <c r="R72" s="224"/>
      <c r="S72" s="230">
        <f t="shared" ca="1" si="83"/>
        <v>1993389.1445400044</v>
      </c>
      <c r="T72" s="231">
        <f t="shared" ca="1" si="84"/>
        <v>12410.471377405178</v>
      </c>
      <c r="U72" s="231">
        <f t="shared" ca="1" si="85"/>
        <v>20445.19463854756</v>
      </c>
      <c r="V72" s="231"/>
      <c r="W72" s="231">
        <f t="shared" ca="1" si="86"/>
        <v>49964.739432490685</v>
      </c>
      <c r="X72" s="231">
        <f t="shared" ca="1" si="87"/>
        <v>6245.5924290613357</v>
      </c>
      <c r="Y72" s="231"/>
      <c r="Z72" s="232">
        <f t="shared" ca="1" si="56"/>
        <v>2082455.1424175091</v>
      </c>
      <c r="AA72" s="231">
        <f t="shared" ca="1" si="57"/>
        <v>2287.7699585839832</v>
      </c>
      <c r="AB72" s="231">
        <f t="shared" ca="1" si="88"/>
        <v>40347.71201504732</v>
      </c>
      <c r="AC72" s="231">
        <f t="shared" ca="1" si="89"/>
        <v>217074.63865006756</v>
      </c>
      <c r="AD72" s="231">
        <f t="shared" ca="1" si="90"/>
        <v>7537.313842016234</v>
      </c>
      <c r="AE72" s="231">
        <f t="shared" ca="1" si="58"/>
        <v>154930.93857249367</v>
      </c>
      <c r="AF72" s="231">
        <f t="shared" ca="1" si="59"/>
        <v>422178.37303820875</v>
      </c>
      <c r="AG72" s="232">
        <f t="shared" ca="1" si="60"/>
        <v>2504633.5154557177</v>
      </c>
      <c r="AH72" s="244">
        <f t="shared" ca="1" si="91"/>
        <v>10.171138532584122</v>
      </c>
      <c r="AI72" s="243">
        <f t="shared" ca="1" si="92"/>
        <v>12.274746410603175</v>
      </c>
      <c r="AJ72" s="242">
        <f t="shared" ca="1" si="93"/>
        <v>22.445884943187295</v>
      </c>
      <c r="AK72" s="241">
        <f t="shared" ca="1" si="94"/>
        <v>7.3232197434605677</v>
      </c>
      <c r="AL72" s="243">
        <f t="shared" ca="1" si="95"/>
        <v>5.4377126598972065</v>
      </c>
      <c r="AM72" s="243"/>
      <c r="AN72" s="242">
        <f t="shared" ca="1" si="61"/>
        <v>12.760932403357774</v>
      </c>
      <c r="AO72" s="224"/>
      <c r="AP72" s="235">
        <f t="shared" si="96"/>
        <v>5.0769230769230766</v>
      </c>
      <c r="AQ72" s="235">
        <f t="shared" si="62"/>
        <v>0.8606496523304501</v>
      </c>
      <c r="AR72" s="235">
        <f t="shared" si="63"/>
        <v>0.9271978179335254</v>
      </c>
      <c r="AT72" s="230">
        <f t="shared" ca="1" si="64"/>
        <v>1715609.6742076483</v>
      </c>
      <c r="AU72" s="231">
        <f t="shared" ca="1" si="65"/>
        <v>10681.067876220768</v>
      </c>
      <c r="AV72" s="231">
        <f t="shared" ca="1" si="97"/>
        <v>17596.149657494341</v>
      </c>
      <c r="AW72" s="231"/>
      <c r="AX72" s="231">
        <f t="shared" ca="1" si="98"/>
        <v>43002.135621354639</v>
      </c>
      <c r="AY72" s="231">
        <f t="shared" ca="1" si="99"/>
        <v>5375.2669526693298</v>
      </c>
      <c r="AZ72" s="231"/>
      <c r="BA72" s="232">
        <f t="shared" ca="1" si="66"/>
        <v>1792264.2943153873</v>
      </c>
      <c r="BB72" s="231">
        <f t="shared" ca="1" si="67"/>
        <v>1968.9684194673534</v>
      </c>
      <c r="BC72" s="231">
        <f t="shared" ca="1" si="100"/>
        <v>34725.244318079604</v>
      </c>
      <c r="BD72" s="231">
        <f t="shared" ca="1" si="101"/>
        <v>186825.21228393872</v>
      </c>
      <c r="BE72" s="231">
        <f t="shared" ca="1" si="102"/>
        <v>6486.9865376367607</v>
      </c>
      <c r="BF72" s="231">
        <f t="shared" ca="1" si="68"/>
        <v>133341.25841764701</v>
      </c>
      <c r="BG72" s="231">
        <f t="shared" ca="1" si="69"/>
        <v>363347.66997676942</v>
      </c>
      <c r="BH72" s="232">
        <f t="shared" ca="1" si="70"/>
        <v>2155611.9642921565</v>
      </c>
      <c r="BI72" s="244">
        <f t="shared" ca="1" si="103"/>
        <v>9.4306574533115963</v>
      </c>
      <c r="BJ72" s="243">
        <f t="shared" ca="1" si="104"/>
        <v>11.381118087598637</v>
      </c>
      <c r="BK72" s="242">
        <f t="shared" ca="1" si="105"/>
        <v>20.811775540910233</v>
      </c>
      <c r="BL72" s="241">
        <f t="shared" ca="1" si="106"/>
        <v>6.79007336638435</v>
      </c>
      <c r="BM72" s="243">
        <f t="shared" ca="1" si="107"/>
        <v>5.0418353128061959</v>
      </c>
      <c r="BN72" s="243">
        <f t="shared" si="71"/>
        <v>0</v>
      </c>
      <c r="BO72" s="242">
        <f t="shared" ca="1" si="72"/>
        <v>11.831908679190546</v>
      </c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</row>
    <row r="73" spans="1:80" ht="12" customHeight="1" x14ac:dyDescent="0.15">
      <c r="A73" s="213">
        <f t="shared" si="73"/>
        <v>67</v>
      </c>
      <c r="B73" s="67">
        <f t="shared" si="74"/>
        <v>268</v>
      </c>
      <c r="C73" s="224">
        <f t="shared" si="75"/>
        <v>61.846153846153854</v>
      </c>
      <c r="D73" s="225">
        <f ca="1">IFERROR(OFFSET(extrapolation!P82,0,OS_dist_choice-1,1,1),0)</f>
        <v>0.28482608628487649</v>
      </c>
      <c r="E73" s="225">
        <f ca="1">IFERROR(OFFSET(extrapolation!D82,0,PFS_dist_choice-1,1,1),0)</f>
        <v>0.12775854390368968</v>
      </c>
      <c r="F73" s="214"/>
      <c r="G73" s="226">
        <f t="shared" ca="1" si="76"/>
        <v>127.75854390368968</v>
      </c>
      <c r="H73" s="224">
        <f t="shared" ca="1" si="77"/>
        <v>157.06754238118685</v>
      </c>
      <c r="I73" s="224">
        <f t="shared" ca="1" si="54"/>
        <v>715.17391371512349</v>
      </c>
      <c r="J73" s="227">
        <f t="shared" ca="1" si="55"/>
        <v>1000</v>
      </c>
      <c r="K73" s="238">
        <f t="shared" ca="1" si="78"/>
        <v>3.2469098132539216</v>
      </c>
      <c r="L73" s="239">
        <f t="shared" ca="1" si="79"/>
        <v>5.2686596549037858</v>
      </c>
      <c r="M73" s="238">
        <f t="shared" ca="1" si="80"/>
        <v>129.38199881031665</v>
      </c>
      <c r="N73" s="238">
        <f t="shared" ca="1" si="81"/>
        <v>158.07841730201176</v>
      </c>
      <c r="O73" s="239">
        <f t="shared" ca="1" si="82"/>
        <v>712.5395838876716</v>
      </c>
      <c r="P73" s="217"/>
      <c r="Q73" s="217"/>
      <c r="R73" s="224"/>
      <c r="S73" s="230">
        <f t="shared" ca="1" si="83"/>
        <v>1943983.9129912076</v>
      </c>
      <c r="T73" s="231">
        <f t="shared" ca="1" si="84"/>
        <v>12102.883562095836</v>
      </c>
      <c r="U73" s="231">
        <f t="shared" ca="1" si="85"/>
        <v>19937.162234008676</v>
      </c>
      <c r="V73" s="231"/>
      <c r="W73" s="231">
        <f t="shared" ca="1" si="86"/>
        <v>48723.190639984285</v>
      </c>
      <c r="X73" s="231">
        <f t="shared" ca="1" si="87"/>
        <v>6090.3988299980356</v>
      </c>
      <c r="Y73" s="231"/>
      <c r="Z73" s="232">
        <f t="shared" ca="1" si="56"/>
        <v>2030837.5482572946</v>
      </c>
      <c r="AA73" s="231">
        <f t="shared" ca="1" si="57"/>
        <v>2219.4670100604735</v>
      </c>
      <c r="AB73" s="231">
        <f t="shared" ca="1" si="88"/>
        <v>39833.34424649203</v>
      </c>
      <c r="AC73" s="231">
        <f t="shared" ca="1" si="89"/>
        <v>214307.28972453889</v>
      </c>
      <c r="AD73" s="231">
        <f t="shared" ca="1" si="90"/>
        <v>7441.2253376575991</v>
      </c>
      <c r="AE73" s="231">
        <f t="shared" ca="1" si="58"/>
        <v>150949.83828914806</v>
      </c>
      <c r="AF73" s="231">
        <f t="shared" ca="1" si="59"/>
        <v>414751.16460789705</v>
      </c>
      <c r="AG73" s="232">
        <f t="shared" ca="1" si="60"/>
        <v>2445588.7128651915</v>
      </c>
      <c r="AH73" s="244">
        <f t="shared" ca="1" si="91"/>
        <v>9.9184010039394011</v>
      </c>
      <c r="AI73" s="243">
        <f t="shared" ca="1" si="92"/>
        <v>12.11826333868947</v>
      </c>
      <c r="AJ73" s="242">
        <f t="shared" ca="1" si="93"/>
        <v>22.036664342628871</v>
      </c>
      <c r="AK73" s="241">
        <f t="shared" ca="1" si="94"/>
        <v>7.1412487228363686</v>
      </c>
      <c r="AL73" s="243">
        <f t="shared" ca="1" si="95"/>
        <v>5.3683906590394352</v>
      </c>
      <c r="AM73" s="243"/>
      <c r="AN73" s="242">
        <f t="shared" ca="1" si="61"/>
        <v>12.509639381875804</v>
      </c>
      <c r="AO73" s="224"/>
      <c r="AP73" s="235">
        <f t="shared" si="96"/>
        <v>5.1538461538461542</v>
      </c>
      <c r="AQ73" s="235">
        <f t="shared" si="62"/>
        <v>0.85869496980063797</v>
      </c>
      <c r="AR73" s="235">
        <f t="shared" si="63"/>
        <v>0.92613652663116131</v>
      </c>
      <c r="AT73" s="230">
        <f t="shared" ca="1" si="64"/>
        <v>1669289.207458911</v>
      </c>
      <c r="AU73" s="231">
        <f t="shared" ca="1" si="65"/>
        <v>10392.685234854522</v>
      </c>
      <c r="AV73" s="231">
        <f t="shared" ca="1" si="97"/>
        <v>17119.9409224425</v>
      </c>
      <c r="AW73" s="231"/>
      <c r="AX73" s="231">
        <f t="shared" ca="1" si="98"/>
        <v>41838.358715192029</v>
      </c>
      <c r="AY73" s="231">
        <f t="shared" ca="1" si="99"/>
        <v>5229.7948393990036</v>
      </c>
      <c r="AZ73" s="231"/>
      <c r="BA73" s="232">
        <f t="shared" ca="1" si="66"/>
        <v>1743869.9871707992</v>
      </c>
      <c r="BB73" s="231">
        <f t="shared" ca="1" si="67"/>
        <v>1905.8451571773905</v>
      </c>
      <c r="BC73" s="231">
        <f t="shared" ca="1" si="100"/>
        <v>34204.692334799889</v>
      </c>
      <c r="BD73" s="231">
        <f t="shared" ca="1" si="101"/>
        <v>184024.5916780695</v>
      </c>
      <c r="BE73" s="231">
        <f t="shared" ca="1" si="102"/>
        <v>6389.7427665996338</v>
      </c>
      <c r="BF73" s="231">
        <f t="shared" ca="1" si="68"/>
        <v>129619.86683111118</v>
      </c>
      <c r="BG73" s="231">
        <f t="shared" ca="1" si="69"/>
        <v>356144.7387677576</v>
      </c>
      <c r="BH73" s="232">
        <f t="shared" ca="1" si="70"/>
        <v>2100014.7259385567</v>
      </c>
      <c r="BI73" s="244">
        <f t="shared" ca="1" si="103"/>
        <v>9.1857934555234593</v>
      </c>
      <c r="BJ73" s="243">
        <f t="shared" ca="1" si="104"/>
        <v>11.223166317295606</v>
      </c>
      <c r="BK73" s="242">
        <f t="shared" ca="1" si="105"/>
        <v>20.408959772819067</v>
      </c>
      <c r="BL73" s="241">
        <f t="shared" ca="1" si="106"/>
        <v>6.6137712879768911</v>
      </c>
      <c r="BM73" s="243">
        <f t="shared" ca="1" si="107"/>
        <v>4.9718626785619531</v>
      </c>
      <c r="BN73" s="243">
        <f t="shared" si="71"/>
        <v>0</v>
      </c>
      <c r="BO73" s="242">
        <f t="shared" ca="1" si="72"/>
        <v>11.585633966538845</v>
      </c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</row>
    <row r="74" spans="1:80" ht="12" customHeight="1" x14ac:dyDescent="0.15">
      <c r="A74" s="213">
        <f t="shared" si="73"/>
        <v>68</v>
      </c>
      <c r="B74" s="67">
        <f t="shared" si="74"/>
        <v>272</v>
      </c>
      <c r="C74" s="224">
        <f t="shared" si="75"/>
        <v>62.769230769230774</v>
      </c>
      <c r="D74" s="225">
        <f ca="1">IFERROR(OFFSET(extrapolation!P83,0,OS_dist_choice-1,1,1),0)</f>
        <v>0.27969219660012357</v>
      </c>
      <c r="E74" s="225">
        <f ca="1">IFERROR(OFFSET(extrapolation!D83,0,PFS_dist_choice-1,1,1),0)</f>
        <v>0.12460800279777362</v>
      </c>
      <c r="F74" s="214"/>
      <c r="G74" s="226">
        <f t="shared" ca="1" si="76"/>
        <v>124.60800279777362</v>
      </c>
      <c r="H74" s="224">
        <f t="shared" ca="1" si="77"/>
        <v>155.08419380234989</v>
      </c>
      <c r="I74" s="224">
        <f t="shared" ca="1" si="54"/>
        <v>720.30780339987643</v>
      </c>
      <c r="J74" s="227">
        <f t="shared" ca="1" si="55"/>
        <v>1000</v>
      </c>
      <c r="K74" s="238">
        <f t="shared" ca="1" si="78"/>
        <v>3.1505411059160622</v>
      </c>
      <c r="L74" s="239">
        <f t="shared" ca="1" si="79"/>
        <v>5.133889684752944</v>
      </c>
      <c r="M74" s="238">
        <f t="shared" ca="1" si="80"/>
        <v>126.18327335073165</v>
      </c>
      <c r="N74" s="238">
        <f t="shared" ca="1" si="81"/>
        <v>156.07586809176837</v>
      </c>
      <c r="O74" s="239">
        <f t="shared" ca="1" si="82"/>
        <v>717.74085855749991</v>
      </c>
      <c r="P74" s="217"/>
      <c r="Q74" s="217"/>
      <c r="R74" s="224"/>
      <c r="S74" s="230">
        <f t="shared" ca="1" si="83"/>
        <v>1896045.0351676205</v>
      </c>
      <c r="T74" s="231">
        <f t="shared" ca="1" si="84"/>
        <v>11804.424993319071</v>
      </c>
      <c r="U74" s="231">
        <f t="shared" ca="1" si="85"/>
        <v>19444.253568072108</v>
      </c>
      <c r="V74" s="231"/>
      <c r="W74" s="231">
        <f t="shared" ca="1" si="86"/>
        <v>47518.60181151193</v>
      </c>
      <c r="X74" s="231">
        <f t="shared" ca="1" si="87"/>
        <v>5939.8252264389912</v>
      </c>
      <c r="Y74" s="231"/>
      <c r="Z74" s="232">
        <f t="shared" ca="1" si="56"/>
        <v>1980752.1407669624</v>
      </c>
      <c r="AA74" s="231">
        <f t="shared" ca="1" si="57"/>
        <v>2153.5929393162041</v>
      </c>
      <c r="AB74" s="231">
        <f t="shared" ca="1" si="88"/>
        <v>39328.732463153086</v>
      </c>
      <c r="AC74" s="231">
        <f t="shared" ca="1" si="89"/>
        <v>211592.42895409383</v>
      </c>
      <c r="AD74" s="231">
        <f t="shared" ca="1" si="90"/>
        <v>7346.9593386838123</v>
      </c>
      <c r="AE74" s="231">
        <f t="shared" ca="1" si="58"/>
        <v>147088.60857741896</v>
      </c>
      <c r="AF74" s="231">
        <f t="shared" ca="1" si="59"/>
        <v>407510.32227266592</v>
      </c>
      <c r="AG74" s="232">
        <f t="shared" ca="1" si="60"/>
        <v>2388262.4630396282</v>
      </c>
      <c r="AH74" s="244">
        <f t="shared" ca="1" si="91"/>
        <v>9.6731872794537619</v>
      </c>
      <c r="AI74" s="243">
        <f t="shared" ca="1" si="92"/>
        <v>11.964748272606473</v>
      </c>
      <c r="AJ74" s="242">
        <f t="shared" ca="1" si="93"/>
        <v>21.637935552060235</v>
      </c>
      <c r="AK74" s="241">
        <f t="shared" ca="1" si="94"/>
        <v>6.9646948412067085</v>
      </c>
      <c r="AL74" s="243">
        <f t="shared" ca="1" si="95"/>
        <v>5.3003834847646676</v>
      </c>
      <c r="AM74" s="243"/>
      <c r="AN74" s="242">
        <f t="shared" ca="1" si="61"/>
        <v>12.265078325971377</v>
      </c>
      <c r="AO74" s="224"/>
      <c r="AP74" s="235">
        <f t="shared" si="96"/>
        <v>5.2307692307692308</v>
      </c>
      <c r="AQ74" s="235">
        <f t="shared" si="62"/>
        <v>0.85674472668909774</v>
      </c>
      <c r="AR74" s="235">
        <f t="shared" si="63"/>
        <v>0.92507645010649275</v>
      </c>
      <c r="AT74" s="230">
        <f t="shared" ca="1" si="64"/>
        <v>1624426.5854449037</v>
      </c>
      <c r="AU74" s="231">
        <f t="shared" ca="1" si="65"/>
        <v>10113.378864623102</v>
      </c>
      <c r="AV74" s="231">
        <f t="shared" ca="1" si="97"/>
        <v>16658.761708851453</v>
      </c>
      <c r="AW74" s="231"/>
      <c r="AX74" s="231">
        <f t="shared" ca="1" si="98"/>
        <v>40711.311521651849</v>
      </c>
      <c r="AY74" s="231">
        <f t="shared" ca="1" si="99"/>
        <v>5088.9139402064811</v>
      </c>
      <c r="AZ74" s="231"/>
      <c r="BA74" s="232">
        <f t="shared" ca="1" si="66"/>
        <v>1696998.9514802364</v>
      </c>
      <c r="BB74" s="231">
        <f t="shared" ca="1" si="67"/>
        <v>1845.0793941940319</v>
      </c>
      <c r="BC74" s="231">
        <f t="shared" ca="1" si="100"/>
        <v>33694.684145172738</v>
      </c>
      <c r="BD74" s="231">
        <f t="shared" ca="1" si="101"/>
        <v>181280.69771375746</v>
      </c>
      <c r="BE74" s="231">
        <f t="shared" ca="1" si="102"/>
        <v>6294.4686706165767</v>
      </c>
      <c r="BF74" s="231">
        <f t="shared" ca="1" si="68"/>
        <v>126017.38975474048</v>
      </c>
      <c r="BG74" s="231">
        <f t="shared" ca="1" si="69"/>
        <v>349132.31967848132</v>
      </c>
      <c r="BH74" s="232">
        <f t="shared" ca="1" si="70"/>
        <v>2046131.2711587176</v>
      </c>
      <c r="BI74" s="244">
        <f t="shared" ca="1" si="103"/>
        <v>8.9484377496923688</v>
      </c>
      <c r="BJ74" s="243">
        <f t="shared" ca="1" si="104"/>
        <v>11.068306858440588</v>
      </c>
      <c r="BK74" s="242">
        <f t="shared" ca="1" si="105"/>
        <v>20.016744608132957</v>
      </c>
      <c r="BL74" s="241">
        <f t="shared" ca="1" si="106"/>
        <v>6.4428751797785049</v>
      </c>
      <c r="BM74" s="243">
        <f t="shared" ca="1" si="107"/>
        <v>4.9032599382891799</v>
      </c>
      <c r="BN74" s="243">
        <f t="shared" si="71"/>
        <v>0</v>
      </c>
      <c r="BO74" s="242">
        <f t="shared" ca="1" si="72"/>
        <v>11.346135118067686</v>
      </c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</row>
    <row r="75" spans="1:80" ht="12" customHeight="1" x14ac:dyDescent="0.15">
      <c r="A75" s="213">
        <f t="shared" si="73"/>
        <v>69</v>
      </c>
      <c r="B75" s="67">
        <f t="shared" si="74"/>
        <v>276</v>
      </c>
      <c r="C75" s="224">
        <f t="shared" si="75"/>
        <v>63.692307692307693</v>
      </c>
      <c r="D75" s="225">
        <f ca="1">IFERROR(OFFSET(extrapolation!P84,0,OS_dist_choice-1,1,1),0)</f>
        <v>0.27468901546014651</v>
      </c>
      <c r="E75" s="225">
        <f ca="1">IFERROR(OFFSET(extrapolation!D84,0,PFS_dist_choice-1,1,1),0)</f>
        <v>0.12155042608983746</v>
      </c>
      <c r="F75" s="214"/>
      <c r="G75" s="226">
        <f t="shared" ca="1" si="76"/>
        <v>121.55042608983746</v>
      </c>
      <c r="H75" s="224">
        <f t="shared" ca="1" si="77"/>
        <v>153.13858937030909</v>
      </c>
      <c r="I75" s="224">
        <f t="shared" ca="1" si="54"/>
        <v>725.31098453985351</v>
      </c>
      <c r="J75" s="227">
        <f t="shared" ca="1" si="55"/>
        <v>1000</v>
      </c>
      <c r="K75" s="238">
        <f t="shared" ca="1" si="78"/>
        <v>3.057576707936164</v>
      </c>
      <c r="L75" s="239">
        <f t="shared" ca="1" si="79"/>
        <v>5.0031811399770731</v>
      </c>
      <c r="M75" s="238">
        <f t="shared" ca="1" si="80"/>
        <v>123.07921444380554</v>
      </c>
      <c r="N75" s="238">
        <f t="shared" ca="1" si="81"/>
        <v>154.11139158632949</v>
      </c>
      <c r="O75" s="239">
        <f t="shared" ca="1" si="82"/>
        <v>722.80939396986491</v>
      </c>
      <c r="P75" s="217"/>
      <c r="Q75" s="217"/>
      <c r="R75" s="224"/>
      <c r="S75" s="230">
        <f t="shared" ca="1" si="83"/>
        <v>1849520.7108340145</v>
      </c>
      <c r="T75" s="231">
        <f t="shared" ca="1" si="84"/>
        <v>11514.773172410529</v>
      </c>
      <c r="U75" s="231">
        <f t="shared" ca="1" si="85"/>
        <v>18965.932576123028</v>
      </c>
      <c r="V75" s="231"/>
      <c r="W75" s="231">
        <f t="shared" ca="1" si="86"/>
        <v>46349.662892106069</v>
      </c>
      <c r="X75" s="231">
        <f t="shared" ca="1" si="87"/>
        <v>5793.7078615132586</v>
      </c>
      <c r="Y75" s="231"/>
      <c r="Z75" s="232">
        <f t="shared" ca="1" si="56"/>
        <v>1932144.7873361672</v>
      </c>
      <c r="AA75" s="231">
        <f t="shared" ca="1" si="57"/>
        <v>2090.0459280674563</v>
      </c>
      <c r="AB75" s="231">
        <f t="shared" ca="1" si="88"/>
        <v>38833.714419318603</v>
      </c>
      <c r="AC75" s="231">
        <f t="shared" ca="1" si="89"/>
        <v>208929.18344092672</v>
      </c>
      <c r="AD75" s="231">
        <f t="shared" ca="1" si="90"/>
        <v>7254.4855361432883</v>
      </c>
      <c r="AE75" s="231">
        <f t="shared" ca="1" si="58"/>
        <v>143343.74081421783</v>
      </c>
      <c r="AF75" s="231">
        <f t="shared" ca="1" si="59"/>
        <v>400451.17013867392</v>
      </c>
      <c r="AG75" s="232">
        <f t="shared" ca="1" si="60"/>
        <v>2332595.9574748413</v>
      </c>
      <c r="AH75" s="244">
        <f t="shared" ca="1" si="91"/>
        <v>9.4352306760480626</v>
      </c>
      <c r="AI75" s="243">
        <f t="shared" ca="1" si="92"/>
        <v>11.814151853298359</v>
      </c>
      <c r="AJ75" s="242">
        <f t="shared" ca="1" si="93"/>
        <v>21.24938252934642</v>
      </c>
      <c r="AK75" s="241">
        <f t="shared" ca="1" si="94"/>
        <v>6.7933660867546051</v>
      </c>
      <c r="AL75" s="243">
        <f t="shared" ca="1" si="95"/>
        <v>5.2336692710111734</v>
      </c>
      <c r="AM75" s="243"/>
      <c r="AN75" s="242">
        <f t="shared" ca="1" si="61"/>
        <v>12.027035357765779</v>
      </c>
      <c r="AO75" s="224"/>
      <c r="AP75" s="235">
        <f t="shared" si="96"/>
        <v>5.3076923076923075</v>
      </c>
      <c r="AQ75" s="235">
        <f t="shared" si="62"/>
        <v>0.85479891291315158</v>
      </c>
      <c r="AR75" s="235">
        <f t="shared" si="63"/>
        <v>0.924017586969058</v>
      </c>
      <c r="AT75" s="230">
        <f t="shared" ca="1" si="64"/>
        <v>1580968.293031275</v>
      </c>
      <c r="AU75" s="231">
        <f t="shared" ca="1" si="65"/>
        <v>9842.8155902180424</v>
      </c>
      <c r="AV75" s="231">
        <f t="shared" ca="1" si="97"/>
        <v>16212.058548454093</v>
      </c>
      <c r="AW75" s="231"/>
      <c r="AX75" s="231">
        <f t="shared" ca="1" si="98"/>
        <v>39619.641454063312</v>
      </c>
      <c r="AY75" s="231">
        <f t="shared" ca="1" si="99"/>
        <v>4952.455181757914</v>
      </c>
      <c r="AZ75" s="231"/>
      <c r="BA75" s="232">
        <f t="shared" ca="1" si="66"/>
        <v>1651595.2638057682</v>
      </c>
      <c r="BB75" s="231">
        <f t="shared" ca="1" si="67"/>
        <v>1786.5689872506207</v>
      </c>
      <c r="BC75" s="231">
        <f t="shared" ca="1" si="100"/>
        <v>33195.016870013322</v>
      </c>
      <c r="BD75" s="231">
        <f t="shared" ca="1" si="101"/>
        <v>178592.43888113659</v>
      </c>
      <c r="BE75" s="231">
        <f t="shared" ca="1" si="102"/>
        <v>6201.1263500394643</v>
      </c>
      <c r="BF75" s="231">
        <f t="shared" ca="1" si="68"/>
        <v>122530.07382089796</v>
      </c>
      <c r="BG75" s="231">
        <f t="shared" ca="1" si="69"/>
        <v>342305.22490933799</v>
      </c>
      <c r="BH75" s="232">
        <f t="shared" ca="1" si="70"/>
        <v>1993900.4887151062</v>
      </c>
      <c r="BI75" s="244">
        <f t="shared" ca="1" si="103"/>
        <v>8.7183190817783647</v>
      </c>
      <c r="BJ75" s="243">
        <f t="shared" ca="1" si="104"/>
        <v>10.916484087570774</v>
      </c>
      <c r="BK75" s="242">
        <f t="shared" ca="1" si="105"/>
        <v>19.634803169349137</v>
      </c>
      <c r="BL75" s="241">
        <f t="shared" ca="1" si="106"/>
        <v>6.2771897388804225</v>
      </c>
      <c r="BM75" s="243">
        <f t="shared" ca="1" si="107"/>
        <v>4.8360024507938535</v>
      </c>
      <c r="BN75" s="243">
        <f t="shared" si="71"/>
        <v>0</v>
      </c>
      <c r="BO75" s="242">
        <f t="shared" ca="1" si="72"/>
        <v>11.113192189674276</v>
      </c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7"/>
      <c r="CA75" s="67"/>
      <c r="CB75" s="67"/>
    </row>
    <row r="76" spans="1:80" ht="12" customHeight="1" x14ac:dyDescent="0.15">
      <c r="A76" s="213">
        <f t="shared" si="73"/>
        <v>70</v>
      </c>
      <c r="B76" s="67">
        <f t="shared" si="74"/>
        <v>280</v>
      </c>
      <c r="C76" s="224">
        <f t="shared" si="75"/>
        <v>64.615384615384613</v>
      </c>
      <c r="D76" s="225">
        <f ca="1">IFERROR(OFFSET(extrapolation!P85,0,OS_dist_choice-1,1,1),0)</f>
        <v>0.26981260226118375</v>
      </c>
      <c r="E76" s="225">
        <f ca="1">IFERROR(OFFSET(extrapolation!D85,0,PFS_dist_choice-1,1,1),0)</f>
        <v>0.11858255116162131</v>
      </c>
      <c r="F76" s="214"/>
      <c r="G76" s="226">
        <f t="shared" ca="1" si="76"/>
        <v>118.58255116162131</v>
      </c>
      <c r="H76" s="224">
        <f t="shared" ca="1" si="77"/>
        <v>151.2300510995625</v>
      </c>
      <c r="I76" s="224">
        <f t="shared" ca="1" si="54"/>
        <v>730.18739773881623</v>
      </c>
      <c r="J76" s="227">
        <f t="shared" ca="1" si="55"/>
        <v>1000</v>
      </c>
      <c r="K76" s="238">
        <f t="shared" ca="1" si="78"/>
        <v>2.9678749282161476</v>
      </c>
      <c r="L76" s="239">
        <f t="shared" ca="1" si="79"/>
        <v>4.8764131989627231</v>
      </c>
      <c r="M76" s="238">
        <f t="shared" ca="1" si="80"/>
        <v>120.06648862572939</v>
      </c>
      <c r="N76" s="238">
        <f t="shared" ca="1" si="81"/>
        <v>152.1843202349358</v>
      </c>
      <c r="O76" s="239">
        <f t="shared" ca="1" si="82"/>
        <v>727.74919113933493</v>
      </c>
      <c r="P76" s="217"/>
      <c r="Q76" s="217"/>
      <c r="R76" s="224"/>
      <c r="S76" s="230">
        <f t="shared" ca="1" si="83"/>
        <v>1804361.2957378982</v>
      </c>
      <c r="T76" s="231">
        <f t="shared" ca="1" si="84"/>
        <v>11233.61902345481</v>
      </c>
      <c r="U76" s="231">
        <f t="shared" ca="1" si="85"/>
        <v>18501.685586944644</v>
      </c>
      <c r="V76" s="231"/>
      <c r="W76" s="231">
        <f t="shared" ca="1" si="86"/>
        <v>45215.118552631677</v>
      </c>
      <c r="X76" s="231">
        <f t="shared" ca="1" si="87"/>
        <v>5651.8898190789596</v>
      </c>
      <c r="Y76" s="231"/>
      <c r="Z76" s="232">
        <f t="shared" ca="1" si="56"/>
        <v>1884963.6087200083</v>
      </c>
      <c r="AA76" s="231">
        <f t="shared" ca="1" si="57"/>
        <v>2028.7291215397233</v>
      </c>
      <c r="AB76" s="231">
        <f t="shared" ca="1" si="88"/>
        <v>38348.12190240364</v>
      </c>
      <c r="AC76" s="231">
        <f t="shared" ca="1" si="89"/>
        <v>206316.64818487104</v>
      </c>
      <c r="AD76" s="231">
        <f t="shared" ca="1" si="90"/>
        <v>7163.7725064191327</v>
      </c>
      <c r="AE76" s="231">
        <f t="shared" ca="1" si="58"/>
        <v>139711.77339750418</v>
      </c>
      <c r="AF76" s="231">
        <f t="shared" ca="1" si="59"/>
        <v>393569.04511273769</v>
      </c>
      <c r="AG76" s="232">
        <f t="shared" ca="1" si="60"/>
        <v>2278532.6538327457</v>
      </c>
      <c r="AH76" s="244">
        <f t="shared" ca="1" si="91"/>
        <v>9.204275650979941</v>
      </c>
      <c r="AI76" s="243">
        <f t="shared" ca="1" si="92"/>
        <v>11.666422906442717</v>
      </c>
      <c r="AJ76" s="242">
        <f t="shared" ca="1" si="93"/>
        <v>20.870698557422656</v>
      </c>
      <c r="AK76" s="241">
        <f t="shared" ca="1" si="94"/>
        <v>6.6270784687055571</v>
      </c>
      <c r="AL76" s="243">
        <f t="shared" ca="1" si="95"/>
        <v>5.1682253475541238</v>
      </c>
      <c r="AM76" s="243"/>
      <c r="AN76" s="242">
        <f t="shared" ca="1" si="61"/>
        <v>11.795303816259681</v>
      </c>
      <c r="AO76" s="224"/>
      <c r="AP76" s="235">
        <f t="shared" si="96"/>
        <v>5.384615384615385</v>
      </c>
      <c r="AQ76" s="235">
        <f t="shared" si="62"/>
        <v>0.85285751841302093</v>
      </c>
      <c r="AR76" s="235">
        <f t="shared" si="63"/>
        <v>0.92295993582998692</v>
      </c>
      <c r="AT76" s="230">
        <f t="shared" ca="1" si="64"/>
        <v>1538863.0970035268</v>
      </c>
      <c r="AU76" s="231">
        <f t="shared" ca="1" si="65"/>
        <v>9580.6764431409738</v>
      </c>
      <c r="AV76" s="231">
        <f t="shared" ca="1" si="97"/>
        <v>15779.301656139565</v>
      </c>
      <c r="AW76" s="231"/>
      <c r="AX76" s="231">
        <f t="shared" ca="1" si="98"/>
        <v>38562.053803547991</v>
      </c>
      <c r="AY76" s="231">
        <f t="shared" ca="1" si="99"/>
        <v>4820.2567254434989</v>
      </c>
      <c r="AZ76" s="231"/>
      <c r="BA76" s="232">
        <f t="shared" ca="1" si="66"/>
        <v>1607605.3856317988</v>
      </c>
      <c r="BB76" s="231">
        <f t="shared" ca="1" si="67"/>
        <v>1730.2168841285963</v>
      </c>
      <c r="BC76" s="231">
        <f t="shared" ca="1" si="100"/>
        <v>32705.484081483984</v>
      </c>
      <c r="BD76" s="231">
        <f t="shared" ca="1" si="101"/>
        <v>175958.70457824142</v>
      </c>
      <c r="BE76" s="231">
        <f t="shared" ca="1" si="102"/>
        <v>6109.6772423000484</v>
      </c>
      <c r="BF76" s="231">
        <f t="shared" ca="1" si="68"/>
        <v>119154.23635287772</v>
      </c>
      <c r="BG76" s="231">
        <f t="shared" ca="1" si="69"/>
        <v>335658.31913903175</v>
      </c>
      <c r="BH76" s="232">
        <f t="shared" ca="1" si="70"/>
        <v>1943263.7047708305</v>
      </c>
      <c r="BI76" s="244">
        <f t="shared" ca="1" si="103"/>
        <v>8.4951776641899581</v>
      </c>
      <c r="BJ76" s="243">
        <f t="shared" ca="1" si="104"/>
        <v>10.767640937095861</v>
      </c>
      <c r="BK76" s="242">
        <f t="shared" ca="1" si="105"/>
        <v>19.262818601285815</v>
      </c>
      <c r="BL76" s="241">
        <f t="shared" ca="1" si="106"/>
        <v>6.1165279182167689</v>
      </c>
      <c r="BM76" s="243">
        <f t="shared" ca="1" si="107"/>
        <v>4.7700649351334663</v>
      </c>
      <c r="BN76" s="243">
        <f t="shared" si="71"/>
        <v>0</v>
      </c>
      <c r="BO76" s="242">
        <f t="shared" ca="1" si="72"/>
        <v>10.886592853350235</v>
      </c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7"/>
      <c r="CA76" s="67"/>
      <c r="CB76" s="67"/>
    </row>
    <row r="77" spans="1:80" ht="12" customHeight="1" x14ac:dyDescent="0.15">
      <c r="A77" s="213">
        <f t="shared" si="73"/>
        <v>71</v>
      </c>
      <c r="B77" s="67">
        <f t="shared" si="74"/>
        <v>284</v>
      </c>
      <c r="C77" s="224">
        <f t="shared" si="75"/>
        <v>65.538461538461547</v>
      </c>
      <c r="D77" s="225">
        <f ca="1">IFERROR(OFFSET(extrapolation!P86,0,OS_dist_choice-1,1,1),0)</f>
        <v>0.26505913531275521</v>
      </c>
      <c r="E77" s="225">
        <f ca="1">IFERROR(OFFSET(extrapolation!D86,0,PFS_dist_choice-1,1,1),0)</f>
        <v>0.11570125022981825</v>
      </c>
      <c r="F77" s="214"/>
      <c r="G77" s="226">
        <f t="shared" ca="1" si="76"/>
        <v>115.70125022981826</v>
      </c>
      <c r="H77" s="224">
        <f t="shared" ca="1" si="77"/>
        <v>149.35788508293695</v>
      </c>
      <c r="I77" s="224">
        <f t="shared" ca="1" si="54"/>
        <v>734.94086468724481</v>
      </c>
      <c r="J77" s="227">
        <f t="shared" ca="1" si="55"/>
        <v>1000</v>
      </c>
      <c r="K77" s="238">
        <f t="shared" ca="1" si="78"/>
        <v>2.8813009318030538</v>
      </c>
      <c r="L77" s="239">
        <f t="shared" ca="1" si="79"/>
        <v>4.7534669484285814</v>
      </c>
      <c r="M77" s="238">
        <f t="shared" ca="1" si="80"/>
        <v>117.14190069571978</v>
      </c>
      <c r="N77" s="238">
        <f t="shared" ca="1" si="81"/>
        <v>150.29396809124972</v>
      </c>
      <c r="O77" s="239">
        <f t="shared" ca="1" si="82"/>
        <v>732.56413121303058</v>
      </c>
      <c r="P77" s="217"/>
      <c r="Q77" s="217"/>
      <c r="R77" s="224"/>
      <c r="S77" s="230">
        <f t="shared" ca="1" si="83"/>
        <v>1760519.1972858827</v>
      </c>
      <c r="T77" s="231">
        <f t="shared" ca="1" si="84"/>
        <v>10960.666243785854</v>
      </c>
      <c r="U77" s="231">
        <f t="shared" ca="1" si="85"/>
        <v>18051.02023500717</v>
      </c>
      <c r="V77" s="231"/>
      <c r="W77" s="231">
        <f t="shared" ca="1" si="86"/>
        <v>44113.765531596939</v>
      </c>
      <c r="X77" s="231">
        <f t="shared" ca="1" si="87"/>
        <v>5514.2206914496173</v>
      </c>
      <c r="Y77" s="231"/>
      <c r="Z77" s="232">
        <f t="shared" ca="1" si="56"/>
        <v>1839158.8699877223</v>
      </c>
      <c r="AA77" s="231">
        <f t="shared" ca="1" si="57"/>
        <v>1969.5503515647752</v>
      </c>
      <c r="AB77" s="231">
        <f t="shared" ca="1" si="88"/>
        <v>37871.782064418796</v>
      </c>
      <c r="AC77" s="231">
        <f t="shared" ca="1" si="89"/>
        <v>203753.89324683067</v>
      </c>
      <c r="AD77" s="231">
        <f t="shared" ca="1" si="90"/>
        <v>7074.787959959398</v>
      </c>
      <c r="AE77" s="231">
        <f t="shared" ca="1" si="58"/>
        <v>136189.29939994536</v>
      </c>
      <c r="AF77" s="231">
        <f t="shared" ca="1" si="59"/>
        <v>386859.313022719</v>
      </c>
      <c r="AG77" s="232">
        <f t="shared" ca="1" si="60"/>
        <v>2226018.1830104413</v>
      </c>
      <c r="AH77" s="244">
        <f t="shared" ca="1" si="91"/>
        <v>8.9800772607259525</v>
      </c>
      <c r="AI77" s="243">
        <f t="shared" ca="1" si="92"/>
        <v>11.521508847515378</v>
      </c>
      <c r="AJ77" s="242">
        <f t="shared" ca="1" si="93"/>
        <v>20.50158610824133</v>
      </c>
      <c r="AK77" s="241">
        <f t="shared" ca="1" si="94"/>
        <v>6.4656556277226853</v>
      </c>
      <c r="AL77" s="243">
        <f t="shared" ca="1" si="95"/>
        <v>5.1040284194493122</v>
      </c>
      <c r="AM77" s="243"/>
      <c r="AN77" s="242">
        <f t="shared" ca="1" si="61"/>
        <v>11.569684047171997</v>
      </c>
      <c r="AO77" s="224"/>
      <c r="AP77" s="235">
        <f t="shared" si="96"/>
        <v>5.4615384615384617</v>
      </c>
      <c r="AQ77" s="235">
        <f t="shared" si="62"/>
        <v>0.85092053315177441</v>
      </c>
      <c r="AR77" s="235">
        <f t="shared" si="63"/>
        <v>0.921903495301999</v>
      </c>
      <c r="AT77" s="230">
        <f t="shared" ca="1" si="64"/>
        <v>1498061.9339784372</v>
      </c>
      <c r="AU77" s="231">
        <f t="shared" ca="1" si="65"/>
        <v>9326.655963860916</v>
      </c>
      <c r="AV77" s="231">
        <f t="shared" ca="1" si="97"/>
        <v>15359.98376230577</v>
      </c>
      <c r="AW77" s="231"/>
      <c r="AX77" s="231">
        <f t="shared" ca="1" si="98"/>
        <v>37537.308885478837</v>
      </c>
      <c r="AY77" s="231">
        <f t="shared" ca="1" si="99"/>
        <v>4692.1636106848546</v>
      </c>
      <c r="AZ77" s="231"/>
      <c r="BA77" s="232">
        <f t="shared" ca="1" si="66"/>
        <v>1564978.0462007676</v>
      </c>
      <c r="BB77" s="231">
        <f t="shared" ca="1" si="67"/>
        <v>1675.9308352227631</v>
      </c>
      <c r="BC77" s="231">
        <f t="shared" ca="1" si="100"/>
        <v>32225.87698566305</v>
      </c>
      <c r="BD77" s="231">
        <f t="shared" ca="1" si="101"/>
        <v>173378.37147334288</v>
      </c>
      <c r="BE77" s="231">
        <f t="shared" ca="1" si="102"/>
        <v>6020.0823428244057</v>
      </c>
      <c r="BF77" s="231">
        <f t="shared" ca="1" si="68"/>
        <v>115886.27125496813</v>
      </c>
      <c r="BG77" s="231">
        <f t="shared" ca="1" si="69"/>
        <v>329186.53289202123</v>
      </c>
      <c r="BH77" s="232">
        <f t="shared" ca="1" si="70"/>
        <v>1894164.5790927887</v>
      </c>
      <c r="BI77" s="244">
        <f t="shared" ca="1" si="103"/>
        <v>8.2787646147452563</v>
      </c>
      <c r="BJ77" s="243">
        <f t="shared" ca="1" si="104"/>
        <v>10.621719277677332</v>
      </c>
      <c r="BK77" s="242">
        <f t="shared" ca="1" si="105"/>
        <v>18.900483892422589</v>
      </c>
      <c r="BL77" s="241">
        <f t="shared" ca="1" si="106"/>
        <v>5.9607105226165844</v>
      </c>
      <c r="BM77" s="243">
        <f t="shared" ca="1" si="107"/>
        <v>4.7054216400110587</v>
      </c>
      <c r="BN77" s="243">
        <f t="shared" si="71"/>
        <v>0</v>
      </c>
      <c r="BO77" s="242">
        <f t="shared" ca="1" si="72"/>
        <v>10.666132162627642</v>
      </c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7"/>
      <c r="CA77" s="67"/>
      <c r="CB77" s="67"/>
    </row>
    <row r="78" spans="1:80" ht="12" customHeight="1" x14ac:dyDescent="0.15">
      <c r="A78" s="213">
        <f t="shared" si="73"/>
        <v>72</v>
      </c>
      <c r="B78" s="67">
        <f t="shared" si="74"/>
        <v>288</v>
      </c>
      <c r="C78" s="224">
        <f t="shared" si="75"/>
        <v>66.461538461538453</v>
      </c>
      <c r="D78" s="225">
        <f ca="1">IFERROR(OFFSET(extrapolation!P87,0,OS_dist_choice-1,1,1),0)</f>
        <v>0.26042490970844412</v>
      </c>
      <c r="E78" s="225">
        <f ca="1">IFERROR(OFFSET(extrapolation!D87,0,PFS_dist_choice-1,1,1),0)</f>
        <v>0.11290352386961944</v>
      </c>
      <c r="F78" s="214"/>
      <c r="G78" s="226">
        <f t="shared" ca="1" si="76"/>
        <v>112.90352386961943</v>
      </c>
      <c r="H78" s="224">
        <f t="shared" ca="1" si="77"/>
        <v>147.5213858388247</v>
      </c>
      <c r="I78" s="224">
        <f t="shared" ca="1" si="54"/>
        <v>739.57509029155585</v>
      </c>
      <c r="J78" s="227">
        <f t="shared" ca="1" si="55"/>
        <v>1000</v>
      </c>
      <c r="K78" s="238">
        <f t="shared" ca="1" si="78"/>
        <v>2.7977263601988227</v>
      </c>
      <c r="L78" s="239">
        <f t="shared" ca="1" si="79"/>
        <v>4.634225604311041</v>
      </c>
      <c r="M78" s="238">
        <f t="shared" ca="1" si="80"/>
        <v>114.30238704971885</v>
      </c>
      <c r="N78" s="238">
        <f t="shared" ca="1" si="81"/>
        <v>148.43963546088082</v>
      </c>
      <c r="O78" s="239">
        <f t="shared" ca="1" si="82"/>
        <v>737.25797748940033</v>
      </c>
      <c r="P78" s="217"/>
      <c r="Q78" s="217"/>
      <c r="R78" s="224"/>
      <c r="S78" s="230">
        <f t="shared" ca="1" si="83"/>
        <v>1717948.7759974408</v>
      </c>
      <c r="T78" s="231">
        <f t="shared" ca="1" si="84"/>
        <v>10695.630690456299</v>
      </c>
      <c r="U78" s="231">
        <f t="shared" ca="1" si="85"/>
        <v>17613.464433222107</v>
      </c>
      <c r="V78" s="231"/>
      <c r="W78" s="231">
        <f t="shared" ca="1" si="86"/>
        <v>43044.450124731324</v>
      </c>
      <c r="X78" s="231">
        <f t="shared" ca="1" si="87"/>
        <v>5380.5562655914155</v>
      </c>
      <c r="Y78" s="231"/>
      <c r="Z78" s="232">
        <f t="shared" ca="1" si="56"/>
        <v>1794682.8775114419</v>
      </c>
      <c r="AA78" s="231">
        <f t="shared" ca="1" si="57"/>
        <v>1912.4218770385191</v>
      </c>
      <c r="AB78" s="231">
        <f t="shared" ca="1" si="88"/>
        <v>37404.518593075525</v>
      </c>
      <c r="AC78" s="231">
        <f t="shared" ca="1" si="89"/>
        <v>201239.97004944127</v>
      </c>
      <c r="AD78" s="231">
        <f t="shared" ca="1" si="90"/>
        <v>6987.498960050043</v>
      </c>
      <c r="AE78" s="231">
        <f t="shared" ca="1" si="58"/>
        <v>132772.97289740303</v>
      </c>
      <c r="AF78" s="231">
        <f t="shared" ca="1" si="59"/>
        <v>380317.38237700844</v>
      </c>
      <c r="AG78" s="232">
        <f t="shared" ca="1" si="60"/>
        <v>2175000.2598884506</v>
      </c>
      <c r="AH78" s="244">
        <f t="shared" ca="1" si="91"/>
        <v>8.7624006499442242</v>
      </c>
      <c r="AI78" s="243">
        <f t="shared" ca="1" si="92"/>
        <v>11.379356038068893</v>
      </c>
      <c r="AJ78" s="242">
        <f t="shared" ca="1" si="93"/>
        <v>20.141756688013118</v>
      </c>
      <c r="AK78" s="241">
        <f t="shared" ca="1" si="94"/>
        <v>6.3089284679598414</v>
      </c>
      <c r="AL78" s="243">
        <f t="shared" ca="1" si="95"/>
        <v>5.0410547248645194</v>
      </c>
      <c r="AM78" s="243"/>
      <c r="AN78" s="242">
        <f t="shared" ca="1" si="61"/>
        <v>11.349983192824361</v>
      </c>
      <c r="AO78" s="224"/>
      <c r="AP78" s="235">
        <f t="shared" si="96"/>
        <v>5.5384615384615383</v>
      </c>
      <c r="AQ78" s="235">
        <f t="shared" si="62"/>
        <v>0.84898794711527692</v>
      </c>
      <c r="AR78" s="235">
        <f t="shared" si="63"/>
        <v>0.92084826399940223</v>
      </c>
      <c r="AT78" s="230">
        <f t="shared" ca="1" si="64"/>
        <v>1458517.8045832699</v>
      </c>
      <c r="AU78" s="231">
        <f t="shared" ca="1" si="65"/>
        <v>9080.4615429936457</v>
      </c>
      <c r="AV78" s="231">
        <f t="shared" ca="1" si="97"/>
        <v>14953.61901074918</v>
      </c>
      <c r="AW78" s="231"/>
      <c r="AX78" s="231">
        <f t="shared" ca="1" si="98"/>
        <v>36544.21934610157</v>
      </c>
      <c r="AY78" s="231">
        <f t="shared" ca="1" si="99"/>
        <v>4568.0274182626963</v>
      </c>
      <c r="AZ78" s="231"/>
      <c r="BA78" s="232">
        <f t="shared" ca="1" si="66"/>
        <v>1523664.1319013771</v>
      </c>
      <c r="BB78" s="231">
        <f t="shared" ca="1" si="67"/>
        <v>1623.6231234052768</v>
      </c>
      <c r="BC78" s="231">
        <f t="shared" ca="1" si="100"/>
        <v>31755.985453170397</v>
      </c>
      <c r="BD78" s="231">
        <f t="shared" ca="1" si="101"/>
        <v>170850.30904981497</v>
      </c>
      <c r="BE78" s="231">
        <f t="shared" ca="1" si="102"/>
        <v>5932.3023975630185</v>
      </c>
      <c r="BF78" s="231">
        <f t="shared" ca="1" si="68"/>
        <v>112722.6536925585</v>
      </c>
      <c r="BG78" s="231">
        <f t="shared" ca="1" si="69"/>
        <v>322884.87371651217</v>
      </c>
      <c r="BH78" s="232">
        <f t="shared" ca="1" si="70"/>
        <v>1846549.0056178896</v>
      </c>
      <c r="BI78" s="244">
        <f t="shared" ca="1" si="103"/>
        <v>8.0688414269683726</v>
      </c>
      <c r="BJ78" s="243">
        <f t="shared" ca="1" si="104"/>
        <v>10.478660253086856</v>
      </c>
      <c r="BK78" s="242">
        <f t="shared" ca="1" si="105"/>
        <v>18.54750168005523</v>
      </c>
      <c r="BL78" s="241">
        <f t="shared" ca="1" si="106"/>
        <v>5.8095658274172282</v>
      </c>
      <c r="BM78" s="243">
        <f t="shared" ca="1" si="107"/>
        <v>4.6420464921174771</v>
      </c>
      <c r="BN78" s="243">
        <f t="shared" si="71"/>
        <v>0</v>
      </c>
      <c r="BO78" s="242">
        <f t="shared" ca="1" si="72"/>
        <v>10.451612319534705</v>
      </c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7"/>
      <c r="CA78" s="67"/>
      <c r="CB78" s="67"/>
    </row>
    <row r="79" spans="1:80" ht="12" customHeight="1" x14ac:dyDescent="0.15">
      <c r="A79" s="213">
        <f t="shared" si="73"/>
        <v>73</v>
      </c>
      <c r="B79" s="67">
        <f t="shared" si="74"/>
        <v>292</v>
      </c>
      <c r="C79" s="224">
        <f t="shared" si="75"/>
        <v>67.384615384615387</v>
      </c>
      <c r="D79" s="225">
        <f ca="1">IFERROR(OFFSET(extrapolation!P88,0,OS_dist_choice-1,1,1),0)</f>
        <v>0.25590633501647814</v>
      </c>
      <c r="E79" s="225">
        <f ca="1">IFERROR(OFFSET(extrapolation!D88,0,PFS_dist_choice-1,1,1),0)</f>
        <v>0.11018649489429677</v>
      </c>
      <c r="F79" s="214"/>
      <c r="G79" s="226">
        <f t="shared" ca="1" si="76"/>
        <v>110.18649489429677</v>
      </c>
      <c r="H79" s="224">
        <f t="shared" ca="1" si="77"/>
        <v>145.71984012218138</v>
      </c>
      <c r="I79" s="224">
        <f t="shared" ca="1" si="54"/>
        <v>744.09366498352188</v>
      </c>
      <c r="J79" s="227">
        <f t="shared" ca="1" si="55"/>
        <v>1000</v>
      </c>
      <c r="K79" s="238">
        <f t="shared" ca="1" si="78"/>
        <v>2.7170289753226626</v>
      </c>
      <c r="L79" s="239">
        <f t="shared" ca="1" si="79"/>
        <v>4.5185746919660232</v>
      </c>
      <c r="M79" s="238">
        <f t="shared" ca="1" si="80"/>
        <v>111.5450093819581</v>
      </c>
      <c r="N79" s="238">
        <f t="shared" ca="1" si="81"/>
        <v>146.62061298050304</v>
      </c>
      <c r="O79" s="239">
        <f t="shared" ca="1" si="82"/>
        <v>741.83437763753886</v>
      </c>
      <c r="P79" s="217"/>
      <c r="Q79" s="217"/>
      <c r="R79" s="224"/>
      <c r="S79" s="230">
        <f t="shared" ca="1" si="83"/>
        <v>1676606.2523761638</v>
      </c>
      <c r="T79" s="231">
        <f t="shared" ca="1" si="84"/>
        <v>10438.239800435196</v>
      </c>
      <c r="U79" s="231">
        <f t="shared" ca="1" si="85"/>
        <v>17188.565402382625</v>
      </c>
      <c r="V79" s="231"/>
      <c r="W79" s="231">
        <f t="shared" ca="1" si="86"/>
        <v>42006.065813095309</v>
      </c>
      <c r="X79" s="231">
        <f t="shared" ca="1" si="87"/>
        <v>5250.7582266369136</v>
      </c>
      <c r="Y79" s="231"/>
      <c r="Z79" s="232">
        <f t="shared" ca="1" si="56"/>
        <v>1751489.881618714</v>
      </c>
      <c r="AA79" s="231">
        <f t="shared" ca="1" si="57"/>
        <v>1857.2601405468922</v>
      </c>
      <c r="AB79" s="231">
        <f t="shared" ca="1" si="88"/>
        <v>36946.152739661367</v>
      </c>
      <c r="AC79" s="231">
        <f t="shared" ca="1" si="89"/>
        <v>198773.91690713915</v>
      </c>
      <c r="AD79" s="231">
        <f t="shared" ca="1" si="90"/>
        <v>6901.8721148312197</v>
      </c>
      <c r="AE79" s="231">
        <f t="shared" ca="1" si="58"/>
        <v>129459.51413180893</v>
      </c>
      <c r="AF79" s="231">
        <f t="shared" ca="1" si="59"/>
        <v>373938.71603398758</v>
      </c>
      <c r="AG79" s="232">
        <f t="shared" ca="1" si="60"/>
        <v>2125428.5976527017</v>
      </c>
      <c r="AH79" s="244">
        <f t="shared" ca="1" si="91"/>
        <v>8.5510205686374441</v>
      </c>
      <c r="AI79" s="243">
        <f t="shared" ca="1" si="92"/>
        <v>11.239910098436921</v>
      </c>
      <c r="AJ79" s="242">
        <f t="shared" ca="1" si="93"/>
        <v>19.790930667074363</v>
      </c>
      <c r="AK79" s="241">
        <f t="shared" ca="1" si="94"/>
        <v>6.1567348094189596</v>
      </c>
      <c r="AL79" s="243">
        <f t="shared" ca="1" si="95"/>
        <v>4.979280173607556</v>
      </c>
      <c r="AM79" s="243"/>
      <c r="AN79" s="242">
        <f t="shared" ca="1" si="61"/>
        <v>11.136014983026516</v>
      </c>
      <c r="AO79" s="224"/>
      <c r="AP79" s="235">
        <f t="shared" si="96"/>
        <v>5.615384615384615</v>
      </c>
      <c r="AQ79" s="235">
        <f t="shared" si="62"/>
        <v>0.84705975031213687</v>
      </c>
      <c r="AR79" s="235">
        <f t="shared" si="63"/>
        <v>0.91979424053808989</v>
      </c>
      <c r="AT79" s="230">
        <f t="shared" ca="1" si="64"/>
        <v>1420185.6735095209</v>
      </c>
      <c r="AU79" s="231">
        <f t="shared" ca="1" si="65"/>
        <v>8841.8127990548473</v>
      </c>
      <c r="AV79" s="231">
        <f t="shared" ca="1" si="97"/>
        <v>14559.741917966061</v>
      </c>
      <c r="AW79" s="231"/>
      <c r="AX79" s="231">
        <f t="shared" ca="1" si="98"/>
        <v>35581.6476192357</v>
      </c>
      <c r="AY79" s="231">
        <f t="shared" ca="1" si="99"/>
        <v>4447.7059524044626</v>
      </c>
      <c r="AZ79" s="231"/>
      <c r="BA79" s="232">
        <f t="shared" ca="1" si="66"/>
        <v>1483616.5817981821</v>
      </c>
      <c r="BB79" s="231">
        <f t="shared" ca="1" si="67"/>
        <v>1573.2103109163347</v>
      </c>
      <c r="BC79" s="231">
        <f t="shared" ca="1" si="100"/>
        <v>31295.598914651629</v>
      </c>
      <c r="BD79" s="231">
        <f t="shared" ca="1" si="101"/>
        <v>168373.38442392673</v>
      </c>
      <c r="BE79" s="231">
        <f t="shared" ca="1" si="102"/>
        <v>5846.2980702752329</v>
      </c>
      <c r="BF79" s="231">
        <f t="shared" ca="1" si="68"/>
        <v>109659.94371602063</v>
      </c>
      <c r="BG79" s="231">
        <f t="shared" ca="1" si="69"/>
        <v>316748.43543579057</v>
      </c>
      <c r="BH79" s="232">
        <f t="shared" ca="1" si="70"/>
        <v>1800365.0172339727</v>
      </c>
      <c r="BI79" s="244">
        <f t="shared" ca="1" si="103"/>
        <v>7.8651794697554633</v>
      </c>
      <c r="BJ79" s="243">
        <f t="shared" ca="1" si="104"/>
        <v>10.338404572708194</v>
      </c>
      <c r="BK79" s="242">
        <f t="shared" ca="1" si="105"/>
        <v>18.203584042463657</v>
      </c>
      <c r="BL79" s="241">
        <f t="shared" ca="1" si="106"/>
        <v>5.6629292182239332</v>
      </c>
      <c r="BM79" s="243">
        <f t="shared" ca="1" si="107"/>
        <v>4.5799132257097304</v>
      </c>
      <c r="BN79" s="243">
        <f t="shared" si="71"/>
        <v>0</v>
      </c>
      <c r="BO79" s="242">
        <f t="shared" ca="1" si="72"/>
        <v>10.242842443933664</v>
      </c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7"/>
      <c r="CA79" s="67"/>
      <c r="CB79" s="67"/>
    </row>
    <row r="80" spans="1:80" ht="12" customHeight="1" x14ac:dyDescent="0.15">
      <c r="A80" s="213">
        <f t="shared" si="73"/>
        <v>74</v>
      </c>
      <c r="B80" s="67">
        <f t="shared" si="74"/>
        <v>296</v>
      </c>
      <c r="C80" s="224">
        <f t="shared" si="75"/>
        <v>68.307692307692307</v>
      </c>
      <c r="D80" s="225">
        <f ca="1">IFERROR(OFFSET(extrapolation!P89,0,OS_dist_choice-1,1,1),0)</f>
        <v>0.25149993282579997</v>
      </c>
      <c r="E80" s="225">
        <f ca="1">IFERROR(OFFSET(extrapolation!D89,0,PFS_dist_choice-1,1,1),0)</f>
        <v>0.10754740256881123</v>
      </c>
      <c r="F80" s="214"/>
      <c r="G80" s="226">
        <f t="shared" ca="1" si="76"/>
        <v>107.54740256881124</v>
      </c>
      <c r="H80" s="224">
        <f t="shared" ca="1" si="77"/>
        <v>143.95253025698878</v>
      </c>
      <c r="I80" s="224">
        <f t="shared" ca="1" si="54"/>
        <v>748.50006717420001</v>
      </c>
      <c r="J80" s="227">
        <f t="shared" ca="1" si="55"/>
        <v>1000</v>
      </c>
      <c r="K80" s="238">
        <f t="shared" ca="1" si="78"/>
        <v>2.6390923254855352</v>
      </c>
      <c r="L80" s="239">
        <f t="shared" ca="1" si="79"/>
        <v>4.4064021906781363</v>
      </c>
      <c r="M80" s="238">
        <f t="shared" ca="1" si="80"/>
        <v>108.866948731554</v>
      </c>
      <c r="N80" s="238">
        <f t="shared" ca="1" si="81"/>
        <v>144.83618518958508</v>
      </c>
      <c r="O80" s="239">
        <f t="shared" ca="1" si="82"/>
        <v>746.29686607886094</v>
      </c>
      <c r="P80" s="217"/>
      <c r="Q80" s="217"/>
      <c r="R80" s="224"/>
      <c r="S80" s="230">
        <f t="shared" ca="1" si="83"/>
        <v>1636449.6188635752</v>
      </c>
      <c r="T80" s="231">
        <f t="shared" ca="1" si="84"/>
        <v>10188.232042448768</v>
      </c>
      <c r="U80" s="231">
        <f t="shared" ca="1" si="85"/>
        <v>16775.888753771724</v>
      </c>
      <c r="V80" s="231"/>
      <c r="W80" s="231">
        <f t="shared" ca="1" si="86"/>
        <v>40997.551021123531</v>
      </c>
      <c r="X80" s="231">
        <f t="shared" ca="1" si="87"/>
        <v>5124.6938776404413</v>
      </c>
      <c r="Y80" s="231"/>
      <c r="Z80" s="232">
        <f t="shared" ca="1" si="56"/>
        <v>1709535.9845585597</v>
      </c>
      <c r="AA80" s="231">
        <f t="shared" ca="1" si="57"/>
        <v>1803.9855400384204</v>
      </c>
      <c r="AB80" s="231">
        <f t="shared" ca="1" si="88"/>
        <v>36496.504219061346</v>
      </c>
      <c r="AC80" s="231">
        <f t="shared" ca="1" si="89"/>
        <v>196354.76386836497</v>
      </c>
      <c r="AD80" s="231">
        <f t="shared" ca="1" si="90"/>
        <v>6817.8737454293387</v>
      </c>
      <c r="AE80" s="231">
        <f t="shared" ca="1" si="58"/>
        <v>126245.71365142755</v>
      </c>
      <c r="AF80" s="231">
        <f t="shared" ca="1" si="59"/>
        <v>367718.84102432162</v>
      </c>
      <c r="AG80" s="232">
        <f t="shared" ca="1" si="60"/>
        <v>2077254.8255828815</v>
      </c>
      <c r="AH80" s="244">
        <f t="shared" ca="1" si="91"/>
        <v>8.3457209157659467</v>
      </c>
      <c r="AI80" s="243">
        <f t="shared" ca="1" si="92"/>
        <v>11.103116181542456</v>
      </c>
      <c r="AJ80" s="242">
        <f t="shared" ca="1" si="93"/>
        <v>19.448837097308402</v>
      </c>
      <c r="AK80" s="241">
        <f t="shared" ca="1" si="94"/>
        <v>6.0089190593514816</v>
      </c>
      <c r="AL80" s="243">
        <f t="shared" ca="1" si="95"/>
        <v>4.9186804684233083</v>
      </c>
      <c r="AM80" s="243"/>
      <c r="AN80" s="242">
        <f t="shared" ca="1" si="61"/>
        <v>10.92759952777479</v>
      </c>
      <c r="AO80" s="224"/>
      <c r="AP80" s="235">
        <f t="shared" si="96"/>
        <v>5.6923076923076925</v>
      </c>
      <c r="AQ80" s="235">
        <f t="shared" si="62"/>
        <v>0.84513593277365417</v>
      </c>
      <c r="AR80" s="235">
        <f t="shared" si="63"/>
        <v>0.91874142353554</v>
      </c>
      <c r="AT80" s="230">
        <f t="shared" ca="1" si="64"/>
        <v>1383022.3750753584</v>
      </c>
      <c r="AU80" s="231">
        <f t="shared" ca="1" si="65"/>
        <v>8610.4409905093707</v>
      </c>
      <c r="AV80" s="231">
        <f t="shared" ca="1" si="97"/>
        <v>14177.906390025921</v>
      </c>
      <c r="AW80" s="231"/>
      <c r="AX80" s="231">
        <f t="shared" ca="1" si="98"/>
        <v>34648.503523672713</v>
      </c>
      <c r="AY80" s="231">
        <f t="shared" ca="1" si="99"/>
        <v>4331.0629404590891</v>
      </c>
      <c r="AZ80" s="231"/>
      <c r="BA80" s="232">
        <f t="shared" ca="1" si="66"/>
        <v>1444790.2889200256</v>
      </c>
      <c r="BB80" s="231">
        <f t="shared" ca="1" si="67"/>
        <v>1524.6130020905546</v>
      </c>
      <c r="BC80" s="231">
        <f t="shared" ca="1" si="100"/>
        <v>30844.507136154014</v>
      </c>
      <c r="BD80" s="231">
        <f t="shared" ca="1" si="101"/>
        <v>165946.46651644123</v>
      </c>
      <c r="BE80" s="231">
        <f t="shared" ca="1" si="102"/>
        <v>5762.0300873764318</v>
      </c>
      <c r="BF80" s="231">
        <f t="shared" ca="1" si="68"/>
        <v>106694.78896547487</v>
      </c>
      <c r="BG80" s="231">
        <f t="shared" ca="1" si="69"/>
        <v>310772.40570753708</v>
      </c>
      <c r="BH80" s="232">
        <f t="shared" ca="1" si="70"/>
        <v>1755562.6946275628</v>
      </c>
      <c r="BI80" s="244">
        <f t="shared" ca="1" si="103"/>
        <v>7.6675595145811366</v>
      </c>
      <c r="BJ80" s="243">
        <f t="shared" ca="1" si="104"/>
        <v>10.200892766310805</v>
      </c>
      <c r="BK80" s="242">
        <f t="shared" ca="1" si="105"/>
        <v>17.86845228089194</v>
      </c>
      <c r="BL80" s="241">
        <f t="shared" ca="1" si="106"/>
        <v>5.520642850498418</v>
      </c>
      <c r="BM80" s="243">
        <f t="shared" ca="1" si="107"/>
        <v>4.5189954954756866</v>
      </c>
      <c r="BN80" s="243">
        <f t="shared" si="71"/>
        <v>0</v>
      </c>
      <c r="BO80" s="242">
        <f t="shared" ca="1" si="72"/>
        <v>10.039638345974105</v>
      </c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7"/>
      <c r="CA80" s="67"/>
      <c r="CB80" s="67"/>
    </row>
    <row r="81" spans="1:80" ht="12" customHeight="1" x14ac:dyDescent="0.15">
      <c r="A81" s="213">
        <f t="shared" si="73"/>
        <v>75</v>
      </c>
      <c r="B81" s="67">
        <f t="shared" si="74"/>
        <v>300</v>
      </c>
      <c r="C81" s="224">
        <f t="shared" si="75"/>
        <v>69.230769230769226</v>
      </c>
      <c r="D81" s="225">
        <f ca="1">IFERROR(OFFSET(extrapolation!P90,0,OS_dist_choice-1,1,1),0)</f>
        <v>0.24720233417889229</v>
      </c>
      <c r="E81" s="225">
        <f ca="1">IFERROR(OFFSET(extrapolation!D90,0,PFS_dist_choice-1,1,1),0)</f>
        <v>0.10498359713691718</v>
      </c>
      <c r="F81" s="214"/>
      <c r="G81" s="226">
        <f t="shared" ca="1" si="76"/>
        <v>104.98359713691718</v>
      </c>
      <c r="H81" s="224">
        <f t="shared" ca="1" si="77"/>
        <v>142.21873704197503</v>
      </c>
      <c r="I81" s="224">
        <f t="shared" ca="1" si="54"/>
        <v>752.79766582110778</v>
      </c>
      <c r="J81" s="227">
        <f t="shared" ca="1" si="55"/>
        <v>1000</v>
      </c>
      <c r="K81" s="238">
        <f t="shared" ca="1" si="78"/>
        <v>2.5638054318940533</v>
      </c>
      <c r="L81" s="239">
        <f t="shared" ca="1" si="79"/>
        <v>4.2975986469077725</v>
      </c>
      <c r="M81" s="238">
        <f t="shared" ca="1" si="80"/>
        <v>106.26549985286421</v>
      </c>
      <c r="N81" s="238">
        <f t="shared" ca="1" si="81"/>
        <v>143.08563364948191</v>
      </c>
      <c r="O81" s="239">
        <f t="shared" ca="1" si="82"/>
        <v>750.6488664976539</v>
      </c>
      <c r="P81" s="217"/>
      <c r="Q81" s="217"/>
      <c r="R81" s="224"/>
      <c r="S81" s="230">
        <f t="shared" ca="1" si="83"/>
        <v>1597438.5565631259</v>
      </c>
      <c r="T81" s="231">
        <f t="shared" ca="1" si="84"/>
        <v>9945.356398519436</v>
      </c>
      <c r="U81" s="231">
        <f t="shared" ca="1" si="85"/>
        <v>16375.017621660392</v>
      </c>
      <c r="V81" s="231"/>
      <c r="W81" s="231">
        <f t="shared" ca="1" si="86"/>
        <v>40017.886996591013</v>
      </c>
      <c r="X81" s="231">
        <f t="shared" ca="1" si="87"/>
        <v>5002.2358745738766</v>
      </c>
      <c r="Y81" s="231"/>
      <c r="Z81" s="232">
        <f t="shared" ca="1" si="56"/>
        <v>1668779.0534544706</v>
      </c>
      <c r="AA81" s="231">
        <f t="shared" ca="1" si="57"/>
        <v>1752.522214529921</v>
      </c>
      <c r="AB81" s="231">
        <f t="shared" ca="1" si="88"/>
        <v>36055.391995721366</v>
      </c>
      <c r="AC81" s="231">
        <f t="shared" ca="1" si="89"/>
        <v>193981.53694412339</v>
      </c>
      <c r="AD81" s="231">
        <f t="shared" ca="1" si="90"/>
        <v>6735.4700327820619</v>
      </c>
      <c r="AE81" s="231">
        <f t="shared" ca="1" si="58"/>
        <v>123128.43555544422</v>
      </c>
      <c r="AF81" s="231">
        <f t="shared" ca="1" si="59"/>
        <v>361653.35674260097</v>
      </c>
      <c r="AG81" s="232">
        <f t="shared" ca="1" si="60"/>
        <v>2030432.4101970715</v>
      </c>
      <c r="AH81" s="244">
        <f t="shared" ca="1" si="91"/>
        <v>8.146294307680213</v>
      </c>
      <c r="AI81" s="243">
        <f t="shared" ca="1" si="92"/>
        <v>10.968919212006826</v>
      </c>
      <c r="AJ81" s="242">
        <f t="shared" ca="1" si="93"/>
        <v>19.115213519687039</v>
      </c>
      <c r="AK81" s="241">
        <f t="shared" ca="1" si="94"/>
        <v>5.8653319015297534</v>
      </c>
      <c r="AL81" s="243">
        <f t="shared" ca="1" si="95"/>
        <v>4.8592312109190239</v>
      </c>
      <c r="AM81" s="243"/>
      <c r="AN81" s="242">
        <f t="shared" ca="1" si="61"/>
        <v>10.724563112448777</v>
      </c>
      <c r="AO81" s="224"/>
      <c r="AP81" s="235">
        <f t="shared" si="96"/>
        <v>5.7692307692307692</v>
      </c>
      <c r="AQ81" s="235">
        <f t="shared" si="62"/>
        <v>0.84321648455377063</v>
      </c>
      <c r="AR81" s="235">
        <f t="shared" si="63"/>
        <v>0.91768981161081298</v>
      </c>
      <c r="AT81" s="230">
        <f t="shared" ca="1" si="64"/>
        <v>1346986.5239558087</v>
      </c>
      <c r="AU81" s="231">
        <f t="shared" ca="1" si="65"/>
        <v>8386.0884599939072</v>
      </c>
      <c r="AV81" s="231">
        <f t="shared" ca="1" si="97"/>
        <v>13807.684793442522</v>
      </c>
      <c r="AW81" s="231"/>
      <c r="AX81" s="231">
        <f t="shared" ca="1" si="98"/>
        <v>33743.741992535521</v>
      </c>
      <c r="AY81" s="231">
        <f t="shared" ca="1" si="99"/>
        <v>4217.9677490669401</v>
      </c>
      <c r="AZ81" s="231"/>
      <c r="BA81" s="232">
        <f t="shared" ca="1" si="66"/>
        <v>1407142.0069508476</v>
      </c>
      <c r="BB81" s="231">
        <f t="shared" ca="1" si="67"/>
        <v>1477.7556208383091</v>
      </c>
      <c r="BC81" s="231">
        <f t="shared" ca="1" si="100"/>
        <v>30402.500887840331</v>
      </c>
      <c r="BD81" s="231">
        <f t="shared" ca="1" si="101"/>
        <v>163568.4296503611</v>
      </c>
      <c r="BE81" s="231">
        <f t="shared" ca="1" si="102"/>
        <v>5679.4593628597604</v>
      </c>
      <c r="BF81" s="231">
        <f t="shared" ca="1" si="68"/>
        <v>103823.92657766717</v>
      </c>
      <c r="BG81" s="231">
        <f t="shared" ca="1" si="69"/>
        <v>304952.07209956669</v>
      </c>
      <c r="BH81" s="232">
        <f t="shared" ca="1" si="70"/>
        <v>1712094.0790504143</v>
      </c>
      <c r="BI81" s="244">
        <f t="shared" ca="1" si="103"/>
        <v>7.475771288541293</v>
      </c>
      <c r="BJ81" s="243">
        <f t="shared" ca="1" si="104"/>
        <v>10.066065405240771</v>
      </c>
      <c r="BK81" s="242">
        <f t="shared" ca="1" si="105"/>
        <v>17.541836693782063</v>
      </c>
      <c r="BL81" s="241">
        <f t="shared" ca="1" si="106"/>
        <v>5.3825553277497304</v>
      </c>
      <c r="BM81" s="243">
        <f t="shared" ca="1" si="107"/>
        <v>4.459266974521662</v>
      </c>
      <c r="BN81" s="243">
        <f t="shared" si="71"/>
        <v>0</v>
      </c>
      <c r="BO81" s="242">
        <f t="shared" ca="1" si="72"/>
        <v>9.8418223022713924</v>
      </c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7"/>
      <c r="CA81" s="67"/>
      <c r="CB81" s="67"/>
    </row>
    <row r="82" spans="1:80" ht="12" customHeight="1" x14ac:dyDescent="0.15">
      <c r="A82" s="213">
        <f t="shared" si="73"/>
        <v>76</v>
      </c>
      <c r="B82" s="67">
        <f t="shared" si="74"/>
        <v>304</v>
      </c>
      <c r="C82" s="224">
        <f t="shared" si="75"/>
        <v>70.153846153846146</v>
      </c>
      <c r="D82" s="225">
        <f ca="1">IFERROR(OFFSET(extrapolation!P91,0,OS_dist_choice-1,1,1),0)</f>
        <v>0.24301027691865484</v>
      </c>
      <c r="E82" s="225">
        <f ca="1">IFERROR(OFFSET(extrapolation!D91,0,PFS_dist_choice-1,1,1),0)</f>
        <v>0.1024925346426443</v>
      </c>
      <c r="F82" s="214"/>
      <c r="G82" s="226">
        <f t="shared" ca="1" si="76"/>
        <v>102.4925346426443</v>
      </c>
      <c r="H82" s="224">
        <f t="shared" ca="1" si="77"/>
        <v>140.51774227601061</v>
      </c>
      <c r="I82" s="224">
        <f t="shared" ca="1" si="54"/>
        <v>756.98972308134512</v>
      </c>
      <c r="J82" s="227">
        <f t="shared" ca="1" si="55"/>
        <v>1000</v>
      </c>
      <c r="K82" s="238">
        <f t="shared" ca="1" si="78"/>
        <v>2.4910624942728816</v>
      </c>
      <c r="L82" s="239">
        <f t="shared" ca="1" si="79"/>
        <v>4.192057260237334</v>
      </c>
      <c r="M82" s="238">
        <f t="shared" ca="1" si="80"/>
        <v>103.73806588978074</v>
      </c>
      <c r="N82" s="238">
        <f t="shared" ca="1" si="81"/>
        <v>141.36823965899282</v>
      </c>
      <c r="O82" s="239">
        <f t="shared" ca="1" si="82"/>
        <v>754.89369445122645</v>
      </c>
      <c r="P82" s="217"/>
      <c r="Q82" s="217"/>
      <c r="R82" s="224"/>
      <c r="S82" s="230">
        <f t="shared" ca="1" si="83"/>
        <v>1559534.3564434627</v>
      </c>
      <c r="T82" s="231">
        <f t="shared" ca="1" si="84"/>
        <v>9709.3718733919704</v>
      </c>
      <c r="U82" s="231">
        <f t="shared" ca="1" si="85"/>
        <v>15985.551842641058</v>
      </c>
      <c r="V82" s="231"/>
      <c r="W82" s="231">
        <f t="shared" ca="1" si="86"/>
        <v>39066.095805037192</v>
      </c>
      <c r="X82" s="231">
        <f t="shared" ca="1" si="87"/>
        <v>4883.261975629649</v>
      </c>
      <c r="Y82" s="231"/>
      <c r="Z82" s="232">
        <f t="shared" ca="1" si="56"/>
        <v>1629178.6379401628</v>
      </c>
      <c r="AA82" s="231">
        <f t="shared" ca="1" si="57"/>
        <v>1702.7978428809045</v>
      </c>
      <c r="AB82" s="231">
        <f t="shared" ca="1" si="88"/>
        <v>35622.634967927297</v>
      </c>
      <c r="AC82" s="231">
        <f t="shared" ca="1" si="89"/>
        <v>191653.26178947176</v>
      </c>
      <c r="AD82" s="231">
        <f t="shared" ca="1" si="90"/>
        <v>6654.627145467769</v>
      </c>
      <c r="AE82" s="231">
        <f t="shared" ca="1" si="58"/>
        <v>120104.61995636924</v>
      </c>
      <c r="AF82" s="231">
        <f t="shared" ca="1" si="59"/>
        <v>355737.94170211698</v>
      </c>
      <c r="AG82" s="232">
        <f t="shared" ca="1" si="60"/>
        <v>1984916.5796422798</v>
      </c>
      <c r="AH82" s="244">
        <f t="shared" ca="1" si="91"/>
        <v>7.9525416698531437</v>
      </c>
      <c r="AI82" s="243">
        <f t="shared" ca="1" si="92"/>
        <v>10.837264094323885</v>
      </c>
      <c r="AJ82" s="242">
        <f t="shared" ca="1" si="93"/>
        <v>18.789805764177029</v>
      </c>
      <c r="AK82" s="241">
        <f t="shared" ca="1" si="94"/>
        <v>5.7258300022942636</v>
      </c>
      <c r="AL82" s="243">
        <f t="shared" ca="1" si="95"/>
        <v>4.8009079937854811</v>
      </c>
      <c r="AM82" s="243"/>
      <c r="AN82" s="242">
        <f t="shared" ca="1" si="61"/>
        <v>10.526737996079746</v>
      </c>
      <c r="AO82" s="224"/>
      <c r="AP82" s="235">
        <f t="shared" si="96"/>
        <v>5.8461538461538458</v>
      </c>
      <c r="AQ82" s="235">
        <f t="shared" si="62"/>
        <v>0.84130139572901619</v>
      </c>
      <c r="AR82" s="235">
        <f t="shared" si="63"/>
        <v>0.91663940338454986</v>
      </c>
      <c r="AT82" s="230">
        <f t="shared" ca="1" si="64"/>
        <v>1312038.4307632381</v>
      </c>
      <c r="AU82" s="231">
        <f t="shared" ca="1" si="65"/>
        <v>8168.5081087367171</v>
      </c>
      <c r="AV82" s="231">
        <f t="shared" ca="1" si="97"/>
        <v>13448.667076712469</v>
      </c>
      <c r="AW82" s="231"/>
      <c r="AX82" s="231">
        <f t="shared" ca="1" si="98"/>
        <v>32866.360926461253</v>
      </c>
      <c r="AY82" s="231">
        <f t="shared" ca="1" si="99"/>
        <v>4108.2951158076567</v>
      </c>
      <c r="AZ82" s="231"/>
      <c r="BA82" s="232">
        <f t="shared" ca="1" si="66"/>
        <v>1370630.2619909565</v>
      </c>
      <c r="BB82" s="231">
        <f t="shared" ca="1" si="67"/>
        <v>1432.5662018600628</v>
      </c>
      <c r="BC82" s="231">
        <f t="shared" ca="1" si="100"/>
        <v>29969.372518062493</v>
      </c>
      <c r="BD82" s="231">
        <f t="shared" ca="1" si="101"/>
        <v>161238.1566395011</v>
      </c>
      <c r="BE82" s="231">
        <f t="shared" ca="1" si="102"/>
        <v>5598.5471055382332</v>
      </c>
      <c r="BF82" s="231">
        <f t="shared" ca="1" si="68"/>
        <v>101044.18440279648</v>
      </c>
      <c r="BG82" s="231">
        <f t="shared" ca="1" si="69"/>
        <v>299282.82686775841</v>
      </c>
      <c r="BH82" s="232">
        <f t="shared" ca="1" si="70"/>
        <v>1669913.0888587148</v>
      </c>
      <c r="BI82" s="244">
        <f t="shared" ca="1" si="103"/>
        <v>7.2896130516449578</v>
      </c>
      <c r="BJ82" s="243">
        <f t="shared" ca="1" si="104"/>
        <v>9.9338632937418492</v>
      </c>
      <c r="BK82" s="242">
        <f t="shared" ca="1" si="105"/>
        <v>17.223476345386807</v>
      </c>
      <c r="BL82" s="241">
        <f t="shared" ca="1" si="106"/>
        <v>5.2485213971843692</v>
      </c>
      <c r="BM82" s="243">
        <f t="shared" ca="1" si="107"/>
        <v>4.4007014391276398</v>
      </c>
      <c r="BN82" s="243">
        <f t="shared" si="71"/>
        <v>0</v>
      </c>
      <c r="BO82" s="242">
        <f t="shared" ca="1" si="72"/>
        <v>9.6492228363120098</v>
      </c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</row>
    <row r="83" spans="1:80" ht="12" customHeight="1" x14ac:dyDescent="0.15">
      <c r="A83" s="213">
        <f t="shared" si="73"/>
        <v>77</v>
      </c>
      <c r="B83" s="67">
        <f t="shared" si="74"/>
        <v>308</v>
      </c>
      <c r="C83" s="224">
        <f t="shared" si="75"/>
        <v>71.07692307692308</v>
      </c>
      <c r="D83" s="225">
        <f ca="1">IFERROR(OFFSET(extrapolation!P92,0,OS_dist_choice-1,1,1),0)</f>
        <v>0.23892060297312417</v>
      </c>
      <c r="E83" s="225">
        <f ca="1">IFERROR(OFFSET(extrapolation!D92,0,PFS_dist_choice-1,1,1),0)</f>
        <v>0.10007177202832085</v>
      </c>
      <c r="F83" s="214"/>
      <c r="G83" s="226">
        <f t="shared" ca="1" si="76"/>
        <v>100.07177202832085</v>
      </c>
      <c r="H83" s="224">
        <f t="shared" ca="1" si="77"/>
        <v>138.84883094480324</v>
      </c>
      <c r="I83" s="224">
        <f t="shared" ca="1" si="54"/>
        <v>761.07939702687588</v>
      </c>
      <c r="J83" s="227">
        <f t="shared" ca="1" si="55"/>
        <v>1000</v>
      </c>
      <c r="K83" s="238">
        <f t="shared" ca="1" si="78"/>
        <v>2.4207626143234506</v>
      </c>
      <c r="L83" s="239">
        <f t="shared" ca="1" si="79"/>
        <v>4.0896739455307625</v>
      </c>
      <c r="M83" s="238">
        <f t="shared" ca="1" si="80"/>
        <v>101.28215333548258</v>
      </c>
      <c r="N83" s="238">
        <f t="shared" ca="1" si="81"/>
        <v>139.68328661040692</v>
      </c>
      <c r="O83" s="239">
        <f t="shared" ca="1" si="82"/>
        <v>759.03456005411044</v>
      </c>
      <c r="P83" s="217"/>
      <c r="Q83" s="217"/>
      <c r="R83" s="224"/>
      <c r="S83" s="230">
        <f t="shared" ca="1" si="83"/>
        <v>1522699.8447495687</v>
      </c>
      <c r="T83" s="231">
        <f t="shared" ca="1" si="84"/>
        <v>9480.0470301570804</v>
      </c>
      <c r="U83" s="231">
        <f t="shared" ca="1" si="85"/>
        <v>15607.107178948963</v>
      </c>
      <c r="V83" s="231"/>
      <c r="W83" s="231">
        <f t="shared" ca="1" si="86"/>
        <v>38141.238431689373</v>
      </c>
      <c r="X83" s="231">
        <f t="shared" ca="1" si="87"/>
        <v>4767.6548039611716</v>
      </c>
      <c r="Y83" s="231"/>
      <c r="Z83" s="232">
        <f t="shared" ca="1" si="56"/>
        <v>1590695.8921943256</v>
      </c>
      <c r="AA83" s="231">
        <f t="shared" ca="1" si="57"/>
        <v>1654.7434547602165</v>
      </c>
      <c r="AB83" s="231">
        <f t="shared" ca="1" si="88"/>
        <v>35198.052561492463</v>
      </c>
      <c r="AC83" s="231">
        <f t="shared" ca="1" si="89"/>
        <v>189368.96689761654</v>
      </c>
      <c r="AD83" s="231">
        <f t="shared" ca="1" si="90"/>
        <v>6575.3113506116852</v>
      </c>
      <c r="AE83" s="231">
        <f t="shared" ca="1" si="58"/>
        <v>117171.28476094065</v>
      </c>
      <c r="AF83" s="231">
        <f t="shared" ca="1" si="59"/>
        <v>349968.35902542155</v>
      </c>
      <c r="AG83" s="232">
        <f t="shared" ca="1" si="60"/>
        <v>1940664.2512197471</v>
      </c>
      <c r="AH83" s="243">
        <f t="shared" ca="1" si="91"/>
        <v>7.7642718504955841</v>
      </c>
      <c r="AI83" s="243">
        <f t="shared" ca="1" si="92"/>
        <v>10.708095893474043</v>
      </c>
      <c r="AJ83" s="242">
        <f t="shared" ca="1" si="93"/>
        <v>18.472367743969627</v>
      </c>
      <c r="AK83" s="241">
        <f t="shared" ca="1" si="94"/>
        <v>5.5902757323568206</v>
      </c>
      <c r="AL83" s="243">
        <f t="shared" ca="1" si="95"/>
        <v>4.7436864808090009</v>
      </c>
      <c r="AM83" s="243"/>
      <c r="AN83" s="242">
        <f t="shared" ca="1" si="61"/>
        <v>10.333962213165822</v>
      </c>
      <c r="AO83" s="224"/>
      <c r="AP83" s="235">
        <f t="shared" si="96"/>
        <v>5.9230769230769234</v>
      </c>
      <c r="AQ83" s="235">
        <f t="shared" si="62"/>
        <v>0.839390656398459</v>
      </c>
      <c r="AR83" s="235">
        <f t="shared" si="63"/>
        <v>0.91559019747897041</v>
      </c>
      <c r="AT83" s="230">
        <f t="shared" ca="1" si="64"/>
        <v>1278140.0221821722</v>
      </c>
      <c r="AU83" s="231">
        <f t="shared" ca="1" si="65"/>
        <v>7957.4628993318138</v>
      </c>
      <c r="AV83" s="231">
        <f t="shared" ca="1" si="97"/>
        <v>13100.459939419072</v>
      </c>
      <c r="AW83" s="231"/>
      <c r="AX83" s="231">
        <f t="shared" ca="1" si="98"/>
        <v>32015.399163025875</v>
      </c>
      <c r="AY83" s="231">
        <f t="shared" ca="1" si="99"/>
        <v>4001.9248953782344</v>
      </c>
      <c r="AZ83" s="231"/>
      <c r="BA83" s="232">
        <f t="shared" ca="1" si="66"/>
        <v>1335215.2690793274</v>
      </c>
      <c r="BB83" s="231">
        <f t="shared" ca="1" si="67"/>
        <v>1388.9761946622318</v>
      </c>
      <c r="BC83" s="231">
        <f t="shared" ca="1" si="100"/>
        <v>29544.916443538619</v>
      </c>
      <c r="BD83" s="231">
        <f t="shared" ca="1" si="101"/>
        <v>158954.5414256884</v>
      </c>
      <c r="BE83" s="231">
        <f t="shared" ca="1" si="102"/>
        <v>5519.2549106141805</v>
      </c>
      <c r="BF83" s="231">
        <f t="shared" ca="1" si="68"/>
        <v>98352.481626536726</v>
      </c>
      <c r="BG83" s="231">
        <f t="shared" ca="1" si="69"/>
        <v>293760.17060104018</v>
      </c>
      <c r="BH83" s="232">
        <f t="shared" ca="1" si="70"/>
        <v>1628975.4396803675</v>
      </c>
      <c r="BI83" s="243">
        <f t="shared" ca="1" si="103"/>
        <v>7.1088911968756632</v>
      </c>
      <c r="BJ83" s="243">
        <f t="shared" ca="1" si="104"/>
        <v>9.804227633729651</v>
      </c>
      <c r="BK83" s="242">
        <f t="shared" ca="1" si="105"/>
        <v>16.913118830605313</v>
      </c>
      <c r="BL83" s="241">
        <f t="shared" ca="1" si="106"/>
        <v>5.1184016617504771</v>
      </c>
      <c r="BM83" s="243">
        <f t="shared" ca="1" si="107"/>
        <v>4.3432728417422357</v>
      </c>
      <c r="BN83" s="243">
        <f t="shared" si="71"/>
        <v>0</v>
      </c>
      <c r="BO83" s="242">
        <f t="shared" ca="1" si="72"/>
        <v>9.4616745034927128</v>
      </c>
      <c r="BP83" s="67"/>
      <c r="BQ83" s="67"/>
      <c r="BR83" s="67"/>
      <c r="BS83" s="67"/>
      <c r="BT83" s="67"/>
      <c r="BU83" s="67"/>
      <c r="BV83" s="67"/>
      <c r="BW83" s="67"/>
      <c r="BX83" s="67"/>
      <c r="BY83" s="67"/>
      <c r="BZ83" s="67"/>
      <c r="CA83" s="67"/>
      <c r="CB83" s="67"/>
    </row>
    <row r="84" spans="1:80" ht="12" customHeight="1" x14ac:dyDescent="0.15">
      <c r="A84" s="213">
        <f t="shared" si="73"/>
        <v>78</v>
      </c>
      <c r="B84" s="67">
        <f t="shared" si="74"/>
        <v>312</v>
      </c>
      <c r="C84" s="224">
        <f t="shared" si="75"/>
        <v>72</v>
      </c>
      <c r="D84" s="225">
        <f ca="1">IFERROR(OFFSET(extrapolation!P93,0,OS_dist_choice-1,1,1),0)</f>
        <v>0.23493025559869318</v>
      </c>
      <c r="E84" s="225">
        <f ca="1">IFERROR(OFFSET(extrapolation!D93,0,PFS_dist_choice-1,1,1),0)</f>
        <v>9.7718962492494232E-2</v>
      </c>
      <c r="F84" s="214"/>
      <c r="G84" s="226">
        <f t="shared" ca="1" si="76"/>
        <v>97.718962492494228</v>
      </c>
      <c r="H84" s="224">
        <f t="shared" ca="1" si="77"/>
        <v>137.21129310619892</v>
      </c>
      <c r="I84" s="224">
        <f t="shared" ca="1" si="54"/>
        <v>765.06974440130682</v>
      </c>
      <c r="J84" s="227">
        <f t="shared" ca="1" si="55"/>
        <v>1000</v>
      </c>
      <c r="K84" s="238">
        <f t="shared" ca="1" si="78"/>
        <v>2.3528095358266228</v>
      </c>
      <c r="L84" s="239">
        <f t="shared" ca="1" si="79"/>
        <v>3.9903473744309395</v>
      </c>
      <c r="M84" s="238">
        <f t="shared" ca="1" si="80"/>
        <v>98.895367260407539</v>
      </c>
      <c r="N84" s="238">
        <f t="shared" ca="1" si="81"/>
        <v>138.03006202550108</v>
      </c>
      <c r="O84" s="239">
        <f t="shared" ca="1" si="82"/>
        <v>763.07457071409135</v>
      </c>
      <c r="P84" s="217"/>
      <c r="Q84" s="217"/>
      <c r="R84" s="224"/>
      <c r="S84" s="230">
        <f t="shared" ca="1" si="83"/>
        <v>1486899.3123685233</v>
      </c>
      <c r="T84" s="231">
        <f t="shared" ca="1" si="84"/>
        <v>9257.1595504957222</v>
      </c>
      <c r="U84" s="231">
        <f t="shared" ca="1" si="85"/>
        <v>15239.314583114918</v>
      </c>
      <c r="V84" s="231"/>
      <c r="W84" s="231">
        <f t="shared" ca="1" si="86"/>
        <v>37242.412984393311</v>
      </c>
      <c r="X84" s="231">
        <f t="shared" ca="1" si="87"/>
        <v>4655.3016230491639</v>
      </c>
      <c r="Y84" s="231"/>
      <c r="Z84" s="232">
        <f t="shared" ca="1" si="56"/>
        <v>1553293.5011095763</v>
      </c>
      <c r="AA84" s="231">
        <f t="shared" ca="1" si="57"/>
        <v>1608.2932529898712</v>
      </c>
      <c r="AB84" s="231">
        <f t="shared" ca="1" si="88"/>
        <v>34781.465242797945</v>
      </c>
      <c r="AC84" s="231">
        <f t="shared" ca="1" si="89"/>
        <v>187127.68636012069</v>
      </c>
      <c r="AD84" s="231">
        <f t="shared" ca="1" si="90"/>
        <v>6497.4891097264126</v>
      </c>
      <c r="AE84" s="231">
        <f t="shared" ca="1" si="58"/>
        <v>114325.5268590464</v>
      </c>
      <c r="AF84" s="231">
        <f t="shared" ca="1" si="59"/>
        <v>344340.46082468133</v>
      </c>
      <c r="AG84" s="232">
        <f t="shared" ca="1" si="60"/>
        <v>1897633.9619342578</v>
      </c>
      <c r="AH84" s="243">
        <f t="shared" ca="1" si="91"/>
        <v>7.5813012547335008</v>
      </c>
      <c r="AI84" s="243">
        <f t="shared" ca="1" si="92"/>
        <v>10.581359991003504</v>
      </c>
      <c r="AJ84" s="242">
        <f t="shared" ca="1" si="93"/>
        <v>18.162661245737006</v>
      </c>
      <c r="AK84" s="241">
        <f t="shared" ca="1" si="94"/>
        <v>5.4585369034081204</v>
      </c>
      <c r="AL84" s="243">
        <f t="shared" ca="1" si="95"/>
        <v>4.6875424760145528</v>
      </c>
      <c r="AM84" s="243"/>
      <c r="AN84" s="242">
        <f t="shared" ca="1" si="61"/>
        <v>10.146079379422673</v>
      </c>
      <c r="AO84" s="224"/>
      <c r="AP84" s="235">
        <f t="shared" si="96"/>
        <v>6</v>
      </c>
      <c r="AQ84" s="235">
        <f t="shared" si="62"/>
        <v>0.83748425668365445</v>
      </c>
      <c r="AR84" s="235">
        <f t="shared" si="63"/>
        <v>0.91454219251787205</v>
      </c>
      <c r="AT84" s="230">
        <f t="shared" ca="1" si="64"/>
        <v>1245254.7653823898</v>
      </c>
      <c r="AU84" s="231">
        <f t="shared" ca="1" si="65"/>
        <v>7752.7253851489031</v>
      </c>
      <c r="AV84" s="231">
        <f t="shared" ca="1" si="97"/>
        <v>12762.686046008372</v>
      </c>
      <c r="AW84" s="231"/>
      <c r="AX84" s="231">
        <f t="shared" ca="1" si="98"/>
        <v>31189.934555340315</v>
      </c>
      <c r="AY84" s="231">
        <f t="shared" ca="1" si="99"/>
        <v>3898.7418194175393</v>
      </c>
      <c r="AZ84" s="231"/>
      <c r="BA84" s="232">
        <f t="shared" ca="1" si="66"/>
        <v>1300858.8531883047</v>
      </c>
      <c r="BB84" s="231">
        <f t="shared" ca="1" si="67"/>
        <v>1346.9202795095589</v>
      </c>
      <c r="BC84" s="231">
        <f t="shared" ca="1" si="100"/>
        <v>29128.929565233</v>
      </c>
      <c r="BD84" s="231">
        <f t="shared" ca="1" si="101"/>
        <v>156716.49131623769</v>
      </c>
      <c r="BE84" s="231">
        <f t="shared" ca="1" si="102"/>
        <v>5441.5448373693644</v>
      </c>
      <c r="BF84" s="231">
        <f t="shared" ca="1" si="68"/>
        <v>95745.828881515641</v>
      </c>
      <c r="BG84" s="231">
        <f t="shared" ca="1" si="69"/>
        <v>288379.71487986529</v>
      </c>
      <c r="BH84" s="232">
        <f t="shared" ca="1" si="70"/>
        <v>1589238.56806817</v>
      </c>
      <c r="BI84" s="243">
        <f t="shared" ca="1" si="103"/>
        <v>6.93341987164247</v>
      </c>
      <c r="BJ84" s="243">
        <f t="shared" ca="1" si="104"/>
        <v>9.6771001659932363</v>
      </c>
      <c r="BK84" s="242">
        <f t="shared" ca="1" si="105"/>
        <v>16.610520037635705</v>
      </c>
      <c r="BL84" s="241">
        <f t="shared" ca="1" si="106"/>
        <v>4.9920623075825787</v>
      </c>
      <c r="BM84" s="243">
        <f t="shared" ca="1" si="107"/>
        <v>4.2869553735350037</v>
      </c>
      <c r="BN84" s="243">
        <f t="shared" si="71"/>
        <v>0</v>
      </c>
      <c r="BO84" s="242">
        <f t="shared" ca="1" si="72"/>
        <v>9.2790176811175815</v>
      </c>
      <c r="BP84" s="67"/>
      <c r="BQ84" s="67"/>
      <c r="BR84" s="67"/>
      <c r="BS84" s="67"/>
      <c r="BT84" s="67"/>
      <c r="BU84" s="67"/>
      <c r="BV84" s="67"/>
      <c r="BW84" s="67"/>
      <c r="BX84" s="67"/>
      <c r="BY84" s="67"/>
      <c r="BZ84" s="67"/>
      <c r="CA84" s="67"/>
      <c r="CB84" s="67"/>
    </row>
    <row r="85" spans="1:80" ht="12" customHeight="1" x14ac:dyDescent="0.15">
      <c r="A85" s="213">
        <f t="shared" si="73"/>
        <v>79</v>
      </c>
      <c r="B85" s="67">
        <f t="shared" si="74"/>
        <v>316</v>
      </c>
      <c r="C85" s="224">
        <f t="shared" si="75"/>
        <v>72.92307692307692</v>
      </c>
      <c r="D85" s="225">
        <f ca="1">IFERROR(OFFSET(extrapolation!P94,0,OS_dist_choice-1,1,1),0)</f>
        <v>0.23103627659972018</v>
      </c>
      <c r="E85" s="225">
        <f ca="1">IFERROR(OFFSET(extrapolation!D94,0,PFS_dist_choice-1,1,1),0)</f>
        <v>9.5431851092226849E-2</v>
      </c>
      <c r="F85" s="214"/>
      <c r="G85" s="226">
        <f t="shared" ca="1" si="76"/>
        <v>95.43185109222685</v>
      </c>
      <c r="H85" s="224">
        <f t="shared" ca="1" si="77"/>
        <v>135.60442550749326</v>
      </c>
      <c r="I85" s="224">
        <f t="shared" ca="1" si="54"/>
        <v>768.96372340027983</v>
      </c>
      <c r="J85" s="227">
        <f t="shared" ca="1" si="55"/>
        <v>1000</v>
      </c>
      <c r="K85" s="238">
        <f t="shared" ca="1" si="78"/>
        <v>2.2871114002673778</v>
      </c>
      <c r="L85" s="239">
        <f t="shared" ca="1" si="79"/>
        <v>3.8939789989730116</v>
      </c>
      <c r="M85" s="238">
        <f t="shared" ca="1" si="80"/>
        <v>96.575406792360539</v>
      </c>
      <c r="N85" s="238">
        <f t="shared" ca="1" si="81"/>
        <v>136.40785930684609</v>
      </c>
      <c r="O85" s="239">
        <f t="shared" ca="1" si="82"/>
        <v>767.01673390079327</v>
      </c>
      <c r="P85" s="217"/>
      <c r="Q85" s="217"/>
      <c r="R85" s="224"/>
      <c r="S85" s="230">
        <f t="shared" ca="1" si="83"/>
        <v>1452098.4479136947</v>
      </c>
      <c r="T85" s="231">
        <f t="shared" ca="1" si="84"/>
        <v>9040.4958180736849</v>
      </c>
      <c r="U85" s="231">
        <f t="shared" ca="1" si="85"/>
        <v>14881.81950147106</v>
      </c>
      <c r="V85" s="231"/>
      <c r="W85" s="231">
        <f t="shared" ca="1" si="86"/>
        <v>36368.752991494301</v>
      </c>
      <c r="X85" s="231">
        <f t="shared" ca="1" si="87"/>
        <v>4546.0941239367876</v>
      </c>
      <c r="Y85" s="231"/>
      <c r="Z85" s="232">
        <f t="shared" ca="1" si="56"/>
        <v>1516935.6103486703</v>
      </c>
      <c r="AA85" s="231">
        <f t="shared" ca="1" si="57"/>
        <v>1563.384446499156</v>
      </c>
      <c r="AB85" s="231">
        <f t="shared" ca="1" si="88"/>
        <v>34372.694960094988</v>
      </c>
      <c r="AC85" s="231">
        <f t="shared" ca="1" si="89"/>
        <v>184928.46224115361</v>
      </c>
      <c r="AD85" s="231">
        <f t="shared" ca="1" si="90"/>
        <v>6421.1271611511665</v>
      </c>
      <c r="AE85" s="231">
        <f t="shared" ca="1" si="58"/>
        <v>111564.52280025836</v>
      </c>
      <c r="AF85" s="231">
        <f t="shared" ca="1" si="59"/>
        <v>338850.19160915725</v>
      </c>
      <c r="AG85" s="232">
        <f t="shared" ca="1" si="60"/>
        <v>1855785.8019578275</v>
      </c>
      <c r="AH85" s="243">
        <f t="shared" ca="1" si="91"/>
        <v>7.4034534981138806</v>
      </c>
      <c r="AI85" s="243">
        <f t="shared" ca="1" si="92"/>
        <v>10.457002219279097</v>
      </c>
      <c r="AJ85" s="242">
        <f t="shared" ca="1" si="93"/>
        <v>17.860455717392977</v>
      </c>
      <c r="AK85" s="241">
        <f t="shared" ca="1" si="94"/>
        <v>5.3304865186419939</v>
      </c>
      <c r="AL85" s="243">
        <f t="shared" ca="1" si="95"/>
        <v>4.6324519831406406</v>
      </c>
      <c r="AM85" s="243"/>
      <c r="AN85" s="242">
        <f t="shared" ca="1" si="61"/>
        <v>9.9629385017826344</v>
      </c>
      <c r="AO85" s="224"/>
      <c r="AP85" s="235">
        <f t="shared" si="96"/>
        <v>6.0769230769230766</v>
      </c>
      <c r="AQ85" s="235">
        <f t="shared" si="62"/>
        <v>0.8355821867285923</v>
      </c>
      <c r="AR85" s="235">
        <f t="shared" si="63"/>
        <v>0.91349538712662604</v>
      </c>
      <c r="AT85" s="230">
        <f t="shared" ca="1" si="64"/>
        <v>1213347.5964529198</v>
      </c>
      <c r="AU85" s="231">
        <f t="shared" ca="1" si="65"/>
        <v>7554.0772647767035</v>
      </c>
      <c r="AV85" s="231">
        <f t="shared" ca="1" si="97"/>
        <v>12434.983281539398</v>
      </c>
      <c r="AW85" s="231"/>
      <c r="AX85" s="231">
        <f t="shared" ca="1" si="98"/>
        <v>30389.082153224841</v>
      </c>
      <c r="AY85" s="231">
        <f t="shared" ca="1" si="99"/>
        <v>3798.6352691531051</v>
      </c>
      <c r="AZ85" s="231"/>
      <c r="BA85" s="232">
        <f t="shared" ca="1" si="66"/>
        <v>1267524.3744216138</v>
      </c>
      <c r="BB85" s="231">
        <f t="shared" ca="1" si="67"/>
        <v>1306.3361945032348</v>
      </c>
      <c r="BC85" s="231">
        <f t="shared" ca="1" si="100"/>
        <v>28721.211618511035</v>
      </c>
      <c r="BD85" s="231">
        <f t="shared" ca="1" si="101"/>
        <v>154522.92886781905</v>
      </c>
      <c r="BE85" s="231">
        <f t="shared" ca="1" si="102"/>
        <v>5365.3794745770501</v>
      </c>
      <c r="BF85" s="231">
        <f t="shared" ca="1" si="68"/>
        <v>93221.327922771772</v>
      </c>
      <c r="BG85" s="231">
        <f t="shared" ca="1" si="69"/>
        <v>283137.18407818209</v>
      </c>
      <c r="BH85" s="232">
        <f t="shared" ca="1" si="70"/>
        <v>1550661.5584997959</v>
      </c>
      <c r="BI85" s="243">
        <f t="shared" ca="1" si="103"/>
        <v>6.7630206193335134</v>
      </c>
      <c r="BJ85" s="243">
        <f t="shared" ca="1" si="104"/>
        <v>9.5524232904843469</v>
      </c>
      <c r="BK85" s="242">
        <f t="shared" ca="1" si="105"/>
        <v>16.315443909817859</v>
      </c>
      <c r="BL85" s="241">
        <f t="shared" ca="1" si="106"/>
        <v>4.8693748459201291</v>
      </c>
      <c r="BM85" s="243">
        <f t="shared" ca="1" si="107"/>
        <v>4.231723517684566</v>
      </c>
      <c r="BN85" s="243">
        <f t="shared" si="71"/>
        <v>0</v>
      </c>
      <c r="BO85" s="242">
        <f t="shared" ca="1" si="72"/>
        <v>9.1010983636046952</v>
      </c>
      <c r="BP85" s="67"/>
      <c r="BQ85" s="67"/>
      <c r="BR85" s="67"/>
      <c r="BS85" s="67"/>
      <c r="BT85" s="67"/>
      <c r="BU85" s="67"/>
      <c r="BV85" s="67"/>
      <c r="BW85" s="67"/>
      <c r="BX85" s="67"/>
      <c r="BY85" s="67"/>
      <c r="BZ85" s="67"/>
      <c r="CA85" s="67"/>
      <c r="CB85" s="67"/>
    </row>
    <row r="86" spans="1:80" ht="12" customHeight="1" x14ac:dyDescent="0.15">
      <c r="A86" s="213">
        <f t="shared" si="73"/>
        <v>80</v>
      </c>
      <c r="B86" s="67">
        <f t="shared" si="74"/>
        <v>320</v>
      </c>
      <c r="C86" s="224">
        <f t="shared" si="75"/>
        <v>73.846153846153854</v>
      </c>
      <c r="D86" s="225">
        <f ca="1">IFERROR(OFFSET(extrapolation!P95,0,OS_dist_choice-1,1,1),0)</f>
        <v>0.2272358035399534</v>
      </c>
      <c r="E86" s="225">
        <f ca="1">IFERROR(OFFSET(extrapolation!D95,0,PFS_dist_choice-1,1,1),0)</f>
        <v>9.3208270575255492E-2</v>
      </c>
      <c r="F86" s="214"/>
      <c r="G86" s="226">
        <f t="shared" ca="1" si="76"/>
        <v>93.208270575255497</v>
      </c>
      <c r="H86" s="224">
        <f t="shared" ca="1" si="77"/>
        <v>134.02753296469791</v>
      </c>
      <c r="I86" s="224">
        <f t="shared" ca="1" si="54"/>
        <v>772.76419646004661</v>
      </c>
      <c r="J86" s="227">
        <f t="shared" ca="1" si="55"/>
        <v>1000</v>
      </c>
      <c r="K86" s="238">
        <f t="shared" ca="1" si="78"/>
        <v>2.2235805169713529</v>
      </c>
      <c r="L86" s="239">
        <f t="shared" ca="1" si="79"/>
        <v>3.8004730597667731</v>
      </c>
      <c r="M86" s="238">
        <f t="shared" ca="1" si="80"/>
        <v>94.320060833741167</v>
      </c>
      <c r="N86" s="238">
        <f t="shared" ca="1" si="81"/>
        <v>134.81597923609559</v>
      </c>
      <c r="O86" s="239">
        <f t="shared" ca="1" si="82"/>
        <v>770.86395993016322</v>
      </c>
      <c r="P86" s="217"/>
      <c r="Q86" s="217"/>
      <c r="R86" s="224"/>
      <c r="S86" s="230">
        <f t="shared" ca="1" si="83"/>
        <v>1418264.2743065536</v>
      </c>
      <c r="T86" s="231">
        <f t="shared" ca="1" si="84"/>
        <v>8829.850523711717</v>
      </c>
      <c r="U86" s="231">
        <f t="shared" ca="1" si="85"/>
        <v>14534.281214195622</v>
      </c>
      <c r="V86" s="231"/>
      <c r="W86" s="231">
        <f t="shared" ca="1" si="86"/>
        <v>35519.425789013585</v>
      </c>
      <c r="X86" s="231">
        <f t="shared" ca="1" si="87"/>
        <v>4439.9282236266981</v>
      </c>
      <c r="Y86" s="231"/>
      <c r="Z86" s="232">
        <f t="shared" ca="1" si="56"/>
        <v>1481587.760057101</v>
      </c>
      <c r="AA86" s="231">
        <f t="shared" ca="1" si="57"/>
        <v>1519.9570931985047</v>
      </c>
      <c r="AB86" s="231">
        <f t="shared" ca="1" si="88"/>
        <v>33971.565521050885</v>
      </c>
      <c r="AC86" s="231">
        <f t="shared" ca="1" si="89"/>
        <v>182770.34660872497</v>
      </c>
      <c r="AD86" s="231">
        <f t="shared" ca="1" si="90"/>
        <v>6346.1925905807275</v>
      </c>
      <c r="AE86" s="231">
        <f t="shared" ca="1" si="58"/>
        <v>108885.52902826184</v>
      </c>
      <c r="AF86" s="231">
        <f t="shared" ca="1" si="59"/>
        <v>333493.59084181691</v>
      </c>
      <c r="AG86" s="232">
        <f t="shared" ca="1" si="60"/>
        <v>1815081.350898918</v>
      </c>
      <c r="AH86" s="243">
        <f t="shared" ca="1" si="91"/>
        <v>7.2305590782881657</v>
      </c>
      <c r="AI86" s="243">
        <f t="shared" ca="1" si="92"/>
        <v>10.334968976346822</v>
      </c>
      <c r="AJ86" s="242">
        <f t="shared" ca="1" si="93"/>
        <v>17.565528054634989</v>
      </c>
      <c r="AK86" s="241">
        <f t="shared" ca="1" si="94"/>
        <v>5.2060025363674791</v>
      </c>
      <c r="AL86" s="243">
        <f t="shared" ca="1" si="95"/>
        <v>4.578391256521642</v>
      </c>
      <c r="AM86" s="243"/>
      <c r="AN86" s="242">
        <f t="shared" ca="1" si="61"/>
        <v>9.7843937928891211</v>
      </c>
      <c r="AO86" s="224"/>
      <c r="AP86" s="235">
        <f t="shared" si="96"/>
        <v>6.1538461538461542</v>
      </c>
      <c r="AQ86" s="235">
        <f t="shared" si="62"/>
        <v>0.83368443669964842</v>
      </c>
      <c r="AR86" s="235">
        <f t="shared" si="63"/>
        <v>0.91244977993217879</v>
      </c>
      <c r="AT86" s="230">
        <f t="shared" ca="1" si="64"/>
        <v>1182384.8526164948</v>
      </c>
      <c r="AU86" s="231">
        <f t="shared" ca="1" si="65"/>
        <v>7361.3089600026988</v>
      </c>
      <c r="AV86" s="231">
        <f t="shared" ca="1" si="97"/>
        <v>12117.004046890959</v>
      </c>
      <c r="AW86" s="231"/>
      <c r="AX86" s="231">
        <f t="shared" ca="1" si="98"/>
        <v>29611.992480808756</v>
      </c>
      <c r="AY86" s="231">
        <f t="shared" ca="1" si="99"/>
        <v>3701.4990601010945</v>
      </c>
      <c r="AZ86" s="231"/>
      <c r="BA86" s="232">
        <f t="shared" ca="1" si="66"/>
        <v>1235176.6571642982</v>
      </c>
      <c r="BB86" s="231">
        <f t="shared" ca="1" si="67"/>
        <v>1267.1645730508303</v>
      </c>
      <c r="BC86" s="231">
        <f t="shared" ca="1" si="100"/>
        <v>28321.565465222506</v>
      </c>
      <c r="BD86" s="231">
        <f t="shared" ca="1" si="101"/>
        <v>152372.79345789438</v>
      </c>
      <c r="BE86" s="231">
        <f t="shared" ca="1" si="102"/>
        <v>5290.7219950657764</v>
      </c>
      <c r="BF86" s="231">
        <f t="shared" ca="1" si="68"/>
        <v>90776.170932669687</v>
      </c>
      <c r="BG86" s="231">
        <f t="shared" ca="1" si="69"/>
        <v>278028.41642390314</v>
      </c>
      <c r="BH86" s="232">
        <f t="shared" ca="1" si="70"/>
        <v>1513205.0735882013</v>
      </c>
      <c r="BI86" s="243">
        <f t="shared" ca="1" si="103"/>
        <v>6.597522039770654</v>
      </c>
      <c r="BJ86" s="243">
        <f t="shared" ca="1" si="104"/>
        <v>9.430140168073553</v>
      </c>
      <c r="BK86" s="242">
        <f t="shared" ca="1" si="105"/>
        <v>16.027662207844209</v>
      </c>
      <c r="BL86" s="241">
        <f t="shared" ca="1" si="106"/>
        <v>4.7502158686348706</v>
      </c>
      <c r="BM86" s="243">
        <f t="shared" ca="1" si="107"/>
        <v>4.1775520944565843</v>
      </c>
      <c r="BN86" s="243">
        <f t="shared" si="71"/>
        <v>0</v>
      </c>
      <c r="BO86" s="242">
        <f t="shared" ca="1" si="72"/>
        <v>8.9277679630914548</v>
      </c>
      <c r="BP86" s="67"/>
      <c r="BQ86" s="67"/>
      <c r="BR86" s="67"/>
      <c r="BS86" s="67"/>
      <c r="BT86" s="67"/>
      <c r="BU86" s="67"/>
      <c r="BV86" s="67"/>
      <c r="BW86" s="67"/>
      <c r="BX86" s="67"/>
      <c r="BY86" s="67"/>
      <c r="BZ86" s="67"/>
      <c r="CA86" s="67"/>
      <c r="CB86" s="67"/>
    </row>
    <row r="87" spans="1:80" ht="12" customHeight="1" x14ac:dyDescent="0.15">
      <c r="A87" s="213">
        <f t="shared" si="73"/>
        <v>81</v>
      </c>
      <c r="B87" s="67">
        <f t="shared" si="74"/>
        <v>324</v>
      </c>
      <c r="C87" s="224">
        <f t="shared" si="75"/>
        <v>74.769230769230774</v>
      </c>
      <c r="D87" s="225">
        <f ca="1">IFERROR(OFFSET(extrapolation!P96,0,OS_dist_choice-1,1,1),0)</f>
        <v>0.22352606695901892</v>
      </c>
      <c r="E87" s="225">
        <f ca="1">IFERROR(OFFSET(extrapolation!D96,0,PFS_dist_choice-1,1,1),0)</f>
        <v>9.1046137428480223E-2</v>
      </c>
      <c r="F87" s="214"/>
      <c r="G87" s="226">
        <f t="shared" ca="1" si="76"/>
        <v>91.046137428480222</v>
      </c>
      <c r="H87" s="224">
        <f t="shared" ca="1" si="77"/>
        <v>132.47992953053858</v>
      </c>
      <c r="I87" s="224">
        <f t="shared" ca="1" si="54"/>
        <v>776.47393304098114</v>
      </c>
      <c r="J87" s="227">
        <f t="shared" ca="1" si="55"/>
        <v>1000</v>
      </c>
      <c r="K87" s="238">
        <f t="shared" ca="1" si="78"/>
        <v>2.1621331467752753</v>
      </c>
      <c r="L87" s="239">
        <f t="shared" ca="1" si="79"/>
        <v>3.709736580934532</v>
      </c>
      <c r="M87" s="238">
        <f t="shared" ca="1" si="80"/>
        <v>92.127204001867852</v>
      </c>
      <c r="N87" s="238">
        <f t="shared" ca="1" si="81"/>
        <v>133.25373124761825</v>
      </c>
      <c r="O87" s="239">
        <f t="shared" ca="1" si="82"/>
        <v>774.61906475051387</v>
      </c>
      <c r="P87" s="217"/>
      <c r="Q87" s="217"/>
      <c r="R87" s="224"/>
      <c r="S87" s="230">
        <f t="shared" ca="1" si="83"/>
        <v>1385365.0886501742</v>
      </c>
      <c r="T87" s="231">
        <f t="shared" ca="1" si="84"/>
        <v>8625.0262910490801</v>
      </c>
      <c r="U87" s="231">
        <f t="shared" ca="1" si="85"/>
        <v>14196.372209735826</v>
      </c>
      <c r="V87" s="231"/>
      <c r="W87" s="231">
        <f t="shared" ca="1" si="86"/>
        <v>34693.630991839404</v>
      </c>
      <c r="X87" s="231">
        <f t="shared" ca="1" si="87"/>
        <v>4336.7038739799254</v>
      </c>
      <c r="Y87" s="231"/>
      <c r="Z87" s="232">
        <f t="shared" ca="1" si="56"/>
        <v>1447216.8220167784</v>
      </c>
      <c r="AA87" s="231">
        <f t="shared" ca="1" si="57"/>
        <v>1477.9539521046372</v>
      </c>
      <c r="AB87" s="231">
        <f t="shared" ca="1" si="88"/>
        <v>33577.90291368484</v>
      </c>
      <c r="AC87" s="231">
        <f t="shared" ca="1" si="89"/>
        <v>180652.40326135108</v>
      </c>
      <c r="AD87" s="231">
        <f t="shared" ca="1" si="90"/>
        <v>6272.6528910191337</v>
      </c>
      <c r="AE87" s="231">
        <f t="shared" ca="1" si="58"/>
        <v>106285.88173582278</v>
      </c>
      <c r="AF87" s="231">
        <f t="shared" ca="1" si="59"/>
        <v>328266.79475398245</v>
      </c>
      <c r="AG87" s="232">
        <f t="shared" ca="1" si="60"/>
        <v>1775483.6167707609</v>
      </c>
      <c r="AH87" s="243">
        <f t="shared" ca="1" si="91"/>
        <v>7.06245506379822</v>
      </c>
      <c r="AI87" s="243">
        <f t="shared" ca="1" si="92"/>
        <v>10.21520732356827</v>
      </c>
      <c r="AJ87" s="242">
        <f t="shared" ca="1" si="93"/>
        <v>17.27766238736649</v>
      </c>
      <c r="AK87" s="241">
        <f t="shared" ca="1" si="94"/>
        <v>5.084967645934718</v>
      </c>
      <c r="AL87" s="243">
        <f t="shared" ca="1" si="95"/>
        <v>4.5253368443407442</v>
      </c>
      <c r="AM87" s="243"/>
      <c r="AN87" s="242">
        <f t="shared" ca="1" si="61"/>
        <v>9.6103044902754622</v>
      </c>
      <c r="AO87" s="224"/>
      <c r="AP87" s="235">
        <f t="shared" si="96"/>
        <v>6.2307692307692308</v>
      </c>
      <c r="AQ87" s="235">
        <f t="shared" si="62"/>
        <v>0.83179099678553181</v>
      </c>
      <c r="AR87" s="235">
        <f t="shared" si="63"/>
        <v>0.91140536956304719</v>
      </c>
      <c r="AT87" s="230">
        <f t="shared" ca="1" si="64"/>
        <v>1152334.208000205</v>
      </c>
      <c r="AU87" s="231">
        <f t="shared" ca="1" si="65"/>
        <v>7174.2192159331325</v>
      </c>
      <c r="AV87" s="231">
        <f t="shared" ca="1" si="97"/>
        <v>11808.414591074585</v>
      </c>
      <c r="AW87" s="231"/>
      <c r="AX87" s="231">
        <f t="shared" ca="1" si="98"/>
        <v>28857.849904811515</v>
      </c>
      <c r="AY87" s="231">
        <f t="shared" ca="1" si="99"/>
        <v>3607.2312381014394</v>
      </c>
      <c r="AZ87" s="231"/>
      <c r="BA87" s="232">
        <f t="shared" ca="1" si="66"/>
        <v>1203781.9229501258</v>
      </c>
      <c r="BB87" s="231">
        <f t="shared" ca="1" si="67"/>
        <v>1229.3487910242322</v>
      </c>
      <c r="BC87" s="231">
        <f t="shared" ca="1" si="100"/>
        <v>27929.797334541727</v>
      </c>
      <c r="BD87" s="231">
        <f t="shared" ca="1" si="101"/>
        <v>150265.04258046107</v>
      </c>
      <c r="BE87" s="231">
        <f t="shared" ca="1" si="102"/>
        <v>5217.5362007104532</v>
      </c>
      <c r="BF87" s="231">
        <f t="shared" ca="1" si="68"/>
        <v>88407.639513269183</v>
      </c>
      <c r="BG87" s="231">
        <f t="shared" ca="1" si="69"/>
        <v>273049.36442000663</v>
      </c>
      <c r="BH87" s="232">
        <f t="shared" ca="1" si="70"/>
        <v>1476831.2873701323</v>
      </c>
      <c r="BI87" s="243">
        <f t="shared" ca="1" si="103"/>
        <v>6.436759467443431</v>
      </c>
      <c r="BJ87" s="243">
        <f t="shared" ca="1" si="104"/>
        <v>9.3101948058998847</v>
      </c>
      <c r="BK87" s="242">
        <f t="shared" ca="1" si="105"/>
        <v>15.746954273343317</v>
      </c>
      <c r="BL87" s="241">
        <f t="shared" ca="1" si="106"/>
        <v>4.6344668165592697</v>
      </c>
      <c r="BM87" s="243">
        <f t="shared" ca="1" si="107"/>
        <v>4.1244162990136495</v>
      </c>
      <c r="BN87" s="243">
        <f t="shared" si="71"/>
        <v>0</v>
      </c>
      <c r="BO87" s="242">
        <f t="shared" ca="1" si="72"/>
        <v>8.7588831155729192</v>
      </c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</row>
    <row r="88" spans="1:80" ht="12" customHeight="1" x14ac:dyDescent="0.15">
      <c r="A88" s="213">
        <f t="shared" si="73"/>
        <v>82</v>
      </c>
      <c r="B88" s="67">
        <f t="shared" si="74"/>
        <v>328</v>
      </c>
      <c r="C88" s="224">
        <f t="shared" si="75"/>
        <v>75.692307692307693</v>
      </c>
      <c r="D88" s="225">
        <f ca="1">IFERROR(OFFSET(extrapolation!P97,0,OS_dist_choice-1,1,1),0)</f>
        <v>0.21990438760529768</v>
      </c>
      <c r="E88" s="225">
        <f ca="1">IFERROR(OFFSET(extrapolation!D97,0,PFS_dist_choice-1,1,1),0)</f>
        <v>8.8943448130110569E-2</v>
      </c>
      <c r="F88" s="214"/>
      <c r="G88" s="226">
        <f t="shared" ca="1" si="76"/>
        <v>88.943448130110568</v>
      </c>
      <c r="H88" s="224">
        <f t="shared" ca="1" si="77"/>
        <v>130.96093947518716</v>
      </c>
      <c r="I88" s="224">
        <f t="shared" ca="1" si="54"/>
        <v>780.09561239470224</v>
      </c>
      <c r="J88" s="227">
        <f t="shared" ca="1" si="55"/>
        <v>1000</v>
      </c>
      <c r="K88" s="238">
        <f t="shared" ca="1" si="78"/>
        <v>2.1026892983696541</v>
      </c>
      <c r="L88" s="239">
        <f t="shared" ca="1" si="79"/>
        <v>3.6216793537211061</v>
      </c>
      <c r="M88" s="238">
        <f t="shared" ca="1" si="80"/>
        <v>89.994792779295395</v>
      </c>
      <c r="N88" s="238">
        <f t="shared" ca="1" si="81"/>
        <v>131.72043450286287</v>
      </c>
      <c r="O88" s="239">
        <f t="shared" ca="1" si="82"/>
        <v>778.28477271784163</v>
      </c>
      <c r="P88" s="217"/>
      <c r="Q88" s="217"/>
      <c r="R88" s="224"/>
      <c r="S88" s="230">
        <f t="shared" ca="1" si="83"/>
        <v>1353370.4052015995</v>
      </c>
      <c r="T88" s="231">
        <f t="shared" ca="1" si="84"/>
        <v>8425.8333215000748</v>
      </c>
      <c r="U88" s="231">
        <f t="shared" ca="1" si="85"/>
        <v>13867.777591589782</v>
      </c>
      <c r="V88" s="231"/>
      <c r="W88" s="231">
        <f t="shared" ca="1" si="86"/>
        <v>33890.599043998176</v>
      </c>
      <c r="X88" s="231">
        <f t="shared" ca="1" si="87"/>
        <v>4236.324880499772</v>
      </c>
      <c r="Y88" s="231"/>
      <c r="Z88" s="232">
        <f t="shared" ca="1" si="56"/>
        <v>1413790.9400391874</v>
      </c>
      <c r="AA88" s="231">
        <f t="shared" ca="1" si="57"/>
        <v>1437.3203441279827</v>
      </c>
      <c r="AB88" s="231">
        <f t="shared" ca="1" si="88"/>
        <v>33191.535577091519</v>
      </c>
      <c r="AC88" s="231">
        <f t="shared" ca="1" si="89"/>
        <v>178573.70918457402</v>
      </c>
      <c r="AD88" s="231">
        <f t="shared" ca="1" si="90"/>
        <v>6200.4760133532636</v>
      </c>
      <c r="AE88" s="231">
        <f t="shared" ca="1" si="58"/>
        <v>103762.9963952057</v>
      </c>
      <c r="AF88" s="231">
        <f t="shared" ca="1" si="59"/>
        <v>323166.03751435247</v>
      </c>
      <c r="AG88" s="232">
        <f t="shared" ca="1" si="60"/>
        <v>1736956.9775535399</v>
      </c>
      <c r="AH88" s="243">
        <f t="shared" ca="1" si="91"/>
        <v>6.8989847989603588</v>
      </c>
      <c r="AI88" s="243">
        <f t="shared" ca="1" si="92"/>
        <v>10.097665067981275</v>
      </c>
      <c r="AJ88" s="242">
        <f t="shared" ca="1" si="93"/>
        <v>16.996649866941635</v>
      </c>
      <c r="AK88" s="241">
        <f t="shared" ca="1" si="94"/>
        <v>4.9672690552514585</v>
      </c>
      <c r="AL88" s="243">
        <f t="shared" ca="1" si="95"/>
        <v>4.4732656251157046</v>
      </c>
      <c r="AM88" s="243"/>
      <c r="AN88" s="242">
        <f t="shared" ca="1" si="61"/>
        <v>9.440534680367163</v>
      </c>
      <c r="AO88" s="224"/>
      <c r="AP88" s="235">
        <f t="shared" si="96"/>
        <v>6.3076923076923075</v>
      </c>
      <c r="AQ88" s="235">
        <f t="shared" si="62"/>
        <v>0.82990185719723453</v>
      </c>
      <c r="AR88" s="235">
        <f t="shared" si="63"/>
        <v>0.91036215464931824</v>
      </c>
      <c r="AT88" s="230">
        <f t="shared" ca="1" si="64"/>
        <v>1123164.6127525812</v>
      </c>
      <c r="AU88" s="231">
        <f t="shared" ca="1" si="65"/>
        <v>6992.614721947255</v>
      </c>
      <c r="AV88" s="231">
        <f t="shared" ca="1" si="97"/>
        <v>11508.894378458552</v>
      </c>
      <c r="AW88" s="231"/>
      <c r="AX88" s="231">
        <f t="shared" ca="1" si="98"/>
        <v>28125.871088140906</v>
      </c>
      <c r="AY88" s="231">
        <f t="shared" ca="1" si="99"/>
        <v>3515.7338860176133</v>
      </c>
      <c r="AZ88" s="231"/>
      <c r="BA88" s="232">
        <f t="shared" ca="1" si="66"/>
        <v>1173307.7268271458</v>
      </c>
      <c r="BB88" s="231">
        <f t="shared" ca="1" si="67"/>
        <v>1192.8348229791811</v>
      </c>
      <c r="BC88" s="231">
        <f t="shared" ca="1" si="100"/>
        <v>27545.717018656334</v>
      </c>
      <c r="BD88" s="231">
        <f t="shared" ca="1" si="101"/>
        <v>148198.65289887684</v>
      </c>
      <c r="BE88" s="231">
        <f t="shared" ca="1" si="102"/>
        <v>5145.7865589887779</v>
      </c>
      <c r="BF88" s="231">
        <f t="shared" ca="1" si="68"/>
        <v>86113.103416731159</v>
      </c>
      <c r="BG88" s="231">
        <f t="shared" ca="1" si="69"/>
        <v>268196.09471623227</v>
      </c>
      <c r="BH88" s="232">
        <f t="shared" ca="1" si="70"/>
        <v>1441503.8215433781</v>
      </c>
      <c r="BI88" s="243">
        <f t="shared" ca="1" si="103"/>
        <v>6.280574666474446</v>
      </c>
      <c r="BJ88" s="243">
        <f t="shared" ca="1" si="104"/>
        <v>9.1925321282145873</v>
      </c>
      <c r="BK88" s="242">
        <f t="shared" ca="1" si="105"/>
        <v>15.473106794689034</v>
      </c>
      <c r="BL88" s="241">
        <f t="shared" ca="1" si="106"/>
        <v>4.5220137598616015</v>
      </c>
      <c r="BM88" s="243">
        <f t="shared" ca="1" si="107"/>
        <v>4.0722917327990622</v>
      </c>
      <c r="BN88" s="243">
        <f t="shared" si="71"/>
        <v>0</v>
      </c>
      <c r="BO88" s="242">
        <f t="shared" ca="1" si="72"/>
        <v>8.5943054926606628</v>
      </c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</row>
    <row r="89" spans="1:80" ht="12" customHeight="1" x14ac:dyDescent="0.15">
      <c r="A89" s="213">
        <f t="shared" si="73"/>
        <v>83</v>
      </c>
      <c r="B89" s="67">
        <f t="shared" si="74"/>
        <v>332</v>
      </c>
      <c r="C89" s="224">
        <f t="shared" si="75"/>
        <v>76.615384615384613</v>
      </c>
      <c r="D89" s="225">
        <f ca="1">IFERROR(OFFSET(extrapolation!P98,0,OS_dist_choice-1,1,1),0)</f>
        <v>0.21636817369480868</v>
      </c>
      <c r="E89" s="225">
        <f ca="1">IFERROR(OFFSET(extrapolation!D98,0,PFS_dist_choice-1,1,1),0)</f>
        <v>8.6898275593638497E-2</v>
      </c>
      <c r="F89" s="214"/>
      <c r="G89" s="226">
        <f t="shared" ca="1" si="76"/>
        <v>86.898275593638502</v>
      </c>
      <c r="H89" s="224">
        <f t="shared" ca="1" si="77"/>
        <v>129.4698981011702</v>
      </c>
      <c r="I89" s="224">
        <f t="shared" ca="1" si="54"/>
        <v>783.63182630519134</v>
      </c>
      <c r="J89" s="227">
        <f t="shared" ca="1" si="55"/>
        <v>1000</v>
      </c>
      <c r="K89" s="238">
        <f t="shared" ca="1" si="78"/>
        <v>2.0451725364720659</v>
      </c>
      <c r="L89" s="239">
        <f t="shared" ca="1" si="79"/>
        <v>3.5362139104890957</v>
      </c>
      <c r="M89" s="238">
        <f t="shared" ca="1" si="80"/>
        <v>87.920861861874528</v>
      </c>
      <c r="N89" s="238">
        <f t="shared" ca="1" si="81"/>
        <v>130.21541878817868</v>
      </c>
      <c r="O89" s="239">
        <f t="shared" ca="1" si="82"/>
        <v>781.86371934994679</v>
      </c>
      <c r="P89" s="217"/>
      <c r="Q89" s="217"/>
      <c r="R89" s="224"/>
      <c r="S89" s="230">
        <f t="shared" ca="1" si="83"/>
        <v>1322250.9012630587</v>
      </c>
      <c r="T89" s="231">
        <f t="shared" ca="1" si="84"/>
        <v>8232.0890573827783</v>
      </c>
      <c r="U89" s="231">
        <f t="shared" ca="1" si="85"/>
        <v>13548.194515559508</v>
      </c>
      <c r="V89" s="231"/>
      <c r="W89" s="231">
        <f t="shared" ca="1" si="86"/>
        <v>33109.589843392154</v>
      </c>
      <c r="X89" s="231">
        <f t="shared" ca="1" si="87"/>
        <v>4138.6987304240192</v>
      </c>
      <c r="Y89" s="231"/>
      <c r="Z89" s="232">
        <f t="shared" ca="1" si="56"/>
        <v>1381279.4734098171</v>
      </c>
      <c r="AA89" s="231">
        <f t="shared" ca="1" si="57"/>
        <v>1398.0040209470601</v>
      </c>
      <c r="AB89" s="231">
        <f t="shared" ca="1" si="88"/>
        <v>32812.294627678035</v>
      </c>
      <c r="AC89" s="231">
        <f t="shared" ca="1" si="89"/>
        <v>176533.35576813895</v>
      </c>
      <c r="AD89" s="231">
        <f t="shared" ca="1" si="90"/>
        <v>6129.6304086159353</v>
      </c>
      <c r="AE89" s="231">
        <f t="shared" ca="1" si="58"/>
        <v>101314.36701312466</v>
      </c>
      <c r="AF89" s="231">
        <f t="shared" ca="1" si="59"/>
        <v>318187.65183850459</v>
      </c>
      <c r="AG89" s="232">
        <f t="shared" ca="1" si="60"/>
        <v>1699467.1252483218</v>
      </c>
      <c r="AH89" s="243">
        <f t="shared" ca="1" si="91"/>
        <v>6.7399976239082457</v>
      </c>
      <c r="AI89" s="243">
        <f t="shared" ca="1" si="92"/>
        <v>9.9822908311266332</v>
      </c>
      <c r="AJ89" s="242">
        <f t="shared" ca="1" si="93"/>
        <v>16.722288455034878</v>
      </c>
      <c r="AK89" s="241">
        <f t="shared" ca="1" si="94"/>
        <v>4.8527982892139372</v>
      </c>
      <c r="AL89" s="243">
        <f t="shared" ca="1" si="95"/>
        <v>4.4221548381890985</v>
      </c>
      <c r="AM89" s="243"/>
      <c r="AN89" s="242">
        <f t="shared" ca="1" si="61"/>
        <v>9.2749531274030357</v>
      </c>
      <c r="AO89" s="224"/>
      <c r="AP89" s="235">
        <f t="shared" si="96"/>
        <v>6.384615384615385</v>
      </c>
      <c r="AQ89" s="235">
        <f t="shared" si="62"/>
        <v>0.82801700816798141</v>
      </c>
      <c r="AR89" s="235">
        <f t="shared" si="63"/>
        <v>0.90932013382264731</v>
      </c>
      <c r="AT89" s="230">
        <f t="shared" ca="1" si="64"/>
        <v>1094846.2353112549</v>
      </c>
      <c r="AU89" s="231">
        <f t="shared" ca="1" si="65"/>
        <v>6816.3097522664666</v>
      </c>
      <c r="AV89" s="231">
        <f t="shared" ca="1" si="97"/>
        <v>11218.135488851438</v>
      </c>
      <c r="AW89" s="231"/>
      <c r="AX89" s="231">
        <f t="shared" ca="1" si="98"/>
        <v>27415.303523794555</v>
      </c>
      <c r="AY89" s="231">
        <f t="shared" ca="1" si="99"/>
        <v>3426.9129404743194</v>
      </c>
      <c r="AZ89" s="231"/>
      <c r="BA89" s="232">
        <f t="shared" ca="1" si="66"/>
        <v>1143722.8970166417</v>
      </c>
      <c r="BB89" s="231">
        <f t="shared" ca="1" si="67"/>
        <v>1157.5711068313926</v>
      </c>
      <c r="BC89" s="231">
        <f t="shared" ca="1" si="100"/>
        <v>27169.138028736295</v>
      </c>
      <c r="BD89" s="231">
        <f t="shared" ca="1" si="101"/>
        <v>146172.62108498826</v>
      </c>
      <c r="BE89" s="231">
        <f t="shared" ca="1" si="102"/>
        <v>5075.4382321176481</v>
      </c>
      <c r="BF89" s="231">
        <f t="shared" ca="1" si="68"/>
        <v>83890.019058640304</v>
      </c>
      <c r="BG89" s="231">
        <f t="shared" ca="1" si="69"/>
        <v>263464.78751131386</v>
      </c>
      <c r="BH89" s="232">
        <f t="shared" ca="1" si="70"/>
        <v>1407187.6845279555</v>
      </c>
      <c r="BI89" s="243">
        <f t="shared" ca="1" si="103"/>
        <v>6.1288155413365706</v>
      </c>
      <c r="BJ89" s="243">
        <f t="shared" ca="1" si="104"/>
        <v>9.0770980344166556</v>
      </c>
      <c r="BK89" s="242">
        <f t="shared" ca="1" si="105"/>
        <v>15.205913575753225</v>
      </c>
      <c r="BL89" s="241">
        <f t="shared" ca="1" si="106"/>
        <v>4.4127471897623316</v>
      </c>
      <c r="BM89" s="243">
        <f t="shared" ca="1" si="107"/>
        <v>4.021154429246578</v>
      </c>
      <c r="BN89" s="243">
        <f t="shared" si="71"/>
        <v>0</v>
      </c>
      <c r="BO89" s="242">
        <f t="shared" ca="1" si="72"/>
        <v>8.4339016190089104</v>
      </c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</row>
    <row r="90" spans="1:80" ht="12" customHeight="1" x14ac:dyDescent="0.15">
      <c r="A90" s="213">
        <f t="shared" si="73"/>
        <v>84</v>
      </c>
      <c r="B90" s="67">
        <f t="shared" si="74"/>
        <v>336</v>
      </c>
      <c r="C90" s="224">
        <f t="shared" si="75"/>
        <v>77.538461538461547</v>
      </c>
      <c r="D90" s="225">
        <f ca="1">IFERROR(OFFSET(extrapolation!P99,0,OS_dist_choice-1,1,1),0)</f>
        <v>0.21291491820422229</v>
      </c>
      <c r="E90" s="225">
        <f ca="1">IFERROR(OFFSET(extrapolation!D99,0,PFS_dist_choice-1,1,1),0)</f>
        <v>8.4908765792561791E-2</v>
      </c>
      <c r="F90" s="214"/>
      <c r="G90" s="226">
        <f t="shared" ca="1" si="76"/>
        <v>84.908765792561795</v>
      </c>
      <c r="H90" s="224">
        <f t="shared" ca="1" si="77"/>
        <v>128.00615241166042</v>
      </c>
      <c r="I90" s="224">
        <f t="shared" ca="1" si="54"/>
        <v>787.0850817957778</v>
      </c>
      <c r="J90" s="227">
        <f t="shared" ca="1" si="55"/>
        <v>1000</v>
      </c>
      <c r="K90" s="238">
        <f t="shared" ca="1" si="78"/>
        <v>1.9895098010767072</v>
      </c>
      <c r="L90" s="239">
        <f t="shared" ca="1" si="79"/>
        <v>3.4532554905864572</v>
      </c>
      <c r="M90" s="238">
        <f t="shared" ca="1" si="80"/>
        <v>85.903520693100148</v>
      </c>
      <c r="N90" s="238">
        <f t="shared" ca="1" si="81"/>
        <v>128.73802525641531</v>
      </c>
      <c r="O90" s="239">
        <f t="shared" ca="1" si="82"/>
        <v>785.35845405048462</v>
      </c>
      <c r="P90" s="217"/>
      <c r="Q90" s="217"/>
      <c r="R90" s="224"/>
      <c r="S90" s="230">
        <f t="shared" ca="1" si="83"/>
        <v>1291978.3658234952</v>
      </c>
      <c r="T90" s="231">
        <f t="shared" ca="1" si="84"/>
        <v>8043.6178621707268</v>
      </c>
      <c r="U90" s="231">
        <f t="shared" ca="1" si="85"/>
        <v>13237.331655710164</v>
      </c>
      <c r="V90" s="231"/>
      <c r="W90" s="231">
        <f t="shared" ca="1" si="86"/>
        <v>32349.891436690428</v>
      </c>
      <c r="X90" s="231">
        <f t="shared" ca="1" si="87"/>
        <v>4043.7364295863035</v>
      </c>
      <c r="Y90" s="231"/>
      <c r="Z90" s="232">
        <f t="shared" ca="1" si="56"/>
        <v>1349652.943207653</v>
      </c>
      <c r="AA90" s="231">
        <f t="shared" ca="1" si="57"/>
        <v>1359.9550414541818</v>
      </c>
      <c r="AB90" s="231">
        <f t="shared" ca="1" si="88"/>
        <v>32440.014046035838</v>
      </c>
      <c r="AC90" s="231">
        <f t="shared" ca="1" si="89"/>
        <v>174530.44981138286</v>
      </c>
      <c r="AD90" s="231">
        <f t="shared" ca="1" si="90"/>
        <v>6060.0850628952385</v>
      </c>
      <c r="AE90" s="231">
        <f t="shared" ca="1" si="58"/>
        <v>98937.565152831565</v>
      </c>
      <c r="AF90" s="231">
        <f t="shared" ca="1" si="59"/>
        <v>313328.06911459967</v>
      </c>
      <c r="AG90" s="232">
        <f t="shared" ca="1" si="60"/>
        <v>1662981.0123222526</v>
      </c>
      <c r="AH90" s="243">
        <f t="shared" ca="1" si="91"/>
        <v>6.5853486089166431</v>
      </c>
      <c r="AI90" s="243">
        <f t="shared" ca="1" si="92"/>
        <v>9.8690341058990523</v>
      </c>
      <c r="AJ90" s="242">
        <f t="shared" ca="1" si="93"/>
        <v>16.454382714815694</v>
      </c>
      <c r="AK90" s="241">
        <f t="shared" ca="1" si="94"/>
        <v>4.7414509984199826</v>
      </c>
      <c r="AL90" s="243">
        <f t="shared" ca="1" si="95"/>
        <v>4.3719821089132802</v>
      </c>
      <c r="AM90" s="243"/>
      <c r="AN90" s="242">
        <f t="shared" ca="1" si="61"/>
        <v>9.1134331073332628</v>
      </c>
      <c r="AO90" s="224"/>
      <c r="AP90" s="235">
        <f t="shared" si="96"/>
        <v>6.4615384615384617</v>
      </c>
      <c r="AQ90" s="235">
        <f t="shared" si="62"/>
        <v>0.82613643995317909</v>
      </c>
      <c r="AR90" s="235">
        <f t="shared" si="63"/>
        <v>0.90827930571625537</v>
      </c>
      <c r="AT90" s="230">
        <f t="shared" ca="1" si="64"/>
        <v>1067350.4076379484</v>
      </c>
      <c r="AU90" s="231">
        <f t="shared" ca="1" si="65"/>
        <v>6645.1258249975253</v>
      </c>
      <c r="AV90" s="231">
        <f t="shared" ca="1" si="97"/>
        <v>10935.842048527917</v>
      </c>
      <c r="AW90" s="231"/>
      <c r="AX90" s="231">
        <f t="shared" ca="1" si="98"/>
        <v>26725.424144379263</v>
      </c>
      <c r="AY90" s="231">
        <f t="shared" ca="1" si="99"/>
        <v>3340.6780180474079</v>
      </c>
      <c r="AZ90" s="231"/>
      <c r="BA90" s="232">
        <f t="shared" ca="1" si="66"/>
        <v>1114997.4776739005</v>
      </c>
      <c r="BB90" s="231">
        <f t="shared" ca="1" si="67"/>
        <v>1123.5084164433358</v>
      </c>
      <c r="BC90" s="231">
        <f t="shared" ca="1" si="100"/>
        <v>26799.877716023173</v>
      </c>
      <c r="BD90" s="231">
        <f t="shared" ca="1" si="101"/>
        <v>144185.96447060283</v>
      </c>
      <c r="BE90" s="231">
        <f t="shared" ca="1" si="102"/>
        <v>5006.4570996737093</v>
      </c>
      <c r="BF90" s="231">
        <f t="shared" ca="1" si="68"/>
        <v>81735.927852995985</v>
      </c>
      <c r="BG90" s="231">
        <f t="shared" ca="1" si="69"/>
        <v>258851.73555573903</v>
      </c>
      <c r="BH90" s="232">
        <f t="shared" ca="1" si="70"/>
        <v>1373849.2132296397</v>
      </c>
      <c r="BI90" s="243">
        <f t="shared" ca="1" si="103"/>
        <v>5.9813358624063167</v>
      </c>
      <c r="BJ90" s="243">
        <f t="shared" ca="1" si="104"/>
        <v>8.9638394457960366</v>
      </c>
      <c r="BK90" s="242">
        <f t="shared" ca="1" si="105"/>
        <v>14.945175308202352</v>
      </c>
      <c r="BL90" s="241">
        <f t="shared" ca="1" si="106"/>
        <v>4.306561820932548</v>
      </c>
      <c r="BM90" s="243">
        <f t="shared" ca="1" si="107"/>
        <v>3.970980874487644</v>
      </c>
      <c r="BN90" s="243">
        <f t="shared" si="71"/>
        <v>0</v>
      </c>
      <c r="BO90" s="242">
        <f t="shared" ca="1" si="72"/>
        <v>8.2775426954201912</v>
      </c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</row>
    <row r="91" spans="1:80" ht="12" customHeight="1" x14ac:dyDescent="0.15">
      <c r="A91" s="213">
        <f t="shared" si="73"/>
        <v>85</v>
      </c>
      <c r="B91" s="67">
        <f t="shared" si="74"/>
        <v>340</v>
      </c>
      <c r="C91" s="224">
        <f t="shared" si="75"/>
        <v>78.461538461538453</v>
      </c>
      <c r="D91" s="225">
        <f ca="1">IFERROR(OFFSET(extrapolation!P100,0,OS_dist_choice-1,1,1),0)</f>
        <v>0.20954219620479894</v>
      </c>
      <c r="E91" s="225">
        <f ca="1">IFERROR(OFFSET(extrapolation!D100,0,PFS_dist_choice-1,1,1),0)</f>
        <v>8.2973134555497485E-2</v>
      </c>
      <c r="F91" s="214"/>
      <c r="G91" s="226">
        <f t="shared" ca="1" si="76"/>
        <v>82.973134555497481</v>
      </c>
      <c r="H91" s="224">
        <f t="shared" ca="1" si="77"/>
        <v>126.56906164930149</v>
      </c>
      <c r="I91" s="224">
        <f t="shared" ca="1" si="54"/>
        <v>790.45780379520102</v>
      </c>
      <c r="J91" s="227">
        <f t="shared" ca="1" si="55"/>
        <v>1000</v>
      </c>
      <c r="K91" s="238">
        <f t="shared" ca="1" si="78"/>
        <v>1.9356312370643138</v>
      </c>
      <c r="L91" s="239">
        <f t="shared" ca="1" si="79"/>
        <v>3.37272199942322</v>
      </c>
      <c r="M91" s="238">
        <f t="shared" ca="1" si="80"/>
        <v>83.940950174029638</v>
      </c>
      <c r="N91" s="238">
        <f t="shared" ca="1" si="81"/>
        <v>127.28760703048096</v>
      </c>
      <c r="O91" s="239">
        <f t="shared" ca="1" si="82"/>
        <v>788.77144279548941</v>
      </c>
      <c r="P91" s="217"/>
      <c r="Q91" s="217"/>
      <c r="R91" s="224"/>
      <c r="S91" s="230">
        <f t="shared" ca="1" si="83"/>
        <v>1262525.6507927659</v>
      </c>
      <c r="T91" s="231">
        <f t="shared" ca="1" si="84"/>
        <v>7860.2507168860639</v>
      </c>
      <c r="U91" s="231">
        <f t="shared" ca="1" si="85"/>
        <v>12934.90869738382</v>
      </c>
      <c r="V91" s="231"/>
      <c r="W91" s="231">
        <f t="shared" ca="1" si="86"/>
        <v>31610.818780336776</v>
      </c>
      <c r="X91" s="231">
        <f t="shared" ca="1" si="87"/>
        <v>3951.352347542097</v>
      </c>
      <c r="Y91" s="231"/>
      <c r="Z91" s="232">
        <f t="shared" ca="1" si="56"/>
        <v>1318882.9813349145</v>
      </c>
      <c r="AA91" s="231">
        <f t="shared" ca="1" si="57"/>
        <v>1323.1256552831201</v>
      </c>
      <c r="AB91" s="231">
        <f t="shared" ca="1" si="88"/>
        <v>32074.53082902811</v>
      </c>
      <c r="AC91" s="231">
        <f t="shared" ca="1" si="89"/>
        <v>172564.11434147993</v>
      </c>
      <c r="AD91" s="231">
        <f t="shared" ca="1" si="90"/>
        <v>5991.8095257458299</v>
      </c>
      <c r="AE91" s="231">
        <f t="shared" ca="1" si="58"/>
        <v>96630.238761642759</v>
      </c>
      <c r="AF91" s="231">
        <f t="shared" ca="1" si="59"/>
        <v>308583.81911317975</v>
      </c>
      <c r="AG91" s="232">
        <f t="shared" ca="1" si="60"/>
        <v>1627466.8004480943</v>
      </c>
      <c r="AH91" s="243">
        <f t="shared" ca="1" si="91"/>
        <v>6.4348983021843384</v>
      </c>
      <c r="AI91" s="243">
        <f t="shared" ca="1" si="92"/>
        <v>9.7578453028157881</v>
      </c>
      <c r="AJ91" s="242">
        <f t="shared" ca="1" si="93"/>
        <v>16.192743605000125</v>
      </c>
      <c r="AK91" s="241">
        <f t="shared" ca="1" si="94"/>
        <v>4.6331267775727234</v>
      </c>
      <c r="AL91" s="243">
        <f t="shared" ca="1" si="95"/>
        <v>4.322725469147394</v>
      </c>
      <c r="AM91" s="243"/>
      <c r="AN91" s="242">
        <f t="shared" ca="1" si="61"/>
        <v>8.9558522467201165</v>
      </c>
      <c r="AO91" s="224"/>
      <c r="AP91" s="235">
        <f t="shared" si="96"/>
        <v>6.5384615384615383</v>
      </c>
      <c r="AQ91" s="235">
        <f t="shared" si="62"/>
        <v>0.82426014283036597</v>
      </c>
      <c r="AR91" s="235">
        <f t="shared" si="63"/>
        <v>0.90723966896492836</v>
      </c>
      <c r="AT91" s="230">
        <f t="shared" ca="1" si="64"/>
        <v>1040649.573249446</v>
      </c>
      <c r="AU91" s="231">
        <f t="shared" ca="1" si="65"/>
        <v>6478.8913785829936</v>
      </c>
      <c r="AV91" s="231">
        <f t="shared" ca="1" si="97"/>
        <v>10661.72969040333</v>
      </c>
      <c r="AW91" s="231"/>
      <c r="AX91" s="231">
        <f t="shared" ca="1" si="98"/>
        <v>26055.538002865207</v>
      </c>
      <c r="AY91" s="231">
        <f t="shared" ca="1" si="99"/>
        <v>3256.9422503581509</v>
      </c>
      <c r="AZ91" s="231"/>
      <c r="BA91" s="232">
        <f t="shared" ca="1" si="66"/>
        <v>1087102.6745716555</v>
      </c>
      <c r="BB91" s="231">
        <f t="shared" ca="1" si="67"/>
        <v>1090.5997416061862</v>
      </c>
      <c r="BC91" s="231">
        <f t="shared" ca="1" si="100"/>
        <v>26437.757362351687</v>
      </c>
      <c r="BD91" s="231">
        <f t="shared" ca="1" si="101"/>
        <v>142237.72153450386</v>
      </c>
      <c r="BE91" s="231">
        <f t="shared" ca="1" si="102"/>
        <v>4938.8097755036051</v>
      </c>
      <c r="BF91" s="231">
        <f t="shared" ca="1" si="68"/>
        <v>79648.45440340403</v>
      </c>
      <c r="BG91" s="231">
        <f t="shared" ca="1" si="69"/>
        <v>254353.34281736935</v>
      </c>
      <c r="BH91" s="232">
        <f t="shared" ca="1" si="70"/>
        <v>1341456.0173890248</v>
      </c>
      <c r="BI91" s="243">
        <f t="shared" ca="1" si="103"/>
        <v>5.8379950054966985</v>
      </c>
      <c r="BJ91" s="243">
        <f t="shared" ca="1" si="104"/>
        <v>8.8527043423375762</v>
      </c>
      <c r="BK91" s="242">
        <f t="shared" ca="1" si="105"/>
        <v>14.690699347834274</v>
      </c>
      <c r="BL91" s="241">
        <f t="shared" ca="1" si="106"/>
        <v>4.2033564039576232</v>
      </c>
      <c r="BM91" s="243">
        <f t="shared" ca="1" si="107"/>
        <v>3.9217480236555464</v>
      </c>
      <c r="BN91" s="243">
        <f t="shared" si="71"/>
        <v>0</v>
      </c>
      <c r="BO91" s="242">
        <f t="shared" ca="1" si="72"/>
        <v>8.1251044276131683</v>
      </c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</row>
    <row r="92" spans="1:80" ht="12" customHeight="1" x14ac:dyDescent="0.15">
      <c r="A92" s="213">
        <f t="shared" si="73"/>
        <v>86</v>
      </c>
      <c r="B92" s="67">
        <f t="shared" si="74"/>
        <v>344</v>
      </c>
      <c r="C92" s="224">
        <f t="shared" si="75"/>
        <v>79.384615384615387</v>
      </c>
      <c r="D92" s="225">
        <f ca="1">IFERROR(OFFSET(extrapolation!P101,0,OS_dist_choice-1,1,1),0)</f>
        <v>0.2062476622428901</v>
      </c>
      <c r="E92" s="225">
        <f ca="1">IFERROR(OFFSET(extrapolation!D101,0,PFS_dist_choice-1,1,1),0)</f>
        <v>8.1089664521980964E-2</v>
      </c>
      <c r="F92" s="214"/>
      <c r="G92" s="226">
        <f t="shared" ca="1" si="76"/>
        <v>81.089664521980964</v>
      </c>
      <c r="H92" s="224">
        <f t="shared" ca="1" si="77"/>
        <v>125.15799772090918</v>
      </c>
      <c r="I92" s="224">
        <f t="shared" ca="1" si="54"/>
        <v>793.7523377571099</v>
      </c>
      <c r="J92" s="227">
        <f t="shared" ca="1" si="55"/>
        <v>1000</v>
      </c>
      <c r="K92" s="238">
        <f t="shared" ca="1" si="78"/>
        <v>1.8834700335165167</v>
      </c>
      <c r="L92" s="239">
        <f t="shared" ca="1" si="79"/>
        <v>3.2945339619088827</v>
      </c>
      <c r="M92" s="238">
        <f t="shared" ca="1" si="80"/>
        <v>82.031399538739223</v>
      </c>
      <c r="N92" s="238">
        <f t="shared" ca="1" si="81"/>
        <v>125.86352968510533</v>
      </c>
      <c r="O92" s="239">
        <f t="shared" ca="1" si="82"/>
        <v>792.10507077615546</v>
      </c>
      <c r="P92" s="217"/>
      <c r="Q92" s="217"/>
      <c r="R92" s="224"/>
      <c r="S92" s="230">
        <f t="shared" ca="1" si="83"/>
        <v>1233866.6246808427</v>
      </c>
      <c r="T92" s="231">
        <f t="shared" ca="1" si="84"/>
        <v>7681.8249317148475</v>
      </c>
      <c r="U92" s="231">
        <f t="shared" ca="1" si="85"/>
        <v>12640.655855721865</v>
      </c>
      <c r="V92" s="231"/>
      <c r="W92" s="231">
        <f t="shared" ca="1" si="86"/>
        <v>30891.71256389657</v>
      </c>
      <c r="X92" s="231">
        <f t="shared" ca="1" si="87"/>
        <v>3861.4640704870712</v>
      </c>
      <c r="Y92" s="231"/>
      <c r="Z92" s="232">
        <f t="shared" ca="1" si="56"/>
        <v>1288942.2821026631</v>
      </c>
      <c r="AA92" s="231">
        <f t="shared" ca="1" si="57"/>
        <v>1287.4701929703665</v>
      </c>
      <c r="AB92" s="231">
        <f t="shared" ca="1" si="88"/>
        <v>31715.685111186678</v>
      </c>
      <c r="AC92" s="231">
        <f t="shared" ca="1" si="89"/>
        <v>170633.48926656856</v>
      </c>
      <c r="AD92" s="231">
        <f t="shared" ca="1" si="90"/>
        <v>5924.7739328669632</v>
      </c>
      <c r="AE92" s="231">
        <f t="shared" ca="1" si="58"/>
        <v>94390.110836896289</v>
      </c>
      <c r="AF92" s="231">
        <f t="shared" ca="1" si="59"/>
        <v>303951.52934048884</v>
      </c>
      <c r="AG92" s="232">
        <f t="shared" ca="1" si="60"/>
        <v>1592893.8114431519</v>
      </c>
      <c r="AH92" s="243">
        <f t="shared" ca="1" si="91"/>
        <v>6.2885124903071814</v>
      </c>
      <c r="AI92" s="243">
        <f t="shared" ca="1" si="92"/>
        <v>9.6486757869485267</v>
      </c>
      <c r="AJ92" s="242">
        <f t="shared" ca="1" si="93"/>
        <v>15.937188277255707</v>
      </c>
      <c r="AK92" s="241">
        <f t="shared" ca="1" si="94"/>
        <v>4.5277289930211708</v>
      </c>
      <c r="AL92" s="243">
        <f t="shared" ca="1" si="95"/>
        <v>4.274363373618197</v>
      </c>
      <c r="AM92" s="243"/>
      <c r="AN92" s="242">
        <f t="shared" ca="1" si="61"/>
        <v>8.8020923666393678</v>
      </c>
      <c r="AO92" s="224"/>
      <c r="AP92" s="235">
        <f t="shared" si="96"/>
        <v>6.615384615384615</v>
      </c>
      <c r="AQ92" s="235">
        <f t="shared" si="62"/>
        <v>0.82238810709916188</v>
      </c>
      <c r="AR92" s="235">
        <f t="shared" si="63"/>
        <v>0.90620122220501464</v>
      </c>
      <c r="AT92" s="230">
        <f t="shared" ca="1" si="64"/>
        <v>1014717.2378841103</v>
      </c>
      <c r="AU92" s="231">
        <f t="shared" ca="1" si="65"/>
        <v>6317.4414646601217</v>
      </c>
      <c r="AV92" s="231">
        <f t="shared" ca="1" si="97"/>
        <v>10395.52504167904</v>
      </c>
      <c r="AW92" s="231"/>
      <c r="AX92" s="231">
        <f t="shared" ca="1" si="98"/>
        <v>25404.977020474296</v>
      </c>
      <c r="AY92" s="231">
        <f t="shared" ca="1" si="99"/>
        <v>3175.622127559287</v>
      </c>
      <c r="AZ92" s="231"/>
      <c r="BA92" s="232">
        <f t="shared" ca="1" si="66"/>
        <v>1060010.8035384831</v>
      </c>
      <c r="BB92" s="231">
        <f t="shared" ca="1" si="67"/>
        <v>1058.8001749434923</v>
      </c>
      <c r="BC92" s="231">
        <f t="shared" ca="1" si="100"/>
        <v>26082.602243941885</v>
      </c>
      <c r="BD92" s="231">
        <f t="shared" ca="1" si="101"/>
        <v>140326.95224565847</v>
      </c>
      <c r="BE92" s="231">
        <f t="shared" ca="1" si="102"/>
        <v>4872.4636196409183</v>
      </c>
      <c r="BF92" s="231">
        <f t="shared" ca="1" si="68"/>
        <v>77625.304580035227</v>
      </c>
      <c r="BG92" s="231">
        <f t="shared" ca="1" si="69"/>
        <v>249966.12286421997</v>
      </c>
      <c r="BH92" s="232">
        <f t="shared" ca="1" si="70"/>
        <v>1309976.9264027029</v>
      </c>
      <c r="BI92" s="243">
        <f t="shared" ca="1" si="103"/>
        <v>5.6986577045678679</v>
      </c>
      <c r="BJ92" s="243">
        <f t="shared" ca="1" si="104"/>
        <v>8.7436417907926867</v>
      </c>
      <c r="BK92" s="242">
        <f t="shared" ca="1" si="105"/>
        <v>14.442299495360553</v>
      </c>
      <c r="BL92" s="241">
        <f t="shared" ca="1" si="106"/>
        <v>4.1030335472888648</v>
      </c>
      <c r="BM92" s="243">
        <f t="shared" ca="1" si="107"/>
        <v>3.8734333133211596</v>
      </c>
      <c r="BN92" s="243">
        <f t="shared" si="71"/>
        <v>0</v>
      </c>
      <c r="BO92" s="242">
        <f t="shared" ca="1" si="72"/>
        <v>7.9764668606100253</v>
      </c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</row>
    <row r="93" spans="1:80" ht="12" customHeight="1" x14ac:dyDescent="0.15">
      <c r="A93" s="213">
        <f t="shared" si="73"/>
        <v>87</v>
      </c>
      <c r="B93" s="67">
        <f t="shared" si="74"/>
        <v>348</v>
      </c>
      <c r="C93" s="224">
        <f t="shared" si="75"/>
        <v>80.307692307692307</v>
      </c>
      <c r="D93" s="225">
        <f ca="1">IFERROR(OFFSET(extrapolation!P102,0,OS_dist_choice-1,1,1),0)</f>
        <v>0.20302904777161165</v>
      </c>
      <c r="E93" s="225">
        <f ca="1">IFERROR(OFFSET(extrapolation!D102,0,PFS_dist_choice-1,1,1),0)</f>
        <v>7.9256702249861699E-2</v>
      </c>
      <c r="F93" s="214"/>
      <c r="G93" s="226">
        <f t="shared" ca="1" si="76"/>
        <v>79.256702249861704</v>
      </c>
      <c r="H93" s="224">
        <f t="shared" ca="1" si="77"/>
        <v>123.77234552174991</v>
      </c>
      <c r="I93" s="224">
        <f t="shared" ca="1" si="54"/>
        <v>796.97095222838834</v>
      </c>
      <c r="J93" s="227">
        <f t="shared" ca="1" si="55"/>
        <v>1000</v>
      </c>
      <c r="K93" s="238">
        <f t="shared" ca="1" si="78"/>
        <v>1.8329622721192607</v>
      </c>
      <c r="L93" s="239">
        <f t="shared" ca="1" si="79"/>
        <v>3.2186144712784426</v>
      </c>
      <c r="M93" s="238">
        <f t="shared" ca="1" si="80"/>
        <v>80.173183385921334</v>
      </c>
      <c r="N93" s="238">
        <f t="shared" ca="1" si="81"/>
        <v>124.46517162132955</v>
      </c>
      <c r="O93" s="239">
        <f t="shared" ca="1" si="82"/>
        <v>795.36164499274912</v>
      </c>
      <c r="P93" s="217"/>
      <c r="Q93" s="217"/>
      <c r="R93" s="224"/>
      <c r="S93" s="230">
        <f t="shared" ca="1" si="83"/>
        <v>1205976.1285837223</v>
      </c>
      <c r="T93" s="231">
        <f t="shared" ca="1" si="84"/>
        <v>7508.1838719834723</v>
      </c>
      <c r="U93" s="231">
        <f t="shared" ca="1" si="85"/>
        <v>12354.313418248008</v>
      </c>
      <c r="V93" s="231"/>
      <c r="W93" s="231">
        <f t="shared" ca="1" si="86"/>
        <v>30191.9380922038</v>
      </c>
      <c r="X93" s="231">
        <f t="shared" ca="1" si="87"/>
        <v>3773.992261525475</v>
      </c>
      <c r="Y93" s="231"/>
      <c r="Z93" s="232">
        <f t="shared" ca="1" si="56"/>
        <v>1259804.5562276831</v>
      </c>
      <c r="AA93" s="231">
        <f t="shared" ca="1" si="57"/>
        <v>1252.9449623293362</v>
      </c>
      <c r="AB93" s="231">
        <f t="shared" ca="1" si="88"/>
        <v>31363.320259077736</v>
      </c>
      <c r="AC93" s="231">
        <f t="shared" ca="1" si="89"/>
        <v>168737.73188344837</v>
      </c>
      <c r="AD93" s="231">
        <f t="shared" ca="1" si="90"/>
        <v>5858.9490237308455</v>
      </c>
      <c r="AE93" s="231">
        <f t="shared" ca="1" si="58"/>
        <v>92214.977959791009</v>
      </c>
      <c r="AF93" s="231">
        <f t="shared" ca="1" si="59"/>
        <v>299427.92408837733</v>
      </c>
      <c r="AG93" s="232">
        <f t="shared" ca="1" si="60"/>
        <v>1559232.4803160604</v>
      </c>
      <c r="AH93" s="243">
        <f t="shared" ca="1" si="91"/>
        <v>6.1460619707208686</v>
      </c>
      <c r="AI93" s="243">
        <f t="shared" ca="1" si="92"/>
        <v>9.5414779066316964</v>
      </c>
      <c r="AJ93" s="242">
        <f t="shared" ca="1" si="93"/>
        <v>15.687539877352565</v>
      </c>
      <c r="AK93" s="241">
        <f t="shared" ca="1" si="94"/>
        <v>4.425164618919025</v>
      </c>
      <c r="AL93" s="243">
        <f t="shared" ca="1" si="95"/>
        <v>4.2268747126378416</v>
      </c>
      <c r="AM93" s="243"/>
      <c r="AN93" s="242">
        <f t="shared" ca="1" si="61"/>
        <v>8.6520393315568676</v>
      </c>
      <c r="AO93" s="224"/>
      <c r="AP93" s="235">
        <f t="shared" si="96"/>
        <v>6.6923076923076925</v>
      </c>
      <c r="AQ93" s="235">
        <f t="shared" si="62"/>
        <v>0.8205203230812177</v>
      </c>
      <c r="AR93" s="235">
        <f t="shared" si="63"/>
        <v>0.90516396407442379</v>
      </c>
      <c r="AT93" s="230">
        <f t="shared" ca="1" si="64"/>
        <v>989527.92265375191</v>
      </c>
      <c r="AU93" s="231">
        <f t="shared" ca="1" si="65"/>
        <v>6160.6174563930663</v>
      </c>
      <c r="AV93" s="231">
        <f t="shared" ca="1" si="97"/>
        <v>10136.965237387478</v>
      </c>
      <c r="AW93" s="231"/>
      <c r="AX93" s="231">
        <f t="shared" ca="1" si="98"/>
        <v>24773.098797863186</v>
      </c>
      <c r="AY93" s="231">
        <f t="shared" ca="1" si="99"/>
        <v>3096.6373497328982</v>
      </c>
      <c r="AZ93" s="231"/>
      <c r="BA93" s="232">
        <f t="shared" ca="1" si="66"/>
        <v>1033695.2414951286</v>
      </c>
      <c r="BB93" s="231">
        <f t="shared" ca="1" si="67"/>
        <v>1028.0668052934511</v>
      </c>
      <c r="BC93" s="231">
        <f t="shared" ca="1" si="100"/>
        <v>25734.241671878164</v>
      </c>
      <c r="BD93" s="231">
        <f t="shared" ca="1" si="101"/>
        <v>138452.73828099895</v>
      </c>
      <c r="BE93" s="231">
        <f t="shared" ca="1" si="102"/>
        <v>4807.3867458680188</v>
      </c>
      <c r="BF93" s="231">
        <f t="shared" ca="1" si="68"/>
        <v>75664.263508495089</v>
      </c>
      <c r="BG93" s="231">
        <f t="shared" ca="1" si="69"/>
        <v>245686.6970125337</v>
      </c>
      <c r="BH93" s="232">
        <f t="shared" ca="1" si="70"/>
        <v>1279381.9385076622</v>
      </c>
      <c r="BI93" s="243">
        <f t="shared" ca="1" si="103"/>
        <v>5.5631938168647661</v>
      </c>
      <c r="BJ93" s="243">
        <f t="shared" ca="1" si="104"/>
        <v>8.6366019650952808</v>
      </c>
      <c r="BK93" s="242">
        <f t="shared" ca="1" si="105"/>
        <v>14.199795781960047</v>
      </c>
      <c r="BL93" s="241">
        <f t="shared" ca="1" si="106"/>
        <v>4.0054995481426312</v>
      </c>
      <c r="BM93" s="243">
        <f t="shared" ca="1" si="107"/>
        <v>3.8260146705372096</v>
      </c>
      <c r="BN93" s="243">
        <f t="shared" si="71"/>
        <v>0</v>
      </c>
      <c r="BO93" s="242">
        <f t="shared" ca="1" si="72"/>
        <v>7.8315142186798417</v>
      </c>
      <c r="BP93" s="67"/>
      <c r="BQ93" s="67"/>
      <c r="BR93" s="67"/>
      <c r="BS93" s="67"/>
      <c r="BT93" s="67"/>
      <c r="BU93" s="67"/>
      <c r="BV93" s="67"/>
      <c r="BW93" s="67"/>
      <c r="BX93" s="67"/>
      <c r="BY93" s="67"/>
      <c r="BZ93" s="67"/>
      <c r="CA93" s="67"/>
      <c r="CB93" s="67"/>
    </row>
    <row r="94" spans="1:80" ht="12" customHeight="1" x14ac:dyDescent="0.15">
      <c r="A94" s="213">
        <f t="shared" si="73"/>
        <v>88</v>
      </c>
      <c r="B94" s="67">
        <f t="shared" si="74"/>
        <v>352</v>
      </c>
      <c r="C94" s="224">
        <f t="shared" si="75"/>
        <v>81.230769230769226</v>
      </c>
      <c r="D94" s="225">
        <f ca="1">IFERROR(OFFSET(extrapolation!P103,0,OS_dist_choice-1,1,1),0)</f>
        <v>0.19988415863741543</v>
      </c>
      <c r="E94" s="225">
        <f ca="1">IFERROR(OFFSET(extrapolation!D103,0,PFS_dist_choice-1,1,1),0)</f>
        <v>7.7472655465786522E-2</v>
      </c>
      <c r="F94" s="214"/>
      <c r="G94" s="226">
        <f t="shared" ca="1" si="76"/>
        <v>77.472655465786517</v>
      </c>
      <c r="H94" s="224">
        <f t="shared" ca="1" si="77"/>
        <v>122.41150317162885</v>
      </c>
      <c r="I94" s="224">
        <f t="shared" ca="1" si="54"/>
        <v>800.11584136258466</v>
      </c>
      <c r="J94" s="227">
        <f t="shared" ca="1" si="55"/>
        <v>1000</v>
      </c>
      <c r="K94" s="238">
        <f t="shared" ca="1" si="78"/>
        <v>1.784046784075187</v>
      </c>
      <c r="L94" s="239">
        <f t="shared" ca="1" si="79"/>
        <v>3.144889134196319</v>
      </c>
      <c r="M94" s="238">
        <f t="shared" ca="1" si="80"/>
        <v>78.364678857824117</v>
      </c>
      <c r="N94" s="238">
        <f t="shared" ca="1" si="81"/>
        <v>123.09192434668938</v>
      </c>
      <c r="O94" s="239">
        <f t="shared" ca="1" si="82"/>
        <v>798.5433967954865</v>
      </c>
      <c r="P94" s="217"/>
      <c r="Q94" s="217"/>
      <c r="R94" s="224"/>
      <c r="S94" s="230">
        <f t="shared" ca="1" si="83"/>
        <v>1178829.9343465657</v>
      </c>
      <c r="T94" s="231">
        <f t="shared" ca="1" si="84"/>
        <v>7339.1766976901381</v>
      </c>
      <c r="U94" s="231">
        <f t="shared" ca="1" si="85"/>
        <v>12075.631310156024</v>
      </c>
      <c r="V94" s="231"/>
      <c r="W94" s="231">
        <f t="shared" ca="1" si="86"/>
        <v>29510.884222994839</v>
      </c>
      <c r="X94" s="231">
        <f t="shared" ca="1" si="87"/>
        <v>3688.8605278743548</v>
      </c>
      <c r="Y94" s="231"/>
      <c r="Z94" s="232">
        <f t="shared" ca="1" si="56"/>
        <v>1231444.4871052811</v>
      </c>
      <c r="AA94" s="231">
        <f t="shared" ca="1" si="57"/>
        <v>1219.5081506409858</v>
      </c>
      <c r="AB94" s="231">
        <f t="shared" ca="1" si="88"/>
        <v>31017.282941903748</v>
      </c>
      <c r="AC94" s="231">
        <f t="shared" ca="1" si="89"/>
        <v>166876.01725742524</v>
      </c>
      <c r="AD94" s="231">
        <f t="shared" ca="1" si="90"/>
        <v>5794.3061547717098</v>
      </c>
      <c r="AE94" s="231">
        <f t="shared" ca="1" si="58"/>
        <v>90102.708722585419</v>
      </c>
      <c r="AF94" s="231">
        <f t="shared" ca="1" si="59"/>
        <v>295009.82322732708</v>
      </c>
      <c r="AG94" s="232">
        <f t="shared" ca="1" si="60"/>
        <v>1526454.3103326082</v>
      </c>
      <c r="AH94" s="243">
        <f t="shared" ca="1" si="91"/>
        <v>6.007422335438946</v>
      </c>
      <c r="AI94" s="243">
        <f t="shared" ca="1" si="92"/>
        <v>9.4362050149412795</v>
      </c>
      <c r="AJ94" s="242">
        <f t="shared" ca="1" si="93"/>
        <v>15.443627350380225</v>
      </c>
      <c r="AK94" s="241">
        <f t="shared" ca="1" si="94"/>
        <v>4.3253440815160413</v>
      </c>
      <c r="AL94" s="243">
        <f t="shared" ca="1" si="95"/>
        <v>4.1802388216189872</v>
      </c>
      <c r="AM94" s="243"/>
      <c r="AN94" s="242">
        <f t="shared" ca="1" si="61"/>
        <v>8.5055829031350285</v>
      </c>
      <c r="AO94" s="224"/>
      <c r="AP94" s="235">
        <f t="shared" si="96"/>
        <v>6.7692307692307692</v>
      </c>
      <c r="AQ94" s="235">
        <f t="shared" si="62"/>
        <v>0.8186567811201656</v>
      </c>
      <c r="AR94" s="235">
        <f t="shared" si="63"/>
        <v>0.90412789321262377</v>
      </c>
      <c r="AT94" s="230">
        <f t="shared" ca="1" si="64"/>
        <v>965057.11954025563</v>
      </c>
      <c r="AU94" s="231">
        <f t="shared" ca="1" si="65"/>
        <v>6008.266771403135</v>
      </c>
      <c r="AV94" s="231">
        <f t="shared" ca="1" si="97"/>
        <v>9885.7974583662199</v>
      </c>
      <c r="AW94" s="231"/>
      <c r="AX94" s="231">
        <f t="shared" ca="1" si="98"/>
        <v>24159.285486006833</v>
      </c>
      <c r="AY94" s="231">
        <f t="shared" ca="1" si="99"/>
        <v>3019.9106857508541</v>
      </c>
      <c r="AZ94" s="231"/>
      <c r="BA94" s="232">
        <f t="shared" ca="1" si="66"/>
        <v>1008130.3799417827</v>
      </c>
      <c r="BB94" s="231">
        <f t="shared" ca="1" si="67"/>
        <v>998.35861715355543</v>
      </c>
      <c r="BC94" s="231">
        <f t="shared" ca="1" si="100"/>
        <v>25392.509012312345</v>
      </c>
      <c r="BD94" s="231">
        <f t="shared" ca="1" si="101"/>
        <v>136614.18313411696</v>
      </c>
      <c r="BE94" s="231">
        <f t="shared" ca="1" si="102"/>
        <v>4743.5480254901722</v>
      </c>
      <c r="BF94" s="231">
        <f t="shared" ca="1" si="68"/>
        <v>73763.193493039653</v>
      </c>
      <c r="BG94" s="231">
        <f t="shared" ca="1" si="69"/>
        <v>241511.79228211264</v>
      </c>
      <c r="BH94" s="232">
        <f t="shared" ca="1" si="70"/>
        <v>1249642.1722238953</v>
      </c>
      <c r="BI94" s="243">
        <f t="shared" ca="1" si="103"/>
        <v>5.4314780997788743</v>
      </c>
      <c r="BJ94" s="243">
        <f t="shared" ca="1" si="104"/>
        <v>8.531536160081254</v>
      </c>
      <c r="BK94" s="242">
        <f t="shared" ca="1" si="105"/>
        <v>13.963014259860127</v>
      </c>
      <c r="BL94" s="241">
        <f t="shared" ca="1" si="106"/>
        <v>3.9106642318407898</v>
      </c>
      <c r="BM94" s="243">
        <f t="shared" ca="1" si="107"/>
        <v>3.7794705189159958</v>
      </c>
      <c r="BN94" s="243">
        <f t="shared" si="71"/>
        <v>0</v>
      </c>
      <c r="BO94" s="242">
        <f t="shared" ca="1" si="72"/>
        <v>7.6901347507567852</v>
      </c>
      <c r="BP94" s="67"/>
      <c r="BQ94" s="67"/>
      <c r="BR94" s="67"/>
      <c r="BS94" s="67"/>
      <c r="BT94" s="67"/>
      <c r="BU94" s="67"/>
      <c r="BV94" s="67"/>
      <c r="BW94" s="67"/>
      <c r="BX94" s="67"/>
      <c r="BY94" s="67"/>
      <c r="BZ94" s="67"/>
      <c r="CA94" s="67"/>
      <c r="CB94" s="67"/>
    </row>
    <row r="95" spans="1:80" ht="12" customHeight="1" x14ac:dyDescent="0.15">
      <c r="A95" s="213">
        <f t="shared" si="73"/>
        <v>89</v>
      </c>
      <c r="B95" s="67">
        <f t="shared" si="74"/>
        <v>356</v>
      </c>
      <c r="C95" s="224">
        <f t="shared" si="75"/>
        <v>82.153846153846146</v>
      </c>
      <c r="D95" s="225">
        <f ca="1">IFERROR(OFFSET(extrapolation!P104,0,OS_dist_choice-1,1,1),0)</f>
        <v>0.19681087262448785</v>
      </c>
      <c r="E95" s="225">
        <f ca="1">IFERROR(OFFSET(extrapolation!D104,0,PFS_dist_choice-1,1,1),0)</f>
        <v>7.5735990450777058E-2</v>
      </c>
      <c r="F95" s="214"/>
      <c r="G95" s="226">
        <f t="shared" ca="1" si="76"/>
        <v>75.735990450777052</v>
      </c>
      <c r="H95" s="224">
        <f t="shared" ca="1" si="77"/>
        <v>121.07488217371076</v>
      </c>
      <c r="I95" s="224">
        <f t="shared" ca="1" si="54"/>
        <v>803.18912737551216</v>
      </c>
      <c r="J95" s="227">
        <f t="shared" ca="1" si="55"/>
        <v>1000</v>
      </c>
      <c r="K95" s="238">
        <f t="shared" ca="1" si="78"/>
        <v>1.7366650150094642</v>
      </c>
      <c r="L95" s="239">
        <f t="shared" ca="1" si="79"/>
        <v>3.0732860129274968</v>
      </c>
      <c r="M95" s="238">
        <f t="shared" ca="1" si="80"/>
        <v>76.604322958281784</v>
      </c>
      <c r="N95" s="238">
        <f t="shared" ca="1" si="81"/>
        <v>121.74319267266981</v>
      </c>
      <c r="O95" s="239">
        <f t="shared" ca="1" si="82"/>
        <v>801.65248436904835</v>
      </c>
      <c r="P95" s="217"/>
      <c r="Q95" s="217"/>
      <c r="R95" s="224"/>
      <c r="S95" s="230">
        <f t="shared" ca="1" si="83"/>
        <v>1152404.7047824431</v>
      </c>
      <c r="T95" s="231">
        <f t="shared" ca="1" si="84"/>
        <v>7174.6581158341187</v>
      </c>
      <c r="U95" s="231">
        <f t="shared" ca="1" si="85"/>
        <v>11804.36868103075</v>
      </c>
      <c r="V95" s="231"/>
      <c r="W95" s="231">
        <f t="shared" ca="1" si="86"/>
        <v>28847.962356921587</v>
      </c>
      <c r="X95" s="231">
        <f t="shared" ca="1" si="87"/>
        <v>3605.9952946151984</v>
      </c>
      <c r="Y95" s="231"/>
      <c r="Z95" s="232">
        <f t="shared" ca="1" si="56"/>
        <v>1203837.6892308448</v>
      </c>
      <c r="AA95" s="231">
        <f t="shared" ca="1" si="57"/>
        <v>1187.1197323084525</v>
      </c>
      <c r="AB95" s="231">
        <f t="shared" ca="1" si="88"/>
        <v>30677.423181258957</v>
      </c>
      <c r="AC95" s="231">
        <f t="shared" ca="1" si="89"/>
        <v>165047.53849000088</v>
      </c>
      <c r="AD95" s="231">
        <f t="shared" ca="1" si="90"/>
        <v>5730.8173086805855</v>
      </c>
      <c r="AE95" s="231">
        <f t="shared" ca="1" si="58"/>
        <v>88051.242071770917</v>
      </c>
      <c r="AF95" s="231">
        <f t="shared" ca="1" si="59"/>
        <v>290694.14078401984</v>
      </c>
      <c r="AG95" s="232">
        <f t="shared" ca="1" si="60"/>
        <v>1494531.8300148647</v>
      </c>
      <c r="AH95" s="243">
        <f t="shared" ca="1" si="91"/>
        <v>5.8724737654534982</v>
      </c>
      <c r="AI95" s="243">
        <f t="shared" ca="1" si="92"/>
        <v>9.3328114848316339</v>
      </c>
      <c r="AJ95" s="242">
        <f t="shared" ca="1" si="93"/>
        <v>15.205285250285133</v>
      </c>
      <c r="AK95" s="241">
        <f t="shared" ca="1" si="94"/>
        <v>4.2281811111265188</v>
      </c>
      <c r="AL95" s="243">
        <f t="shared" ca="1" si="95"/>
        <v>4.1344354877804141</v>
      </c>
      <c r="AM95" s="243"/>
      <c r="AN95" s="242">
        <f t="shared" ca="1" si="61"/>
        <v>8.3626165989069321</v>
      </c>
      <c r="AO95" s="224"/>
      <c r="AP95" s="235">
        <f t="shared" si="96"/>
        <v>6.8461538461538458</v>
      </c>
      <c r="AQ95" s="235">
        <f t="shared" si="62"/>
        <v>0.81679747158156912</v>
      </c>
      <c r="AR95" s="235">
        <f t="shared" si="63"/>
        <v>0.90309300826064032</v>
      </c>
      <c r="AT95" s="230">
        <f t="shared" ca="1" si="64"/>
        <v>941281.24910500413</v>
      </c>
      <c r="AU95" s="231">
        <f t="shared" ca="1" si="65"/>
        <v>5860.2426084754925</v>
      </c>
      <c r="AV95" s="231">
        <f t="shared" ca="1" si="97"/>
        <v>9641.7784922825795</v>
      </c>
      <c r="AW95" s="231"/>
      <c r="AX95" s="231">
        <f t="shared" ca="1" si="98"/>
        <v>23562.942713413835</v>
      </c>
      <c r="AY95" s="231">
        <f t="shared" ca="1" si="99"/>
        <v>2945.3678391767294</v>
      </c>
      <c r="AZ95" s="231"/>
      <c r="BA95" s="232">
        <f t="shared" ca="1" si="66"/>
        <v>983291.58075835288</v>
      </c>
      <c r="BB95" s="231">
        <f t="shared" ca="1" si="67"/>
        <v>969.63639581413315</v>
      </c>
      <c r="BC95" s="231">
        <f t="shared" ca="1" si="100"/>
        <v>25057.241689090133</v>
      </c>
      <c r="BD95" s="231">
        <f t="shared" ca="1" si="101"/>
        <v>134810.41212939442</v>
      </c>
      <c r="BE95" s="231">
        <f t="shared" ca="1" si="102"/>
        <v>4680.9170878261948</v>
      </c>
      <c r="BF95" s="231">
        <f t="shared" ca="1" si="68"/>
        <v>71920.031893839172</v>
      </c>
      <c r="BG95" s="231">
        <f t="shared" ca="1" si="69"/>
        <v>237438.2391959641</v>
      </c>
      <c r="BH95" s="232">
        <f t="shared" ca="1" si="70"/>
        <v>1220729.8199543168</v>
      </c>
      <c r="BI95" s="243">
        <f t="shared" ca="1" si="103"/>
        <v>5.3033899987750894</v>
      </c>
      <c r="BJ95" s="243">
        <f t="shared" ca="1" si="104"/>
        <v>8.4283967993660536</v>
      </c>
      <c r="BK95" s="242">
        <f t="shared" ca="1" si="105"/>
        <v>13.731786798141144</v>
      </c>
      <c r="BL95" s="241">
        <f t="shared" ca="1" si="106"/>
        <v>3.8184407991180644</v>
      </c>
      <c r="BM95" s="243">
        <f t="shared" ca="1" si="107"/>
        <v>3.7337797821191621</v>
      </c>
      <c r="BN95" s="243">
        <f t="shared" si="71"/>
        <v>0</v>
      </c>
      <c r="BO95" s="242">
        <f t="shared" ca="1" si="72"/>
        <v>7.5522205812372256</v>
      </c>
      <c r="BP95" s="67"/>
      <c r="BQ95" s="67"/>
      <c r="BR95" s="67"/>
      <c r="BS95" s="67"/>
      <c r="BT95" s="67"/>
      <c r="BU95" s="67"/>
      <c r="BV95" s="67"/>
      <c r="BW95" s="67"/>
      <c r="BX95" s="67"/>
      <c r="BY95" s="67"/>
      <c r="BZ95" s="67"/>
      <c r="CA95" s="67"/>
      <c r="CB95" s="67"/>
    </row>
    <row r="96" spans="1:80" ht="12" customHeight="1" x14ac:dyDescent="0.15">
      <c r="A96" s="213">
        <f t="shared" si="73"/>
        <v>90</v>
      </c>
      <c r="B96" s="67">
        <f t="shared" si="74"/>
        <v>360</v>
      </c>
      <c r="C96" s="224">
        <f t="shared" si="75"/>
        <v>83.07692307692308</v>
      </c>
      <c r="D96" s="225">
        <f ca="1">IFERROR(OFFSET(extrapolation!P105,0,OS_dist_choice-1,1,1),0)</f>
        <v>0.19380713705923688</v>
      </c>
      <c r="E96" s="225">
        <f ca="1">IFERROR(OFFSET(extrapolation!D105,0,PFS_dist_choice-1,1,1),0)</f>
        <v>7.4045229553423408E-2</v>
      </c>
      <c r="F96" s="214"/>
      <c r="G96" s="226">
        <f t="shared" ca="1" si="76"/>
        <v>74.045229553423411</v>
      </c>
      <c r="H96" s="224">
        <f t="shared" ca="1" si="77"/>
        <v>119.7619075058135</v>
      </c>
      <c r="I96" s="224">
        <f t="shared" ca="1" si="54"/>
        <v>806.19286294076312</v>
      </c>
      <c r="J96" s="227">
        <f t="shared" ca="1" si="55"/>
        <v>1000</v>
      </c>
      <c r="K96" s="238">
        <f t="shared" ca="1" si="78"/>
        <v>1.6907608973536412</v>
      </c>
      <c r="L96" s="239">
        <f t="shared" ca="1" si="79"/>
        <v>3.0037355652509632</v>
      </c>
      <c r="M96" s="238">
        <f t="shared" ca="1" si="80"/>
        <v>74.890610002100232</v>
      </c>
      <c r="N96" s="238">
        <f t="shared" ca="1" si="81"/>
        <v>120.41839483976213</v>
      </c>
      <c r="O96" s="239">
        <f t="shared" ca="1" si="82"/>
        <v>804.69099515813764</v>
      </c>
      <c r="P96" s="217"/>
      <c r="Q96" s="217"/>
      <c r="R96" s="224"/>
      <c r="S96" s="230">
        <f t="shared" ca="1" si="83"/>
        <v>1126677.9558328949</v>
      </c>
      <c r="T96" s="231">
        <f t="shared" ca="1" si="84"/>
        <v>7014.4881448344349</v>
      </c>
      <c r="U96" s="231">
        <f t="shared" ca="1" si="85"/>
        <v>11540.293511810301</v>
      </c>
      <c r="V96" s="231"/>
      <c r="W96" s="231">
        <f t="shared" ca="1" si="86"/>
        <v>28202.605477030913</v>
      </c>
      <c r="X96" s="231">
        <f t="shared" ca="1" si="87"/>
        <v>3525.3256846288641</v>
      </c>
      <c r="Y96" s="231"/>
      <c r="Z96" s="232">
        <f t="shared" ca="1" si="56"/>
        <v>1176960.6686511994</v>
      </c>
      <c r="AA96" s="231">
        <f t="shared" ca="1" si="57"/>
        <v>1155.7413816233957</v>
      </c>
      <c r="AB96" s="231">
        <f t="shared" ca="1" si="88"/>
        <v>30343.594382641888</v>
      </c>
      <c r="AC96" s="231">
        <f t="shared" ca="1" si="89"/>
        <v>163251.50688841316</v>
      </c>
      <c r="AD96" s="231">
        <f t="shared" ca="1" si="90"/>
        <v>5668.4551002921226</v>
      </c>
      <c r="AE96" s="231">
        <f t="shared" ca="1" si="58"/>
        <v>86058.585586560483</v>
      </c>
      <c r="AF96" s="231">
        <f t="shared" ca="1" si="59"/>
        <v>286477.88333953102</v>
      </c>
      <c r="AG96" s="232">
        <f t="shared" ca="1" si="60"/>
        <v>1463438.5519907305</v>
      </c>
      <c r="AH96" s="243">
        <f t="shared" ca="1" si="91"/>
        <v>5.7411008352054944</v>
      </c>
      <c r="AI96" s="243">
        <f t="shared" ca="1" si="92"/>
        <v>9.2312527187223523</v>
      </c>
      <c r="AJ96" s="242">
        <f t="shared" ca="1" si="93"/>
        <v>14.972353553927846</v>
      </c>
      <c r="AK96" s="241">
        <f t="shared" ca="1" si="94"/>
        <v>4.1335926013479556</v>
      </c>
      <c r="AL96" s="243">
        <f t="shared" ca="1" si="95"/>
        <v>4.0894449543940024</v>
      </c>
      <c r="AM96" s="243"/>
      <c r="AN96" s="242">
        <f t="shared" ca="1" si="61"/>
        <v>8.223037555741957</v>
      </c>
      <c r="AO96" s="224"/>
      <c r="AP96" s="235">
        <f t="shared" si="96"/>
        <v>6.9230769230769234</v>
      </c>
      <c r="AQ96" s="235">
        <f t="shared" si="62"/>
        <v>0.81494238485287285</v>
      </c>
      <c r="AR96" s="235">
        <f t="shared" si="63"/>
        <v>0.9020593078610547</v>
      </c>
      <c r="AT96" s="230">
        <f t="shared" ca="1" si="64"/>
        <v>918177.62028761907</v>
      </c>
      <c r="AU96" s="231">
        <f t="shared" ca="1" si="65"/>
        <v>5716.4036972735785</v>
      </c>
      <c r="AV96" s="231">
        <f t="shared" ca="1" si="97"/>
        <v>9404.674316416822</v>
      </c>
      <c r="AW96" s="231"/>
      <c r="AX96" s="231">
        <f t="shared" ca="1" si="98"/>
        <v>22983.498566516268</v>
      </c>
      <c r="AY96" s="231">
        <f t="shared" ca="1" si="99"/>
        <v>2872.9373208145335</v>
      </c>
      <c r="AZ96" s="231"/>
      <c r="BA96" s="232">
        <f t="shared" ca="1" si="66"/>
        <v>959155.13418864028</v>
      </c>
      <c r="BB96" s="231">
        <f t="shared" ca="1" si="67"/>
        <v>941.86263781332434</v>
      </c>
      <c r="BC96" s="231">
        <f t="shared" ca="1" si="100"/>
        <v>24728.281171198418</v>
      </c>
      <c r="BD96" s="231">
        <f t="shared" ca="1" si="101"/>
        <v>133040.57235446863</v>
      </c>
      <c r="BE96" s="231">
        <f t="shared" ca="1" si="102"/>
        <v>4619.4643178634933</v>
      </c>
      <c r="BF96" s="231">
        <f t="shared" ca="1" si="68"/>
        <v>70132.788974976662</v>
      </c>
      <c r="BG96" s="231">
        <f t="shared" ca="1" si="69"/>
        <v>233462.96945632051</v>
      </c>
      <c r="BH96" s="232">
        <f t="shared" ca="1" si="70"/>
        <v>1192618.1036449608</v>
      </c>
      <c r="BI96" s="243">
        <f t="shared" ca="1" si="103"/>
        <v>5.1788134457659911</v>
      </c>
      <c r="BJ96" s="243">
        <f t="shared" ca="1" si="104"/>
        <v>8.3271374381411647</v>
      </c>
      <c r="BK96" s="242">
        <f t="shared" ca="1" si="105"/>
        <v>13.505950883907156</v>
      </c>
      <c r="BL96" s="241">
        <f t="shared" ca="1" si="106"/>
        <v>3.7287456809515134</v>
      </c>
      <c r="BM96" s="243">
        <f t="shared" ca="1" si="107"/>
        <v>3.6889218850965362</v>
      </c>
      <c r="BN96" s="243">
        <f t="shared" si="71"/>
        <v>0</v>
      </c>
      <c r="BO96" s="242">
        <f t="shared" ca="1" si="72"/>
        <v>7.4176675660480491</v>
      </c>
      <c r="BP96" s="67"/>
      <c r="BQ96" s="67"/>
      <c r="BR96" s="67"/>
      <c r="BS96" s="67"/>
      <c r="BT96" s="67"/>
      <c r="BU96" s="67"/>
      <c r="BV96" s="67"/>
      <c r="BW96" s="67"/>
      <c r="BX96" s="67"/>
      <c r="BY96" s="67"/>
      <c r="BZ96" s="67"/>
      <c r="CA96" s="67"/>
      <c r="CB96" s="67"/>
    </row>
    <row r="97" spans="1:80" ht="12" customHeight="1" x14ac:dyDescent="0.15">
      <c r="A97" s="213">
        <f t="shared" si="73"/>
        <v>91</v>
      </c>
      <c r="B97" s="67">
        <f t="shared" si="74"/>
        <v>364</v>
      </c>
      <c r="C97" s="224">
        <f t="shared" si="75"/>
        <v>84</v>
      </c>
      <c r="D97" s="225">
        <f ca="1">IFERROR(OFFSET(extrapolation!P106,0,OS_dist_choice-1,1,1),0)</f>
        <v>0.19087096647652035</v>
      </c>
      <c r="E97" s="225">
        <f ca="1">IFERROR(OFFSET(extrapolation!D106,0,PFS_dist_choice-1,1,1),0)</f>
        <v>7.2398948823660159E-2</v>
      </c>
      <c r="F97" s="214"/>
      <c r="G97" s="226">
        <f t="shared" ca="1" si="76"/>
        <v>72.398948823660163</v>
      </c>
      <c r="H97" s="224">
        <f t="shared" ca="1" si="77"/>
        <v>118.47201765286025</v>
      </c>
      <c r="I97" s="224">
        <f t="shared" ca="1" si="54"/>
        <v>809.12903352347962</v>
      </c>
      <c r="J97" s="227">
        <f t="shared" ca="1" si="55"/>
        <v>1000</v>
      </c>
      <c r="K97" s="238">
        <f t="shared" ca="1" si="78"/>
        <v>1.646280729763248</v>
      </c>
      <c r="L97" s="239">
        <f t="shared" ca="1" si="79"/>
        <v>2.9361705827164997</v>
      </c>
      <c r="M97" s="238">
        <f t="shared" ca="1" si="80"/>
        <v>73.222089188541787</v>
      </c>
      <c r="N97" s="238">
        <f t="shared" ca="1" si="81"/>
        <v>119.11696257933687</v>
      </c>
      <c r="O97" s="239">
        <f t="shared" ca="1" si="82"/>
        <v>807.66094823212143</v>
      </c>
      <c r="P97" s="217"/>
      <c r="Q97" s="217"/>
      <c r="R97" s="224"/>
      <c r="S97" s="230">
        <f t="shared" ca="1" si="83"/>
        <v>1101628.0205632839</v>
      </c>
      <c r="T97" s="231">
        <f t="shared" ca="1" si="84"/>
        <v>6858.531890371587</v>
      </c>
      <c r="U97" s="231">
        <f t="shared" ca="1" si="85"/>
        <v>11283.182240871409</v>
      </c>
      <c r="V97" s="231"/>
      <c r="W97" s="231">
        <f t="shared" ca="1" si="86"/>
        <v>27574.267234977822</v>
      </c>
      <c r="X97" s="231">
        <f t="shared" ca="1" si="87"/>
        <v>3446.7834043722278</v>
      </c>
      <c r="Y97" s="231"/>
      <c r="Z97" s="232">
        <f t="shared" ca="1" si="56"/>
        <v>1150790.785333877</v>
      </c>
      <c r="AA97" s="231">
        <f t="shared" ca="1" si="57"/>
        <v>1125.3363903403445</v>
      </c>
      <c r="AB97" s="231">
        <f t="shared" ca="1" si="88"/>
        <v>30015.653351046363</v>
      </c>
      <c r="AC97" s="231">
        <f t="shared" ca="1" si="89"/>
        <v>161487.1520495172</v>
      </c>
      <c r="AD97" s="231">
        <f t="shared" ca="1" si="90"/>
        <v>5607.1927794971243</v>
      </c>
      <c r="AE97" s="231">
        <f t="shared" ca="1" si="58"/>
        <v>84122.81370991368</v>
      </c>
      <c r="AF97" s="231">
        <f t="shared" ca="1" si="59"/>
        <v>282358.14828031469</v>
      </c>
      <c r="AG97" s="232">
        <f t="shared" ca="1" si="60"/>
        <v>1433148.9336141916</v>
      </c>
      <c r="AH97" s="243">
        <f t="shared" ca="1" si="91"/>
        <v>5.6131923265685701</v>
      </c>
      <c r="AI97" s="243">
        <f t="shared" ca="1" si="92"/>
        <v>9.1314851532414316</v>
      </c>
      <c r="AJ97" s="242">
        <f t="shared" ca="1" si="93"/>
        <v>14.744677479810001</v>
      </c>
      <c r="AK97" s="241">
        <f t="shared" ca="1" si="94"/>
        <v>4.0414984751293703</v>
      </c>
      <c r="AL97" s="243">
        <f t="shared" ca="1" si="95"/>
        <v>4.0452479228859541</v>
      </c>
      <c r="AM97" s="243"/>
      <c r="AN97" s="242">
        <f t="shared" ca="1" si="61"/>
        <v>8.0867463980153254</v>
      </c>
      <c r="AO97" s="224"/>
      <c r="AP97" s="235">
        <f t="shared" si="96"/>
        <v>7</v>
      </c>
      <c r="AQ97" s="235">
        <f t="shared" si="62"/>
        <v>0.81309151134335378</v>
      </c>
      <c r="AR97" s="235">
        <f t="shared" si="63"/>
        <v>0.90102679065800217</v>
      </c>
      <c r="AT97" s="230">
        <f t="shared" ca="1" si="64"/>
        <v>895724.39217798773</v>
      </c>
      <c r="AU97" s="231">
        <f t="shared" ca="1" si="65"/>
        <v>5576.614060338823</v>
      </c>
      <c r="AV97" s="231">
        <f t="shared" ca="1" si="97"/>
        <v>9174.259700992623</v>
      </c>
      <c r="AW97" s="231"/>
      <c r="AX97" s="231">
        <f t="shared" ca="1" si="98"/>
        <v>22420.402620273639</v>
      </c>
      <c r="AY97" s="231">
        <f t="shared" ca="1" si="99"/>
        <v>2802.5503275342048</v>
      </c>
      <c r="AZ97" s="231"/>
      <c r="BA97" s="232">
        <f t="shared" ca="1" si="66"/>
        <v>935698.218887127</v>
      </c>
      <c r="BB97" s="231">
        <f t="shared" ca="1" si="67"/>
        <v>915.00146639150501</v>
      </c>
      <c r="BC97" s="231">
        <f t="shared" ca="1" si="100"/>
        <v>24405.472947160488</v>
      </c>
      <c r="BD97" s="231">
        <f t="shared" ca="1" si="101"/>
        <v>131303.83252247592</v>
      </c>
      <c r="BE97" s="231">
        <f t="shared" ca="1" si="102"/>
        <v>4559.1608514748577</v>
      </c>
      <c r="BF97" s="231">
        <f t="shared" ca="1" si="68"/>
        <v>68399.545737849112</v>
      </c>
      <c r="BG97" s="231">
        <f t="shared" ca="1" si="69"/>
        <v>229583.01352535185</v>
      </c>
      <c r="BH97" s="232">
        <f t="shared" ca="1" si="70"/>
        <v>1165281.2324124789</v>
      </c>
      <c r="BI97" s="243">
        <f t="shared" ca="1" si="103"/>
        <v>5.0576366673542035</v>
      </c>
      <c r="BJ97" s="243">
        <f t="shared" ca="1" si="104"/>
        <v>8.2277127615663215</v>
      </c>
      <c r="BK97" s="242">
        <f t="shared" ca="1" si="105"/>
        <v>13.285349428920524</v>
      </c>
      <c r="BL97" s="241">
        <f t="shared" ca="1" si="106"/>
        <v>3.6414984004950264</v>
      </c>
      <c r="BM97" s="243">
        <f t="shared" ca="1" si="107"/>
        <v>3.6448767533738806</v>
      </c>
      <c r="BN97" s="243">
        <f t="shared" si="71"/>
        <v>0</v>
      </c>
      <c r="BO97" s="242">
        <f t="shared" ca="1" si="72"/>
        <v>7.2863751538689074</v>
      </c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7"/>
      <c r="CA97" s="67"/>
      <c r="CB97" s="67"/>
    </row>
    <row r="98" spans="1:80" ht="12" customHeight="1" x14ac:dyDescent="0.15">
      <c r="A98" s="213">
        <f t="shared" si="73"/>
        <v>92</v>
      </c>
      <c r="B98" s="67">
        <f t="shared" si="74"/>
        <v>368</v>
      </c>
      <c r="C98" s="224">
        <f t="shared" si="75"/>
        <v>84.92307692307692</v>
      </c>
      <c r="D98" s="225">
        <f ca="1">IFERROR(OFFSET(extrapolation!P107,0,OS_dist_choice-1,1,1),0)</f>
        <v>0.18800044034876223</v>
      </c>
      <c r="E98" s="225">
        <f ca="1">IFERROR(OFFSET(extrapolation!D107,0,PFS_dist_choice-1,1,1),0)</f>
        <v>7.0795775760535307E-2</v>
      </c>
      <c r="F98" s="214"/>
      <c r="G98" s="226">
        <f t="shared" ca="1" si="76"/>
        <v>70.795775760535307</v>
      </c>
      <c r="H98" s="224">
        <f t="shared" ca="1" si="77"/>
        <v>117.20466458822693</v>
      </c>
      <c r="I98" s="224">
        <f t="shared" ca="1" si="54"/>
        <v>811.99955965123775</v>
      </c>
      <c r="J98" s="227">
        <f t="shared" ca="1" si="55"/>
        <v>1000</v>
      </c>
      <c r="K98" s="238">
        <f t="shared" ca="1" si="78"/>
        <v>1.6031730631248564</v>
      </c>
      <c r="L98" s="239">
        <f t="shared" ca="1" si="79"/>
        <v>2.8705261277581258</v>
      </c>
      <c r="M98" s="238">
        <f t="shared" ca="1" si="80"/>
        <v>71.597362292097728</v>
      </c>
      <c r="N98" s="238">
        <f t="shared" ca="1" si="81"/>
        <v>117.83834112054359</v>
      </c>
      <c r="O98" s="239">
        <f t="shared" ca="1" si="82"/>
        <v>810.56429658735874</v>
      </c>
      <c r="P98" s="217"/>
      <c r="Q98" s="217"/>
      <c r="R98" s="224"/>
      <c r="S98" s="230">
        <f t="shared" ca="1" si="83"/>
        <v>1077234.0148926734</v>
      </c>
      <c r="T98" s="231">
        <f t="shared" ca="1" si="84"/>
        <v>6706.6593320281272</v>
      </c>
      <c r="U98" s="231">
        <f t="shared" ca="1" si="85"/>
        <v>11032.819408188228</v>
      </c>
      <c r="V98" s="231"/>
      <c r="W98" s="231">
        <f t="shared" ca="1" si="86"/>
        <v>26962.42108140733</v>
      </c>
      <c r="X98" s="231">
        <f t="shared" ca="1" si="87"/>
        <v>3370.3026351759163</v>
      </c>
      <c r="Y98" s="231"/>
      <c r="Z98" s="232">
        <f t="shared" ca="1" si="56"/>
        <v>1125306.2173494729</v>
      </c>
      <c r="AA98" s="231">
        <f t="shared" ca="1" si="57"/>
        <v>1095.8695897553564</v>
      </c>
      <c r="AB98" s="231">
        <f t="shared" ca="1" si="88"/>
        <v>29693.460292700147</v>
      </c>
      <c r="AC98" s="231">
        <f t="shared" ca="1" si="89"/>
        <v>159753.72186913964</v>
      </c>
      <c r="AD98" s="231">
        <f t="shared" ca="1" si="90"/>
        <v>5547.0042315673481</v>
      </c>
      <c r="AE98" s="231">
        <f t="shared" ca="1" si="58"/>
        <v>82242.065946804127</v>
      </c>
      <c r="AF98" s="231">
        <f t="shared" ca="1" si="59"/>
        <v>278332.12192996661</v>
      </c>
      <c r="AG98" s="232">
        <f t="shared" ca="1" si="60"/>
        <v>1403638.3392794395</v>
      </c>
      <c r="AH98" s="243">
        <f t="shared" ca="1" si="91"/>
        <v>5.4886410518240556</v>
      </c>
      <c r="AI98" s="243">
        <f t="shared" ca="1" si="92"/>
        <v>9.0334662597541957</v>
      </c>
      <c r="AJ98" s="242">
        <f t="shared" ca="1" si="93"/>
        <v>14.522107311578251</v>
      </c>
      <c r="AK98" s="241">
        <f t="shared" ca="1" si="94"/>
        <v>3.9518215573133197</v>
      </c>
      <c r="AL98" s="243">
        <f t="shared" ca="1" si="95"/>
        <v>4.0018255530711091</v>
      </c>
      <c r="AM98" s="243"/>
      <c r="AN98" s="242">
        <f t="shared" ca="1" si="61"/>
        <v>7.9536471103844288</v>
      </c>
      <c r="AO98" s="224"/>
      <c r="AP98" s="235">
        <f t="shared" si="96"/>
        <v>7.0769230769230766</v>
      </c>
      <c r="AQ98" s="235">
        <f t="shared" si="62"/>
        <v>0.81124484148407017</v>
      </c>
      <c r="AR98" s="235">
        <f t="shared" si="63"/>
        <v>0.89999545529716862</v>
      </c>
      <c r="AT98" s="230">
        <f t="shared" ca="1" si="64"/>
        <v>873900.53765285527</v>
      </c>
      <c r="AU98" s="231">
        <f t="shared" ca="1" si="65"/>
        <v>5440.7427866988182</v>
      </c>
      <c r="AV98" s="231">
        <f t="shared" ca="1" si="97"/>
        <v>8950.3178319180315</v>
      </c>
      <c r="AW98" s="231"/>
      <c r="AX98" s="231">
        <f t="shared" ca="1" si="98"/>
        <v>21873.125016213042</v>
      </c>
      <c r="AY98" s="231">
        <f t="shared" ca="1" si="99"/>
        <v>2734.1406270266302</v>
      </c>
      <c r="AZ98" s="231"/>
      <c r="BA98" s="232">
        <f t="shared" ca="1" si="66"/>
        <v>912898.86391471175</v>
      </c>
      <c r="BB98" s="231">
        <f t="shared" ca="1" si="67"/>
        <v>889.01855162829713</v>
      </c>
      <c r="BC98" s="231">
        <f t="shared" ca="1" si="100"/>
        <v>24088.666488265062</v>
      </c>
      <c r="BD98" s="231">
        <f t="shared" ca="1" si="101"/>
        <v>129599.38277422042</v>
      </c>
      <c r="BE98" s="231">
        <f t="shared" ca="1" si="102"/>
        <v>4499.9785685493198</v>
      </c>
      <c r="BF98" s="231">
        <f t="shared" ca="1" si="68"/>
        <v>66718.451752337554</v>
      </c>
      <c r="BG98" s="231">
        <f t="shared" ca="1" si="69"/>
        <v>225795.49813500064</v>
      </c>
      <c r="BH98" s="232">
        <f t="shared" ca="1" si="70"/>
        <v>1138694.3620497123</v>
      </c>
      <c r="BI98" s="243">
        <f t="shared" ca="1" si="103"/>
        <v>4.9397520023991213</v>
      </c>
      <c r="BJ98" s="243">
        <f t="shared" ca="1" si="104"/>
        <v>8.130078579359088</v>
      </c>
      <c r="BK98" s="242">
        <f t="shared" ca="1" si="105"/>
        <v>13.069830581758209</v>
      </c>
      <c r="BL98" s="241">
        <f t="shared" ca="1" si="106"/>
        <v>3.5566214417273669</v>
      </c>
      <c r="BM98" s="243">
        <f t="shared" ca="1" si="107"/>
        <v>3.6016248106560766</v>
      </c>
      <c r="BN98" s="243">
        <f t="shared" si="71"/>
        <v>0</v>
      </c>
      <c r="BO98" s="242">
        <f t="shared" ca="1" si="72"/>
        <v>7.158246252383444</v>
      </c>
      <c r="BP98" s="67"/>
      <c r="BQ98" s="67"/>
      <c r="BR98" s="67"/>
      <c r="BS98" s="67"/>
      <c r="BT98" s="67"/>
      <c r="BU98" s="67"/>
      <c r="BV98" s="67"/>
      <c r="BW98" s="67"/>
      <c r="BX98" s="67"/>
      <c r="BY98" s="67"/>
      <c r="BZ98" s="67"/>
      <c r="CA98" s="67"/>
      <c r="CB98" s="67"/>
    </row>
    <row r="99" spans="1:80" ht="12" customHeight="1" x14ac:dyDescent="0.15">
      <c r="A99" s="213">
        <f t="shared" si="73"/>
        <v>93</v>
      </c>
      <c r="B99" s="67">
        <f t="shared" si="74"/>
        <v>372</v>
      </c>
      <c r="C99" s="224">
        <f t="shared" si="75"/>
        <v>85.846153846153854</v>
      </c>
      <c r="D99" s="225">
        <f ca="1">IFERROR(OFFSET(extrapolation!P108,0,OS_dist_choice-1,1,1),0)</f>
        <v>0.18519370087865519</v>
      </c>
      <c r="E99" s="225">
        <f ca="1">IFERROR(OFFSET(extrapolation!D108,0,PFS_dist_choice-1,1,1),0)</f>
        <v>6.9234387167778078E-2</v>
      </c>
      <c r="F99" s="214"/>
      <c r="G99" s="226">
        <f t="shared" ca="1" si="76"/>
        <v>69.234387167778081</v>
      </c>
      <c r="H99" s="224">
        <f t="shared" ca="1" si="77"/>
        <v>115.95931371087704</v>
      </c>
      <c r="I99" s="224">
        <f t="shared" ca="1" si="54"/>
        <v>814.80629912134486</v>
      </c>
      <c r="J99" s="227">
        <f t="shared" ca="1" si="55"/>
        <v>1000</v>
      </c>
      <c r="K99" s="238">
        <f t="shared" ca="1" si="78"/>
        <v>1.5613885927572255</v>
      </c>
      <c r="L99" s="239">
        <f t="shared" ca="1" si="79"/>
        <v>2.806739470107118</v>
      </c>
      <c r="M99" s="238">
        <f t="shared" ca="1" si="80"/>
        <v>70.015081464156694</v>
      </c>
      <c r="N99" s="238">
        <f t="shared" ca="1" si="81"/>
        <v>116.58198914955199</v>
      </c>
      <c r="O99" s="239">
        <f t="shared" ca="1" si="82"/>
        <v>813.40292938629136</v>
      </c>
      <c r="P99" s="217"/>
      <c r="Q99" s="217"/>
      <c r="R99" s="224"/>
      <c r="S99" s="230">
        <f t="shared" ca="1" si="83"/>
        <v>1053475.8049639801</v>
      </c>
      <c r="T99" s="231">
        <f t="shared" ca="1" si="84"/>
        <v>6558.7451201412805</v>
      </c>
      <c r="U99" s="231">
        <f t="shared" ca="1" si="85"/>
        <v>10788.997316579713</v>
      </c>
      <c r="V99" s="231"/>
      <c r="W99" s="231">
        <f t="shared" ca="1" si="86"/>
        <v>26366.559438097986</v>
      </c>
      <c r="X99" s="231">
        <f t="shared" ca="1" si="87"/>
        <v>3295.8199297622482</v>
      </c>
      <c r="Y99" s="231"/>
      <c r="Z99" s="232">
        <f t="shared" ca="1" si="56"/>
        <v>1100485.9267685614</v>
      </c>
      <c r="AA99" s="231">
        <f t="shared" ca="1" si="57"/>
        <v>1067.3072770187218</v>
      </c>
      <c r="AB99" s="231">
        <f t="shared" ca="1" si="88"/>
        <v>29376.878804794331</v>
      </c>
      <c r="AC99" s="231">
        <f t="shared" ca="1" si="89"/>
        <v>158050.48248682159</v>
      </c>
      <c r="AD99" s="231">
        <f t="shared" ca="1" si="90"/>
        <v>5487.8639752368608</v>
      </c>
      <c r="AE99" s="231">
        <f t="shared" ca="1" si="58"/>
        <v>80414.545042419442</v>
      </c>
      <c r="AF99" s="231">
        <f t="shared" ca="1" si="59"/>
        <v>274397.07758629095</v>
      </c>
      <c r="AG99" s="232">
        <f t="shared" ca="1" si="60"/>
        <v>1374883.0043548523</v>
      </c>
      <c r="AH99" s="243">
        <f t="shared" ca="1" si="91"/>
        <v>5.3673436851372687</v>
      </c>
      <c r="AI99" s="243">
        <f t="shared" ca="1" si="92"/>
        <v>8.9371545412387565</v>
      </c>
      <c r="AJ99" s="242">
        <f t="shared" ca="1" si="93"/>
        <v>14.304498226376026</v>
      </c>
      <c r="AK99" s="241">
        <f t="shared" ca="1" si="94"/>
        <v>3.8644874532988331</v>
      </c>
      <c r="AL99" s="243">
        <f t="shared" ca="1" si="95"/>
        <v>3.9591594617687691</v>
      </c>
      <c r="AM99" s="243"/>
      <c r="AN99" s="242">
        <f t="shared" ca="1" si="61"/>
        <v>7.8236469150676022</v>
      </c>
      <c r="AO99" s="224"/>
      <c r="AP99" s="235">
        <f t="shared" si="96"/>
        <v>7.1538461538461542</v>
      </c>
      <c r="AQ99" s="235">
        <f t="shared" si="62"/>
        <v>0.80940236572781399</v>
      </c>
      <c r="AR99" s="235">
        <f t="shared" si="63"/>
        <v>0.89896530042579192</v>
      </c>
      <c r="AT99" s="230">
        <f t="shared" ca="1" si="64"/>
        <v>852685.80877485871</v>
      </c>
      <c r="AU99" s="231">
        <f t="shared" ca="1" si="65"/>
        <v>5308.6638164481083</v>
      </c>
      <c r="AV99" s="231">
        <f t="shared" ca="1" si="97"/>
        <v>8732.6399518706567</v>
      </c>
      <c r="AW99" s="231"/>
      <c r="AX99" s="231">
        <f t="shared" ca="1" si="98"/>
        <v>21341.15558529953</v>
      </c>
      <c r="AY99" s="231">
        <f t="shared" ca="1" si="99"/>
        <v>2667.6444481624412</v>
      </c>
      <c r="AZ99" s="231"/>
      <c r="BA99" s="232">
        <f t="shared" ca="1" si="66"/>
        <v>890735.91257663944</v>
      </c>
      <c r="BB99" s="231">
        <f t="shared" ca="1" si="67"/>
        <v>863.88103497746476</v>
      </c>
      <c r="BC99" s="231">
        <f t="shared" ca="1" si="100"/>
        <v>23777.715202299809</v>
      </c>
      <c r="BD99" s="231">
        <f t="shared" ca="1" si="101"/>
        <v>127926.43442925584</v>
      </c>
      <c r="BE99" s="231">
        <f t="shared" ca="1" si="102"/>
        <v>4441.890084349161</v>
      </c>
      <c r="BF99" s="231">
        <f t="shared" ca="1" si="68"/>
        <v>65087.722996260156</v>
      </c>
      <c r="BG99" s="231">
        <f t="shared" ca="1" si="69"/>
        <v>222097.64374714243</v>
      </c>
      <c r="BH99" s="232">
        <f t="shared" ca="1" si="70"/>
        <v>1112833.5563237818</v>
      </c>
      <c r="BI99" s="243">
        <f t="shared" ca="1" si="103"/>
        <v>4.8250557283979019</v>
      </c>
      <c r="BJ99" s="243">
        <f t="shared" ca="1" si="104"/>
        <v>8.0341918171164295</v>
      </c>
      <c r="BK99" s="242">
        <f t="shared" ca="1" si="105"/>
        <v>12.859247545514332</v>
      </c>
      <c r="BL99" s="241">
        <f t="shared" ca="1" si="106"/>
        <v>3.4740401244464891</v>
      </c>
      <c r="BM99" s="243">
        <f t="shared" ca="1" si="107"/>
        <v>3.5591469749825784</v>
      </c>
      <c r="BN99" s="243">
        <f t="shared" si="71"/>
        <v>0</v>
      </c>
      <c r="BO99" s="242">
        <f t="shared" ca="1" si="72"/>
        <v>7.0331870994290675</v>
      </c>
      <c r="BP99" s="67"/>
      <c r="BQ99" s="67"/>
      <c r="BR99" s="67"/>
      <c r="BS99" s="67"/>
      <c r="BT99" s="67"/>
      <c r="BU99" s="67"/>
      <c r="BV99" s="67"/>
      <c r="BW99" s="67"/>
      <c r="BX99" s="67"/>
      <c r="BY99" s="67"/>
      <c r="BZ99" s="67"/>
      <c r="CA99" s="67"/>
      <c r="CB99" s="67"/>
    </row>
    <row r="100" spans="1:80" ht="12" customHeight="1" x14ac:dyDescent="0.15">
      <c r="A100" s="213">
        <f t="shared" si="73"/>
        <v>94</v>
      </c>
      <c r="B100" s="67">
        <f t="shared" si="74"/>
        <v>376</v>
      </c>
      <c r="C100" s="224">
        <f t="shared" si="75"/>
        <v>86.769230769230774</v>
      </c>
      <c r="D100" s="225">
        <f ca="1">IFERROR(OFFSET(extrapolation!P109,0,OS_dist_choice-1,1,1),0)</f>
        <v>0.18244895085575527</v>
      </c>
      <c r="E100" s="225">
        <f ca="1">IFERROR(OFFSET(extrapolation!D109,0,PFS_dist_choice-1,1,1),0)</f>
        <v>6.7713507111343052E-2</v>
      </c>
      <c r="F100" s="214"/>
      <c r="G100" s="226">
        <f t="shared" ca="1" si="76"/>
        <v>67.713507111343048</v>
      </c>
      <c r="H100" s="224">
        <f t="shared" ca="1" si="77"/>
        <v>114.73544374441224</v>
      </c>
      <c r="I100" s="224">
        <f t="shared" ca="1" si="54"/>
        <v>817.55104914424476</v>
      </c>
      <c r="J100" s="227">
        <f t="shared" ca="1" si="55"/>
        <v>1000</v>
      </c>
      <c r="K100" s="238">
        <f t="shared" ca="1" si="78"/>
        <v>1.5208800564350327</v>
      </c>
      <c r="L100" s="239">
        <f t="shared" ca="1" si="79"/>
        <v>2.7447500228998933</v>
      </c>
      <c r="M100" s="238">
        <f t="shared" ca="1" si="80"/>
        <v>68.473947139560565</v>
      </c>
      <c r="N100" s="238">
        <f t="shared" ca="1" si="81"/>
        <v>115.34737872764464</v>
      </c>
      <c r="O100" s="239">
        <f t="shared" ca="1" si="82"/>
        <v>816.17867413279487</v>
      </c>
      <c r="P100" s="217"/>
      <c r="Q100" s="217"/>
      <c r="R100" s="224"/>
      <c r="S100" s="230">
        <f t="shared" ca="1" si="83"/>
        <v>1030333.9760658075</v>
      </c>
      <c r="T100" s="231">
        <f t="shared" ca="1" si="84"/>
        <v>6414.6683823160356</v>
      </c>
      <c r="U100" s="231">
        <f t="shared" ca="1" si="85"/>
        <v>10551.515709119631</v>
      </c>
      <c r="V100" s="231"/>
      <c r="W100" s="231">
        <f t="shared" ca="1" si="86"/>
        <v>25786.192909604277</v>
      </c>
      <c r="X100" s="231">
        <f t="shared" ca="1" si="87"/>
        <v>3223.2741137005346</v>
      </c>
      <c r="Y100" s="231"/>
      <c r="Z100" s="232">
        <f t="shared" ca="1" si="56"/>
        <v>1076309.6271805479</v>
      </c>
      <c r="AA100" s="231">
        <f t="shared" ca="1" si="57"/>
        <v>1039.6171454277733</v>
      </c>
      <c r="AB100" s="231">
        <f t="shared" ca="1" si="88"/>
        <v>29065.775854843956</v>
      </c>
      <c r="AC100" s="231">
        <f t="shared" ca="1" si="89"/>
        <v>156376.71817477679</v>
      </c>
      <c r="AD100" s="231">
        <f t="shared" ca="1" si="90"/>
        <v>5429.7471588464159</v>
      </c>
      <c r="AE100" s="231">
        <f t="shared" ca="1" si="58"/>
        <v>78638.515151618863</v>
      </c>
      <c r="AF100" s="231">
        <f t="shared" ca="1" si="59"/>
        <v>270550.37348551379</v>
      </c>
      <c r="AG100" s="232">
        <f t="shared" ca="1" si="60"/>
        <v>1346860.0006660616</v>
      </c>
      <c r="AH100" s="243">
        <f t="shared" ca="1" si="91"/>
        <v>5.2492006020744579</v>
      </c>
      <c r="AI100" s="243">
        <f t="shared" ca="1" si="92"/>
        <v>8.8425095260069817</v>
      </c>
      <c r="AJ100" s="242">
        <f t="shared" ca="1" si="93"/>
        <v>14.09171012808144</v>
      </c>
      <c r="AK100" s="241">
        <f t="shared" ca="1" si="94"/>
        <v>3.7794244334936096</v>
      </c>
      <c r="AL100" s="243">
        <f t="shared" ca="1" si="95"/>
        <v>3.9172317200210931</v>
      </c>
      <c r="AM100" s="243"/>
      <c r="AN100" s="242">
        <f t="shared" ca="1" si="61"/>
        <v>7.6966561535147022</v>
      </c>
      <c r="AO100" s="224"/>
      <c r="AP100" s="235">
        <f t="shared" si="96"/>
        <v>7.2307692307692308</v>
      </c>
      <c r="AQ100" s="235">
        <f t="shared" si="62"/>
        <v>0.80756407454905987</v>
      </c>
      <c r="AR100" s="235">
        <f t="shared" si="63"/>
        <v>0.89793632469265749</v>
      </c>
      <c r="AT100" s="230">
        <f t="shared" ca="1" si="64"/>
        <v>832060.70385803701</v>
      </c>
      <c r="AU100" s="231">
        <f t="shared" ca="1" si="65"/>
        <v>5180.2557357041642</v>
      </c>
      <c r="AV100" s="231">
        <f t="shared" ca="1" si="97"/>
        <v>8521.0250187250622</v>
      </c>
      <c r="AW100" s="231"/>
      <c r="AX100" s="231">
        <f t="shared" ca="1" si="98"/>
        <v>20824.003013188107</v>
      </c>
      <c r="AY100" s="231">
        <f t="shared" ca="1" si="99"/>
        <v>2603.0003766485133</v>
      </c>
      <c r="AZ100" s="231"/>
      <c r="BA100" s="232">
        <f t="shared" ca="1" si="66"/>
        <v>869188.98800230282</v>
      </c>
      <c r="BB100" s="231">
        <f t="shared" ca="1" si="67"/>
        <v>839.55745793271512</v>
      </c>
      <c r="BC100" s="231">
        <f t="shared" ca="1" si="100"/>
        <v>23472.476379267468</v>
      </c>
      <c r="BD100" s="231">
        <f t="shared" ca="1" si="101"/>
        <v>126284.21969383277</v>
      </c>
      <c r="BE100" s="231">
        <f t="shared" ca="1" si="102"/>
        <v>4384.8687393691935</v>
      </c>
      <c r="BF100" s="231">
        <f t="shared" ca="1" si="68"/>
        <v>63505.639712329314</v>
      </c>
      <c r="BG100" s="231">
        <f t="shared" ca="1" si="69"/>
        <v>218486.76198273146</v>
      </c>
      <c r="BH100" s="232">
        <f t="shared" ca="1" si="70"/>
        <v>1087675.7499850343</v>
      </c>
      <c r="BI100" s="243">
        <f t="shared" ca="1" si="103"/>
        <v>4.7134478962012238</v>
      </c>
      <c r="BJ100" s="243">
        <f t="shared" ca="1" si="104"/>
        <v>7.9400105048425225</v>
      </c>
      <c r="BK100" s="242">
        <f t="shared" ca="1" si="105"/>
        <v>12.653458401043746</v>
      </c>
      <c r="BL100" s="241">
        <f t="shared" ca="1" si="106"/>
        <v>3.3936824852648808</v>
      </c>
      <c r="BM100" s="243">
        <f t="shared" ca="1" si="107"/>
        <v>3.5174246536452376</v>
      </c>
      <c r="BN100" s="243">
        <f t="shared" si="71"/>
        <v>0</v>
      </c>
      <c r="BO100" s="242">
        <f t="shared" ca="1" si="72"/>
        <v>6.9111071389101184</v>
      </c>
      <c r="BP100" s="67"/>
      <c r="BQ100" s="67"/>
      <c r="BR100" s="67"/>
      <c r="BS100" s="67"/>
      <c r="BT100" s="67"/>
      <c r="BU100" s="67"/>
      <c r="BV100" s="67"/>
      <c r="BW100" s="67"/>
      <c r="BX100" s="67"/>
      <c r="BY100" s="67"/>
      <c r="BZ100" s="67"/>
      <c r="CA100" s="67"/>
      <c r="CB100" s="67"/>
    </row>
    <row r="101" spans="1:80" ht="12" customHeight="1" x14ac:dyDescent="0.15">
      <c r="A101" s="213">
        <f t="shared" si="73"/>
        <v>95</v>
      </c>
      <c r="B101" s="67">
        <f t="shared" si="74"/>
        <v>380</v>
      </c>
      <c r="C101" s="224">
        <f t="shared" si="75"/>
        <v>87.692307692307693</v>
      </c>
      <c r="D101" s="225">
        <f ca="1">IFERROR(OFFSET(extrapolation!P110,0,OS_dist_choice-1,1,1),0)</f>
        <v>0.17976445157695781</v>
      </c>
      <c r="E101" s="225">
        <f ca="1">IFERROR(OFFSET(extrapolation!D110,0,PFS_dist_choice-1,1,1),0)</f>
        <v>6.6231904973468758E-2</v>
      </c>
      <c r="F101" s="214"/>
      <c r="G101" s="226">
        <f t="shared" ca="1" si="76"/>
        <v>66.231904973468758</v>
      </c>
      <c r="H101" s="224">
        <f t="shared" ca="1" si="77"/>
        <v>113.5325466034891</v>
      </c>
      <c r="I101" s="224">
        <f t="shared" ca="1" si="54"/>
        <v>820.23554842304213</v>
      </c>
      <c r="J101" s="227">
        <f t="shared" ca="1" si="55"/>
        <v>1000</v>
      </c>
      <c r="K101" s="238">
        <f t="shared" ca="1" si="78"/>
        <v>1.4816021378742903</v>
      </c>
      <c r="L101" s="239">
        <f t="shared" ca="1" si="79"/>
        <v>2.6844992787973752</v>
      </c>
      <c r="M101" s="238">
        <f t="shared" ca="1" si="80"/>
        <v>66.972706042405903</v>
      </c>
      <c r="N101" s="238">
        <f t="shared" ca="1" si="81"/>
        <v>114.13399517395067</v>
      </c>
      <c r="O101" s="239">
        <f t="shared" ca="1" si="82"/>
        <v>818.89329878364344</v>
      </c>
      <c r="P101" s="217"/>
      <c r="Q101" s="217"/>
      <c r="R101" s="224"/>
      <c r="S101" s="230">
        <f t="shared" ca="1" si="83"/>
        <v>1007789.8030228504</v>
      </c>
      <c r="T101" s="231">
        <f t="shared" ca="1" si="84"/>
        <v>6274.3125390812966</v>
      </c>
      <c r="U101" s="231">
        <f t="shared" ca="1" si="85"/>
        <v>10320.181461839884</v>
      </c>
      <c r="V101" s="231"/>
      <c r="W101" s="231">
        <f t="shared" ca="1" si="86"/>
        <v>25220.849532273383</v>
      </c>
      <c r="X101" s="231">
        <f t="shared" ca="1" si="87"/>
        <v>3152.6061915341729</v>
      </c>
      <c r="Y101" s="231"/>
      <c r="Z101" s="232">
        <f t="shared" ca="1" si="56"/>
        <v>1052757.7527475792</v>
      </c>
      <c r="AA101" s="231">
        <f t="shared" ca="1" si="57"/>
        <v>1012.7682184530984</v>
      </c>
      <c r="AB101" s="231">
        <f t="shared" ca="1" si="88"/>
        <v>28760.021751138687</v>
      </c>
      <c r="AC101" s="231">
        <f t="shared" ca="1" si="89"/>
        <v>154731.73117891335</v>
      </c>
      <c r="AD101" s="231">
        <f t="shared" ca="1" si="90"/>
        <v>5372.6295548233793</v>
      </c>
      <c r="AE101" s="231">
        <f t="shared" ca="1" si="58"/>
        <v>76912.30000871986</v>
      </c>
      <c r="AF101" s="231">
        <f t="shared" ca="1" si="59"/>
        <v>266789.45071204839</v>
      </c>
      <c r="AG101" s="232">
        <f t="shared" ca="1" si="60"/>
        <v>1319547.2034596277</v>
      </c>
      <c r="AH101" s="243">
        <f t="shared" ca="1" si="91"/>
        <v>5.1341157267278996</v>
      </c>
      <c r="AI101" s="243">
        <f t="shared" ca="1" si="92"/>
        <v>8.7494917587149033</v>
      </c>
      <c r="AJ101" s="242">
        <f t="shared" ca="1" si="93"/>
        <v>13.883607485442802</v>
      </c>
      <c r="AK101" s="241">
        <f t="shared" ca="1" si="94"/>
        <v>3.6965633232440878</v>
      </c>
      <c r="AL101" s="243">
        <f t="shared" ca="1" si="95"/>
        <v>3.8760248491107023</v>
      </c>
      <c r="AM101" s="243"/>
      <c r="AN101" s="242">
        <f t="shared" ca="1" si="61"/>
        <v>7.5725881723547896</v>
      </c>
      <c r="AO101" s="224"/>
      <c r="AP101" s="235">
        <f t="shared" si="96"/>
        <v>7.3076923076923075</v>
      </c>
      <c r="AQ101" s="235">
        <f t="shared" si="62"/>
        <v>0.80572995844391704</v>
      </c>
      <c r="AR101" s="235">
        <f t="shared" si="63"/>
        <v>0.89690852674809707</v>
      </c>
      <c r="AT101" s="230">
        <f t="shared" ca="1" si="64"/>
        <v>812006.43610980466</v>
      </c>
      <c r="AU101" s="231">
        <f t="shared" ca="1" si="65"/>
        <v>5055.4015813781207</v>
      </c>
      <c r="AV101" s="231">
        <f t="shared" ca="1" si="97"/>
        <v>8315.2793803819332</v>
      </c>
      <c r="AW101" s="231"/>
      <c r="AX101" s="231">
        <f t="shared" ca="1" si="98"/>
        <v>20321.194045558917</v>
      </c>
      <c r="AY101" s="231">
        <f t="shared" ca="1" si="99"/>
        <v>2540.1492556948647</v>
      </c>
      <c r="AZ101" s="231"/>
      <c r="BA101" s="232">
        <f t="shared" ca="1" si="66"/>
        <v>848238.46037281852</v>
      </c>
      <c r="BB101" s="231">
        <f t="shared" ca="1" si="67"/>
        <v>816.01769456753482</v>
      </c>
      <c r="BC101" s="231">
        <f t="shared" ca="1" si="100"/>
        <v>23172.811130391125</v>
      </c>
      <c r="BD101" s="231">
        <f t="shared" ca="1" si="101"/>
        <v>124671.99133274119</v>
      </c>
      <c r="BE101" s="231">
        <f t="shared" ca="1" si="102"/>
        <v>4328.8885879424015</v>
      </c>
      <c r="BF101" s="231">
        <f t="shared" ca="1" si="68"/>
        <v>61970.544289851932</v>
      </c>
      <c r="BG101" s="231">
        <f t="shared" ca="1" si="69"/>
        <v>214960.25303549421</v>
      </c>
      <c r="BH101" s="232">
        <f t="shared" ca="1" si="70"/>
        <v>1063198.7134083128</v>
      </c>
      <c r="BI101" s="243">
        <f t="shared" ca="1" si="103"/>
        <v>4.6048321726137562</v>
      </c>
      <c r="BJ101" s="243">
        <f t="shared" ca="1" si="104"/>
        <v>7.8474937631036008</v>
      </c>
      <c r="BK101" s="242">
        <f t="shared" ca="1" si="105"/>
        <v>12.452325935717356</v>
      </c>
      <c r="BL101" s="241">
        <f t="shared" ca="1" si="106"/>
        <v>3.3154791642819044</v>
      </c>
      <c r="BM101" s="243">
        <f t="shared" ca="1" si="107"/>
        <v>3.4764397370548954</v>
      </c>
      <c r="BN101" s="243">
        <f t="shared" si="71"/>
        <v>0</v>
      </c>
      <c r="BO101" s="242">
        <f t="shared" ca="1" si="72"/>
        <v>6.7919189013367998</v>
      </c>
      <c r="BP101" s="67"/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67"/>
      <c r="CB101" s="67"/>
    </row>
    <row r="102" spans="1:80" ht="12" customHeight="1" x14ac:dyDescent="0.15">
      <c r="A102" s="213">
        <f t="shared" si="73"/>
        <v>96</v>
      </c>
      <c r="B102" s="67">
        <f t="shared" si="74"/>
        <v>384</v>
      </c>
      <c r="C102" s="224">
        <f t="shared" si="75"/>
        <v>88.615384615384613</v>
      </c>
      <c r="D102" s="225">
        <f ca="1">IFERROR(OFFSET(extrapolation!P111,0,OS_dist_choice-1,1,1),0)</f>
        <v>0.17713852083054507</v>
      </c>
      <c r="E102" s="225">
        <f ca="1">IFERROR(OFFSET(extrapolation!D111,0,PFS_dist_choice-1,1,1),0)</f>
        <v>6.4788393598102845E-2</v>
      </c>
      <c r="F102" s="214"/>
      <c r="G102" s="226">
        <f t="shared" ca="1" si="76"/>
        <v>64.788393598102843</v>
      </c>
      <c r="H102" s="224">
        <f t="shared" ca="1" si="77"/>
        <v>112.35012723244222</v>
      </c>
      <c r="I102" s="224">
        <f t="shared" ca="1" si="54"/>
        <v>822.86147916945492</v>
      </c>
      <c r="J102" s="227">
        <f t="shared" ca="1" si="55"/>
        <v>1000</v>
      </c>
      <c r="K102" s="238">
        <f t="shared" ca="1" si="78"/>
        <v>1.4435113753659152</v>
      </c>
      <c r="L102" s="239">
        <f t="shared" ca="1" si="79"/>
        <v>2.6259307464127914</v>
      </c>
      <c r="M102" s="238">
        <f t="shared" ca="1" si="80"/>
        <v>65.510149285785801</v>
      </c>
      <c r="N102" s="238">
        <f t="shared" ca="1" si="81"/>
        <v>112.94133691796566</v>
      </c>
      <c r="O102" s="239">
        <f t="shared" ca="1" si="82"/>
        <v>821.54851379624847</v>
      </c>
      <c r="P102" s="217"/>
      <c r="Q102" s="217"/>
      <c r="R102" s="224"/>
      <c r="S102" s="230">
        <f t="shared" ca="1" si="83"/>
        <v>985825.2219765404</v>
      </c>
      <c r="T102" s="231">
        <f t="shared" ca="1" si="84"/>
        <v>6137.5651282014051</v>
      </c>
      <c r="U102" s="231">
        <f t="shared" ca="1" si="85"/>
        <v>10094.80829090959</v>
      </c>
      <c r="V102" s="231"/>
      <c r="W102" s="231">
        <f t="shared" ca="1" si="86"/>
        <v>24670.074058638362</v>
      </c>
      <c r="X102" s="231">
        <f t="shared" ca="1" si="87"/>
        <v>3083.7592573297952</v>
      </c>
      <c r="Y102" s="231"/>
      <c r="Z102" s="232">
        <f t="shared" ca="1" si="56"/>
        <v>1029811.4287116196</v>
      </c>
      <c r="AA102" s="231">
        <f t="shared" ca="1" si="57"/>
        <v>986.73078728384053</v>
      </c>
      <c r="AB102" s="231">
        <f t="shared" ca="1" si="88"/>
        <v>28459.490105580095</v>
      </c>
      <c r="AC102" s="231">
        <f t="shared" ca="1" si="89"/>
        <v>153114.84151889465</v>
      </c>
      <c r="AD102" s="231">
        <f t="shared" ca="1" si="90"/>
        <v>5316.4875527393979</v>
      </c>
      <c r="AE102" s="231">
        <f t="shared" ca="1" si="58"/>
        <v>75234.281106121547</v>
      </c>
      <c r="AF102" s="231">
        <f t="shared" ca="1" si="59"/>
        <v>263111.83107061952</v>
      </c>
      <c r="AG102" s="232">
        <f t="shared" ca="1" si="60"/>
        <v>1292923.2597822391</v>
      </c>
      <c r="AH102" s="243">
        <f t="shared" ca="1" si="91"/>
        <v>5.021996386042443</v>
      </c>
      <c r="AI102" s="243">
        <f t="shared" ca="1" si="92"/>
        <v>8.6580627890569168</v>
      </c>
      <c r="AJ102" s="242">
        <f t="shared" ca="1" si="93"/>
        <v>13.680059175099359</v>
      </c>
      <c r="AK102" s="241">
        <f t="shared" ca="1" si="94"/>
        <v>3.6158373979505587</v>
      </c>
      <c r="AL102" s="243">
        <f t="shared" ca="1" si="95"/>
        <v>3.8355218155522142</v>
      </c>
      <c r="AM102" s="243"/>
      <c r="AN102" s="242">
        <f t="shared" ca="1" si="61"/>
        <v>7.4513592135027729</v>
      </c>
      <c r="AO102" s="224"/>
      <c r="AP102" s="235">
        <f t="shared" si="96"/>
        <v>7.384615384615385</v>
      </c>
      <c r="AQ102" s="235">
        <f t="shared" si="62"/>
        <v>0.80390000793007899</v>
      </c>
      <c r="AR102" s="235">
        <f t="shared" si="63"/>
        <v>0.89588190524398759</v>
      </c>
      <c r="AT102" s="230">
        <f t="shared" ca="1" si="64"/>
        <v>792504.90376461274</v>
      </c>
      <c r="AU102" s="231">
        <f t="shared" ca="1" si="65"/>
        <v>4933.9886552324861</v>
      </c>
      <c r="AV102" s="231">
        <f t="shared" ca="1" si="97"/>
        <v>8115.2164651148469</v>
      </c>
      <c r="AW102" s="231"/>
      <c r="AX102" s="231">
        <f t="shared" ca="1" si="98"/>
        <v>19832.272731375015</v>
      </c>
      <c r="AY102" s="231">
        <f t="shared" ca="1" si="99"/>
        <v>2479.0340914218768</v>
      </c>
      <c r="AZ102" s="231"/>
      <c r="BA102" s="232">
        <f t="shared" ca="1" si="66"/>
        <v>827865.415707757</v>
      </c>
      <c r="BB102" s="231">
        <f t="shared" ca="1" si="67"/>
        <v>793.23288772233252</v>
      </c>
      <c r="BC102" s="231">
        <f t="shared" ca="1" si="100"/>
        <v>22878.584321561844</v>
      </c>
      <c r="BD102" s="231">
        <f t="shared" ca="1" si="101"/>
        <v>123089.02231125219</v>
      </c>
      <c r="BE102" s="231">
        <f t="shared" ca="1" si="102"/>
        <v>4273.9243858073678</v>
      </c>
      <c r="BF102" s="231">
        <f t="shared" ca="1" si="68"/>
        <v>60480.839177824906</v>
      </c>
      <c r="BG102" s="231">
        <f t="shared" ca="1" si="69"/>
        <v>211515.60308416863</v>
      </c>
      <c r="BH102" s="232">
        <f t="shared" ca="1" si="70"/>
        <v>1039381.0187919256</v>
      </c>
      <c r="BI102" s="243">
        <f t="shared" ca="1" si="103"/>
        <v>4.499115690456124</v>
      </c>
      <c r="BJ102" s="243">
        <f t="shared" ca="1" si="104"/>
        <v>7.756601787182384</v>
      </c>
      <c r="BK102" s="242">
        <f t="shared" ca="1" si="105"/>
        <v>12.255717477638507</v>
      </c>
      <c r="BL102" s="241">
        <f t="shared" ca="1" si="106"/>
        <v>3.239363297128409</v>
      </c>
      <c r="BM102" s="243">
        <f t="shared" ca="1" si="107"/>
        <v>3.4361745917217958</v>
      </c>
      <c r="BN102" s="243">
        <f t="shared" si="71"/>
        <v>0</v>
      </c>
      <c r="BO102" s="242">
        <f t="shared" ca="1" si="72"/>
        <v>6.6755378888502053</v>
      </c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67"/>
      <c r="CB102" s="67"/>
    </row>
    <row r="103" spans="1:80" ht="12" customHeight="1" x14ac:dyDescent="0.15">
      <c r="A103" s="213">
        <f t="shared" si="73"/>
        <v>97</v>
      </c>
      <c r="B103" s="67">
        <f t="shared" si="74"/>
        <v>388</v>
      </c>
      <c r="C103" s="224">
        <f t="shared" si="75"/>
        <v>89.538461538461547</v>
      </c>
      <c r="D103" s="225">
        <f ca="1">IFERROR(OFFSET(extrapolation!P112,0,OS_dist_choice-1,1,1),0)</f>
        <v>0.17456953094326969</v>
      </c>
      <c r="E103" s="225">
        <f ca="1">IFERROR(OFFSET(extrapolation!D112,0,PFS_dist_choice-1,1,1),0)</f>
        <v>6.338182752286059E-2</v>
      </c>
      <c r="F103" s="214"/>
      <c r="G103" s="226">
        <f t="shared" ca="1" si="76"/>
        <v>63.38182752286059</v>
      </c>
      <c r="H103" s="224">
        <f t="shared" ca="1" si="77"/>
        <v>111.18770342040909</v>
      </c>
      <c r="I103" s="224">
        <f t="shared" ca="1" si="54"/>
        <v>825.43046905673032</v>
      </c>
      <c r="J103" s="227">
        <f t="shared" ca="1" si="55"/>
        <v>1000</v>
      </c>
      <c r="K103" s="238">
        <f t="shared" ca="1" si="78"/>
        <v>1.4065660752422531</v>
      </c>
      <c r="L103" s="239">
        <f t="shared" ca="1" si="79"/>
        <v>2.5689898872753929</v>
      </c>
      <c r="M103" s="238">
        <f t="shared" ca="1" si="80"/>
        <v>64.085110560481723</v>
      </c>
      <c r="N103" s="238">
        <f t="shared" ca="1" si="81"/>
        <v>111.76891532642566</v>
      </c>
      <c r="O103" s="239">
        <f t="shared" ca="1" si="82"/>
        <v>824.14597411309262</v>
      </c>
      <c r="P103" s="217"/>
      <c r="Q103" s="217"/>
      <c r="R103" s="224"/>
      <c r="S103" s="230">
        <f t="shared" ca="1" si="83"/>
        <v>964422.80348238954</v>
      </c>
      <c r="T103" s="231">
        <f t="shared" ca="1" si="84"/>
        <v>6004.3176371851932</v>
      </c>
      <c r="U103" s="231">
        <f t="shared" ca="1" si="85"/>
        <v>9875.2164735209499</v>
      </c>
      <c r="V103" s="231"/>
      <c r="W103" s="231">
        <f t="shared" ca="1" si="86"/>
        <v>24133.427275308448</v>
      </c>
      <c r="X103" s="231">
        <f t="shared" ca="1" si="87"/>
        <v>3016.678409413556</v>
      </c>
      <c r="Y103" s="231"/>
      <c r="Z103" s="232">
        <f t="shared" ca="1" si="56"/>
        <v>1007452.4432778177</v>
      </c>
      <c r="AA103" s="231">
        <f t="shared" ca="1" si="57"/>
        <v>961.4763516766269</v>
      </c>
      <c r="AB103" s="231">
        <f t="shared" ca="1" si="88"/>
        <v>28164.057790056537</v>
      </c>
      <c r="AC103" s="231">
        <f t="shared" ca="1" si="89"/>
        <v>151525.38675343205</v>
      </c>
      <c r="AD103" s="231">
        <f t="shared" ca="1" si="90"/>
        <v>5261.298151160835</v>
      </c>
      <c r="AE103" s="231">
        <f t="shared" ca="1" si="58"/>
        <v>73602.895888282408</v>
      </c>
      <c r="AF103" s="231">
        <f t="shared" ca="1" si="59"/>
        <v>259515.11493460846</v>
      </c>
      <c r="AG103" s="232">
        <f t="shared" ca="1" si="60"/>
        <v>1266967.558212426</v>
      </c>
      <c r="AH103" s="243">
        <f t="shared" ca="1" si="91"/>
        <v>4.9127531709609533</v>
      </c>
      <c r="AI103" s="243">
        <f t="shared" ca="1" si="92"/>
        <v>8.5681851584939572</v>
      </c>
      <c r="AJ103" s="242">
        <f t="shared" ca="1" si="93"/>
        <v>13.480938329454911</v>
      </c>
      <c r="AK103" s="241">
        <f t="shared" ca="1" si="94"/>
        <v>3.5371822830918864</v>
      </c>
      <c r="AL103" s="243">
        <f t="shared" ca="1" si="95"/>
        <v>3.795706025212823</v>
      </c>
      <c r="AM103" s="243"/>
      <c r="AN103" s="242">
        <f t="shared" ca="1" si="61"/>
        <v>7.3328883083047094</v>
      </c>
      <c r="AO103" s="224"/>
      <c r="AP103" s="235">
        <f t="shared" si="96"/>
        <v>7.4615384615384617</v>
      </c>
      <c r="AQ103" s="235">
        <f t="shared" si="62"/>
        <v>0.80207421354677577</v>
      </c>
      <c r="AR103" s="235">
        <f t="shared" si="63"/>
        <v>0.89485645883374931</v>
      </c>
      <c r="AT103" s="230">
        <f t="shared" ca="1" si="64"/>
        <v>773538.6616297143</v>
      </c>
      <c r="AU103" s="231">
        <f t="shared" ca="1" si="65"/>
        <v>4815.908346730349</v>
      </c>
      <c r="AV103" s="231">
        <f t="shared" ca="1" si="97"/>
        <v>7920.6564866034805</v>
      </c>
      <c r="AW103" s="231"/>
      <c r="AX103" s="231">
        <f t="shared" ca="1" si="98"/>
        <v>19356.799702031331</v>
      </c>
      <c r="AY103" s="231">
        <f t="shared" ca="1" si="99"/>
        <v>2419.5999627539163</v>
      </c>
      <c r="AZ103" s="231"/>
      <c r="BA103" s="232">
        <f t="shared" ca="1" si="66"/>
        <v>808051.62612783338</v>
      </c>
      <c r="BB103" s="231">
        <f t="shared" ca="1" si="67"/>
        <v>771.17538861485377</v>
      </c>
      <c r="BC103" s="231">
        <f t="shared" ca="1" si="100"/>
        <v>22589.664502245541</v>
      </c>
      <c r="BD103" s="231">
        <f t="shared" ca="1" si="101"/>
        <v>121534.60541263004</v>
      </c>
      <c r="BE103" s="231">
        <f t="shared" ca="1" si="102"/>
        <v>4219.9515768274323</v>
      </c>
      <c r="BF103" s="231">
        <f t="shared" ca="1" si="68"/>
        <v>59034.984834359326</v>
      </c>
      <c r="BG103" s="231">
        <f t="shared" ca="1" si="69"/>
        <v>208150.38171467721</v>
      </c>
      <c r="BH103" s="232">
        <f t="shared" ca="1" si="70"/>
        <v>1016202.0078425105</v>
      </c>
      <c r="BI103" s="243">
        <f t="shared" ca="1" si="103"/>
        <v>4.3962089056903917</v>
      </c>
      <c r="BJ103" s="243">
        <f t="shared" ca="1" si="104"/>
        <v>7.6672958295617892</v>
      </c>
      <c r="BK103" s="242">
        <f t="shared" ca="1" si="105"/>
        <v>12.063504735252183</v>
      </c>
      <c r="BL103" s="241">
        <f t="shared" ca="1" si="106"/>
        <v>3.1652704120970823</v>
      </c>
      <c r="BM103" s="243">
        <f t="shared" ca="1" si="107"/>
        <v>3.3966120524958727</v>
      </c>
      <c r="BN103" s="243">
        <f t="shared" si="71"/>
        <v>0</v>
      </c>
      <c r="BO103" s="242">
        <f t="shared" ca="1" si="72"/>
        <v>6.561882464592955</v>
      </c>
      <c r="BP103" s="67"/>
      <c r="BQ103" s="67"/>
      <c r="BR103" s="67"/>
      <c r="BS103" s="67"/>
      <c r="BT103" s="67"/>
      <c r="BU103" s="67"/>
      <c r="BV103" s="67"/>
      <c r="BW103" s="67"/>
      <c r="BX103" s="67"/>
      <c r="BY103" s="67"/>
      <c r="BZ103" s="67"/>
      <c r="CA103" s="67"/>
      <c r="CB103" s="67"/>
    </row>
    <row r="104" spans="1:80" ht="12" customHeight="1" x14ac:dyDescent="0.15">
      <c r="A104" s="213">
        <f t="shared" si="73"/>
        <v>98</v>
      </c>
      <c r="B104" s="67">
        <f t="shared" si="74"/>
        <v>392</v>
      </c>
      <c r="C104" s="224">
        <f t="shared" si="75"/>
        <v>90.461538461538453</v>
      </c>
      <c r="D104" s="225">
        <f ca="1">IFERROR(OFFSET(extrapolation!P113,0,OS_dist_choice-1,1,1),0)</f>
        <v>0.17205590688972661</v>
      </c>
      <c r="E104" s="225">
        <f ca="1">IFERROR(OFFSET(extrapolation!D113,0,PFS_dist_choice-1,1,1),0)</f>
        <v>6.2011101292963833E-2</v>
      </c>
      <c r="F104" s="214"/>
      <c r="G104" s="226">
        <f t="shared" ca="1" si="76"/>
        <v>62.011101292963829</v>
      </c>
      <c r="H104" s="224">
        <f t="shared" ca="1" si="77"/>
        <v>110.04480559676279</v>
      </c>
      <c r="I104" s="224">
        <f t="shared" ca="1" si="54"/>
        <v>827.94409311027334</v>
      </c>
      <c r="J104" s="227">
        <f t="shared" ca="1" si="55"/>
        <v>1000</v>
      </c>
      <c r="K104" s="238">
        <f t="shared" ca="1" si="78"/>
        <v>1.3707262298967606</v>
      </c>
      <c r="L104" s="239">
        <f t="shared" ca="1" si="79"/>
        <v>2.5136240535430261</v>
      </c>
      <c r="M104" s="238">
        <f t="shared" ca="1" si="80"/>
        <v>62.69646440791221</v>
      </c>
      <c r="N104" s="238">
        <f t="shared" ca="1" si="81"/>
        <v>110.61625450858594</v>
      </c>
      <c r="O104" s="239">
        <f t="shared" ca="1" si="82"/>
        <v>826.68728108350183</v>
      </c>
      <c r="P104" s="217"/>
      <c r="Q104" s="217"/>
      <c r="R104" s="224"/>
      <c r="S104" s="230">
        <f t="shared" ca="1" si="83"/>
        <v>943565.72685475403</v>
      </c>
      <c r="T104" s="231">
        <f t="shared" ca="1" si="84"/>
        <v>5874.4653435612372</v>
      </c>
      <c r="U104" s="231">
        <f t="shared" ca="1" si="85"/>
        <v>9661.2325817587007</v>
      </c>
      <c r="V104" s="231"/>
      <c r="W104" s="231">
        <f t="shared" ca="1" si="86"/>
        <v>23610.48535258921</v>
      </c>
      <c r="X104" s="231">
        <f t="shared" ca="1" si="87"/>
        <v>2951.3106690736513</v>
      </c>
      <c r="Y104" s="231"/>
      <c r="Z104" s="232">
        <f t="shared" ca="1" si="56"/>
        <v>985663.22080173681</v>
      </c>
      <c r="AA104" s="231">
        <f t="shared" ca="1" si="57"/>
        <v>936.97756391686687</v>
      </c>
      <c r="AB104" s="231">
        <f t="shared" ca="1" si="88"/>
        <v>27873.60488737639</v>
      </c>
      <c r="AC104" s="231">
        <f t="shared" ca="1" si="89"/>
        <v>149962.72171630079</v>
      </c>
      <c r="AD104" s="231">
        <f t="shared" ca="1" si="90"/>
        <v>5207.0389484826655</v>
      </c>
      <c r="AE104" s="231">
        <f t="shared" ca="1" si="58"/>
        <v>72016.635967153139</v>
      </c>
      <c r="AF104" s="231">
        <f t="shared" ca="1" si="59"/>
        <v>255996.97908322985</v>
      </c>
      <c r="AG104" s="232">
        <f t="shared" ca="1" si="60"/>
        <v>1241660.1998849667</v>
      </c>
      <c r="AH104" s="244">
        <f t="shared" ca="1" si="91"/>
        <v>4.8062998040288623</v>
      </c>
      <c r="AI104" s="243">
        <f t="shared" ca="1" si="92"/>
        <v>8.4798223853262318</v>
      </c>
      <c r="AJ104" s="242">
        <f t="shared" ca="1" si="93"/>
        <v>13.286122189355094</v>
      </c>
      <c r="AK104" s="241">
        <f t="shared" ca="1" si="94"/>
        <v>3.4605358589007809</v>
      </c>
      <c r="AL104" s="243">
        <f t="shared" ca="1" si="95"/>
        <v>3.7565613166995209</v>
      </c>
      <c r="AM104" s="243"/>
      <c r="AN104" s="242">
        <f t="shared" ca="1" si="61"/>
        <v>7.2170971756003013</v>
      </c>
      <c r="AO104" s="224"/>
      <c r="AP104" s="235">
        <f t="shared" si="96"/>
        <v>7.5384615384615383</v>
      </c>
      <c r="AQ104" s="235">
        <f t="shared" si="62"/>
        <v>0.80025256585472426</v>
      </c>
      <c r="AR104" s="235">
        <f t="shared" si="63"/>
        <v>0.89383218617234339</v>
      </c>
      <c r="AT104" s="230">
        <f t="shared" ca="1" si="64"/>
        <v>755090.89396809484</v>
      </c>
      <c r="AU104" s="231">
        <f t="shared" ca="1" si="65"/>
        <v>4701.0559642095341</v>
      </c>
      <c r="AV104" s="231">
        <f t="shared" ca="1" si="97"/>
        <v>7731.4261628716622</v>
      </c>
      <c r="AW104" s="231"/>
      <c r="AX104" s="231">
        <f t="shared" ca="1" si="98"/>
        <v>18894.351484484901</v>
      </c>
      <c r="AY104" s="231">
        <f t="shared" ca="1" si="99"/>
        <v>2361.7939355606127</v>
      </c>
      <c r="AZ104" s="231"/>
      <c r="BA104" s="232">
        <f t="shared" ca="1" si="66"/>
        <v>788779.52151522145</v>
      </c>
      <c r="BB104" s="231">
        <f t="shared" ca="1" si="67"/>
        <v>749.81869967278158</v>
      </c>
      <c r="BC104" s="231">
        <f t="shared" ca="1" si="100"/>
        <v>22305.923830743737</v>
      </c>
      <c r="BD104" s="231">
        <f t="shared" ca="1" si="101"/>
        <v>120008.05283602768</v>
      </c>
      <c r="BE104" s="231">
        <f t="shared" ca="1" si="102"/>
        <v>4166.9462790287389</v>
      </c>
      <c r="BF104" s="231">
        <f t="shared" ca="1" si="68"/>
        <v>57631.497716939921</v>
      </c>
      <c r="BG104" s="231">
        <f t="shared" ca="1" si="69"/>
        <v>204862.23936241286</v>
      </c>
      <c r="BH104" s="232">
        <f t="shared" ca="1" si="70"/>
        <v>993641.7608776344</v>
      </c>
      <c r="BI104" s="244">
        <f t="shared" ca="1" si="103"/>
        <v>4.2960254612348239</v>
      </c>
      <c r="BJ104" s="243">
        <f t="shared" ca="1" si="104"/>
        <v>7.5795381810293216</v>
      </c>
      <c r="BK104" s="242">
        <f t="shared" ca="1" si="105"/>
        <v>11.875563642264146</v>
      </c>
      <c r="BL104" s="241">
        <f t="shared" ca="1" si="106"/>
        <v>3.0931383320890729</v>
      </c>
      <c r="BM104" s="243">
        <f t="shared" ca="1" si="107"/>
        <v>3.3577354141959894</v>
      </c>
      <c r="BN104" s="243">
        <f t="shared" si="71"/>
        <v>0</v>
      </c>
      <c r="BO104" s="242">
        <f t="shared" ca="1" si="72"/>
        <v>6.4508737462850618</v>
      </c>
      <c r="BP104" s="67"/>
      <c r="BQ104" s="67"/>
      <c r="BR104" s="67"/>
      <c r="BS104" s="67"/>
      <c r="BT104" s="67"/>
      <c r="BU104" s="67"/>
      <c r="BV104" s="67"/>
      <c r="BW104" s="67"/>
      <c r="BX104" s="67"/>
      <c r="BY104" s="67"/>
      <c r="BZ104" s="67"/>
      <c r="CA104" s="67"/>
      <c r="CB104" s="67"/>
    </row>
    <row r="105" spans="1:80" ht="12" customHeight="1" x14ac:dyDescent="0.15">
      <c r="A105" s="213">
        <f t="shared" si="73"/>
        <v>99</v>
      </c>
      <c r="B105" s="67">
        <f t="shared" si="74"/>
        <v>396</v>
      </c>
      <c r="C105" s="224">
        <f t="shared" si="75"/>
        <v>91.384615384615387</v>
      </c>
      <c r="D105" s="225">
        <f ca="1">IFERROR(OFFSET(extrapolation!P114,0,OS_dist_choice-1,1,1),0)</f>
        <v>0.16959612446309888</v>
      </c>
      <c r="E105" s="225">
        <f ca="1">IFERROR(OFFSET(extrapolation!D114,0,PFS_dist_choice-1,1,1),0)</f>
        <v>6.0675147852877087E-2</v>
      </c>
      <c r="F105" s="214"/>
      <c r="G105" s="226">
        <f t="shared" ca="1" si="76"/>
        <v>60.675147852877089</v>
      </c>
      <c r="H105" s="224">
        <f t="shared" ca="1" si="77"/>
        <v>108.92097661022183</v>
      </c>
      <c r="I105" s="224">
        <f t="shared" ca="1" si="54"/>
        <v>830.40387553690107</v>
      </c>
      <c r="J105" s="227">
        <f t="shared" ca="1" si="55"/>
        <v>1000</v>
      </c>
      <c r="K105" s="238">
        <f t="shared" ca="1" si="78"/>
        <v>1.3359534400867403</v>
      </c>
      <c r="L105" s="239">
        <f t="shared" ca="1" si="79"/>
        <v>2.4597824266277257</v>
      </c>
      <c r="M105" s="238">
        <f t="shared" ca="1" si="80"/>
        <v>61.343124572920459</v>
      </c>
      <c r="N105" s="238">
        <f t="shared" ca="1" si="81"/>
        <v>109.48289110349231</v>
      </c>
      <c r="O105" s="239">
        <f t="shared" ca="1" si="82"/>
        <v>829.17398432358721</v>
      </c>
      <c r="P105" s="217"/>
      <c r="Q105" s="217"/>
      <c r="R105" s="224"/>
      <c r="S105" s="230">
        <f t="shared" ca="1" si="83"/>
        <v>923237.75569384533</v>
      </c>
      <c r="T105" s="231">
        <f t="shared" ca="1" si="84"/>
        <v>5747.9071625135566</v>
      </c>
      <c r="U105" s="231">
        <f t="shared" ca="1" si="85"/>
        <v>9452.6892287723676</v>
      </c>
      <c r="V105" s="231"/>
      <c r="W105" s="231">
        <f t="shared" ca="1" si="86"/>
        <v>23100.839224168678</v>
      </c>
      <c r="X105" s="231">
        <f t="shared" ca="1" si="87"/>
        <v>2887.6049030210847</v>
      </c>
      <c r="Y105" s="231"/>
      <c r="Z105" s="232">
        <f t="shared" ca="1" si="56"/>
        <v>964426.79621232115</v>
      </c>
      <c r="AA105" s="231">
        <f t="shared" ca="1" si="57"/>
        <v>913.20817570778581</v>
      </c>
      <c r="AB105" s="231">
        <f t="shared" ca="1" si="88"/>
        <v>27588.014637663684</v>
      </c>
      <c r="AC105" s="231">
        <f t="shared" ca="1" si="89"/>
        <v>148426.21822794317</v>
      </c>
      <c r="AD105" s="231">
        <f t="shared" ca="1" si="90"/>
        <v>5153.6881329146936</v>
      </c>
      <c r="AE105" s="231">
        <f t="shared" ca="1" si="58"/>
        <v>70474.04536376796</v>
      </c>
      <c r="AF105" s="231">
        <f t="shared" ca="1" si="59"/>
        <v>252555.17453799729</v>
      </c>
      <c r="AG105" s="232">
        <f t="shared" ca="1" si="60"/>
        <v>1216981.9707503184</v>
      </c>
      <c r="AH105" s="244">
        <f t="shared" ca="1" si="91"/>
        <v>4.7025530131191591</v>
      </c>
      <c r="AI105" s="243">
        <f t="shared" ca="1" si="92"/>
        <v>8.3929389483854475</v>
      </c>
      <c r="AJ105" s="242">
        <f t="shared" ca="1" si="93"/>
        <v>13.095491961504607</v>
      </c>
      <c r="AK105" s="241">
        <f t="shared" ca="1" si="94"/>
        <v>3.3858381694457944</v>
      </c>
      <c r="AL105" s="243">
        <f t="shared" ca="1" si="95"/>
        <v>3.7180719541347531</v>
      </c>
      <c r="AM105" s="243"/>
      <c r="AN105" s="242">
        <f t="shared" ca="1" si="61"/>
        <v>7.1039101235805475</v>
      </c>
      <c r="AO105" s="224"/>
      <c r="AP105" s="235">
        <f t="shared" si="96"/>
        <v>7.615384615384615</v>
      </c>
      <c r="AQ105" s="235">
        <f t="shared" si="62"/>
        <v>0.79843505543607962</v>
      </c>
      <c r="AR105" s="235">
        <f t="shared" si="63"/>
        <v>0.89280908591627084</v>
      </c>
      <c r="AT105" s="230">
        <f t="shared" ca="1" si="64"/>
        <v>737145.38864809717</v>
      </c>
      <c r="AU105" s="231">
        <f t="shared" ca="1" si="65"/>
        <v>4589.3305739429507</v>
      </c>
      <c r="AV105" s="231">
        <f t="shared" ca="1" si="97"/>
        <v>7547.358448394898</v>
      </c>
      <c r="AW105" s="231"/>
      <c r="AX105" s="231">
        <f t="shared" ca="1" si="98"/>
        <v>18444.519846569081</v>
      </c>
      <c r="AY105" s="231">
        <f t="shared" ca="1" si="99"/>
        <v>2305.5649808211351</v>
      </c>
      <c r="AZ105" s="231"/>
      <c r="BA105" s="232">
        <f t="shared" ca="1" si="66"/>
        <v>770032.16249782534</v>
      </c>
      <c r="BB105" s="231">
        <f t="shared" ca="1" si="67"/>
        <v>729.13742039592705</v>
      </c>
      <c r="BC105" s="231">
        <f t="shared" ca="1" si="100"/>
        <v>22027.23799659438</v>
      </c>
      <c r="BD105" s="231">
        <f t="shared" ca="1" si="101"/>
        <v>118508.69577899546</v>
      </c>
      <c r="BE105" s="231">
        <f t="shared" ca="1" si="102"/>
        <v>4114.8852701040087</v>
      </c>
      <c r="BF105" s="231">
        <f t="shared" ca="1" si="68"/>
        <v>56268.948316824863</v>
      </c>
      <c r="BG105" s="231">
        <f t="shared" ca="1" si="69"/>
        <v>201648.90478291461</v>
      </c>
      <c r="BH105" s="232">
        <f t="shared" ca="1" si="70"/>
        <v>971681.0672807399</v>
      </c>
      <c r="BI105" s="244">
        <f t="shared" ca="1" si="103"/>
        <v>4.1984820571157213</v>
      </c>
      <c r="BJ105" s="243">
        <f t="shared" ca="1" si="104"/>
        <v>7.4932921506590793</v>
      </c>
      <c r="BK105" s="242">
        <f t="shared" ca="1" si="105"/>
        <v>11.691774207774801</v>
      </c>
      <c r="BL105" s="241">
        <f t="shared" ca="1" si="106"/>
        <v>3.0229070811233196</v>
      </c>
      <c r="BM105" s="243">
        <f t="shared" ca="1" si="107"/>
        <v>3.3195284227419717</v>
      </c>
      <c r="BN105" s="243">
        <f t="shared" si="71"/>
        <v>0</v>
      </c>
      <c r="BO105" s="242">
        <f t="shared" ca="1" si="72"/>
        <v>6.3424355038652909</v>
      </c>
      <c r="BP105" s="67"/>
      <c r="BQ105" s="67"/>
      <c r="BR105" s="67"/>
      <c r="BS105" s="67"/>
      <c r="BT105" s="67"/>
      <c r="BU105" s="67"/>
      <c r="BV105" s="67"/>
      <c r="BW105" s="67"/>
      <c r="BX105" s="67"/>
      <c r="BY105" s="67"/>
      <c r="BZ105" s="67"/>
      <c r="CA105" s="67"/>
      <c r="CB105" s="67"/>
    </row>
    <row r="106" spans="1:80" ht="12" customHeight="1" x14ac:dyDescent="0.15">
      <c r="A106" s="213">
        <f t="shared" si="73"/>
        <v>100</v>
      </c>
      <c r="B106" s="67">
        <f t="shared" si="74"/>
        <v>400</v>
      </c>
      <c r="C106" s="224">
        <f t="shared" si="75"/>
        <v>92.307692307692307</v>
      </c>
      <c r="D106" s="225">
        <f ca="1">IFERROR(OFFSET(extrapolation!P115,0,OS_dist_choice-1,1,1),0)</f>
        <v>0.16718870850622089</v>
      </c>
      <c r="E106" s="225">
        <f ca="1">IFERROR(OFFSET(extrapolation!D115,0,PFS_dist_choice-1,1,1),0)</f>
        <v>5.9372937011605065E-2</v>
      </c>
      <c r="F106" s="214"/>
      <c r="G106" s="226">
        <f t="shared" ca="1" si="76"/>
        <v>59.372937011605067</v>
      </c>
      <c r="H106" s="224">
        <f t="shared" ca="1" si="77"/>
        <v>107.81577149461589</v>
      </c>
      <c r="I106" s="224">
        <f t="shared" ca="1" si="54"/>
        <v>832.81129149377909</v>
      </c>
      <c r="J106" s="227">
        <f t="shared" ca="1" si="55"/>
        <v>1000</v>
      </c>
      <c r="K106" s="238">
        <f t="shared" ca="1" si="78"/>
        <v>1.3022108412720215</v>
      </c>
      <c r="L106" s="239">
        <f t="shared" ca="1" si="79"/>
        <v>2.407415956878026</v>
      </c>
      <c r="M106" s="238">
        <f t="shared" ca="1" si="80"/>
        <v>60.024042432241075</v>
      </c>
      <c r="N106" s="238">
        <f t="shared" ca="1" si="81"/>
        <v>108.36837405241886</v>
      </c>
      <c r="O106" s="239">
        <f t="shared" ca="1" si="82"/>
        <v>831.60758351534014</v>
      </c>
      <c r="P106" s="217"/>
      <c r="Q106" s="217"/>
      <c r="R106" s="224"/>
      <c r="S106" s="230">
        <f t="shared" ca="1" si="83"/>
        <v>903423.21453357744</v>
      </c>
      <c r="T106" s="231">
        <f t="shared" ca="1" si="84"/>
        <v>5624.5455014954478</v>
      </c>
      <c r="U106" s="231">
        <f t="shared" ca="1" si="85"/>
        <v>9249.4248266103314</v>
      </c>
      <c r="V106" s="231"/>
      <c r="W106" s="231">
        <f t="shared" ca="1" si="86"/>
        <v>22604.093995303072</v>
      </c>
      <c r="X106" s="231">
        <f t="shared" ca="1" si="87"/>
        <v>2825.511749412884</v>
      </c>
      <c r="Y106" s="231"/>
      <c r="Z106" s="232">
        <f t="shared" ca="1" si="56"/>
        <v>943726.79060639918</v>
      </c>
      <c r="AA106" s="231">
        <f t="shared" ca="1" si="57"/>
        <v>890.14298781828245</v>
      </c>
      <c r="AB106" s="231">
        <f t="shared" ca="1" si="88"/>
        <v>27307.173381015873</v>
      </c>
      <c r="AC106" s="231">
        <f t="shared" ca="1" si="89"/>
        <v>146915.26478696198</v>
      </c>
      <c r="AD106" s="231">
        <f t="shared" ca="1" si="90"/>
        <v>5101.224471769513</v>
      </c>
      <c r="AE106" s="231">
        <f t="shared" ca="1" si="58"/>
        <v>68973.718780111434</v>
      </c>
      <c r="AF106" s="231">
        <f t="shared" ca="1" si="59"/>
        <v>249187.52440767706</v>
      </c>
      <c r="AG106" s="232">
        <f t="shared" ca="1" si="60"/>
        <v>1192914.3150140762</v>
      </c>
      <c r="AH106" s="244">
        <f t="shared" ca="1" si="91"/>
        <v>4.6014324109589326</v>
      </c>
      <c r="AI106" s="243">
        <f t="shared" ca="1" si="92"/>
        <v>8.307500269589946</v>
      </c>
      <c r="AJ106" s="242">
        <f t="shared" ca="1" si="93"/>
        <v>12.90893268054888</v>
      </c>
      <c r="AK106" s="241">
        <f t="shared" ca="1" si="94"/>
        <v>3.3130313358904315</v>
      </c>
      <c r="AL106" s="243">
        <f t="shared" ca="1" si="95"/>
        <v>3.6802226194283461</v>
      </c>
      <c r="AM106" s="243"/>
      <c r="AN106" s="242">
        <f t="shared" ca="1" si="61"/>
        <v>6.993253955318778</v>
      </c>
      <c r="AO106" s="224"/>
      <c r="AP106" s="235">
        <f t="shared" si="96"/>
        <v>7.6923076923076925</v>
      </c>
      <c r="AQ106" s="235">
        <f t="shared" si="62"/>
        <v>0.79662167289438623</v>
      </c>
      <c r="AR106" s="235">
        <f t="shared" si="63"/>
        <v>0.89178715672357023</v>
      </c>
      <c r="AT106" s="230">
        <f t="shared" ca="1" si="64"/>
        <v>719686.51249336242</v>
      </c>
      <c r="AU106" s="231">
        <f t="shared" ca="1" si="65"/>
        <v>4480.6348466718982</v>
      </c>
      <c r="AV106" s="231">
        <f t="shared" ca="1" si="97"/>
        <v>7368.2922786851905</v>
      </c>
      <c r="AW106" s="231"/>
      <c r="AX106" s="231">
        <f t="shared" ca="1" si="98"/>
        <v>18006.911172800283</v>
      </c>
      <c r="AY106" s="231">
        <f t="shared" ca="1" si="99"/>
        <v>2250.8638966000353</v>
      </c>
      <c r="AZ106" s="231"/>
      <c r="BA106" s="232">
        <f t="shared" ca="1" si="66"/>
        <v>751793.21468811983</v>
      </c>
      <c r="BB106" s="231">
        <f t="shared" ca="1" si="67"/>
        <v>709.10719607100748</v>
      </c>
      <c r="BC106" s="231">
        <f t="shared" ca="1" si="100"/>
        <v>21753.486140801917</v>
      </c>
      <c r="BD106" s="231">
        <f t="shared" ca="1" si="101"/>
        <v>117035.88400831138</v>
      </c>
      <c r="BE106" s="231">
        <f t="shared" ca="1" si="102"/>
        <v>4063.745972510811</v>
      </c>
      <c r="BF106" s="231">
        <f t="shared" ca="1" si="68"/>
        <v>54945.959240359312</v>
      </c>
      <c r="BG106" s="231">
        <f t="shared" ca="1" si="69"/>
        <v>198508.1825580544</v>
      </c>
      <c r="BH106" s="232">
        <f t="shared" ca="1" si="70"/>
        <v>950301.39724617417</v>
      </c>
      <c r="BI106" s="244">
        <f t="shared" ca="1" si="103"/>
        <v>4.1034983266247496</v>
      </c>
      <c r="BJ106" s="243">
        <f t="shared" ca="1" si="104"/>
        <v>7.4085220448979108</v>
      </c>
      <c r="BK106" s="242">
        <f t="shared" ca="1" si="105"/>
        <v>11.512020371522661</v>
      </c>
      <c r="BL106" s="241">
        <f t="shared" ca="1" si="106"/>
        <v>2.9545187951698195</v>
      </c>
      <c r="BM106" s="243">
        <f t="shared" ca="1" si="107"/>
        <v>3.2819752658897747</v>
      </c>
      <c r="BN106" s="243">
        <f t="shared" si="71"/>
        <v>0</v>
      </c>
      <c r="BO106" s="242">
        <f t="shared" ca="1" si="72"/>
        <v>6.2364940610595943</v>
      </c>
      <c r="BP106" s="67"/>
      <c r="BQ106" s="67"/>
      <c r="BR106" s="67"/>
      <c r="BS106" s="67"/>
      <c r="BT106" s="67"/>
      <c r="BU106" s="67"/>
      <c r="BV106" s="67"/>
      <c r="BW106" s="67"/>
      <c r="BX106" s="67"/>
      <c r="BY106" s="67"/>
      <c r="BZ106" s="67"/>
      <c r="CA106" s="67"/>
      <c r="CB106" s="67"/>
    </row>
    <row r="107" spans="1:80" ht="12" customHeight="1" x14ac:dyDescent="0.15">
      <c r="A107" s="213">
        <f t="shared" si="73"/>
        <v>101</v>
      </c>
      <c r="B107" s="67">
        <f t="shared" si="74"/>
        <v>404</v>
      </c>
      <c r="C107" s="224">
        <f t="shared" si="75"/>
        <v>93.230769230769226</v>
      </c>
      <c r="D107" s="225">
        <f ca="1">IFERROR(OFFSET(extrapolation!P116,0,OS_dist_choice-1,1,1),0)</f>
        <v>0.16483223120178958</v>
      </c>
      <c r="E107" s="225">
        <f ca="1">IFERROR(OFFSET(extrapolation!D116,0,PFS_dist_choice-1,1,1),0)</f>
        <v>5.8103473977847875E-2</v>
      </c>
      <c r="F107" s="214"/>
      <c r="G107" s="226">
        <f t="shared" ca="1" si="76"/>
        <v>58.103473977847877</v>
      </c>
      <c r="H107" s="224">
        <f t="shared" ca="1" si="77"/>
        <v>106.72875722394167</v>
      </c>
      <c r="I107" s="224">
        <f t="shared" ca="1" si="54"/>
        <v>835.16776879821043</v>
      </c>
      <c r="J107" s="227">
        <f t="shared" ca="1" si="55"/>
        <v>1000</v>
      </c>
      <c r="K107" s="238">
        <f t="shared" ca="1" si="78"/>
        <v>1.2694630337571908</v>
      </c>
      <c r="L107" s="239">
        <f t="shared" ca="1" si="79"/>
        <v>2.356477304431337</v>
      </c>
      <c r="M107" s="238">
        <f t="shared" ca="1" si="80"/>
        <v>58.738205494726472</v>
      </c>
      <c r="N107" s="238">
        <f t="shared" ca="1" si="81"/>
        <v>107.27226435927878</v>
      </c>
      <c r="O107" s="239">
        <f t="shared" ca="1" si="82"/>
        <v>833.98953014599476</v>
      </c>
      <c r="P107" s="217"/>
      <c r="Q107" s="217"/>
      <c r="R107" s="224"/>
      <c r="S107" s="230">
        <f t="shared" ca="1" si="83"/>
        <v>884106.96655237512</v>
      </c>
      <c r="T107" s="231">
        <f t="shared" ca="1" si="84"/>
        <v>5504.2861214611039</v>
      </c>
      <c r="U107" s="231">
        <f t="shared" ca="1" si="85"/>
        <v>9051.2833551117055</v>
      </c>
      <c r="V107" s="231"/>
      <c r="W107" s="231">
        <f t="shared" ca="1" si="86"/>
        <v>22119.868378026073</v>
      </c>
      <c r="X107" s="231">
        <f t="shared" ca="1" si="87"/>
        <v>2764.9835472532591</v>
      </c>
      <c r="Y107" s="231"/>
      <c r="Z107" s="232">
        <f t="shared" ca="1" si="56"/>
        <v>923547.38795422728</v>
      </c>
      <c r="AA107" s="231">
        <f t="shared" ca="1" si="57"/>
        <v>867.75780233075045</v>
      </c>
      <c r="AB107" s="231">
        <f t="shared" ca="1" si="88"/>
        <v>27030.970497131042</v>
      </c>
      <c r="AC107" s="231">
        <f t="shared" ca="1" si="89"/>
        <v>145429.26624530871</v>
      </c>
      <c r="AD107" s="231">
        <f t="shared" ca="1" si="90"/>
        <v>5049.6273001843301</v>
      </c>
      <c r="AE107" s="231">
        <f t="shared" ca="1" si="58"/>
        <v>67514.299904508385</v>
      </c>
      <c r="AF107" s="231">
        <f t="shared" ca="1" si="59"/>
        <v>245891.92174946325</v>
      </c>
      <c r="AG107" s="232">
        <f t="shared" ca="1" si="60"/>
        <v>1169439.3097036905</v>
      </c>
      <c r="AH107" s="244">
        <f t="shared" ca="1" si="91"/>
        <v>4.5028603801569922</v>
      </c>
      <c r="AI107" s="243">
        <f t="shared" ca="1" si="92"/>
        <v>8.2234726955778399</v>
      </c>
      <c r="AJ107" s="242">
        <f t="shared" ca="1" si="93"/>
        <v>12.726333075734832</v>
      </c>
      <c r="AK107" s="241">
        <f t="shared" ca="1" si="94"/>
        <v>3.2420594737130344</v>
      </c>
      <c r="AL107" s="243">
        <f t="shared" ca="1" si="95"/>
        <v>3.6429984041409833</v>
      </c>
      <c r="AM107" s="243"/>
      <c r="AN107" s="242">
        <f t="shared" ca="1" si="61"/>
        <v>6.8850578778540177</v>
      </c>
      <c r="AO107" s="224"/>
      <c r="AP107" s="235">
        <f t="shared" si="96"/>
        <v>7.7692307692307692</v>
      </c>
      <c r="AQ107" s="235">
        <f t="shared" si="62"/>
        <v>0.79481240885452975</v>
      </c>
      <c r="AR107" s="235">
        <f t="shared" si="63"/>
        <v>0.89076639725381657</v>
      </c>
      <c r="AT107" s="230">
        <f t="shared" ca="1" si="64"/>
        <v>702699.18777056446</v>
      </c>
      <c r="AU107" s="231">
        <f t="shared" ca="1" si="65"/>
        <v>4374.8749112230571</v>
      </c>
      <c r="AV107" s="231">
        <f t="shared" ca="1" si="97"/>
        <v>7194.0723267012445</v>
      </c>
      <c r="AW107" s="231"/>
      <c r="AX107" s="231">
        <f t="shared" ca="1" si="98"/>
        <v>17581.145869084041</v>
      </c>
      <c r="AY107" s="231">
        <f t="shared" ca="1" si="99"/>
        <v>2197.6432336355051</v>
      </c>
      <c r="AZ107" s="231"/>
      <c r="BA107" s="232">
        <f t="shared" ca="1" si="66"/>
        <v>734046.9241112083</v>
      </c>
      <c r="BB107" s="231">
        <f t="shared" ca="1" si="67"/>
        <v>689.70466917281669</v>
      </c>
      <c r="BC107" s="231">
        <f t="shared" ca="1" si="100"/>
        <v>21484.550774500451</v>
      </c>
      <c r="BD107" s="231">
        <f t="shared" ca="1" si="101"/>
        <v>115588.98542238057</v>
      </c>
      <c r="BE107" s="231">
        <f t="shared" ca="1" si="102"/>
        <v>4013.5064382771029</v>
      </c>
      <c r="BF107" s="231">
        <f t="shared" ca="1" si="68"/>
        <v>53661.203339229454</v>
      </c>
      <c r="BG107" s="231">
        <f t="shared" ca="1" si="69"/>
        <v>195437.95064356041</v>
      </c>
      <c r="BH107" s="232">
        <f t="shared" ca="1" si="70"/>
        <v>929484.87475476868</v>
      </c>
      <c r="BI107" s="244">
        <f t="shared" ca="1" si="103"/>
        <v>4.0109967181693946</v>
      </c>
      <c r="BJ107" s="243">
        <f t="shared" ca="1" si="104"/>
        <v>7.3251931459550041</v>
      </c>
      <c r="BK107" s="242">
        <f t="shared" ca="1" si="105"/>
        <v>11.336189864124398</v>
      </c>
      <c r="BL107" s="241">
        <f t="shared" ca="1" si="106"/>
        <v>2.8879176370819644</v>
      </c>
      <c r="BM107" s="243">
        <f t="shared" ca="1" si="107"/>
        <v>3.2450605636580669</v>
      </c>
      <c r="BN107" s="243">
        <f t="shared" si="71"/>
        <v>0</v>
      </c>
      <c r="BO107" s="242">
        <f t="shared" ca="1" si="72"/>
        <v>6.1329782007400313</v>
      </c>
      <c r="BP107" s="67"/>
      <c r="BQ107" s="67"/>
      <c r="BR107" s="67"/>
      <c r="BS107" s="67"/>
      <c r="BT107" s="67"/>
      <c r="BU107" s="67"/>
      <c r="BV107" s="67"/>
      <c r="BW107" s="67"/>
      <c r="BX107" s="67"/>
      <c r="BY107" s="67"/>
      <c r="BZ107" s="67"/>
      <c r="CA107" s="67"/>
      <c r="CB107" s="67"/>
    </row>
    <row r="108" spans="1:80" ht="12" customHeight="1" x14ac:dyDescent="0.15">
      <c r="A108" s="213">
        <f t="shared" si="73"/>
        <v>102</v>
      </c>
      <c r="B108" s="67">
        <f t="shared" si="74"/>
        <v>408</v>
      </c>
      <c r="C108" s="224">
        <f t="shared" si="75"/>
        <v>94.153846153846146</v>
      </c>
      <c r="D108" s="225">
        <f ca="1">IFERROR(OFFSET(extrapolation!P117,0,OS_dist_choice-1,1,1),0)</f>
        <v>0.1625253104204567</v>
      </c>
      <c r="E108" s="225">
        <f ca="1">IFERROR(OFFSET(extrapolation!D117,0,PFS_dist_choice-1,1,1),0)</f>
        <v>5.6865797961436981E-2</v>
      </c>
      <c r="F108" s="214"/>
      <c r="G108" s="226">
        <f t="shared" ca="1" si="76"/>
        <v>56.865797961436982</v>
      </c>
      <c r="H108" s="224">
        <f t="shared" ca="1" si="77"/>
        <v>105.65951245901965</v>
      </c>
      <c r="I108" s="224">
        <f t="shared" ca="1" si="54"/>
        <v>837.47468957954334</v>
      </c>
      <c r="J108" s="227">
        <f t="shared" ca="1" si="55"/>
        <v>1000</v>
      </c>
      <c r="K108" s="238">
        <f t="shared" ca="1" si="78"/>
        <v>1.2376760164108944</v>
      </c>
      <c r="L108" s="239">
        <f t="shared" ca="1" si="79"/>
        <v>2.3069207813329058</v>
      </c>
      <c r="M108" s="238">
        <f t="shared" ca="1" si="80"/>
        <v>57.484635969642426</v>
      </c>
      <c r="N108" s="238">
        <f t="shared" ca="1" si="81"/>
        <v>106.19413484148066</v>
      </c>
      <c r="O108" s="239">
        <f t="shared" ca="1" si="82"/>
        <v>836.32122918887694</v>
      </c>
      <c r="P108" s="217"/>
      <c r="Q108" s="217"/>
      <c r="R108" s="224"/>
      <c r="S108" s="230">
        <f t="shared" ca="1" si="83"/>
        <v>865274.39229251514</v>
      </c>
      <c r="T108" s="231">
        <f t="shared" ca="1" si="84"/>
        <v>5387.0380043761761</v>
      </c>
      <c r="U108" s="231">
        <f t="shared" ca="1" si="85"/>
        <v>8858.1141412873712</v>
      </c>
      <c r="V108" s="231"/>
      <c r="W108" s="231">
        <f t="shared" ca="1" si="86"/>
        <v>21647.794151991824</v>
      </c>
      <c r="X108" s="231">
        <f t="shared" ca="1" si="87"/>
        <v>2705.974268998978</v>
      </c>
      <c r="Y108" s="231"/>
      <c r="Z108" s="232">
        <f t="shared" ca="1" si="56"/>
        <v>903873.31285916956</v>
      </c>
      <c r="AA108" s="231">
        <f t="shared" ca="1" si="57"/>
        <v>846.02937733405417</v>
      </c>
      <c r="AB108" s="231">
        <f t="shared" ca="1" si="88"/>
        <v>26759.298342527491</v>
      </c>
      <c r="AC108" s="231">
        <f t="shared" ca="1" si="89"/>
        <v>143967.64347051896</v>
      </c>
      <c r="AD108" s="231">
        <f t="shared" ca="1" si="90"/>
        <v>4998.8765093930197</v>
      </c>
      <c r="AE108" s="231">
        <f t="shared" ca="1" si="58"/>
        <v>66094.479753301974</v>
      </c>
      <c r="AF108" s="231">
        <f t="shared" ca="1" si="59"/>
        <v>242666.3274530755</v>
      </c>
      <c r="AG108" s="232">
        <f t="shared" ca="1" si="60"/>
        <v>1146539.6403122451</v>
      </c>
      <c r="AH108" s="244">
        <f t="shared" ca="1" si="91"/>
        <v>4.4067619634496582</v>
      </c>
      <c r="AI108" s="243">
        <f t="shared" ca="1" si="92"/>
        <v>8.1408234786076878</v>
      </c>
      <c r="AJ108" s="242">
        <f t="shared" ca="1" si="93"/>
        <v>12.547585442057347</v>
      </c>
      <c r="AK108" s="241">
        <f t="shared" ca="1" si="94"/>
        <v>3.1728686136837538</v>
      </c>
      <c r="AL108" s="243">
        <f t="shared" ca="1" si="95"/>
        <v>3.6063848010232058</v>
      </c>
      <c r="AM108" s="243"/>
      <c r="AN108" s="242">
        <f t="shared" ca="1" si="61"/>
        <v>6.7792534147069592</v>
      </c>
      <c r="AO108" s="224"/>
      <c r="AP108" s="235">
        <f t="shared" si="96"/>
        <v>7.8461538461538458</v>
      </c>
      <c r="AQ108" s="235">
        <f t="shared" si="62"/>
        <v>0.79300725396268845</v>
      </c>
      <c r="AR108" s="235">
        <f t="shared" si="63"/>
        <v>0.88974680616811852</v>
      </c>
      <c r="AT108" s="230">
        <f t="shared" ca="1" si="64"/>
        <v>686168.86975612142</v>
      </c>
      <c r="AU108" s="231">
        <f t="shared" ca="1" si="65"/>
        <v>4271.9602148429931</v>
      </c>
      <c r="AV108" s="231">
        <f t="shared" ca="1" si="97"/>
        <v>7024.5487704703564</v>
      </c>
      <c r="AW108" s="231"/>
      <c r="AX108" s="231">
        <f t="shared" ca="1" si="98"/>
        <v>17166.857794820582</v>
      </c>
      <c r="AY108" s="231">
        <f t="shared" ca="1" si="99"/>
        <v>2145.8572243525728</v>
      </c>
      <c r="AZ108" s="231"/>
      <c r="BA108" s="232">
        <f t="shared" ca="1" si="66"/>
        <v>716778.093760608</v>
      </c>
      <c r="BB108" s="231">
        <f t="shared" ca="1" si="67"/>
        <v>670.90743329144152</v>
      </c>
      <c r="BC108" s="231">
        <f t="shared" ca="1" si="100"/>
        <v>21220.317696576047</v>
      </c>
      <c r="BD108" s="231">
        <f t="shared" ca="1" si="101"/>
        <v>114167.38560803562</v>
      </c>
      <c r="BE108" s="231">
        <f t="shared" ca="1" si="102"/>
        <v>3964.1453336123477</v>
      </c>
      <c r="BF108" s="231">
        <f t="shared" ca="1" si="68"/>
        <v>52413.401891258509</v>
      </c>
      <c r="BG108" s="231">
        <f t="shared" ca="1" si="69"/>
        <v>192436.15796277396</v>
      </c>
      <c r="BH108" s="232">
        <f t="shared" ca="1" si="70"/>
        <v>909214.25172338204</v>
      </c>
      <c r="BI108" s="244">
        <f t="shared" ca="1" si="103"/>
        <v>3.9209023825224802</v>
      </c>
      <c r="BJ108" s="243">
        <f t="shared" ca="1" si="104"/>
        <v>7.2432716896696228</v>
      </c>
      <c r="BK108" s="242">
        <f t="shared" ca="1" si="105"/>
        <v>11.164174072192104</v>
      </c>
      <c r="BL108" s="241">
        <f t="shared" ca="1" si="106"/>
        <v>2.823049715416186</v>
      </c>
      <c r="BM108" s="243">
        <f t="shared" ca="1" si="107"/>
        <v>3.208769358523643</v>
      </c>
      <c r="BN108" s="243">
        <f t="shared" si="71"/>
        <v>0</v>
      </c>
      <c r="BO108" s="242">
        <f t="shared" ca="1" si="72"/>
        <v>6.0318190739398281</v>
      </c>
      <c r="BP108" s="67"/>
      <c r="BQ108" s="67"/>
      <c r="BR108" s="67"/>
      <c r="BS108" s="67"/>
      <c r="BT108" s="67"/>
      <c r="BU108" s="67"/>
      <c r="BV108" s="67"/>
      <c r="BW108" s="67"/>
      <c r="BX108" s="67"/>
      <c r="BY108" s="67"/>
      <c r="BZ108" s="67"/>
      <c r="CA108" s="67"/>
      <c r="CB108" s="67"/>
    </row>
    <row r="109" spans="1:80" ht="12" customHeight="1" x14ac:dyDescent="0.15">
      <c r="A109" s="213">
        <f t="shared" si="73"/>
        <v>103</v>
      </c>
      <c r="B109" s="67">
        <f t="shared" si="74"/>
        <v>412</v>
      </c>
      <c r="C109" s="224">
        <f t="shared" si="75"/>
        <v>95.07692307692308</v>
      </c>
      <c r="D109" s="225">
        <f ca="1">IFERROR(OFFSET(extrapolation!P118,0,OS_dist_choice-1,1,1),0)</f>
        <v>0.16026660812545968</v>
      </c>
      <c r="E109" s="225">
        <f ca="1">IFERROR(OFFSET(extrapolation!D118,0,PFS_dist_choice-1,1,1),0)</f>
        <v>5.5658980837664851E-2</v>
      </c>
      <c r="F109" s="214"/>
      <c r="G109" s="226">
        <f t="shared" ca="1" si="76"/>
        <v>55.658980837664849</v>
      </c>
      <c r="H109" s="224">
        <f t="shared" ca="1" si="77"/>
        <v>104.6076272877948</v>
      </c>
      <c r="I109" s="224">
        <f t="shared" ca="1" si="54"/>
        <v>839.7333918745403</v>
      </c>
      <c r="J109" s="227">
        <f t="shared" ca="1" si="55"/>
        <v>1000</v>
      </c>
      <c r="K109" s="238">
        <f t="shared" ca="1" si="78"/>
        <v>1.206817123772133</v>
      </c>
      <c r="L109" s="239">
        <f t="shared" ca="1" si="79"/>
        <v>2.2587022949969651</v>
      </c>
      <c r="M109" s="238">
        <f t="shared" ca="1" si="80"/>
        <v>56.262389399550912</v>
      </c>
      <c r="N109" s="238">
        <f t="shared" ca="1" si="81"/>
        <v>105.13356987340723</v>
      </c>
      <c r="O109" s="239">
        <f t="shared" ca="1" si="82"/>
        <v>838.60404072704182</v>
      </c>
      <c r="P109" s="217"/>
      <c r="Q109" s="217"/>
      <c r="R109" s="224"/>
      <c r="S109" s="230">
        <f t="shared" ca="1" si="83"/>
        <v>846911.36933646223</v>
      </c>
      <c r="T109" s="231">
        <f t="shared" ca="1" si="84"/>
        <v>5272.7132266864101</v>
      </c>
      <c r="U109" s="231">
        <f t="shared" ca="1" si="85"/>
        <v>8669.7716486535974</v>
      </c>
      <c r="V109" s="231"/>
      <c r="W109" s="231">
        <f t="shared" ca="1" si="86"/>
        <v>21187.515649640482</v>
      </c>
      <c r="X109" s="231">
        <f t="shared" ca="1" si="87"/>
        <v>2648.4394562050602</v>
      </c>
      <c r="Y109" s="231"/>
      <c r="Z109" s="232">
        <f t="shared" ca="1" si="56"/>
        <v>884689.80931764783</v>
      </c>
      <c r="AA109" s="231">
        <f t="shared" ca="1" si="57"/>
        <v>824.93538393172719</v>
      </c>
      <c r="AB109" s="231">
        <f t="shared" ca="1" si="88"/>
        <v>26492.052185904304</v>
      </c>
      <c r="AC109" s="231">
        <f t="shared" ca="1" si="89"/>
        <v>142529.83299794589</v>
      </c>
      <c r="AD109" s="231">
        <f t="shared" ca="1" si="90"/>
        <v>4948.9525346508981</v>
      </c>
      <c r="AE109" s="231">
        <f t="shared" ca="1" si="58"/>
        <v>64712.995050986225</v>
      </c>
      <c r="AF109" s="231">
        <f t="shared" ca="1" si="59"/>
        <v>239508.76815341902</v>
      </c>
      <c r="AG109" s="232">
        <f t="shared" ca="1" si="60"/>
        <v>1124198.5774710667</v>
      </c>
      <c r="AH109" s="244">
        <f t="shared" ca="1" si="91"/>
        <v>4.313064758897811</v>
      </c>
      <c r="AI109" s="243">
        <f t="shared" ca="1" si="92"/>
        <v>8.059520756893642</v>
      </c>
      <c r="AJ109" s="242">
        <f t="shared" ca="1" si="93"/>
        <v>12.372585515791453</v>
      </c>
      <c r="AK109" s="241">
        <f t="shared" ca="1" si="94"/>
        <v>3.105406626406424</v>
      </c>
      <c r="AL109" s="243">
        <f t="shared" ca="1" si="95"/>
        <v>3.5703676953038834</v>
      </c>
      <c r="AM109" s="243"/>
      <c r="AN109" s="242">
        <f t="shared" ca="1" si="61"/>
        <v>6.6757743217103069</v>
      </c>
      <c r="AO109" s="224"/>
      <c r="AP109" s="235">
        <f t="shared" si="96"/>
        <v>7.9230769230769234</v>
      </c>
      <c r="AQ109" s="235">
        <f t="shared" si="62"/>
        <v>0.7912061988862843</v>
      </c>
      <c r="AR109" s="235">
        <f t="shared" si="63"/>
        <v>0.88872838212911809</v>
      </c>
      <c r="AT109" s="230">
        <f t="shared" ca="1" si="64"/>
        <v>670081.52532628027</v>
      </c>
      <c r="AU109" s="231">
        <f t="shared" ca="1" si="65"/>
        <v>4171.8033899039892</v>
      </c>
      <c r="AV109" s="231">
        <f t="shared" ca="1" si="97"/>
        <v>6859.5770713432867</v>
      </c>
      <c r="AW109" s="231"/>
      <c r="AX109" s="231">
        <f t="shared" ca="1" si="98"/>
        <v>16763.693720995707</v>
      </c>
      <c r="AY109" s="231">
        <f t="shared" ca="1" si="99"/>
        <v>2095.4617151244634</v>
      </c>
      <c r="AZ109" s="231"/>
      <c r="BA109" s="232">
        <f t="shared" ca="1" si="66"/>
        <v>699972.06122364779</v>
      </c>
      <c r="BB109" s="231">
        <f t="shared" ca="1" si="67"/>
        <v>652.69398944741943</v>
      </c>
      <c r="BC109" s="231">
        <f t="shared" ca="1" si="100"/>
        <v>20960.675910706424</v>
      </c>
      <c r="BD109" s="231">
        <f t="shared" ca="1" si="101"/>
        <v>112770.48739420167</v>
      </c>
      <c r="BE109" s="231">
        <f t="shared" ca="1" si="102"/>
        <v>3915.6419234097793</v>
      </c>
      <c r="BF109" s="231">
        <f t="shared" ca="1" si="68"/>
        <v>51201.322832837737</v>
      </c>
      <c r="BG109" s="231">
        <f t="shared" ca="1" si="69"/>
        <v>189500.82205060299</v>
      </c>
      <c r="BH109" s="232">
        <f t="shared" ca="1" si="70"/>
        <v>889472.88327425066</v>
      </c>
      <c r="BI109" s="244">
        <f t="shared" ca="1" si="103"/>
        <v>3.8331430651933664</v>
      </c>
      <c r="BJ109" s="243">
        <f t="shared" ca="1" si="104"/>
        <v>7.1627248430101318</v>
      </c>
      <c r="BK109" s="242">
        <f t="shared" ca="1" si="105"/>
        <v>10.995867908203499</v>
      </c>
      <c r="BL109" s="241">
        <f t="shared" ca="1" si="106"/>
        <v>2.7598630069392236</v>
      </c>
      <c r="BM109" s="243">
        <f t="shared" ca="1" si="107"/>
        <v>3.1730871054534884</v>
      </c>
      <c r="BN109" s="243">
        <f t="shared" si="71"/>
        <v>0</v>
      </c>
      <c r="BO109" s="242">
        <f t="shared" ca="1" si="72"/>
        <v>5.932950112392712</v>
      </c>
      <c r="BP109" s="67"/>
      <c r="BQ109" s="67"/>
      <c r="BR109" s="67"/>
      <c r="BS109" s="67"/>
      <c r="BT109" s="67"/>
      <c r="BU109" s="67"/>
      <c r="BV109" s="67"/>
      <c r="BW109" s="67"/>
      <c r="BX109" s="67"/>
      <c r="BY109" s="67"/>
      <c r="BZ109" s="67"/>
      <c r="CA109" s="67"/>
      <c r="CB109" s="67"/>
    </row>
    <row r="110" spans="1:80" ht="12" customHeight="1" x14ac:dyDescent="0.15">
      <c r="A110" s="213">
        <f t="shared" si="73"/>
        <v>104</v>
      </c>
      <c r="B110" s="67">
        <f t="shared" si="74"/>
        <v>416</v>
      </c>
      <c r="C110" s="224">
        <f t="shared" si="75"/>
        <v>96</v>
      </c>
      <c r="D110" s="225">
        <f ca="1">IFERROR(OFFSET(extrapolation!P119,0,OS_dist_choice-1,1,1),0)</f>
        <v>0.15805482883240063</v>
      </c>
      <c r="E110" s="225">
        <f ca="1">IFERROR(OFFSET(extrapolation!D119,0,PFS_dist_choice-1,1,1),0)</f>
        <v>5.448212587133261E-2</v>
      </c>
      <c r="F110" s="214"/>
      <c r="G110" s="226">
        <f t="shared" ca="1" si="76"/>
        <v>54.482125871332613</v>
      </c>
      <c r="H110" s="224">
        <f t="shared" ca="1" si="77"/>
        <v>103.57270296106799</v>
      </c>
      <c r="I110" s="224">
        <f t="shared" ca="1" si="54"/>
        <v>841.94517116759937</v>
      </c>
      <c r="J110" s="227">
        <f t="shared" ca="1" si="55"/>
        <v>1000</v>
      </c>
      <c r="K110" s="238">
        <f t="shared" ca="1" si="78"/>
        <v>1.1768549663322361</v>
      </c>
      <c r="L110" s="239">
        <f t="shared" ca="1" si="79"/>
        <v>2.2117792930590667</v>
      </c>
      <c r="M110" s="238">
        <f t="shared" ca="1" si="80"/>
        <v>55.070553354498728</v>
      </c>
      <c r="N110" s="238">
        <f t="shared" ca="1" si="81"/>
        <v>104.09016512443139</v>
      </c>
      <c r="O110" s="239">
        <f t="shared" ca="1" si="82"/>
        <v>840.83928152106978</v>
      </c>
      <c r="P110" s="217"/>
      <c r="Q110" s="217"/>
      <c r="R110" s="224"/>
      <c r="S110" s="230">
        <f t="shared" ca="1" si="83"/>
        <v>829004.25289187976</v>
      </c>
      <c r="T110" s="231">
        <f t="shared" ca="1" si="84"/>
        <v>5161.2268384435183</v>
      </c>
      <c r="U110" s="231">
        <f t="shared" ca="1" si="85"/>
        <v>8486.1152760125988</v>
      </c>
      <c r="V110" s="231"/>
      <c r="W110" s="231">
        <f t="shared" ca="1" si="86"/>
        <v>20738.68926445055</v>
      </c>
      <c r="X110" s="231">
        <f t="shared" ca="1" si="87"/>
        <v>2592.3361580563187</v>
      </c>
      <c r="Y110" s="231"/>
      <c r="Z110" s="232">
        <f t="shared" ca="1" si="56"/>
        <v>865982.62042884273</v>
      </c>
      <c r="AA110" s="231">
        <f t="shared" ca="1" si="57"/>
        <v>804.45436542094637</v>
      </c>
      <c r="AB110" s="231">
        <f t="shared" ca="1" si="88"/>
        <v>26229.130142125403</v>
      </c>
      <c r="AC110" s="231">
        <f t="shared" ca="1" si="89"/>
        <v>141115.28667558797</v>
      </c>
      <c r="AD110" s="231">
        <f t="shared" ca="1" si="90"/>
        <v>4899.8363429023593</v>
      </c>
      <c r="AE110" s="231">
        <f t="shared" ca="1" si="58"/>
        <v>63368.626650196733</v>
      </c>
      <c r="AF110" s="231">
        <f t="shared" ca="1" si="59"/>
        <v>236417.33417623342</v>
      </c>
      <c r="AG110" s="232">
        <f t="shared" ca="1" si="60"/>
        <v>1102399.9546050762</v>
      </c>
      <c r="AH110" s="244">
        <f t="shared" ca="1" si="91"/>
        <v>4.2216988197836125</v>
      </c>
      <c r="AI110" s="243">
        <f t="shared" ca="1" si="92"/>
        <v>7.9795335345217762</v>
      </c>
      <c r="AJ110" s="242">
        <f t="shared" ca="1" si="93"/>
        <v>12.20123235430539</v>
      </c>
      <c r="AK110" s="241">
        <f t="shared" ca="1" si="94"/>
        <v>3.0396231502442008</v>
      </c>
      <c r="AL110" s="243">
        <f t="shared" ca="1" si="95"/>
        <v>3.534933355793147</v>
      </c>
      <c r="AM110" s="243"/>
      <c r="AN110" s="242">
        <f t="shared" ca="1" si="61"/>
        <v>6.5745565060373483</v>
      </c>
      <c r="AO110" s="224"/>
      <c r="AP110" s="235">
        <f t="shared" si="96"/>
        <v>8</v>
      </c>
      <c r="AQ110" s="235">
        <f t="shared" si="62"/>
        <v>0.78940923431393573</v>
      </c>
      <c r="AR110" s="235">
        <f t="shared" si="63"/>
        <v>0.88771112380098749</v>
      </c>
      <c r="AT110" s="230">
        <f t="shared" ca="1" si="64"/>
        <v>654423.61251837516</v>
      </c>
      <c r="AU110" s="231">
        <f t="shared" ca="1" si="65"/>
        <v>4074.3201266562332</v>
      </c>
      <c r="AV110" s="231">
        <f t="shared" ca="1" si="97"/>
        <v>6699.0177623368991</v>
      </c>
      <c r="AW110" s="231"/>
      <c r="AX110" s="231">
        <f t="shared" ca="1" si="98"/>
        <v>16371.312812924547</v>
      </c>
      <c r="AY110" s="231">
        <f t="shared" ca="1" si="99"/>
        <v>2046.4141016155684</v>
      </c>
      <c r="AZ110" s="231"/>
      <c r="BA110" s="232">
        <f t="shared" ca="1" si="66"/>
        <v>683614.67732190841</v>
      </c>
      <c r="BB110" s="231">
        <f t="shared" ca="1" si="67"/>
        <v>635.04370464745227</v>
      </c>
      <c r="BC110" s="231">
        <f t="shared" ca="1" si="100"/>
        <v>20705.517542215788</v>
      </c>
      <c r="BD110" s="231">
        <f t="shared" ca="1" si="101"/>
        <v>111397.71040456744</v>
      </c>
      <c r="BE110" s="231">
        <f t="shared" ca="1" si="102"/>
        <v>3867.9760557141467</v>
      </c>
      <c r="BF110" s="231">
        <f t="shared" ca="1" si="68"/>
        <v>50023.779043457464</v>
      </c>
      <c r="BG110" s="231">
        <f t="shared" ca="1" si="69"/>
        <v>186630.02675060229</v>
      </c>
      <c r="BH110" s="232">
        <f t="shared" ca="1" si="70"/>
        <v>870244.70407251071</v>
      </c>
      <c r="BI110" s="244">
        <f t="shared" ca="1" si="103"/>
        <v>3.7476490036594132</v>
      </c>
      <c r="BJ110" s="243">
        <f t="shared" ca="1" si="104"/>
        <v>7.0835206813379914</v>
      </c>
      <c r="BK110" s="242">
        <f t="shared" ca="1" si="105"/>
        <v>10.831169684997406</v>
      </c>
      <c r="BL110" s="241">
        <f t="shared" ca="1" si="106"/>
        <v>2.6983072826347771</v>
      </c>
      <c r="BM110" s="243">
        <f t="shared" ca="1" si="107"/>
        <v>3.1379996618327306</v>
      </c>
      <c r="BN110" s="243">
        <f t="shared" si="71"/>
        <v>0</v>
      </c>
      <c r="BO110" s="242">
        <f t="shared" ca="1" si="72"/>
        <v>5.8363069444675082</v>
      </c>
      <c r="BP110" s="67"/>
      <c r="BQ110" s="67"/>
      <c r="BR110" s="67"/>
      <c r="BS110" s="67"/>
      <c r="BT110" s="67"/>
      <c r="BU110" s="67"/>
      <c r="BV110" s="67"/>
      <c r="BW110" s="67"/>
      <c r="BX110" s="67"/>
      <c r="BY110" s="67"/>
      <c r="BZ110" s="67"/>
      <c r="CA110" s="67"/>
      <c r="CB110" s="67"/>
    </row>
    <row r="111" spans="1:80" ht="12" customHeight="1" x14ac:dyDescent="0.15">
      <c r="A111" s="213">
        <f t="shared" si="73"/>
        <v>105</v>
      </c>
      <c r="B111" s="67">
        <f t="shared" si="74"/>
        <v>420</v>
      </c>
      <c r="C111" s="224">
        <f t="shared" si="75"/>
        <v>96.92307692307692</v>
      </c>
      <c r="D111" s="225">
        <f ca="1">IFERROR(OFFSET(extrapolation!P120,0,OS_dist_choice-1,1,1),0)</f>
        <v>0.15588871812272781</v>
      </c>
      <c r="E111" s="225">
        <f ca="1">IFERROR(OFFSET(extrapolation!D120,0,PFS_dist_choice-1,1,1),0)</f>
        <v>5.3334366497498009E-2</v>
      </c>
      <c r="F111" s="214"/>
      <c r="G111" s="226">
        <f t="shared" ca="1" si="76"/>
        <v>53.33436649749801</v>
      </c>
      <c r="H111" s="224">
        <f t="shared" ca="1" si="77"/>
        <v>102.55435162522974</v>
      </c>
      <c r="I111" s="224">
        <f t="shared" ca="1" si="54"/>
        <v>844.11128187727229</v>
      </c>
      <c r="J111" s="227">
        <f t="shared" ca="1" si="55"/>
        <v>1000</v>
      </c>
      <c r="K111" s="238">
        <f t="shared" ca="1" si="78"/>
        <v>1.147759373834603</v>
      </c>
      <c r="L111" s="239">
        <f t="shared" ca="1" si="79"/>
        <v>2.1661107096729211</v>
      </c>
      <c r="M111" s="238">
        <f t="shared" ca="1" si="80"/>
        <v>53.908246184415312</v>
      </c>
      <c r="N111" s="238">
        <f t="shared" ca="1" si="81"/>
        <v>103.06352729314887</v>
      </c>
      <c r="O111" s="239">
        <f t="shared" ca="1" si="82"/>
        <v>843.02822652243583</v>
      </c>
      <c r="P111" s="217"/>
      <c r="Q111" s="217"/>
      <c r="R111" s="224"/>
      <c r="S111" s="230">
        <f t="shared" ca="1" si="83"/>
        <v>811539.85723939538</v>
      </c>
      <c r="T111" s="231">
        <f t="shared" ca="1" si="84"/>
        <v>5052.49674780241</v>
      </c>
      <c r="U111" s="231">
        <f t="shared" ca="1" si="85"/>
        <v>8307.0091652028714</v>
      </c>
      <c r="V111" s="231"/>
      <c r="W111" s="231">
        <f t="shared" ca="1" si="86"/>
        <v>20300.982981111854</v>
      </c>
      <c r="X111" s="231">
        <f t="shared" ca="1" si="87"/>
        <v>2537.6228726389818</v>
      </c>
      <c r="Y111" s="231"/>
      <c r="Z111" s="232">
        <f t="shared" ca="1" si="56"/>
        <v>847737.96900615143</v>
      </c>
      <c r="AA111" s="231">
        <f t="shared" ca="1" si="57"/>
        <v>784.5656985343403</v>
      </c>
      <c r="AB111" s="231">
        <f t="shared" ca="1" si="88"/>
        <v>25970.43310525022</v>
      </c>
      <c r="AC111" s="231">
        <f t="shared" ca="1" si="89"/>
        <v>139723.47130378743</v>
      </c>
      <c r="AD111" s="231">
        <f t="shared" ca="1" si="90"/>
        <v>4851.5094202703967</v>
      </c>
      <c r="AE111" s="231">
        <f t="shared" ca="1" si="58"/>
        <v>62060.197993087153</v>
      </c>
      <c r="AF111" s="231">
        <f t="shared" ca="1" si="59"/>
        <v>233390.17752092952</v>
      </c>
      <c r="AG111" s="232">
        <f t="shared" ca="1" si="60"/>
        <v>1081128.146527081</v>
      </c>
      <c r="AH111" s="244">
        <f t="shared" ca="1" si="91"/>
        <v>4.1325965589695519</v>
      </c>
      <c r="AI111" s="243">
        <f t="shared" ca="1" si="92"/>
        <v>7.9008316610764364</v>
      </c>
      <c r="AJ111" s="242">
        <f t="shared" ca="1" si="93"/>
        <v>12.033428220045987</v>
      </c>
      <c r="AK111" s="241">
        <f t="shared" ca="1" si="94"/>
        <v>2.9754695224580772</v>
      </c>
      <c r="AL111" s="243">
        <f t="shared" ca="1" si="95"/>
        <v>3.5000684258568615</v>
      </c>
      <c r="AM111" s="243"/>
      <c r="AN111" s="242">
        <f t="shared" ca="1" si="61"/>
        <v>6.4755379483149387</v>
      </c>
      <c r="AO111" s="224"/>
      <c r="AP111" s="235">
        <f t="shared" si="96"/>
        <v>8.0769230769230766</v>
      </c>
      <c r="AQ111" s="235">
        <f t="shared" si="62"/>
        <v>0.78761635095540783</v>
      </c>
      <c r="AR111" s="235">
        <f t="shared" si="63"/>
        <v>0.88669502984942739</v>
      </c>
      <c r="AT111" s="230">
        <f t="shared" ca="1" si="64"/>
        <v>639182.06101376517</v>
      </c>
      <c r="AU111" s="231">
        <f t="shared" ca="1" si="65"/>
        <v>3979.4290517181998</v>
      </c>
      <c r="AV111" s="231">
        <f t="shared" ca="1" si="97"/>
        <v>6542.7362460502145</v>
      </c>
      <c r="AW111" s="231"/>
      <c r="AX111" s="231">
        <f t="shared" ca="1" si="98"/>
        <v>15989.386136391156</v>
      </c>
      <c r="AY111" s="231">
        <f t="shared" ca="1" si="99"/>
        <v>1998.6732670488946</v>
      </c>
      <c r="AZ111" s="231"/>
      <c r="BA111" s="232">
        <f t="shared" ca="1" si="66"/>
        <v>667692.28571497358</v>
      </c>
      <c r="BB111" s="231">
        <f t="shared" ca="1" si="67"/>
        <v>617.93677256439764</v>
      </c>
      <c r="BC111" s="231">
        <f t="shared" ca="1" si="100"/>
        <v>20454.737755088699</v>
      </c>
      <c r="BD111" s="231">
        <f t="shared" ca="1" si="101"/>
        <v>110048.4906111117</v>
      </c>
      <c r="BE111" s="231">
        <f t="shared" ca="1" si="102"/>
        <v>3821.128146219156</v>
      </c>
      <c r="BF111" s="231">
        <f t="shared" ca="1" si="68"/>
        <v>48879.626682885428</v>
      </c>
      <c r="BG111" s="231">
        <f t="shared" ca="1" si="69"/>
        <v>183821.91996786935</v>
      </c>
      <c r="BH111" s="232">
        <f t="shared" ca="1" si="70"/>
        <v>851514.20568284299</v>
      </c>
      <c r="BI111" s="244">
        <f t="shared" ca="1" si="103"/>
        <v>3.6643528292111478</v>
      </c>
      <c r="BJ111" s="243">
        <f t="shared" ca="1" si="104"/>
        <v>7.005628165553472</v>
      </c>
      <c r="BK111" s="242">
        <f t="shared" ca="1" si="105"/>
        <v>10.669980994764618</v>
      </c>
      <c r="BL111" s="241">
        <f t="shared" ca="1" si="106"/>
        <v>2.6383340370320263</v>
      </c>
      <c r="BM111" s="243">
        <f t="shared" ca="1" si="107"/>
        <v>3.103493277340188</v>
      </c>
      <c r="BN111" s="243">
        <f t="shared" si="71"/>
        <v>0</v>
      </c>
      <c r="BO111" s="242">
        <f t="shared" ca="1" si="72"/>
        <v>5.7418273143722143</v>
      </c>
      <c r="BP111" s="67"/>
      <c r="BQ111" s="67"/>
      <c r="BR111" s="67"/>
      <c r="BS111" s="67"/>
      <c r="BT111" s="67"/>
      <c r="BU111" s="67"/>
      <c r="BV111" s="67"/>
      <c r="BW111" s="67"/>
      <c r="BX111" s="67"/>
      <c r="BY111" s="67"/>
      <c r="BZ111" s="67"/>
      <c r="CA111" s="67"/>
      <c r="CB111" s="67"/>
    </row>
    <row r="112" spans="1:80" ht="12" customHeight="1" x14ac:dyDescent="0.15">
      <c r="A112" s="213">
        <f t="shared" si="73"/>
        <v>106</v>
      </c>
      <c r="B112" s="67">
        <f t="shared" si="74"/>
        <v>424</v>
      </c>
      <c r="C112" s="224">
        <f t="shared" si="75"/>
        <v>97.84615384615384</v>
      </c>
      <c r="D112" s="225">
        <f ca="1">IFERROR(OFFSET(extrapolation!P121,0,OS_dist_choice-1,1,1),0)</f>
        <v>0.1537670612094531</v>
      </c>
      <c r="E112" s="225">
        <f ca="1">IFERROR(OFFSET(extrapolation!D121,0,PFS_dist_choice-1,1,1),0)</f>
        <v>5.2214865156095858E-2</v>
      </c>
      <c r="F112" s="214"/>
      <c r="G112" s="226">
        <f t="shared" ca="1" si="76"/>
        <v>52.214865156095854</v>
      </c>
      <c r="H112" s="224">
        <f t="shared" ca="1" si="77"/>
        <v>101.55219605335719</v>
      </c>
      <c r="I112" s="224">
        <f t="shared" ca="1" si="54"/>
        <v>846.232938790547</v>
      </c>
      <c r="J112" s="227">
        <f t="shared" ca="1" si="55"/>
        <v>1000</v>
      </c>
      <c r="K112" s="238">
        <f t="shared" ca="1" si="78"/>
        <v>1.119501341402156</v>
      </c>
      <c r="L112" s="239">
        <f t="shared" ca="1" si="79"/>
        <v>2.1216569132747054</v>
      </c>
      <c r="M112" s="238">
        <f t="shared" ca="1" si="80"/>
        <v>52.774615826796932</v>
      </c>
      <c r="N112" s="238">
        <f t="shared" ca="1" si="81"/>
        <v>102.05327383929347</v>
      </c>
      <c r="O112" s="239">
        <f t="shared" ca="1" si="82"/>
        <v>845.17211033390959</v>
      </c>
      <c r="P112" s="217"/>
      <c r="Q112" s="217"/>
      <c r="R112" s="224"/>
      <c r="S112" s="230">
        <f t="shared" ca="1" si="83"/>
        <v>794505.43800009612</v>
      </c>
      <c r="T112" s="231">
        <f t="shared" ca="1" si="84"/>
        <v>4946.4436106218982</v>
      </c>
      <c r="U112" s="231">
        <f t="shared" ca="1" si="85"/>
        <v>8132.3220173688815</v>
      </c>
      <c r="V112" s="231"/>
      <c r="W112" s="231">
        <f t="shared" ca="1" si="86"/>
        <v>19874.075926518497</v>
      </c>
      <c r="X112" s="231">
        <f t="shared" ca="1" si="87"/>
        <v>2484.2594908148121</v>
      </c>
      <c r="Y112" s="231"/>
      <c r="Z112" s="232">
        <f t="shared" ca="1" si="56"/>
        <v>829942.53904542013</v>
      </c>
      <c r="AA112" s="231">
        <f t="shared" ca="1" si="57"/>
        <v>765.24955661471552</v>
      </c>
      <c r="AB112" s="231">
        <f t="shared" ca="1" si="88"/>
        <v>25715.864680980467</v>
      </c>
      <c r="AC112" s="231">
        <f t="shared" ca="1" si="89"/>
        <v>138353.86827178739</v>
      </c>
      <c r="AD112" s="231">
        <f t="shared" ca="1" si="90"/>
        <v>4803.9537594370613</v>
      </c>
      <c r="AE112" s="231">
        <f t="shared" ca="1" si="58"/>
        <v>60786.573614749526</v>
      </c>
      <c r="AF112" s="231">
        <f t="shared" ca="1" si="59"/>
        <v>230425.50988356915</v>
      </c>
      <c r="AG112" s="232">
        <f t="shared" ca="1" si="60"/>
        <v>1060368.0489289893</v>
      </c>
      <c r="AH112" s="244">
        <f t="shared" ca="1" si="91"/>
        <v>4.0456926574957262</v>
      </c>
      <c r="AI112" s="243">
        <f t="shared" ca="1" si="92"/>
        <v>7.8233858110888894</v>
      </c>
      <c r="AJ112" s="242">
        <f t="shared" ca="1" si="93"/>
        <v>11.869078468584615</v>
      </c>
      <c r="AK112" s="241">
        <f t="shared" ca="1" si="94"/>
        <v>2.9128987133969226</v>
      </c>
      <c r="AL112" s="243">
        <f t="shared" ca="1" si="95"/>
        <v>3.4657599143123781</v>
      </c>
      <c r="AM112" s="243"/>
      <c r="AN112" s="242">
        <f t="shared" ca="1" si="61"/>
        <v>6.3786586277093011</v>
      </c>
      <c r="AO112" s="224"/>
      <c r="AP112" s="235">
        <f t="shared" si="96"/>
        <v>8.1538461538461533</v>
      </c>
      <c r="AQ112" s="235">
        <f t="shared" si="62"/>
        <v>0.78582753954156703</v>
      </c>
      <c r="AR112" s="235">
        <f t="shared" si="63"/>
        <v>0.88568009894166699</v>
      </c>
      <c r="AT112" s="230">
        <f t="shared" ca="1" si="64"/>
        <v>624344.25349601055</v>
      </c>
      <c r="AU112" s="231">
        <f t="shared" ca="1" si="65"/>
        <v>3887.0516120161114</v>
      </c>
      <c r="AV112" s="231">
        <f t="shared" ca="1" si="97"/>
        <v>6390.602601668701</v>
      </c>
      <c r="AW112" s="231"/>
      <c r="AX112" s="231">
        <f t="shared" ca="1" si="98"/>
        <v>15617.59618599832</v>
      </c>
      <c r="AY112" s="231">
        <f t="shared" ca="1" si="99"/>
        <v>1952.19952324979</v>
      </c>
      <c r="AZ112" s="231"/>
      <c r="BA112" s="232">
        <f t="shared" ca="1" si="66"/>
        <v>652191.70341894345</v>
      </c>
      <c r="BB112" s="231">
        <f t="shared" ca="1" si="67"/>
        <v>601.35417620981696</v>
      </c>
      <c r="BC112" s="231">
        <f t="shared" ca="1" si="100"/>
        <v>20208.234669438763</v>
      </c>
      <c r="BD112" s="231">
        <f t="shared" ca="1" si="101"/>
        <v>108722.27989007677</v>
      </c>
      <c r="BE112" s="231">
        <f t="shared" ca="1" si="102"/>
        <v>3775.0791628498869</v>
      </c>
      <c r="BF112" s="231">
        <f t="shared" ca="1" si="68"/>
        <v>47767.763580840961</v>
      </c>
      <c r="BG112" s="231">
        <f t="shared" ca="1" si="69"/>
        <v>181074.71147941618</v>
      </c>
      <c r="BH112" s="232">
        <f t="shared" ca="1" si="70"/>
        <v>833266.41489835968</v>
      </c>
      <c r="BI112" s="244">
        <f t="shared" ca="1" si="103"/>
        <v>3.5831894731783902</v>
      </c>
      <c r="BJ112" s="243">
        <f t="shared" ca="1" si="104"/>
        <v>6.9290171192240413</v>
      </c>
      <c r="BK112" s="242">
        <f t="shared" ca="1" si="105"/>
        <v>10.51220659240243</v>
      </c>
      <c r="BL112" s="241">
        <f t="shared" ca="1" si="106"/>
        <v>2.5798964206884407</v>
      </c>
      <c r="BM112" s="243">
        <f t="shared" ca="1" si="107"/>
        <v>3.0695545838162501</v>
      </c>
      <c r="BN112" s="243">
        <f t="shared" si="71"/>
        <v>0</v>
      </c>
      <c r="BO112" s="242">
        <f t="shared" ca="1" si="72"/>
        <v>5.6494510045046917</v>
      </c>
      <c r="BP112" s="67"/>
      <c r="BQ112" s="67"/>
      <c r="BR112" s="67"/>
      <c r="BS112" s="67"/>
      <c r="BT112" s="67"/>
      <c r="BU112" s="67"/>
      <c r="BV112" s="67"/>
      <c r="BW112" s="67"/>
      <c r="BX112" s="67"/>
      <c r="BY112" s="67"/>
      <c r="BZ112" s="67"/>
      <c r="CA112" s="67"/>
      <c r="CB112" s="67"/>
    </row>
    <row r="113" spans="1:80" ht="12" customHeight="1" x14ac:dyDescent="0.15">
      <c r="A113" s="213">
        <f t="shared" si="73"/>
        <v>107</v>
      </c>
      <c r="B113" s="67">
        <f t="shared" si="74"/>
        <v>428</v>
      </c>
      <c r="C113" s="224">
        <f t="shared" si="75"/>
        <v>98.769230769230759</v>
      </c>
      <c r="D113" s="225">
        <f ca="1">IFERROR(OFFSET(extrapolation!P122,0,OS_dist_choice-1,1,1),0)</f>
        <v>0.15168868155361792</v>
      </c>
      <c r="E113" s="225">
        <f ca="1">IFERROR(OFFSET(extrapolation!D122,0,PFS_dist_choice-1,1,1),0)</f>
        <v>5.112281217774628E-2</v>
      </c>
      <c r="F113" s="214"/>
      <c r="G113" s="226">
        <f t="shared" ca="1" si="76"/>
        <v>51.122812177746283</v>
      </c>
      <c r="H113" s="224">
        <f t="shared" ca="1" si="77"/>
        <v>100.56586937587167</v>
      </c>
      <c r="I113" s="224">
        <f t="shared" ca="1" si="54"/>
        <v>848.31131844638207</v>
      </c>
      <c r="J113" s="227">
        <f t="shared" ca="1" si="55"/>
        <v>1000</v>
      </c>
      <c r="K113" s="238">
        <f t="shared" ca="1" si="78"/>
        <v>1.0920529783495709</v>
      </c>
      <c r="L113" s="239">
        <f t="shared" ca="1" si="79"/>
        <v>2.0783796558350787</v>
      </c>
      <c r="M113" s="238">
        <f t="shared" ca="1" si="80"/>
        <v>51.668838666921069</v>
      </c>
      <c r="N113" s="238">
        <f t="shared" ca="1" si="81"/>
        <v>101.05903271461443</v>
      </c>
      <c r="O113" s="239">
        <f t="shared" ca="1" si="82"/>
        <v>847.27212861846454</v>
      </c>
      <c r="P113" s="217"/>
      <c r="Q113" s="217"/>
      <c r="R113" s="224"/>
      <c r="S113" s="230">
        <f t="shared" ca="1" si="83"/>
        <v>777888.67518190003</v>
      </c>
      <c r="T113" s="231">
        <f t="shared" ca="1" si="84"/>
        <v>4842.9907249145563</v>
      </c>
      <c r="U113" s="231">
        <f t="shared" ca="1" si="85"/>
        <v>7961.9269173254233</v>
      </c>
      <c r="V113" s="231"/>
      <c r="W113" s="231">
        <f t="shared" ca="1" si="86"/>
        <v>19457.657940543802</v>
      </c>
      <c r="X113" s="231">
        <f t="shared" ca="1" si="87"/>
        <v>2432.2072425679753</v>
      </c>
      <c r="Y113" s="231"/>
      <c r="Z113" s="232">
        <f t="shared" ca="1" si="56"/>
        <v>812583.45800725196</v>
      </c>
      <c r="AA113" s="231">
        <f t="shared" ca="1" si="57"/>
        <v>746.48687462499845</v>
      </c>
      <c r="AB113" s="231">
        <f t="shared" ca="1" si="88"/>
        <v>25465.331118845319</v>
      </c>
      <c r="AC113" s="231">
        <f t="shared" ca="1" si="89"/>
        <v>137005.97319288133</v>
      </c>
      <c r="AD113" s="231">
        <f t="shared" ca="1" si="90"/>
        <v>4757.1518469750454</v>
      </c>
      <c r="AE113" s="231">
        <f t="shared" ca="1" si="58"/>
        <v>59546.657689258078</v>
      </c>
      <c r="AF113" s="231">
        <f t="shared" ca="1" si="59"/>
        <v>227521.60072258479</v>
      </c>
      <c r="AG113" s="232">
        <f t="shared" ca="1" si="60"/>
        <v>1040105.0587298367</v>
      </c>
      <c r="AH113" s="244">
        <f t="shared" ca="1" si="91"/>
        <v>3.9609239772040787</v>
      </c>
      <c r="AI113" s="243">
        <f t="shared" ca="1" si="92"/>
        <v>7.7471674634064449</v>
      </c>
      <c r="AJ113" s="242">
        <f t="shared" ca="1" si="93"/>
        <v>11.708091440610524</v>
      </c>
      <c r="AK113" s="241">
        <f t="shared" ca="1" si="94"/>
        <v>2.8518652635869364</v>
      </c>
      <c r="AL113" s="243">
        <f t="shared" ca="1" si="95"/>
        <v>3.431995186289055</v>
      </c>
      <c r="AM113" s="243"/>
      <c r="AN113" s="242">
        <f t="shared" ca="1" si="61"/>
        <v>6.2838604498759913</v>
      </c>
      <c r="AO113" s="224"/>
      <c r="AP113" s="235">
        <f t="shared" si="96"/>
        <v>8.2307692307692299</v>
      </c>
      <c r="AQ113" s="235">
        <f t="shared" si="62"/>
        <v>0.78404279082433004</v>
      </c>
      <c r="AR113" s="235">
        <f t="shared" si="63"/>
        <v>0.88466632974646064</v>
      </c>
      <c r="AT113" s="230">
        <f t="shared" ca="1" si="64"/>
        <v>609898.00784025772</v>
      </c>
      <c r="AU113" s="231">
        <f t="shared" ca="1" si="65"/>
        <v>3797.1119638983541</v>
      </c>
      <c r="AV113" s="231">
        <f t="shared" ca="1" si="97"/>
        <v>6242.4914005991795</v>
      </c>
      <c r="AW113" s="231"/>
      <c r="AX113" s="231">
        <f t="shared" ca="1" si="98"/>
        <v>15255.636434609149</v>
      </c>
      <c r="AY113" s="231">
        <f t="shared" ca="1" si="99"/>
        <v>1906.9545543261436</v>
      </c>
      <c r="AZ113" s="231"/>
      <c r="BA113" s="232">
        <f t="shared" ca="1" si="66"/>
        <v>637100.20219369058</v>
      </c>
      <c r="BB113" s="231">
        <f t="shared" ca="1" si="67"/>
        <v>585.27765249471554</v>
      </c>
      <c r="BC113" s="231">
        <f t="shared" ca="1" si="100"/>
        <v>19965.909279685144</v>
      </c>
      <c r="BD113" s="231">
        <f t="shared" ca="1" si="101"/>
        <v>107418.54558175002</v>
      </c>
      <c r="BE113" s="231">
        <f t="shared" ca="1" si="102"/>
        <v>3729.8106104774306</v>
      </c>
      <c r="BF113" s="231">
        <f t="shared" ca="1" si="68"/>
        <v>46687.127678946956</v>
      </c>
      <c r="BG113" s="231">
        <f t="shared" ca="1" si="69"/>
        <v>178386.67080335427</v>
      </c>
      <c r="BH113" s="232">
        <f t="shared" ca="1" si="70"/>
        <v>815486.87299704493</v>
      </c>
      <c r="BI113" s="244">
        <f t="shared" ca="1" si="103"/>
        <v>3.504096077317886</v>
      </c>
      <c r="BJ113" s="243">
        <f t="shared" ca="1" si="104"/>
        <v>6.8536582057829767</v>
      </c>
      <c r="BK113" s="242">
        <f t="shared" ca="1" si="105"/>
        <v>10.357754283100864</v>
      </c>
      <c r="BL113" s="241">
        <f t="shared" ca="1" si="106"/>
        <v>2.5229491756688778</v>
      </c>
      <c r="BM113" s="243">
        <f t="shared" ca="1" si="107"/>
        <v>3.0361705851618588</v>
      </c>
      <c r="BN113" s="243">
        <f t="shared" si="71"/>
        <v>0</v>
      </c>
      <c r="BO113" s="242">
        <f t="shared" ca="1" si="72"/>
        <v>5.5591197608307361</v>
      </c>
      <c r="BP113" s="67"/>
      <c r="BQ113" s="67"/>
      <c r="BR113" s="67"/>
      <c r="BS113" s="67"/>
      <c r="BT113" s="67"/>
      <c r="BU113" s="67"/>
      <c r="BV113" s="67"/>
      <c r="BW113" s="67"/>
      <c r="BX113" s="67"/>
      <c r="BY113" s="67"/>
      <c r="BZ113" s="67"/>
      <c r="CA113" s="67"/>
      <c r="CB113" s="67"/>
    </row>
    <row r="114" spans="1:80" ht="12" customHeight="1" x14ac:dyDescent="0.15">
      <c r="A114" s="213">
        <f t="shared" si="73"/>
        <v>108</v>
      </c>
      <c r="B114" s="67">
        <f t="shared" si="74"/>
        <v>432</v>
      </c>
      <c r="C114" s="224">
        <f t="shared" si="75"/>
        <v>99.692307692307708</v>
      </c>
      <c r="D114" s="225">
        <f ca="1">IFERROR(OFFSET(extrapolation!P123,0,OS_dist_choice-1,1,1),0)</f>
        <v>0.14965243953000759</v>
      </c>
      <c r="E114" s="225">
        <f ca="1">IFERROR(OFFSET(extrapolation!D123,0,PFS_dist_choice-1,1,1),0)</f>
        <v>5.0057424718218613E-2</v>
      </c>
      <c r="F114" s="214"/>
      <c r="G114" s="226">
        <f t="shared" ca="1" si="76"/>
        <v>50.057424718218613</v>
      </c>
      <c r="H114" s="224">
        <f t="shared" ca="1" si="77"/>
        <v>99.595014811789042</v>
      </c>
      <c r="I114" s="224">
        <f t="shared" ca="1" si="54"/>
        <v>850.34756046999235</v>
      </c>
      <c r="J114" s="227">
        <f t="shared" ca="1" si="55"/>
        <v>1000</v>
      </c>
      <c r="K114" s="238">
        <f t="shared" ca="1" si="78"/>
        <v>1.0653874595276704</v>
      </c>
      <c r="L114" s="239">
        <f t="shared" ca="1" si="79"/>
        <v>2.0362420236102707</v>
      </c>
      <c r="M114" s="238">
        <f t="shared" ca="1" si="80"/>
        <v>50.590118447982448</v>
      </c>
      <c r="N114" s="238">
        <f t="shared" ca="1" si="81"/>
        <v>100.08044209383036</v>
      </c>
      <c r="O114" s="239">
        <f t="shared" ca="1" si="82"/>
        <v>849.32943945818715</v>
      </c>
      <c r="P114" s="217"/>
      <c r="Q114" s="217"/>
      <c r="R114" s="224"/>
      <c r="S114" s="230">
        <f t="shared" ca="1" si="83"/>
        <v>761677.65696627565</v>
      </c>
      <c r="T114" s="231">
        <f t="shared" ca="1" si="84"/>
        <v>4742.0639299058348</v>
      </c>
      <c r="U114" s="231">
        <f t="shared" ca="1" si="85"/>
        <v>7795.7011656146706</v>
      </c>
      <c r="V114" s="231"/>
      <c r="W114" s="231">
        <f t="shared" ca="1" si="86"/>
        <v>19051.429165615024</v>
      </c>
      <c r="X114" s="231">
        <f t="shared" ca="1" si="87"/>
        <v>2381.4286457018779</v>
      </c>
      <c r="Y114" s="231"/>
      <c r="Z114" s="232">
        <f t="shared" ca="1" si="56"/>
        <v>795648.27987311303</v>
      </c>
      <c r="AA114" s="231">
        <f t="shared" ca="1" si="57"/>
        <v>728.25931588906792</v>
      </c>
      <c r="AB114" s="231">
        <f t="shared" ca="1" si="88"/>
        <v>25218.74124440593</v>
      </c>
      <c r="AC114" s="231">
        <f t="shared" ca="1" si="89"/>
        <v>135679.29553966684</v>
      </c>
      <c r="AD114" s="231">
        <f t="shared" ca="1" si="90"/>
        <v>4711.0866506828761</v>
      </c>
      <c r="AE114" s="231">
        <f t="shared" ca="1" si="58"/>
        <v>58339.392618662336</v>
      </c>
      <c r="AF114" s="231">
        <f t="shared" ca="1" si="59"/>
        <v>224676.77536930706</v>
      </c>
      <c r="AG114" s="232">
        <f t="shared" ca="1" si="60"/>
        <v>1020325.0552424201</v>
      </c>
      <c r="AH114" s="244">
        <f t="shared" ca="1" si="91"/>
        <v>3.8782294771896195</v>
      </c>
      <c r="AI114" s="243">
        <f t="shared" ca="1" si="92"/>
        <v>7.6721488805674198</v>
      </c>
      <c r="AJ114" s="242">
        <f t="shared" ca="1" si="93"/>
        <v>11.55037835775704</v>
      </c>
      <c r="AK114" s="241">
        <f t="shared" ca="1" si="94"/>
        <v>2.7923252235765261</v>
      </c>
      <c r="AL114" s="243">
        <f t="shared" ca="1" si="95"/>
        <v>3.3987619540913672</v>
      </c>
      <c r="AM114" s="243"/>
      <c r="AN114" s="242">
        <f t="shared" ca="1" si="61"/>
        <v>6.1910871776678933</v>
      </c>
      <c r="AO114" s="224"/>
      <c r="AP114" s="235">
        <f t="shared" si="96"/>
        <v>8.3076923076923084</v>
      </c>
      <c r="AQ114" s="235">
        <f t="shared" si="62"/>
        <v>0.7822620955766183</v>
      </c>
      <c r="AR114" s="235">
        <f t="shared" si="63"/>
        <v>0.88365372093408578</v>
      </c>
      <c r="AT114" s="230">
        <f t="shared" ca="1" si="64"/>
        <v>595831.56009232742</v>
      </c>
      <c r="AU114" s="231">
        <f t="shared" ca="1" si="65"/>
        <v>3709.5368671664323</v>
      </c>
      <c r="AV114" s="231">
        <f t="shared" ca="1" si="97"/>
        <v>6098.2815303028183</v>
      </c>
      <c r="AW114" s="231"/>
      <c r="AX114" s="231">
        <f t="shared" ca="1" si="98"/>
        <v>14903.210902823514</v>
      </c>
      <c r="AY114" s="231">
        <f t="shared" ca="1" si="99"/>
        <v>1862.9013628529392</v>
      </c>
      <c r="AZ114" s="231"/>
      <c r="BA114" s="232">
        <f t="shared" ca="1" si="66"/>
        <v>622405.49075547315</v>
      </c>
      <c r="BB114" s="231">
        <f t="shared" ca="1" si="67"/>
        <v>569.68965857057674</v>
      </c>
      <c r="BC114" s="231">
        <f t="shared" ca="1" si="100"/>
        <v>19727.665373653479</v>
      </c>
      <c r="BD114" s="231">
        <f t="shared" ca="1" si="101"/>
        <v>106136.77005521911</v>
      </c>
      <c r="BE114" s="231">
        <f t="shared" ca="1" si="102"/>
        <v>3685.3045158062187</v>
      </c>
      <c r="BF114" s="231">
        <f t="shared" ca="1" si="68"/>
        <v>45636.695524541894</v>
      </c>
      <c r="BG114" s="231">
        <f t="shared" ca="1" si="69"/>
        <v>175756.12512779128</v>
      </c>
      <c r="BH114" s="232">
        <f t="shared" ca="1" si="70"/>
        <v>798161.61588326434</v>
      </c>
      <c r="BI114" s="244">
        <f t="shared" ca="1" si="103"/>
        <v>3.4270119081548613</v>
      </c>
      <c r="BJ114" s="243">
        <f t="shared" ca="1" si="104"/>
        <v>6.7795229058736819</v>
      </c>
      <c r="BK114" s="242">
        <f t="shared" ca="1" si="105"/>
        <v>10.206534814028544</v>
      </c>
      <c r="BL114" s="241">
        <f t="shared" ca="1" si="106"/>
        <v>2.4674485738715002</v>
      </c>
      <c r="BM114" s="243">
        <f t="shared" ca="1" si="107"/>
        <v>3.0033286473020411</v>
      </c>
      <c r="BN114" s="243">
        <f t="shared" si="71"/>
        <v>0</v>
      </c>
      <c r="BO114" s="242">
        <f t="shared" ca="1" si="72"/>
        <v>5.4707772211735417</v>
      </c>
      <c r="BP114" s="67"/>
      <c r="BQ114" s="67"/>
      <c r="BR114" s="67"/>
      <c r="BS114" s="67"/>
      <c r="BT114" s="67"/>
      <c r="BU114" s="67"/>
      <c r="BV114" s="67"/>
      <c r="BW114" s="67"/>
      <c r="BX114" s="67"/>
      <c r="BY114" s="67"/>
      <c r="BZ114" s="67"/>
      <c r="CA114" s="67"/>
      <c r="CB114" s="67"/>
    </row>
    <row r="115" spans="1:80" ht="12" customHeight="1" x14ac:dyDescent="0.15">
      <c r="A115" s="213">
        <f t="shared" si="73"/>
        <v>109</v>
      </c>
      <c r="B115" s="67">
        <f t="shared" si="74"/>
        <v>436</v>
      </c>
      <c r="C115" s="224">
        <f t="shared" si="75"/>
        <v>100.61538461538461</v>
      </c>
      <c r="D115" s="225">
        <f ca="1">IFERROR(OFFSET(extrapolation!P124,0,OS_dist_choice-1,1,1),0)</f>
        <v>0.14765723114061968</v>
      </c>
      <c r="E115" s="225">
        <f ca="1">IFERROR(OFFSET(extrapolation!D124,0,PFS_dist_choice-1,1,1),0)</f>
        <v>4.9017945739164404E-2</v>
      </c>
      <c r="F115" s="214"/>
      <c r="G115" s="226">
        <f t="shared" ca="1" si="76"/>
        <v>49.017945739164404</v>
      </c>
      <c r="H115" s="224">
        <f t="shared" ca="1" si="77"/>
        <v>98.639285401455368</v>
      </c>
      <c r="I115" s="224">
        <f t="shared" ca="1" si="54"/>
        <v>852.34276885938027</v>
      </c>
      <c r="J115" s="227">
        <f t="shared" ca="1" si="55"/>
        <v>1000</v>
      </c>
      <c r="K115" s="238">
        <f t="shared" ca="1" si="78"/>
        <v>1.0394789790542092</v>
      </c>
      <c r="L115" s="239">
        <f t="shared" ca="1" si="79"/>
        <v>1.9952083893879262</v>
      </c>
      <c r="M115" s="238">
        <f t="shared" ca="1" si="80"/>
        <v>49.537685228691508</v>
      </c>
      <c r="N115" s="238">
        <f t="shared" ca="1" si="81"/>
        <v>99.117150106622205</v>
      </c>
      <c r="O115" s="239">
        <f t="shared" ca="1" si="82"/>
        <v>851.34516466468631</v>
      </c>
      <c r="P115" s="217"/>
      <c r="Q115" s="217"/>
      <c r="R115" s="224"/>
      <c r="S115" s="230">
        <f t="shared" ca="1" si="83"/>
        <v>745860.86419899715</v>
      </c>
      <c r="T115" s="231">
        <f t="shared" ca="1" si="84"/>
        <v>4643.5915094763777</v>
      </c>
      <c r="U115" s="231">
        <f t="shared" ca="1" si="85"/>
        <v>7633.5261178769597</v>
      </c>
      <c r="V115" s="231"/>
      <c r="W115" s="231">
        <f t="shared" ca="1" si="86"/>
        <v>18655.099654161564</v>
      </c>
      <c r="X115" s="231">
        <f t="shared" ca="1" si="87"/>
        <v>2331.8874567701955</v>
      </c>
      <c r="Y115" s="231"/>
      <c r="Z115" s="232">
        <f t="shared" ca="1" si="56"/>
        <v>779124.96893728233</v>
      </c>
      <c r="AA115" s="231">
        <f t="shared" ca="1" si="57"/>
        <v>710.54924046383894</v>
      </c>
      <c r="AB115" s="231">
        <f t="shared" ca="1" si="88"/>
        <v>24976.006391721767</v>
      </c>
      <c r="AC115" s="231">
        <f t="shared" ca="1" si="89"/>
        <v>134373.35828070799</v>
      </c>
      <c r="AD115" s="231">
        <f t="shared" ca="1" si="90"/>
        <v>4665.7416069690271</v>
      </c>
      <c r="AE115" s="231">
        <f t="shared" ca="1" si="58"/>
        <v>57163.757664805737</v>
      </c>
      <c r="AF115" s="231">
        <f t="shared" ca="1" si="59"/>
        <v>221889.41318466837</v>
      </c>
      <c r="AG115" s="232">
        <f t="shared" ca="1" si="60"/>
        <v>1001014.3821219507</v>
      </c>
      <c r="AH115" s="244">
        <f t="shared" ca="1" si="91"/>
        <v>3.797550133890109</v>
      </c>
      <c r="AI115" s="243">
        <f t="shared" ca="1" si="92"/>
        <v>7.5983030882557756</v>
      </c>
      <c r="AJ115" s="242">
        <f t="shared" ca="1" si="93"/>
        <v>11.395853222145885</v>
      </c>
      <c r="AK115" s="241">
        <f t="shared" ca="1" si="94"/>
        <v>2.7342360964008785</v>
      </c>
      <c r="AL115" s="243">
        <f t="shared" ca="1" si="95"/>
        <v>3.3660482680973085</v>
      </c>
      <c r="AM115" s="243"/>
      <c r="AN115" s="242">
        <f t="shared" ca="1" si="61"/>
        <v>6.1002843644981866</v>
      </c>
      <c r="AO115" s="224"/>
      <c r="AP115" s="235">
        <f t="shared" si="96"/>
        <v>8.384615384615385</v>
      </c>
      <c r="AQ115" s="235">
        <f t="shared" si="62"/>
        <v>0.78048544459230962</v>
      </c>
      <c r="AR115" s="235">
        <f t="shared" si="63"/>
        <v>0.88264227117634253</v>
      </c>
      <c r="AT115" s="230">
        <f t="shared" ca="1" si="64"/>
        <v>582133.54819835851</v>
      </c>
      <c r="AU115" s="231">
        <f t="shared" ca="1" si="65"/>
        <v>3624.2555837787449</v>
      </c>
      <c r="AV115" s="231">
        <f t="shared" ca="1" si="97"/>
        <v>5957.8560259182059</v>
      </c>
      <c r="AW115" s="231"/>
      <c r="AX115" s="231">
        <f t="shared" ca="1" si="98"/>
        <v>14560.033747492129</v>
      </c>
      <c r="AY115" s="231">
        <f t="shared" ca="1" si="99"/>
        <v>1820.0042184365161</v>
      </c>
      <c r="AZ115" s="231"/>
      <c r="BA115" s="232">
        <f t="shared" ca="1" si="66"/>
        <v>608095.69777398417</v>
      </c>
      <c r="BB115" s="231">
        <f t="shared" ca="1" si="67"/>
        <v>554.57333984814727</v>
      </c>
      <c r="BC115" s="231">
        <f t="shared" ca="1" si="100"/>
        <v>19493.409452783329</v>
      </c>
      <c r="BD115" s="231">
        <f t="shared" ca="1" si="101"/>
        <v>104876.45027908009</v>
      </c>
      <c r="BE115" s="231">
        <f t="shared" ca="1" si="102"/>
        <v>3641.5434124680582</v>
      </c>
      <c r="BF115" s="231">
        <f t="shared" ca="1" si="68"/>
        <v>44615.480815582952</v>
      </c>
      <c r="BG115" s="231">
        <f t="shared" ca="1" si="69"/>
        <v>173181.45729976258</v>
      </c>
      <c r="BH115" s="232">
        <f t="shared" ca="1" si="70"/>
        <v>781277.15507374681</v>
      </c>
      <c r="BI115" s="244">
        <f t="shared" ca="1" si="103"/>
        <v>3.3518782750827896</v>
      </c>
      <c r="BJ115" s="243">
        <f t="shared" ca="1" si="104"/>
        <v>6.7065834949042955</v>
      </c>
      <c r="BK115" s="242">
        <f t="shared" ca="1" si="105"/>
        <v>10.058461769987085</v>
      </c>
      <c r="BL115" s="241">
        <f t="shared" ca="1" si="106"/>
        <v>2.4133523580596083</v>
      </c>
      <c r="BM115" s="243">
        <f t="shared" ca="1" si="107"/>
        <v>2.9710164882426029</v>
      </c>
      <c r="BN115" s="243">
        <f t="shared" si="71"/>
        <v>0</v>
      </c>
      <c r="BO115" s="242">
        <f t="shared" ca="1" si="72"/>
        <v>5.3843688463022108</v>
      </c>
      <c r="BP115" s="67"/>
      <c r="BQ115" s="67"/>
      <c r="BR115" s="67"/>
      <c r="BS115" s="67"/>
      <c r="BT115" s="67"/>
      <c r="BU115" s="67"/>
      <c r="BV115" s="67"/>
      <c r="BW115" s="67"/>
      <c r="BX115" s="67"/>
      <c r="BY115" s="67"/>
      <c r="BZ115" s="67"/>
      <c r="CA115" s="67"/>
      <c r="CB115" s="67"/>
    </row>
    <row r="116" spans="1:80" ht="12" customHeight="1" x14ac:dyDescent="0.15">
      <c r="A116" s="213">
        <f t="shared" si="73"/>
        <v>110</v>
      </c>
      <c r="B116" s="67">
        <f t="shared" si="74"/>
        <v>440</v>
      </c>
      <c r="C116" s="224">
        <f t="shared" si="75"/>
        <v>101.53846153846155</v>
      </c>
      <c r="D116" s="225">
        <f ca="1">IFERROR(OFFSET(extrapolation!P125,0,OS_dist_choice-1,1,1),0)</f>
        <v>0.14570198677438909</v>
      </c>
      <c r="E116" s="225">
        <f ca="1">IFERROR(OFFSET(extrapolation!D125,0,PFS_dist_choice-1,1,1),0)</f>
        <v>4.8003643032853427E-2</v>
      </c>
      <c r="F116" s="214"/>
      <c r="G116" s="226">
        <f t="shared" ca="1" si="76"/>
        <v>48.003643032853425</v>
      </c>
      <c r="H116" s="224">
        <f t="shared" ca="1" si="77"/>
        <v>97.698343741535609</v>
      </c>
      <c r="I116" s="224">
        <f t="shared" ca="1" si="54"/>
        <v>854.29801322561093</v>
      </c>
      <c r="J116" s="227">
        <f t="shared" ca="1" si="55"/>
        <v>1000</v>
      </c>
      <c r="K116" s="238">
        <f t="shared" ca="1" si="78"/>
        <v>1.0143027063109784</v>
      </c>
      <c r="L116" s="239">
        <f t="shared" ca="1" si="79"/>
        <v>1.9552443662306587</v>
      </c>
      <c r="M116" s="238">
        <f t="shared" ca="1" si="80"/>
        <v>48.510794386008911</v>
      </c>
      <c r="N116" s="238">
        <f t="shared" ca="1" si="81"/>
        <v>98.168814571495489</v>
      </c>
      <c r="O116" s="239">
        <f t="shared" ca="1" si="82"/>
        <v>853.32039104249566</v>
      </c>
      <c r="P116" s="217"/>
      <c r="Q116" s="217"/>
      <c r="R116" s="224"/>
      <c r="S116" s="230">
        <f t="shared" ca="1" si="83"/>
        <v>730427.15555045137</v>
      </c>
      <c r="T116" s="231">
        <f t="shared" ca="1" si="84"/>
        <v>4547.5040997728465</v>
      </c>
      <c r="U116" s="231">
        <f t="shared" ca="1" si="85"/>
        <v>7475.2870311768374</v>
      </c>
      <c r="V116" s="231"/>
      <c r="W116" s="231">
        <f t="shared" ca="1" si="86"/>
        <v>18268.38899306078</v>
      </c>
      <c r="X116" s="231">
        <f t="shared" ca="1" si="87"/>
        <v>2283.5486241325975</v>
      </c>
      <c r="Y116" s="231"/>
      <c r="Z116" s="232">
        <f t="shared" ca="1" si="56"/>
        <v>763001.88429859455</v>
      </c>
      <c r="AA116" s="231">
        <f t="shared" ca="1" si="57"/>
        <v>693.33967506051567</v>
      </c>
      <c r="AB116" s="231">
        <f t="shared" ca="1" si="88"/>
        <v>24737.040336287941</v>
      </c>
      <c r="AC116" s="231">
        <f t="shared" ca="1" si="89"/>
        <v>133087.69751973142</v>
      </c>
      <c r="AD116" s="231">
        <f t="shared" ca="1" si="90"/>
        <v>4621.1006083240072</v>
      </c>
      <c r="AE116" s="231">
        <f t="shared" ca="1" si="58"/>
        <v>56018.767624054381</v>
      </c>
      <c r="AF116" s="231">
        <f t="shared" ca="1" si="59"/>
        <v>219157.94576345826</v>
      </c>
      <c r="AG116" s="232">
        <f t="shared" ca="1" si="60"/>
        <v>982159.83006205282</v>
      </c>
      <c r="AH116" s="244">
        <f t="shared" ca="1" si="91"/>
        <v>3.7188288646358645</v>
      </c>
      <c r="AI116" s="243">
        <f t="shared" ca="1" si="92"/>
        <v>7.5256038548990389</v>
      </c>
      <c r="AJ116" s="242">
        <f t="shared" ca="1" si="93"/>
        <v>11.244432719534903</v>
      </c>
      <c r="AK116" s="241">
        <f t="shared" ca="1" si="94"/>
        <v>2.6775567825378221</v>
      </c>
      <c r="AL116" s="243">
        <f t="shared" ca="1" si="95"/>
        <v>3.3338425077202745</v>
      </c>
      <c r="AM116" s="243"/>
      <c r="AN116" s="242">
        <f t="shared" ca="1" si="61"/>
        <v>6.0113992902580966</v>
      </c>
      <c r="AO116" s="224"/>
      <c r="AP116" s="235">
        <f t="shared" si="96"/>
        <v>8.4615384615384617</v>
      </c>
      <c r="AQ116" s="235">
        <f t="shared" si="62"/>
        <v>0.77871282868619007</v>
      </c>
      <c r="AR116" s="235">
        <f t="shared" si="63"/>
        <v>0.881631979146551</v>
      </c>
      <c r="AT116" s="230">
        <f t="shared" ca="1" si="64"/>
        <v>568792.99644789973</v>
      </c>
      <c r="AU116" s="231">
        <f t="shared" ca="1" si="65"/>
        <v>3541.1997809961595</v>
      </c>
      <c r="AV116" s="231">
        <f t="shared" ca="1" si="97"/>
        <v>5821.1019092889073</v>
      </c>
      <c r="AW116" s="231"/>
      <c r="AX116" s="231">
        <f t="shared" ca="1" si="98"/>
        <v>14225.82886832602</v>
      </c>
      <c r="AY116" s="231">
        <f t="shared" ca="1" si="99"/>
        <v>1778.2286085407525</v>
      </c>
      <c r="AZ116" s="231"/>
      <c r="BA116" s="232">
        <f t="shared" ca="1" si="66"/>
        <v>594159.3556150517</v>
      </c>
      <c r="BB116" s="231">
        <f t="shared" ca="1" si="67"/>
        <v>539.91249960673804</v>
      </c>
      <c r="BC116" s="231">
        <f t="shared" ca="1" si="100"/>
        <v>19263.050653595164</v>
      </c>
      <c r="BD116" s="231">
        <f t="shared" ca="1" si="101"/>
        <v>103637.09739892209</v>
      </c>
      <c r="BE116" s="231">
        <f t="shared" ca="1" si="102"/>
        <v>3598.5103263514616</v>
      </c>
      <c r="BF116" s="231">
        <f t="shared" ca="1" si="68"/>
        <v>43622.532996041751</v>
      </c>
      <c r="BG116" s="231">
        <f t="shared" ca="1" si="69"/>
        <v>170661.1038745172</v>
      </c>
      <c r="BH116" s="232">
        <f t="shared" ca="1" si="70"/>
        <v>764820.45948956884</v>
      </c>
      <c r="BI116" s="244">
        <f t="shared" ca="1" si="103"/>
        <v>3.2786384520362386</v>
      </c>
      <c r="BJ116" s="243">
        <f t="shared" ca="1" si="104"/>
        <v>6.6348130208675533</v>
      </c>
      <c r="BK116" s="242">
        <f t="shared" ca="1" si="105"/>
        <v>9.913451472903791</v>
      </c>
      <c r="BL116" s="241">
        <f t="shared" ca="1" si="106"/>
        <v>2.3606196854660912</v>
      </c>
      <c r="BM116" s="243">
        <f t="shared" ca="1" si="107"/>
        <v>2.9392221682443265</v>
      </c>
      <c r="BN116" s="243">
        <f t="shared" si="71"/>
        <v>0</v>
      </c>
      <c r="BO116" s="242">
        <f t="shared" ca="1" si="72"/>
        <v>5.2998418537104177</v>
      </c>
      <c r="BP116" s="67"/>
      <c r="BQ116" s="67"/>
      <c r="BR116" s="67"/>
      <c r="BS116" s="67"/>
      <c r="BT116" s="67"/>
      <c r="BU116" s="67"/>
      <c r="BV116" s="67"/>
      <c r="BW116" s="67"/>
      <c r="BX116" s="67"/>
      <c r="BY116" s="67"/>
      <c r="BZ116" s="67"/>
      <c r="CA116" s="67"/>
      <c r="CB116" s="67"/>
    </row>
    <row r="117" spans="1:80" ht="12" customHeight="1" x14ac:dyDescent="0.15">
      <c r="A117" s="213">
        <f t="shared" si="73"/>
        <v>111</v>
      </c>
      <c r="B117" s="67">
        <f t="shared" si="74"/>
        <v>444</v>
      </c>
      <c r="C117" s="224">
        <f t="shared" si="75"/>
        <v>102.46153846153845</v>
      </c>
      <c r="D117" s="225">
        <f ca="1">IFERROR(OFFSET(extrapolation!P126,0,OS_dist_choice-1,1,1),0)</f>
        <v>0.14378567001169554</v>
      </c>
      <c r="E117" s="225">
        <f ca="1">IFERROR(OFFSET(extrapolation!D126,0,PFS_dist_choice-1,1,1),0)</f>
        <v>4.7013808288780545E-2</v>
      </c>
      <c r="F117" s="214"/>
      <c r="G117" s="226">
        <f t="shared" ca="1" si="76"/>
        <v>47.013808288780545</v>
      </c>
      <c r="H117" s="224">
        <f t="shared" ca="1" si="77"/>
        <v>96.771861722914991</v>
      </c>
      <c r="I117" s="224">
        <f t="shared" ca="1" si="54"/>
        <v>856.21432998830448</v>
      </c>
      <c r="J117" s="227">
        <f t="shared" ca="1" si="55"/>
        <v>1000</v>
      </c>
      <c r="K117" s="238">
        <f t="shared" ca="1" si="78"/>
        <v>0.98983474407287986</v>
      </c>
      <c r="L117" s="239">
        <f t="shared" ca="1" si="79"/>
        <v>1.9163167626935547</v>
      </c>
      <c r="M117" s="238">
        <f t="shared" ca="1" si="80"/>
        <v>47.508725660816985</v>
      </c>
      <c r="N117" s="238">
        <f t="shared" ca="1" si="81"/>
        <v>97.2351027322253</v>
      </c>
      <c r="O117" s="239">
        <f t="shared" ca="1" si="82"/>
        <v>855.25617160695765</v>
      </c>
      <c r="P117" s="217"/>
      <c r="Q117" s="217"/>
      <c r="R117" s="224"/>
      <c r="S117" s="230">
        <f t="shared" ca="1" si="83"/>
        <v>715365.75331305573</v>
      </c>
      <c r="T117" s="231">
        <f t="shared" ca="1" si="84"/>
        <v>4453.7346007852721</v>
      </c>
      <c r="U117" s="231">
        <f t="shared" ca="1" si="85"/>
        <v>7320.8729169454791</v>
      </c>
      <c r="V117" s="231"/>
      <c r="W117" s="231">
        <f t="shared" ca="1" si="86"/>
        <v>17891.025944253102</v>
      </c>
      <c r="X117" s="231">
        <f t="shared" ca="1" si="87"/>
        <v>2236.3782430316378</v>
      </c>
      <c r="Y117" s="231"/>
      <c r="Z117" s="232">
        <f t="shared" ca="1" si="56"/>
        <v>747267.76501807128</v>
      </c>
      <c r="AA117" s="231">
        <f t="shared" ca="1" si="57"/>
        <v>676.61428442318163</v>
      </c>
      <c r="AB117" s="231">
        <f t="shared" ca="1" si="88"/>
        <v>24501.759228623403</v>
      </c>
      <c r="AC117" s="231">
        <f t="shared" ca="1" si="89"/>
        <v>131821.86213832442</v>
      </c>
      <c r="AD117" s="231">
        <f t="shared" ca="1" si="90"/>
        <v>4577.1479909140417</v>
      </c>
      <c r="AE117" s="231">
        <f t="shared" ca="1" si="58"/>
        <v>54903.47154425527</v>
      </c>
      <c r="AF117" s="231">
        <f t="shared" ca="1" si="59"/>
        <v>216480.85518654031</v>
      </c>
      <c r="AG117" s="232">
        <f t="shared" ca="1" si="60"/>
        <v>963748.62020461156</v>
      </c>
      <c r="AH117" s="244">
        <f t="shared" ca="1" si="91"/>
        <v>3.6420104544911034</v>
      </c>
      <c r="AI117" s="243">
        <f t="shared" ca="1" si="92"/>
        <v>7.4540256714642252</v>
      </c>
      <c r="AJ117" s="242">
        <f t="shared" ca="1" si="93"/>
        <v>11.09603612595533</v>
      </c>
      <c r="AK117" s="241">
        <f t="shared" ca="1" si="94"/>
        <v>2.6222475272335943</v>
      </c>
      <c r="AL117" s="243">
        <f t="shared" ca="1" si="95"/>
        <v>3.3021333724586519</v>
      </c>
      <c r="AM117" s="243"/>
      <c r="AN117" s="242">
        <f t="shared" ca="1" si="61"/>
        <v>5.9243808996922462</v>
      </c>
      <c r="AO117" s="224"/>
      <c r="AP117" s="235">
        <f t="shared" si="96"/>
        <v>8.5384615384615383</v>
      </c>
      <c r="AQ117" s="235">
        <f t="shared" si="62"/>
        <v>0.77694423869390705</v>
      </c>
      <c r="AR117" s="235">
        <f t="shared" si="63"/>
        <v>0.88062284351955022</v>
      </c>
      <c r="AT117" s="230">
        <f t="shared" ca="1" si="64"/>
        <v>555799.3005955054</v>
      </c>
      <c r="AU117" s="231">
        <f t="shared" ca="1" si="65"/>
        <v>3460.3034387518251</v>
      </c>
      <c r="AV117" s="231">
        <f t="shared" ca="1" si="97"/>
        <v>5687.9100350310482</v>
      </c>
      <c r="AW117" s="231"/>
      <c r="AX117" s="231">
        <f t="shared" ca="1" si="98"/>
        <v>13900.329531710666</v>
      </c>
      <c r="AY117" s="231">
        <f t="shared" ca="1" si="99"/>
        <v>1737.5411914638332</v>
      </c>
      <c r="AZ117" s="231"/>
      <c r="BA117" s="232">
        <f t="shared" ca="1" si="66"/>
        <v>580585.38479246281</v>
      </c>
      <c r="BB117" s="231">
        <f t="shared" ca="1" si="67"/>
        <v>525.69157010059155</v>
      </c>
      <c r="BC117" s="231">
        <f t="shared" ca="1" si="100"/>
        <v>19036.500670544221</v>
      </c>
      <c r="BD117" s="231">
        <f t="shared" ca="1" si="101"/>
        <v>102418.23632227363</v>
      </c>
      <c r="BE117" s="231">
        <f t="shared" ca="1" si="102"/>
        <v>3556.1887611900561</v>
      </c>
      <c r="BF117" s="231">
        <f t="shared" ca="1" si="68"/>
        <v>42656.935900604003</v>
      </c>
      <c r="BG117" s="231">
        <f t="shared" ca="1" si="69"/>
        <v>168193.55322471249</v>
      </c>
      <c r="BH117" s="232">
        <f t="shared" ca="1" si="70"/>
        <v>748778.9380171753</v>
      </c>
      <c r="BI117" s="244">
        <f t="shared" ca="1" si="103"/>
        <v>3.2072376025618849</v>
      </c>
      <c r="BJ117" s="243">
        <f t="shared" ca="1" si="104"/>
        <v>6.5641852824725504</v>
      </c>
      <c r="BK117" s="242">
        <f t="shared" ca="1" si="105"/>
        <v>9.7714228850344362</v>
      </c>
      <c r="BL117" s="241">
        <f t="shared" ca="1" si="106"/>
        <v>2.309211073844557</v>
      </c>
      <c r="BM117" s="243">
        <f t="shared" ca="1" si="107"/>
        <v>2.9079340801353402</v>
      </c>
      <c r="BN117" s="243">
        <f t="shared" si="71"/>
        <v>0</v>
      </c>
      <c r="BO117" s="242">
        <f t="shared" ca="1" si="72"/>
        <v>5.2171451539798968</v>
      </c>
      <c r="BP117" s="67"/>
      <c r="BQ117" s="67"/>
      <c r="BR117" s="67"/>
      <c r="BS117" s="67"/>
      <c r="BT117" s="67"/>
      <c r="BU117" s="67"/>
      <c r="BV117" s="67"/>
      <c r="BW117" s="67"/>
      <c r="BX117" s="67"/>
      <c r="BY117" s="67"/>
      <c r="BZ117" s="67"/>
      <c r="CA117" s="67"/>
      <c r="CB117" s="67"/>
    </row>
    <row r="118" spans="1:80" ht="12" customHeight="1" x14ac:dyDescent="0.15">
      <c r="A118" s="213">
        <f t="shared" si="73"/>
        <v>112</v>
      </c>
      <c r="B118" s="67">
        <f t="shared" si="74"/>
        <v>448</v>
      </c>
      <c r="C118" s="224">
        <f t="shared" si="75"/>
        <v>103.38461538461539</v>
      </c>
      <c r="D118" s="225">
        <f ca="1">IFERROR(OFFSET(extrapolation!P127,0,OS_dist_choice-1,1,1),0)</f>
        <v>0.1419072764721831</v>
      </c>
      <c r="E118" s="225">
        <f ca="1">IFERROR(OFFSET(extrapolation!D127,0,PFS_dist_choice-1,1,1),0)</f>
        <v>4.6047756200114809E-2</v>
      </c>
      <c r="F118" s="214"/>
      <c r="G118" s="226">
        <f t="shared" ca="1" si="76"/>
        <v>46.047756200114812</v>
      </c>
      <c r="H118" s="224">
        <f t="shared" ca="1" si="77"/>
        <v>95.85952027206838</v>
      </c>
      <c r="I118" s="224">
        <f t="shared" ca="1" si="54"/>
        <v>858.09272352781682</v>
      </c>
      <c r="J118" s="227">
        <f t="shared" ca="1" si="55"/>
        <v>1000</v>
      </c>
      <c r="K118" s="238">
        <f t="shared" ca="1" si="78"/>
        <v>0.96605208866573378</v>
      </c>
      <c r="L118" s="239">
        <f t="shared" ca="1" si="79"/>
        <v>1.8783935395123308</v>
      </c>
      <c r="M118" s="238">
        <f t="shared" ca="1" si="80"/>
        <v>46.530782244447678</v>
      </c>
      <c r="N118" s="238">
        <f t="shared" ca="1" si="81"/>
        <v>96.315690997491686</v>
      </c>
      <c r="O118" s="239">
        <f t="shared" ca="1" si="82"/>
        <v>857.15352675806071</v>
      </c>
      <c r="P118" s="217"/>
      <c r="Q118" s="217"/>
      <c r="R118" s="224"/>
      <c r="S118" s="230">
        <f t="shared" ca="1" si="83"/>
        <v>700666.22980491794</v>
      </c>
      <c r="T118" s="231">
        <f t="shared" ca="1" si="84"/>
        <v>4362.2180916987654</v>
      </c>
      <c r="U118" s="231">
        <f t="shared" ca="1" si="85"/>
        <v>7170.176400218912</v>
      </c>
      <c r="V118" s="231"/>
      <c r="W118" s="231">
        <f t="shared" ca="1" si="86"/>
        <v>17522.748100743083</v>
      </c>
      <c r="X118" s="231">
        <f t="shared" ca="1" si="87"/>
        <v>2190.3435125928854</v>
      </c>
      <c r="Y118" s="231"/>
      <c r="Z118" s="232">
        <f t="shared" ca="1" si="56"/>
        <v>731911.71591017139</v>
      </c>
      <c r="AA118" s="231">
        <f t="shared" ca="1" si="57"/>
        <v>660.35734409415591</v>
      </c>
      <c r="AB118" s="231">
        <f t="shared" ca="1" si="88"/>
        <v>24270.081528663013</v>
      </c>
      <c r="AC118" s="231">
        <f t="shared" ca="1" si="89"/>
        <v>130575.41344295788</v>
      </c>
      <c r="AD118" s="231">
        <f t="shared" ca="1" si="90"/>
        <v>4533.8685223249258</v>
      </c>
      <c r="AE118" s="231">
        <f t="shared" ca="1" si="58"/>
        <v>53816.951483829478</v>
      </c>
      <c r="AF118" s="231">
        <f t="shared" ca="1" si="59"/>
        <v>213856.67232186944</v>
      </c>
      <c r="AG118" s="232">
        <f t="shared" ca="1" si="60"/>
        <v>945768.3882320408</v>
      </c>
      <c r="AH118" s="244">
        <f t="shared" ca="1" si="91"/>
        <v>3.5670414862273376</v>
      </c>
      <c r="AI118" s="243">
        <f t="shared" ca="1" si="92"/>
        <v>7.383543731498337</v>
      </c>
      <c r="AJ118" s="242">
        <f t="shared" ca="1" si="93"/>
        <v>10.950585217725674</v>
      </c>
      <c r="AK118" s="241">
        <f t="shared" ca="1" si="94"/>
        <v>2.5682698700836828</v>
      </c>
      <c r="AL118" s="243">
        <f t="shared" ca="1" si="95"/>
        <v>3.2709098730537631</v>
      </c>
      <c r="AM118" s="243"/>
      <c r="AN118" s="242">
        <f t="shared" ca="1" si="61"/>
        <v>5.8391797431374464</v>
      </c>
      <c r="AO118" s="224"/>
      <c r="AP118" s="235">
        <f t="shared" si="96"/>
        <v>8.615384615384615</v>
      </c>
      <c r="AQ118" s="235">
        <f t="shared" si="62"/>
        <v>0.77517966547192185</v>
      </c>
      <c r="AR118" s="235">
        <f t="shared" si="63"/>
        <v>0.87961486297169555</v>
      </c>
      <c r="AT118" s="230">
        <f t="shared" ca="1" si="64"/>
        <v>543142.21362764901</v>
      </c>
      <c r="AU118" s="231">
        <f t="shared" ca="1" si="65"/>
        <v>3381.5027610386142</v>
      </c>
      <c r="AV118" s="231">
        <f t="shared" ca="1" si="97"/>
        <v>5558.1749432963652</v>
      </c>
      <c r="AW118" s="231"/>
      <c r="AX118" s="231">
        <f t="shared" ca="1" si="98"/>
        <v>13583.278010882777</v>
      </c>
      <c r="AY118" s="231">
        <f t="shared" ca="1" si="99"/>
        <v>1697.9097513603472</v>
      </c>
      <c r="AZ118" s="231"/>
      <c r="BA118" s="232">
        <f t="shared" ca="1" si="66"/>
        <v>567363.07909422694</v>
      </c>
      <c r="BB118" s="231">
        <f t="shared" ca="1" si="67"/>
        <v>511.89558508683456</v>
      </c>
      <c r="BC118" s="231">
        <f t="shared" ca="1" si="100"/>
        <v>18813.673680365264</v>
      </c>
      <c r="BD118" s="231">
        <f t="shared" ca="1" si="101"/>
        <v>101219.40531156998</v>
      </c>
      <c r="BE118" s="231">
        <f t="shared" ca="1" si="102"/>
        <v>3514.5626844295125</v>
      </c>
      <c r="BF118" s="231">
        <f t="shared" ca="1" si="68"/>
        <v>41717.806447953582</v>
      </c>
      <c r="BG118" s="231">
        <f t="shared" ca="1" si="69"/>
        <v>165777.34370940516</v>
      </c>
      <c r="BH118" s="232">
        <f t="shared" ca="1" si="70"/>
        <v>733140.4228036321</v>
      </c>
      <c r="BI118" s="244">
        <f t="shared" ca="1" si="103"/>
        <v>3.1376227081222128</v>
      </c>
      <c r="BJ118" s="243">
        <f t="shared" ca="1" si="104"/>
        <v>6.4946748076274314</v>
      </c>
      <c r="BK118" s="242">
        <f t="shared" ca="1" si="105"/>
        <v>9.6322975157496433</v>
      </c>
      <c r="BL118" s="241">
        <f t="shared" ca="1" si="106"/>
        <v>2.259088349847993</v>
      </c>
      <c r="BM118" s="243">
        <f t="shared" ca="1" si="107"/>
        <v>2.8771409397789518</v>
      </c>
      <c r="BN118" s="243">
        <f t="shared" si="71"/>
        <v>0</v>
      </c>
      <c r="BO118" s="242">
        <f t="shared" ca="1" si="72"/>
        <v>5.1362292896269457</v>
      </c>
      <c r="BP118" s="67"/>
      <c r="BQ118" s="67"/>
      <c r="BR118" s="67"/>
      <c r="BS118" s="67"/>
      <c r="BT118" s="67"/>
      <c r="BU118" s="67"/>
      <c r="BV118" s="67"/>
      <c r="BW118" s="67"/>
      <c r="BX118" s="67"/>
      <c r="BY118" s="67"/>
      <c r="BZ118" s="67"/>
      <c r="CA118" s="67"/>
      <c r="CB118" s="67"/>
    </row>
    <row r="119" spans="1:80" ht="12" customHeight="1" x14ac:dyDescent="0.15">
      <c r="A119" s="213">
        <f t="shared" si="73"/>
        <v>113</v>
      </c>
      <c r="B119" s="67">
        <f t="shared" si="74"/>
        <v>452</v>
      </c>
      <c r="C119" s="224">
        <f t="shared" si="75"/>
        <v>104.30769230769229</v>
      </c>
      <c r="D119" s="225">
        <f ca="1">IFERROR(OFFSET(extrapolation!P128,0,OS_dist_choice-1,1,1),0)</f>
        <v>0.14006583270445597</v>
      </c>
      <c r="E119" s="225">
        <f ca="1">IFERROR(OFFSET(extrapolation!D128,0,PFS_dist_choice-1,1,1),0)</f>
        <v>4.5104823608084987E-2</v>
      </c>
      <c r="F119" s="214"/>
      <c r="G119" s="226">
        <f t="shared" ca="1" si="76"/>
        <v>45.104823608084985</v>
      </c>
      <c r="H119" s="224">
        <f t="shared" ca="1" si="77"/>
        <v>94.961009096370958</v>
      </c>
      <c r="I119" s="224">
        <f t="shared" ca="1" si="54"/>
        <v>859.93416729554406</v>
      </c>
      <c r="J119" s="227">
        <f t="shared" ca="1" si="55"/>
        <v>1000</v>
      </c>
      <c r="K119" s="238">
        <f t="shared" ca="1" si="78"/>
        <v>0.94293259202982682</v>
      </c>
      <c r="L119" s="239">
        <f t="shared" ca="1" si="79"/>
        <v>1.8414437677272417</v>
      </c>
      <c r="M119" s="238">
        <f t="shared" ca="1" si="80"/>
        <v>45.576289904099895</v>
      </c>
      <c r="N119" s="238">
        <f t="shared" ca="1" si="81"/>
        <v>95.410264684219669</v>
      </c>
      <c r="O119" s="239">
        <f t="shared" ca="1" si="82"/>
        <v>859.01344541168044</v>
      </c>
      <c r="P119" s="217"/>
      <c r="Q119" s="217"/>
      <c r="R119" s="224"/>
      <c r="S119" s="230">
        <f t="shared" ca="1" si="83"/>
        <v>686318.49435074022</v>
      </c>
      <c r="T119" s="231">
        <f t="shared" ca="1" si="84"/>
        <v>4272.8917498390365</v>
      </c>
      <c r="U119" s="231">
        <f t="shared" ca="1" si="85"/>
        <v>7023.0935848689069</v>
      </c>
      <c r="V119" s="231"/>
      <c r="W119" s="231">
        <f t="shared" ca="1" si="86"/>
        <v>17163.301557245555</v>
      </c>
      <c r="X119" s="231">
        <f t="shared" ca="1" si="87"/>
        <v>2145.4126946556944</v>
      </c>
      <c r="Y119" s="231"/>
      <c r="Z119" s="232">
        <f t="shared" ca="1" si="56"/>
        <v>716923.19393734948</v>
      </c>
      <c r="AA119" s="231">
        <f t="shared" ca="1" si="57"/>
        <v>644.55371448204301</v>
      </c>
      <c r="AB119" s="231">
        <f t="shared" ca="1" si="88"/>
        <v>24041.927941083177</v>
      </c>
      <c r="AC119" s="231">
        <f t="shared" ca="1" si="89"/>
        <v>129347.92481703186</v>
      </c>
      <c r="AD119" s="231">
        <f t="shared" ca="1" si="90"/>
        <v>4491.2473894802724</v>
      </c>
      <c r="AE119" s="231">
        <f t="shared" ca="1" si="58"/>
        <v>52758.32131200032</v>
      </c>
      <c r="AF119" s="231">
        <f t="shared" ca="1" si="59"/>
        <v>211283.97517407767</v>
      </c>
      <c r="AG119" s="232">
        <f t="shared" ca="1" si="60"/>
        <v>928207.16911142715</v>
      </c>
      <c r="AH119" s="244">
        <f t="shared" ca="1" si="91"/>
        <v>3.4938702732780205</v>
      </c>
      <c r="AI119" s="243">
        <f t="shared" ca="1" si="92"/>
        <v>7.314133911452843</v>
      </c>
      <c r="AJ119" s="242">
        <f t="shared" ca="1" si="93"/>
        <v>10.808004184730864</v>
      </c>
      <c r="AK119" s="241">
        <f t="shared" ca="1" si="94"/>
        <v>2.5155865967601745</v>
      </c>
      <c r="AL119" s="243">
        <f t="shared" ca="1" si="95"/>
        <v>3.2401613227736097</v>
      </c>
      <c r="AM119" s="243"/>
      <c r="AN119" s="242">
        <f t="shared" ca="1" si="61"/>
        <v>5.7557479195337837</v>
      </c>
      <c r="AO119" s="224"/>
      <c r="AP119" s="235">
        <f t="shared" si="96"/>
        <v>8.6923076923076916</v>
      </c>
      <c r="AQ119" s="235">
        <f t="shared" si="62"/>
        <v>0.77341909989746227</v>
      </c>
      <c r="AR119" s="235">
        <f t="shared" si="63"/>
        <v>0.87860803618085748</v>
      </c>
      <c r="AT119" s="230">
        <f t="shared" ca="1" si="64"/>
        <v>530811.83214373107</v>
      </c>
      <c r="AU119" s="231">
        <f t="shared" ca="1" si="65"/>
        <v>3304.7360911198002</v>
      </c>
      <c r="AV119" s="231">
        <f t="shared" ca="1" si="97"/>
        <v>5431.7947189049519</v>
      </c>
      <c r="AW119" s="231"/>
      <c r="AX119" s="231">
        <f t="shared" ca="1" si="98"/>
        <v>13274.425241673569</v>
      </c>
      <c r="AY119" s="231">
        <f t="shared" ca="1" si="99"/>
        <v>1659.3031552091961</v>
      </c>
      <c r="AZ119" s="231"/>
      <c r="BA119" s="232">
        <f t="shared" ca="1" si="66"/>
        <v>554482.09135063866</v>
      </c>
      <c r="BB119" s="231">
        <f t="shared" ca="1" si="67"/>
        <v>498.5101536902676</v>
      </c>
      <c r="BC119" s="231">
        <f t="shared" ca="1" si="100"/>
        <v>18594.486267992201</v>
      </c>
      <c r="BD119" s="231">
        <f t="shared" ca="1" si="101"/>
        <v>100040.1555855934</v>
      </c>
      <c r="BE119" s="231">
        <f t="shared" ca="1" si="102"/>
        <v>3473.6165133886593</v>
      </c>
      <c r="BF119" s="231">
        <f t="shared" ca="1" si="68"/>
        <v>40804.293381228388</v>
      </c>
      <c r="BG119" s="231">
        <f t="shared" ca="1" si="69"/>
        <v>163411.06190189291</v>
      </c>
      <c r="BH119" s="232">
        <f t="shared" ca="1" si="70"/>
        <v>717893.15325253154</v>
      </c>
      <c r="BI119" s="244">
        <f t="shared" ca="1" si="103"/>
        <v>3.0697424994754776</v>
      </c>
      <c r="BJ119" s="243">
        <f t="shared" ca="1" si="104"/>
        <v>6.4262568323053957</v>
      </c>
      <c r="BK119" s="242">
        <f t="shared" ca="1" si="105"/>
        <v>9.4959993317808742</v>
      </c>
      <c r="BL119" s="241">
        <f t="shared" ca="1" si="106"/>
        <v>2.2102145996223435</v>
      </c>
      <c r="BM119" s="243">
        <f t="shared" ca="1" si="107"/>
        <v>2.8468317767112907</v>
      </c>
      <c r="BN119" s="243">
        <f t="shared" si="71"/>
        <v>0</v>
      </c>
      <c r="BO119" s="242">
        <f t="shared" ca="1" si="72"/>
        <v>5.0570463763336342</v>
      </c>
      <c r="BP119" s="67"/>
      <c r="BQ119" s="67"/>
      <c r="BR119" s="67"/>
      <c r="BS119" s="67"/>
      <c r="BT119" s="67"/>
      <c r="BU119" s="67"/>
      <c r="BV119" s="67"/>
      <c r="BW119" s="67"/>
      <c r="BX119" s="67"/>
      <c r="BY119" s="67"/>
      <c r="BZ119" s="67"/>
      <c r="CA119" s="67"/>
      <c r="CB119" s="67"/>
    </row>
    <row r="120" spans="1:80" ht="12" customHeight="1" x14ac:dyDescent="0.15">
      <c r="A120" s="213">
        <f t="shared" si="73"/>
        <v>114</v>
      </c>
      <c r="B120" s="67">
        <f t="shared" si="74"/>
        <v>456</v>
      </c>
      <c r="C120" s="224">
        <f t="shared" si="75"/>
        <v>105.23076923076924</v>
      </c>
      <c r="D120" s="225">
        <f ca="1">IFERROR(OFFSET(extrapolation!P129,0,OS_dist_choice-1,1,1),0)</f>
        <v>0.13826039511622928</v>
      </c>
      <c r="E120" s="225">
        <f ca="1">IFERROR(OFFSET(extrapolation!D129,0,PFS_dist_choice-1,1,1),0)</f>
        <v>4.4184368682486097E-2</v>
      </c>
      <c r="F120" s="214"/>
      <c r="G120" s="226">
        <f t="shared" ca="1" si="76"/>
        <v>44.184368682486095</v>
      </c>
      <c r="H120" s="224">
        <f t="shared" ca="1" si="77"/>
        <v>94.076026433743209</v>
      </c>
      <c r="I120" s="224">
        <f t="shared" ca="1" si="54"/>
        <v>861.73960488377065</v>
      </c>
      <c r="J120" s="227">
        <f t="shared" ca="1" si="55"/>
        <v>1000</v>
      </c>
      <c r="K120" s="238">
        <f t="shared" ca="1" si="78"/>
        <v>0.92045492559888942</v>
      </c>
      <c r="L120" s="239">
        <f t="shared" ca="1" si="79"/>
        <v>1.8054375882265958</v>
      </c>
      <c r="M120" s="238">
        <f t="shared" ca="1" si="80"/>
        <v>44.64459614528554</v>
      </c>
      <c r="N120" s="238">
        <f t="shared" ca="1" si="81"/>
        <v>94.518517765057084</v>
      </c>
      <c r="O120" s="239">
        <f t="shared" ca="1" si="82"/>
        <v>860.83688608965736</v>
      </c>
      <c r="P120" s="217"/>
      <c r="Q120" s="217"/>
      <c r="R120" s="224"/>
      <c r="S120" s="230">
        <f t="shared" ca="1" si="83"/>
        <v>672312.78081234347</v>
      </c>
      <c r="T120" s="231">
        <f t="shared" ca="1" si="84"/>
        <v>4185.6947730397478</v>
      </c>
      <c r="U120" s="231">
        <f t="shared" ca="1" si="85"/>
        <v>6879.5239245398225</v>
      </c>
      <c r="V120" s="231"/>
      <c r="W120" s="231">
        <f t="shared" ca="1" si="86"/>
        <v>16812.44059477621</v>
      </c>
      <c r="X120" s="231">
        <f t="shared" ca="1" si="87"/>
        <v>2101.5550743470262</v>
      </c>
      <c r="Y120" s="231"/>
      <c r="Z120" s="232">
        <f t="shared" ca="1" si="56"/>
        <v>702291.99517904629</v>
      </c>
      <c r="AA120" s="231">
        <f t="shared" ca="1" si="57"/>
        <v>629.18881617074283</v>
      </c>
      <c r="AB120" s="231">
        <f t="shared" ca="1" si="88"/>
        <v>23817.221351670101</v>
      </c>
      <c r="AC120" s="231">
        <f t="shared" ca="1" si="89"/>
        <v>128138.98137853053</v>
      </c>
      <c r="AD120" s="231">
        <f t="shared" ca="1" si="90"/>
        <v>4449.270186754532</v>
      </c>
      <c r="AE120" s="231">
        <f t="shared" ca="1" si="58"/>
        <v>51726.725549694092</v>
      </c>
      <c r="AF120" s="231">
        <f t="shared" ca="1" si="59"/>
        <v>208761.38728281998</v>
      </c>
      <c r="AG120" s="232">
        <f t="shared" ca="1" si="60"/>
        <v>911053.38246186625</v>
      </c>
      <c r="AH120" s="244">
        <f t="shared" ca="1" si="91"/>
        <v>3.4224467955318141</v>
      </c>
      <c r="AI120" s="243">
        <f t="shared" ca="1" si="92"/>
        <v>7.2457727513253882</v>
      </c>
      <c r="AJ120" s="242">
        <f t="shared" ca="1" si="93"/>
        <v>10.668219546857202</v>
      </c>
      <c r="AK120" s="241">
        <f t="shared" ca="1" si="94"/>
        <v>2.464161692782906</v>
      </c>
      <c r="AL120" s="243">
        <f t="shared" ca="1" si="95"/>
        <v>3.2098773288371469</v>
      </c>
      <c r="AM120" s="243"/>
      <c r="AN120" s="242">
        <f t="shared" ca="1" si="61"/>
        <v>5.6740390216200529</v>
      </c>
      <c r="AO120" s="224"/>
      <c r="AP120" s="235">
        <f t="shared" si="96"/>
        <v>8.7692307692307701</v>
      </c>
      <c r="AQ120" s="235">
        <f t="shared" si="62"/>
        <v>0.77166253286847541</v>
      </c>
      <c r="AR120" s="235">
        <f t="shared" si="63"/>
        <v>0.87760236182642037</v>
      </c>
      <c r="AT120" s="230">
        <f t="shared" ca="1" si="64"/>
        <v>518798.58332150109</v>
      </c>
      <c r="AU120" s="231">
        <f t="shared" ca="1" si="65"/>
        <v>3229.9438303781903</v>
      </c>
      <c r="AV120" s="231">
        <f t="shared" ca="1" si="97"/>
        <v>5308.6708565396739</v>
      </c>
      <c r="AW120" s="231"/>
      <c r="AX120" s="231">
        <f t="shared" ca="1" si="98"/>
        <v>12973.530493065788</v>
      </c>
      <c r="AY120" s="231">
        <f t="shared" ca="1" si="99"/>
        <v>1621.6913116332234</v>
      </c>
      <c r="AZ120" s="231"/>
      <c r="BA120" s="232">
        <f t="shared" ca="1" si="66"/>
        <v>541932.41981311794</v>
      </c>
      <c r="BB120" s="231">
        <f t="shared" ca="1" si="67"/>
        <v>485.52143553883297</v>
      </c>
      <c r="BC120" s="231">
        <f t="shared" ca="1" si="100"/>
        <v>18378.857354118885</v>
      </c>
      <c r="BD120" s="231">
        <f t="shared" ca="1" si="101"/>
        <v>98880.050929743273</v>
      </c>
      <c r="BE120" s="231">
        <f t="shared" ca="1" si="102"/>
        <v>3433.3351017271966</v>
      </c>
      <c r="BF120" s="231">
        <f t="shared" ca="1" si="68"/>
        <v>39915.576054669422</v>
      </c>
      <c r="BG120" s="231">
        <f t="shared" ca="1" si="69"/>
        <v>161093.34087579761</v>
      </c>
      <c r="BH120" s="232">
        <f t="shared" ca="1" si="70"/>
        <v>703025.76068891562</v>
      </c>
      <c r="BI120" s="244">
        <f t="shared" ca="1" si="103"/>
        <v>3.003547390983984</v>
      </c>
      <c r="BJ120" s="243">
        <f t="shared" ca="1" si="104"/>
        <v>6.3589072798206807</v>
      </c>
      <c r="BK120" s="242">
        <f t="shared" ca="1" si="105"/>
        <v>9.3624546708046648</v>
      </c>
      <c r="BL120" s="241">
        <f t="shared" ca="1" si="106"/>
        <v>2.1625541215084683</v>
      </c>
      <c r="BM120" s="243">
        <f t="shared" ca="1" si="107"/>
        <v>2.8169959249605614</v>
      </c>
      <c r="BN120" s="243">
        <f t="shared" si="71"/>
        <v>0</v>
      </c>
      <c r="BO120" s="242">
        <f t="shared" ca="1" si="72"/>
        <v>4.9795500464690301</v>
      </c>
      <c r="BP120" s="67"/>
      <c r="BQ120" s="67"/>
      <c r="BR120" s="67"/>
      <c r="BS120" s="67"/>
      <c r="BT120" s="67"/>
      <c r="BU120" s="67"/>
      <c r="BV120" s="67"/>
      <c r="BW120" s="67"/>
      <c r="BX120" s="67"/>
      <c r="BY120" s="67"/>
      <c r="BZ120" s="67"/>
      <c r="CA120" s="67"/>
      <c r="CB120" s="67"/>
    </row>
    <row r="121" spans="1:80" ht="12" customHeight="1" x14ac:dyDescent="0.15">
      <c r="A121" s="213">
        <f t="shared" si="73"/>
        <v>115</v>
      </c>
      <c r="B121" s="67">
        <f t="shared" si="74"/>
        <v>460</v>
      </c>
      <c r="C121" s="224">
        <f t="shared" si="75"/>
        <v>106.15384615384616</v>
      </c>
      <c r="D121" s="225">
        <f ca="1">IFERROR(OFFSET(extrapolation!P130,0,OS_dist_choice-1,1,1),0)</f>
        <v>0.13649004894354416</v>
      </c>
      <c r="E121" s="225">
        <f ca="1">IFERROR(OFFSET(extrapolation!D130,0,PFS_dist_choice-1,1,1),0)</f>
        <v>4.3285770136591739E-2</v>
      </c>
      <c r="F121" s="214"/>
      <c r="G121" s="226">
        <f t="shared" ca="1" si="76"/>
        <v>43.285770136591736</v>
      </c>
      <c r="H121" s="224">
        <f t="shared" ca="1" si="77"/>
        <v>93.204278806952402</v>
      </c>
      <c r="I121" s="224">
        <f t="shared" ca="1" si="54"/>
        <v>863.50995105645586</v>
      </c>
      <c r="J121" s="227">
        <f t="shared" ca="1" si="55"/>
        <v>1000</v>
      </c>
      <c r="K121" s="238">
        <f t="shared" ca="1" si="78"/>
        <v>0.89859854589435884</v>
      </c>
      <c r="L121" s="239">
        <f t="shared" ca="1" si="79"/>
        <v>1.7703461726852083</v>
      </c>
      <c r="M121" s="238">
        <f t="shared" ca="1" si="80"/>
        <v>43.735069409538916</v>
      </c>
      <c r="N121" s="238">
        <f t="shared" ca="1" si="81"/>
        <v>93.640152620347806</v>
      </c>
      <c r="O121" s="239">
        <f t="shared" ca="1" si="82"/>
        <v>862.6247779701132</v>
      </c>
      <c r="P121" s="217"/>
      <c r="Q121" s="217"/>
      <c r="R121" s="224"/>
      <c r="S121" s="230">
        <f t="shared" ca="1" si="83"/>
        <v>658639.63564271177</v>
      </c>
      <c r="T121" s="231">
        <f t="shared" ca="1" si="84"/>
        <v>4100.5683052692111</v>
      </c>
      <c r="U121" s="231">
        <f t="shared" ca="1" si="85"/>
        <v>6739.3700990193684</v>
      </c>
      <c r="V121" s="231"/>
      <c r="W121" s="231">
        <f t="shared" ca="1" si="86"/>
        <v>16469.927378521803</v>
      </c>
      <c r="X121" s="231">
        <f t="shared" ca="1" si="87"/>
        <v>2058.7409223152254</v>
      </c>
      <c r="Y121" s="231"/>
      <c r="Z121" s="232">
        <f t="shared" ca="1" si="56"/>
        <v>688008.24234783743</v>
      </c>
      <c r="AA121" s="231">
        <f t="shared" ca="1" si="57"/>
        <v>614.24860640096585</v>
      </c>
      <c r="AB121" s="231">
        <f t="shared" ca="1" si="88"/>
        <v>23595.886764820851</v>
      </c>
      <c r="AC121" s="231">
        <f t="shared" ca="1" si="89"/>
        <v>126948.17964377181</v>
      </c>
      <c r="AD121" s="231">
        <f t="shared" ca="1" si="90"/>
        <v>4407.9229042976322</v>
      </c>
      <c r="AE121" s="231">
        <f t="shared" ca="1" si="58"/>
        <v>50721.338250406399</v>
      </c>
      <c r="AF121" s="231">
        <f t="shared" ca="1" si="59"/>
        <v>206287.57616969766</v>
      </c>
      <c r="AG121" s="232">
        <f t="shared" ca="1" si="60"/>
        <v>894295.81851753511</v>
      </c>
      <c r="AH121" s="244">
        <f t="shared" ca="1" si="91"/>
        <v>3.3527226378291295</v>
      </c>
      <c r="AI121" s="243">
        <f t="shared" ca="1" si="92"/>
        <v>7.1784374356461012</v>
      </c>
      <c r="AJ121" s="242">
        <f t="shared" ca="1" si="93"/>
        <v>10.531160073475231</v>
      </c>
      <c r="AK121" s="241">
        <f t="shared" ca="1" si="94"/>
        <v>2.4139602992369733</v>
      </c>
      <c r="AL121" s="243">
        <f t="shared" ca="1" si="95"/>
        <v>3.1800477839912227</v>
      </c>
      <c r="AM121" s="243"/>
      <c r="AN121" s="242">
        <f t="shared" ca="1" si="61"/>
        <v>5.5940080832281964</v>
      </c>
      <c r="AO121" s="224"/>
      <c r="AP121" s="235">
        <f t="shared" si="96"/>
        <v>8.8461538461538467</v>
      </c>
      <c r="AQ121" s="235">
        <f t="shared" si="62"/>
        <v>0.76990995530358097</v>
      </c>
      <c r="AR121" s="235">
        <f t="shared" si="63"/>
        <v>0.87659783858927942</v>
      </c>
      <c r="AT121" s="230">
        <f t="shared" ca="1" si="64"/>
        <v>507093.21243884705</v>
      </c>
      <c r="AU121" s="231">
        <f t="shared" ca="1" si="65"/>
        <v>3157.0683606290991</v>
      </c>
      <c r="AV121" s="231">
        <f t="shared" ca="1" si="97"/>
        <v>5188.708131710292</v>
      </c>
      <c r="AW121" s="231"/>
      <c r="AX121" s="231">
        <f t="shared" ca="1" si="98"/>
        <v>12680.361051850945</v>
      </c>
      <c r="AY121" s="231">
        <f t="shared" ca="1" si="99"/>
        <v>1585.0451314813681</v>
      </c>
      <c r="AZ121" s="231"/>
      <c r="BA121" s="232">
        <f t="shared" ca="1" si="66"/>
        <v>529704.39511451882</v>
      </c>
      <c r="BB121" s="231">
        <f t="shared" ca="1" si="67"/>
        <v>472.91611709945454</v>
      </c>
      <c r="BC121" s="231">
        <f t="shared" ca="1" si="100"/>
        <v>18166.708124451579</v>
      </c>
      <c r="BD121" s="231">
        <f t="shared" ca="1" si="101"/>
        <v>97738.667315407321</v>
      </c>
      <c r="BE121" s="231">
        <f t="shared" ca="1" si="102"/>
        <v>3393.7037262294207</v>
      </c>
      <c r="BF121" s="231">
        <f t="shared" ca="1" si="68"/>
        <v>39050.863265308202</v>
      </c>
      <c r="BG121" s="231">
        <f t="shared" ca="1" si="69"/>
        <v>158822.85854849598</v>
      </c>
      <c r="BH121" s="232">
        <f t="shared" ca="1" si="70"/>
        <v>688527.25366301485</v>
      </c>
      <c r="BI121" s="244">
        <f t="shared" ca="1" si="103"/>
        <v>2.9389894177103626</v>
      </c>
      <c r="BJ121" s="243">
        <f t="shared" ca="1" si="104"/>
        <v>6.2926027405357416</v>
      </c>
      <c r="BK121" s="242">
        <f t="shared" ca="1" si="105"/>
        <v>9.2315921582461051</v>
      </c>
      <c r="BL121" s="241">
        <f t="shared" ca="1" si="106"/>
        <v>2.116072380751461</v>
      </c>
      <c r="BM121" s="243">
        <f t="shared" ca="1" si="107"/>
        <v>2.7876230140573335</v>
      </c>
      <c r="BN121" s="243">
        <f t="shared" si="71"/>
        <v>0</v>
      </c>
      <c r="BO121" s="242">
        <f t="shared" ca="1" si="72"/>
        <v>4.9036953948087945</v>
      </c>
      <c r="BP121" s="67"/>
      <c r="BQ121" s="67"/>
      <c r="BR121" s="67"/>
      <c r="BS121" s="67"/>
      <c r="BT121" s="67"/>
      <c r="BU121" s="67"/>
      <c r="BV121" s="67"/>
      <c r="BW121" s="67"/>
      <c r="BX121" s="67"/>
      <c r="BY121" s="67"/>
      <c r="BZ121" s="67"/>
      <c r="CA121" s="67"/>
      <c r="CB121" s="67"/>
    </row>
    <row r="122" spans="1:80" ht="12" customHeight="1" x14ac:dyDescent="0.15">
      <c r="A122" s="213">
        <f t="shared" si="73"/>
        <v>116</v>
      </c>
      <c r="B122" s="67">
        <f t="shared" si="74"/>
        <v>464</v>
      </c>
      <c r="C122" s="224">
        <f t="shared" si="75"/>
        <v>107.07692307692308</v>
      </c>
      <c r="D122" s="225">
        <f ca="1">IFERROR(OFFSET(extrapolation!P131,0,OS_dist_choice-1,1,1),0)</f>
        <v>0.13475390725769021</v>
      </c>
      <c r="E122" s="225">
        <f ca="1">IFERROR(OFFSET(extrapolation!D131,0,PFS_dist_choice-1,1,1),0)</f>
        <v>4.2408426474852989E-2</v>
      </c>
      <c r="F122" s="214"/>
      <c r="G122" s="226">
        <f t="shared" ca="1" si="76"/>
        <v>42.408426474852988</v>
      </c>
      <c r="H122" s="224">
        <f t="shared" ca="1" si="77"/>
        <v>92.345480782837285</v>
      </c>
      <c r="I122" s="224">
        <f t="shared" ca="1" si="54"/>
        <v>865.24609274230977</v>
      </c>
      <c r="J122" s="227">
        <f t="shared" ca="1" si="55"/>
        <v>1000</v>
      </c>
      <c r="K122" s="238">
        <f t="shared" ca="1" si="78"/>
        <v>0.87734366173874889</v>
      </c>
      <c r="L122" s="239">
        <f t="shared" ca="1" si="79"/>
        <v>1.7361416858539087</v>
      </c>
      <c r="M122" s="238">
        <f t="shared" ca="1" si="80"/>
        <v>42.847098305722362</v>
      </c>
      <c r="N122" s="238">
        <f t="shared" ca="1" si="81"/>
        <v>92.774879794894844</v>
      </c>
      <c r="O122" s="239">
        <f t="shared" ca="1" si="82"/>
        <v>864.37802189938282</v>
      </c>
      <c r="P122" s="217"/>
      <c r="Q122" s="217"/>
      <c r="R122" s="224"/>
      <c r="S122" s="230">
        <f t="shared" ca="1" si="83"/>
        <v>645289.90643892053</v>
      </c>
      <c r="T122" s="231">
        <f t="shared" ca="1" si="84"/>
        <v>4017.4553653630437</v>
      </c>
      <c r="U122" s="231">
        <f t="shared" ca="1" si="85"/>
        <v>6602.5378957863886</v>
      </c>
      <c r="V122" s="231"/>
      <c r="W122" s="231">
        <f t="shared" ca="1" si="86"/>
        <v>16135.53166836215</v>
      </c>
      <c r="X122" s="231">
        <f t="shared" ca="1" si="87"/>
        <v>2016.9414585452687</v>
      </c>
      <c r="Y122" s="231"/>
      <c r="Z122" s="232">
        <f t="shared" ca="1" si="56"/>
        <v>674062.37282697728</v>
      </c>
      <c r="AA122" s="231">
        <f t="shared" ca="1" si="57"/>
        <v>599.71955665851033</v>
      </c>
      <c r="AB122" s="231">
        <f t="shared" ca="1" si="88"/>
        <v>23377.851242251356</v>
      </c>
      <c r="AC122" s="231">
        <f t="shared" ca="1" si="89"/>
        <v>125775.12719765046</v>
      </c>
      <c r="AD122" s="231">
        <f t="shared" ca="1" si="90"/>
        <v>4367.191916585085</v>
      </c>
      <c r="AE122" s="231">
        <f t="shared" ca="1" si="58"/>
        <v>49741.361919776966</v>
      </c>
      <c r="AF122" s="231">
        <f t="shared" ca="1" si="59"/>
        <v>203861.2518329224</v>
      </c>
      <c r="AG122" s="232">
        <f t="shared" ca="1" si="60"/>
        <v>877923.62465989962</v>
      </c>
      <c r="AH122" s="244">
        <f t="shared" ca="1" si="91"/>
        <v>3.2846509310341578</v>
      </c>
      <c r="AI122" s="243">
        <f t="shared" ca="1" si="92"/>
        <v>7.1121057748310905</v>
      </c>
      <c r="AJ122" s="242">
        <f t="shared" ca="1" si="93"/>
        <v>10.396756705865249</v>
      </c>
      <c r="AK122" s="241">
        <f t="shared" ca="1" si="94"/>
        <v>2.3649486703445937</v>
      </c>
      <c r="AL122" s="243">
        <f t="shared" ca="1" si="95"/>
        <v>3.1506628582501732</v>
      </c>
      <c r="AM122" s="243"/>
      <c r="AN122" s="242">
        <f t="shared" ca="1" si="61"/>
        <v>5.5156115285947669</v>
      </c>
      <c r="AO122" s="224"/>
      <c r="AP122" s="235">
        <f t="shared" si="96"/>
        <v>8.9230769230769234</v>
      </c>
      <c r="AQ122" s="235">
        <f t="shared" si="62"/>
        <v>0.76816135814202346</v>
      </c>
      <c r="AR122" s="235">
        <f t="shared" si="63"/>
        <v>0.87559446515184058</v>
      </c>
      <c r="AT122" s="230">
        <f t="shared" ca="1" si="64"/>
        <v>495686.77092546044</v>
      </c>
      <c r="AU122" s="231">
        <f t="shared" ca="1" si="65"/>
        <v>3086.0539697322347</v>
      </c>
      <c r="AV122" s="231">
        <f t="shared" ca="1" si="97"/>
        <v>5071.8144772114501</v>
      </c>
      <c r="AW122" s="231"/>
      <c r="AX122" s="231">
        <f t="shared" ca="1" si="98"/>
        <v>12394.691920712699</v>
      </c>
      <c r="AY122" s="231">
        <f t="shared" ca="1" si="99"/>
        <v>1549.3364900890874</v>
      </c>
      <c r="AZ122" s="231"/>
      <c r="BA122" s="232">
        <f t="shared" ca="1" si="66"/>
        <v>517788.66778320586</v>
      </c>
      <c r="BB122" s="231">
        <f t="shared" ca="1" si="67"/>
        <v>460.68138914713347</v>
      </c>
      <c r="BC122" s="231">
        <f t="shared" ca="1" si="100"/>
        <v>17957.961960689991</v>
      </c>
      <c r="BD122" s="231">
        <f t="shared" ca="1" si="101"/>
        <v>96615.592528632929</v>
      </c>
      <c r="BE122" s="231">
        <f t="shared" ca="1" si="102"/>
        <v>3354.7080739108656</v>
      </c>
      <c r="BF122" s="231">
        <f t="shared" ca="1" si="68"/>
        <v>38209.392128129803</v>
      </c>
      <c r="BG122" s="231">
        <f t="shared" ca="1" si="69"/>
        <v>156598.33608051075</v>
      </c>
      <c r="BH122" s="232">
        <f t="shared" ca="1" si="70"/>
        <v>674387.0038637165</v>
      </c>
      <c r="BI122" s="244">
        <f t="shared" ca="1" si="103"/>
        <v>2.8760221751693487</v>
      </c>
      <c r="BJ122" s="243">
        <f t="shared" ca="1" si="104"/>
        <v>6.2273204520165457</v>
      </c>
      <c r="BK122" s="242">
        <f t="shared" ca="1" si="105"/>
        <v>9.1033426271858939</v>
      </c>
      <c r="BL122" s="241">
        <f t="shared" ca="1" si="106"/>
        <v>2.0707359661219309</v>
      </c>
      <c r="BM122" s="243">
        <f t="shared" ca="1" si="107"/>
        <v>2.7587029602433297</v>
      </c>
      <c r="BN122" s="243">
        <f t="shared" si="71"/>
        <v>0</v>
      </c>
      <c r="BO122" s="242">
        <f t="shared" ca="1" si="72"/>
        <v>4.8294389263652606</v>
      </c>
      <c r="BP122" s="67"/>
      <c r="BQ122" s="67"/>
      <c r="BR122" s="67"/>
      <c r="BS122" s="67"/>
      <c r="BT122" s="67"/>
      <c r="BU122" s="67"/>
      <c r="BV122" s="67"/>
      <c r="BW122" s="67"/>
      <c r="BX122" s="67"/>
      <c r="BY122" s="67"/>
      <c r="BZ122" s="67"/>
      <c r="CA122" s="67"/>
      <c r="CB122" s="67"/>
    </row>
    <row r="123" spans="1:80" ht="12" customHeight="1" x14ac:dyDescent="0.15">
      <c r="A123" s="213">
        <f t="shared" si="73"/>
        <v>117</v>
      </c>
      <c r="B123" s="67">
        <f t="shared" si="74"/>
        <v>468</v>
      </c>
      <c r="C123" s="224">
        <f t="shared" si="75"/>
        <v>108</v>
      </c>
      <c r="D123" s="225">
        <f ca="1">IFERROR(OFFSET(extrapolation!P132,0,OS_dist_choice-1,1,1),0)</f>
        <v>0.13305111000850464</v>
      </c>
      <c r="E123" s="225">
        <f ca="1">IFERROR(OFFSET(extrapolation!D132,0,PFS_dist_choice-1,1,1),0)</f>
        <v>4.155175527183963E-2</v>
      </c>
      <c r="F123" s="214"/>
      <c r="G123" s="226">
        <f t="shared" ca="1" si="76"/>
        <v>41.551755271839632</v>
      </c>
      <c r="H123" s="224">
        <f t="shared" ca="1" si="77"/>
        <v>91.499354736665055</v>
      </c>
      <c r="I123" s="224">
        <f t="shared" ca="1" si="54"/>
        <v>866.94888999149532</v>
      </c>
      <c r="J123" s="227">
        <f t="shared" ca="1" si="55"/>
        <v>1000</v>
      </c>
      <c r="K123" s="238">
        <f t="shared" ca="1" si="78"/>
        <v>0.85667120301335586</v>
      </c>
      <c r="L123" s="239">
        <f t="shared" ca="1" si="79"/>
        <v>1.7027972491855508</v>
      </c>
      <c r="M123" s="238">
        <f t="shared" ca="1" si="80"/>
        <v>41.980090873346313</v>
      </c>
      <c r="N123" s="238">
        <f t="shared" ca="1" si="81"/>
        <v>91.92241775975117</v>
      </c>
      <c r="O123" s="239">
        <f t="shared" ca="1" si="82"/>
        <v>866.09749136690255</v>
      </c>
      <c r="P123" s="217"/>
      <c r="Q123" s="217"/>
      <c r="R123" s="224"/>
      <c r="S123" s="230">
        <f t="shared" ca="1" si="83"/>
        <v>632254.73097045079</v>
      </c>
      <c r="T123" s="231">
        <f t="shared" ca="1" si="84"/>
        <v>3936.3007787164765</v>
      </c>
      <c r="U123" s="231">
        <f t="shared" ca="1" si="85"/>
        <v>6468.9360964919242</v>
      </c>
      <c r="V123" s="231"/>
      <c r="W123" s="231">
        <f t="shared" ca="1" si="86"/>
        <v>15809.030541448248</v>
      </c>
      <c r="X123" s="231">
        <f t="shared" ca="1" si="87"/>
        <v>1976.128817681031</v>
      </c>
      <c r="Y123" s="231"/>
      <c r="Z123" s="232">
        <f t="shared" ca="1" si="56"/>
        <v>660445.12720478838</v>
      </c>
      <c r="AA123" s="231">
        <f t="shared" ca="1" si="57"/>
        <v>585.58863131818941</v>
      </c>
      <c r="AB123" s="231">
        <f t="shared" ca="1" si="88"/>
        <v>23163.043842971361</v>
      </c>
      <c r="AC123" s="231">
        <f t="shared" ca="1" si="89"/>
        <v>124619.4423706973</v>
      </c>
      <c r="AD123" s="231">
        <f t="shared" ca="1" si="90"/>
        <v>4327.0639712047669</v>
      </c>
      <c r="AE123" s="231">
        <f t="shared" ca="1" si="58"/>
        <v>48786.026473455888</v>
      </c>
      <c r="AF123" s="231">
        <f t="shared" ca="1" si="59"/>
        <v>201481.1652896475</v>
      </c>
      <c r="AG123" s="232">
        <f t="shared" ca="1" si="60"/>
        <v>861926.29249443591</v>
      </c>
      <c r="AH123" s="244">
        <f t="shared" ca="1" si="91"/>
        <v>3.218186295561114</v>
      </c>
      <c r="AI123" s="243">
        <f t="shared" ca="1" si="92"/>
        <v>7.0467561869213764</v>
      </c>
      <c r="AJ123" s="242">
        <f t="shared" ca="1" si="93"/>
        <v>10.264942482482491</v>
      </c>
      <c r="AK123" s="241">
        <f t="shared" ca="1" si="94"/>
        <v>2.317094132804002</v>
      </c>
      <c r="AL123" s="243">
        <f t="shared" ca="1" si="95"/>
        <v>3.1217129908061696</v>
      </c>
      <c r="AM123" s="243"/>
      <c r="AN123" s="242">
        <f t="shared" ca="1" si="61"/>
        <v>5.4388071236101716</v>
      </c>
      <c r="AO123" s="224"/>
      <c r="AP123" s="235">
        <f t="shared" si="96"/>
        <v>9</v>
      </c>
      <c r="AQ123" s="235">
        <f t="shared" si="62"/>
        <v>0.76641673234362695</v>
      </c>
      <c r="AR123" s="235">
        <f t="shared" si="63"/>
        <v>0.87459224019801729</v>
      </c>
      <c r="AT123" s="230">
        <f t="shared" ca="1" si="64"/>
        <v>484570.60491917183</v>
      </c>
      <c r="AU123" s="231">
        <f t="shared" ca="1" si="65"/>
        <v>3016.846780345556</v>
      </c>
      <c r="AV123" s="231">
        <f t="shared" ca="1" si="97"/>
        <v>4957.9008648130784</v>
      </c>
      <c r="AW123" s="231"/>
      <c r="AX123" s="231">
        <f t="shared" ca="1" si="98"/>
        <v>12116.305529097366</v>
      </c>
      <c r="AY123" s="231">
        <f t="shared" ca="1" si="99"/>
        <v>1514.5381911371708</v>
      </c>
      <c r="AZ123" s="231"/>
      <c r="BA123" s="232">
        <f t="shared" ca="1" si="66"/>
        <v>506176.19628456497</v>
      </c>
      <c r="BB123" s="231">
        <f t="shared" ca="1" si="67"/>
        <v>448.80492531246364</v>
      </c>
      <c r="BC123" s="231">
        <f t="shared" ca="1" si="100"/>
        <v>17752.544373262277</v>
      </c>
      <c r="BD123" s="231">
        <f t="shared" ca="1" si="101"/>
        <v>95510.425808234751</v>
      </c>
      <c r="BE123" s="231">
        <f t="shared" ca="1" si="102"/>
        <v>3316.3342294525955</v>
      </c>
      <c r="BF123" s="231">
        <f t="shared" ca="1" si="68"/>
        <v>37390.426993815738</v>
      </c>
      <c r="BG123" s="231">
        <f t="shared" ca="1" si="69"/>
        <v>154418.53633007783</v>
      </c>
      <c r="BH123" s="232">
        <f t="shared" ca="1" si="70"/>
        <v>660594.73261464282</v>
      </c>
      <c r="BI123" s="244">
        <f t="shared" ca="1" si="103"/>
        <v>2.8146007616093534</v>
      </c>
      <c r="BJ123" s="243">
        <f t="shared" ca="1" si="104"/>
        <v>6.1630382796488048</v>
      </c>
      <c r="BK123" s="242">
        <f t="shared" ca="1" si="105"/>
        <v>8.9776390412581577</v>
      </c>
      <c r="BL123" s="241">
        <f t="shared" ca="1" si="106"/>
        <v>2.0265125483587343</v>
      </c>
      <c r="BM123" s="243">
        <f t="shared" ca="1" si="107"/>
        <v>2.7302259578844206</v>
      </c>
      <c r="BN123" s="243">
        <f t="shared" si="71"/>
        <v>0</v>
      </c>
      <c r="BO123" s="242">
        <f t="shared" ca="1" si="72"/>
        <v>4.7567385062431544</v>
      </c>
      <c r="BP123" s="67"/>
      <c r="BQ123" s="67"/>
      <c r="BR123" s="67"/>
      <c r="BS123" s="67"/>
      <c r="BT123" s="67"/>
      <c r="BU123" s="67"/>
      <c r="BV123" s="67"/>
      <c r="BW123" s="67"/>
      <c r="BX123" s="67"/>
      <c r="BY123" s="67"/>
      <c r="BZ123" s="67"/>
      <c r="CA123" s="67"/>
      <c r="CB123" s="67"/>
    </row>
    <row r="124" spans="1:80" ht="12" customHeight="1" x14ac:dyDescent="0.15">
      <c r="A124" s="213">
        <f t="shared" si="73"/>
        <v>118</v>
      </c>
      <c r="B124" s="67">
        <f t="shared" si="74"/>
        <v>472</v>
      </c>
      <c r="C124" s="224">
        <f t="shared" si="75"/>
        <v>108.92307692307692</v>
      </c>
      <c r="D124" s="225">
        <f ca="1">IFERROR(OFFSET(extrapolation!P133,0,OS_dist_choice-1,1,1),0)</f>
        <v>0.13138082310275312</v>
      </c>
      <c r="E124" s="225">
        <f ca="1">IFERROR(OFFSET(extrapolation!D133,0,PFS_dist_choice-1,1,1),0)</f>
        <v>4.0715192480969775E-2</v>
      </c>
      <c r="F124" s="214"/>
      <c r="G124" s="226">
        <f t="shared" ca="1" si="76"/>
        <v>40.715192480969776</v>
      </c>
      <c r="H124" s="224">
        <f t="shared" ca="1" si="77"/>
        <v>90.665630621783293</v>
      </c>
      <c r="I124" s="224">
        <f t="shared" ca="1" si="54"/>
        <v>868.61917689724692</v>
      </c>
      <c r="J124" s="227">
        <f t="shared" ca="1" si="55"/>
        <v>1000</v>
      </c>
      <c r="K124" s="238">
        <f t="shared" ca="1" si="78"/>
        <v>0.83656279086985563</v>
      </c>
      <c r="L124" s="239">
        <f t="shared" ca="1" si="79"/>
        <v>1.6702869057515954</v>
      </c>
      <c r="M124" s="238">
        <f t="shared" ca="1" si="80"/>
        <v>41.133473876404707</v>
      </c>
      <c r="N124" s="238">
        <f t="shared" ca="1" si="81"/>
        <v>91.082492679224174</v>
      </c>
      <c r="O124" s="239">
        <f t="shared" ca="1" si="82"/>
        <v>867.78403344437106</v>
      </c>
      <c r="P124" s="217"/>
      <c r="Q124" s="217"/>
      <c r="R124" s="224"/>
      <c r="S124" s="230">
        <f t="shared" ca="1" si="83"/>
        <v>619525.52666076506</v>
      </c>
      <c r="T124" s="231">
        <f t="shared" ca="1" si="84"/>
        <v>3857.0511117986043</v>
      </c>
      <c r="U124" s="231">
        <f t="shared" ca="1" si="85"/>
        <v>6338.4763681425411</v>
      </c>
      <c r="V124" s="231"/>
      <c r="W124" s="231">
        <f t="shared" ca="1" si="86"/>
        <v>15490.208126271991</v>
      </c>
      <c r="X124" s="231">
        <f t="shared" ca="1" si="87"/>
        <v>1936.2760157839989</v>
      </c>
      <c r="Y124" s="231"/>
      <c r="Z124" s="232">
        <f t="shared" ca="1" si="56"/>
        <v>647147.53828276217</v>
      </c>
      <c r="AA124" s="231">
        <f t="shared" ca="1" si="57"/>
        <v>571.84326728158499</v>
      </c>
      <c r="AB124" s="231">
        <f t="shared" ca="1" si="88"/>
        <v>22951.395564573089</v>
      </c>
      <c r="AC124" s="231">
        <f t="shared" ca="1" si="89"/>
        <v>123480.75392320665</v>
      </c>
      <c r="AD124" s="231">
        <f t="shared" ca="1" si="90"/>
        <v>4287.5261778891199</v>
      </c>
      <c r="AE124" s="231">
        <f t="shared" ca="1" si="58"/>
        <v>47854.588231945512</v>
      </c>
      <c r="AF124" s="231">
        <f t="shared" ca="1" si="59"/>
        <v>199146.10716489592</v>
      </c>
      <c r="AG124" s="232">
        <f t="shared" ca="1" si="60"/>
        <v>846293.64544765814</v>
      </c>
      <c r="AH124" s="244">
        <f t="shared" ca="1" si="91"/>
        <v>3.153284787239786</v>
      </c>
      <c r="AI124" s="243">
        <f t="shared" ca="1" si="92"/>
        <v>6.9823676797214969</v>
      </c>
      <c r="AJ124" s="242">
        <f t="shared" ca="1" si="93"/>
        <v>10.135652466961282</v>
      </c>
      <c r="AK124" s="241">
        <f t="shared" ca="1" si="94"/>
        <v>2.2703650468126457</v>
      </c>
      <c r="AL124" s="243">
        <f t="shared" ca="1" si="95"/>
        <v>3.0931888821166234</v>
      </c>
      <c r="AM124" s="243"/>
      <c r="AN124" s="242">
        <f t="shared" ca="1" si="61"/>
        <v>5.3635539289292691</v>
      </c>
      <c r="AO124" s="224"/>
      <c r="AP124" s="235">
        <f t="shared" si="96"/>
        <v>9.0769230769230766</v>
      </c>
      <c r="AQ124" s="235">
        <f t="shared" si="62"/>
        <v>0.76467606888874551</v>
      </c>
      <c r="AR124" s="235">
        <f t="shared" si="63"/>
        <v>0.87359116241322898</v>
      </c>
      <c r="AT124" s="230">
        <f t="shared" ca="1" si="64"/>
        <v>473736.34430318355</v>
      </c>
      <c r="AU124" s="231">
        <f t="shared" ca="1" si="65"/>
        <v>2949.3946816731218</v>
      </c>
      <c r="AV124" s="231">
        <f t="shared" ca="1" si="97"/>
        <v>4846.8811919354512</v>
      </c>
      <c r="AW124" s="231"/>
      <c r="AX124" s="231">
        <f t="shared" ca="1" si="98"/>
        <v>11844.991456266167</v>
      </c>
      <c r="AY124" s="231">
        <f t="shared" ca="1" si="99"/>
        <v>1480.6239320332709</v>
      </c>
      <c r="AZ124" s="231"/>
      <c r="BA124" s="232">
        <f t="shared" ca="1" si="66"/>
        <v>494858.23556509154</v>
      </c>
      <c r="BB124" s="231">
        <f t="shared" ca="1" si="67"/>
        <v>437.27486164537856</v>
      </c>
      <c r="BC124" s="231">
        <f t="shared" ca="1" si="100"/>
        <v>17550.38293582834</v>
      </c>
      <c r="BD124" s="231">
        <f t="shared" ca="1" si="101"/>
        <v>94422.777493416201</v>
      </c>
      <c r="BE124" s="231">
        <f t="shared" ca="1" si="102"/>
        <v>3278.5686629658403</v>
      </c>
      <c r="BF124" s="231">
        <f t="shared" ca="1" si="68"/>
        <v>36593.258407493719</v>
      </c>
      <c r="BG124" s="231">
        <f t="shared" ca="1" si="69"/>
        <v>152282.26236134945</v>
      </c>
      <c r="BH124" s="232">
        <f t="shared" ca="1" si="70"/>
        <v>647140.49792644102</v>
      </c>
      <c r="BI124" s="244">
        <f t="shared" ca="1" si="103"/>
        <v>2.7546817227047562</v>
      </c>
      <c r="BJ124" s="243">
        <f t="shared" ca="1" si="104"/>
        <v>6.0997346977244629</v>
      </c>
      <c r="BK124" s="242">
        <f t="shared" ca="1" si="105"/>
        <v>8.8544164204292191</v>
      </c>
      <c r="BL124" s="241">
        <f t="shared" ca="1" si="106"/>
        <v>1.9833708403474242</v>
      </c>
      <c r="BM124" s="243">
        <f t="shared" ca="1" si="107"/>
        <v>2.7021824710919371</v>
      </c>
      <c r="BN124" s="243">
        <f t="shared" si="71"/>
        <v>0</v>
      </c>
      <c r="BO124" s="242">
        <f t="shared" ca="1" si="72"/>
        <v>4.6855533114393619</v>
      </c>
      <c r="BP124" s="67"/>
      <c r="BQ124" s="67"/>
      <c r="BR124" s="67"/>
      <c r="BS124" s="67"/>
      <c r="BT124" s="67"/>
      <c r="BU124" s="67"/>
      <c r="BV124" s="67"/>
      <c r="BW124" s="67"/>
      <c r="BX124" s="67"/>
      <c r="BY124" s="67"/>
      <c r="BZ124" s="67"/>
      <c r="CA124" s="67"/>
      <c r="CB124" s="67"/>
    </row>
    <row r="125" spans="1:80" ht="12" customHeight="1" x14ac:dyDescent="0.15">
      <c r="A125" s="213">
        <f t="shared" si="73"/>
        <v>119</v>
      </c>
      <c r="B125" s="67">
        <f t="shared" si="74"/>
        <v>476</v>
      </c>
      <c r="C125" s="224">
        <f t="shared" si="75"/>
        <v>109.84615384615384</v>
      </c>
      <c r="D125" s="225">
        <f ca="1">IFERROR(OFFSET(extrapolation!P134,0,OS_dist_choice-1,1,1),0)</f>
        <v>0.12974223751633218</v>
      </c>
      <c r="E125" s="225">
        <f ca="1">IFERROR(OFFSET(extrapolation!D134,0,PFS_dist_choice-1,1,1),0)</f>
        <v>3.9898191771643443E-2</v>
      </c>
      <c r="F125" s="214"/>
      <c r="G125" s="226">
        <f t="shared" ca="1" si="76"/>
        <v>39.89819177164344</v>
      </c>
      <c r="H125" s="224">
        <f t="shared" ca="1" si="77"/>
        <v>89.844045744688628</v>
      </c>
      <c r="I125" s="224">
        <f t="shared" ca="1" si="54"/>
        <v>870.25776248366788</v>
      </c>
      <c r="J125" s="227">
        <f t="shared" ca="1" si="55"/>
        <v>1000</v>
      </c>
      <c r="K125" s="238">
        <f t="shared" ca="1" si="78"/>
        <v>0.81700070932633651</v>
      </c>
      <c r="L125" s="239">
        <f t="shared" ca="1" si="79"/>
        <v>1.6385855864209589</v>
      </c>
      <c r="M125" s="238">
        <f t="shared" ca="1" si="80"/>
        <v>40.306692126306608</v>
      </c>
      <c r="N125" s="238">
        <f t="shared" ca="1" si="81"/>
        <v>90.254838183235961</v>
      </c>
      <c r="O125" s="239">
        <f t="shared" ca="1" si="82"/>
        <v>869.4384696904574</v>
      </c>
      <c r="P125" s="217"/>
      <c r="Q125" s="217"/>
      <c r="R125" s="224"/>
      <c r="S125" s="230">
        <f t="shared" ca="1" si="83"/>
        <v>607093.9805010804</v>
      </c>
      <c r="T125" s="231">
        <f t="shared" ca="1" si="84"/>
        <v>3779.654609357402</v>
      </c>
      <c r="U125" s="231">
        <f t="shared" ca="1" si="85"/>
        <v>6211.0731587672581</v>
      </c>
      <c r="V125" s="231"/>
      <c r="W125" s="231">
        <f t="shared" ca="1" si="86"/>
        <v>15178.855347693048</v>
      </c>
      <c r="X125" s="231">
        <f t="shared" ca="1" si="87"/>
        <v>1897.356918461631</v>
      </c>
      <c r="Y125" s="231"/>
      <c r="Z125" s="232">
        <f t="shared" ca="1" si="56"/>
        <v>634160.92053535976</v>
      </c>
      <c r="AA125" s="231">
        <f t="shared" ca="1" si="57"/>
        <v>558.47135456115052</v>
      </c>
      <c r="AB125" s="231">
        <f t="shared" ca="1" si="88"/>
        <v>22742.839285869533</v>
      </c>
      <c r="AC125" s="231">
        <f t="shared" ca="1" si="89"/>
        <v>122358.70073662464</v>
      </c>
      <c r="AD125" s="231">
        <f t="shared" ca="1" si="90"/>
        <v>4248.5659977994665</v>
      </c>
      <c r="AE125" s="231">
        <f t="shared" ca="1" si="58"/>
        <v>46946.328951606854</v>
      </c>
      <c r="AF125" s="231">
        <f t="shared" ca="1" si="59"/>
        <v>196854.90632646164</v>
      </c>
      <c r="AG125" s="232">
        <f t="shared" ca="1" si="60"/>
        <v>831015.82686182135</v>
      </c>
      <c r="AH125" s="244">
        <f t="shared" ca="1" si="91"/>
        <v>3.089903845411595</v>
      </c>
      <c r="AI125" s="243">
        <f t="shared" ca="1" si="92"/>
        <v>6.9189198333486841</v>
      </c>
      <c r="AJ125" s="242">
        <f t="shared" ca="1" si="93"/>
        <v>10.00882367876028</v>
      </c>
      <c r="AK125" s="241">
        <f t="shared" ca="1" si="94"/>
        <v>2.2247307686963484</v>
      </c>
      <c r="AL125" s="243">
        <f t="shared" ca="1" si="95"/>
        <v>3.065081486173467</v>
      </c>
      <c r="AM125" s="243"/>
      <c r="AN125" s="242">
        <f t="shared" ca="1" si="61"/>
        <v>5.2898122548698154</v>
      </c>
      <c r="AO125" s="224"/>
      <c r="AP125" s="235">
        <f t="shared" si="96"/>
        <v>9.1538461538461533</v>
      </c>
      <c r="AQ125" s="235">
        <f t="shared" si="62"/>
        <v>0.76293935877822028</v>
      </c>
      <c r="AR125" s="235">
        <f t="shared" si="63"/>
        <v>0.87259123048440113</v>
      </c>
      <c r="AT125" s="230">
        <f t="shared" ca="1" si="64"/>
        <v>463175.89220161166</v>
      </c>
      <c r="AU125" s="231">
        <f t="shared" ca="1" si="65"/>
        <v>2883.647264066281</v>
      </c>
      <c r="AV125" s="231">
        <f t="shared" ca="1" si="97"/>
        <v>4738.6721730745066</v>
      </c>
      <c r="AW125" s="231"/>
      <c r="AX125" s="231">
        <f t="shared" ca="1" si="98"/>
        <v>11580.546165956293</v>
      </c>
      <c r="AY125" s="231">
        <f t="shared" ca="1" si="99"/>
        <v>1447.5682707445367</v>
      </c>
      <c r="AZ125" s="231"/>
      <c r="BA125" s="232">
        <f t="shared" ca="1" si="66"/>
        <v>483826.32607545331</v>
      </c>
      <c r="BB125" s="231">
        <f t="shared" ca="1" si="67"/>
        <v>426.07977714488828</v>
      </c>
      <c r="BC125" s="231">
        <f t="shared" ca="1" si="100"/>
        <v>17351.40722155742</v>
      </c>
      <c r="BD125" s="231">
        <f t="shared" ca="1" si="101"/>
        <v>93352.268680936555</v>
      </c>
      <c r="BE125" s="231">
        <f t="shared" ca="1" si="102"/>
        <v>3241.3982180880744</v>
      </c>
      <c r="BF125" s="231">
        <f t="shared" ca="1" si="68"/>
        <v>35817.202107330333</v>
      </c>
      <c r="BG125" s="231">
        <f t="shared" ca="1" si="69"/>
        <v>150188.35600505726</v>
      </c>
      <c r="BH125" s="232">
        <f t="shared" ca="1" si="70"/>
        <v>634014.68208051054</v>
      </c>
      <c r="BI125" s="244">
        <f t="shared" ca="1" si="103"/>
        <v>2.6962229985461863</v>
      </c>
      <c r="BJ125" s="243">
        <f t="shared" ca="1" si="104"/>
        <v>6.0373887710046557</v>
      </c>
      <c r="BK125" s="242">
        <f t="shared" ca="1" si="105"/>
        <v>8.7336117695508424</v>
      </c>
      <c r="BL125" s="241">
        <f t="shared" ca="1" si="106"/>
        <v>1.9412805589532542</v>
      </c>
      <c r="BM125" s="243">
        <f t="shared" ca="1" si="107"/>
        <v>2.6745632255550627</v>
      </c>
      <c r="BN125" s="243">
        <f t="shared" si="71"/>
        <v>0</v>
      </c>
      <c r="BO125" s="242">
        <f t="shared" ca="1" si="72"/>
        <v>4.6158437845083169</v>
      </c>
      <c r="BP125" s="67"/>
      <c r="BQ125" s="67"/>
      <c r="BR125" s="67"/>
      <c r="BS125" s="67"/>
      <c r="BT125" s="67"/>
      <c r="BU125" s="67"/>
      <c r="BV125" s="67"/>
      <c r="BW125" s="67"/>
      <c r="BX125" s="67"/>
      <c r="BY125" s="67"/>
      <c r="BZ125" s="67"/>
      <c r="CA125" s="67"/>
      <c r="CB125" s="67"/>
    </row>
    <row r="126" spans="1:80" ht="12" customHeight="1" x14ac:dyDescent="0.15">
      <c r="A126" s="213">
        <f t="shared" si="73"/>
        <v>120</v>
      </c>
      <c r="B126" s="67">
        <f t="shared" si="74"/>
        <v>480</v>
      </c>
      <c r="C126" s="224">
        <f t="shared" si="75"/>
        <v>110.76923076923076</v>
      </c>
      <c r="D126" s="225">
        <f ca="1">IFERROR(OFFSET(extrapolation!P135,0,OS_dist_choice-1,1,1),0)</f>
        <v>0.12813456843906601</v>
      </c>
      <c r="E126" s="225">
        <f ca="1">IFERROR(OFFSET(extrapolation!D135,0,PFS_dist_choice-1,1,1),0)</f>
        <v>3.9100223893468122E-2</v>
      </c>
      <c r="F126" s="214"/>
      <c r="G126" s="226">
        <f t="shared" ca="1" si="76"/>
        <v>39.100223893468126</v>
      </c>
      <c r="H126" s="224">
        <f t="shared" ca="1" si="77"/>
        <v>89.034344545597833</v>
      </c>
      <c r="I126" s="224">
        <f t="shared" ca="1" si="54"/>
        <v>871.86543156093398</v>
      </c>
      <c r="J126" s="227">
        <f t="shared" ca="1" si="55"/>
        <v>1000</v>
      </c>
      <c r="K126" s="238">
        <f t="shared" ca="1" si="78"/>
        <v>0.79796787817531367</v>
      </c>
      <c r="L126" s="239">
        <f t="shared" ca="1" si="79"/>
        <v>1.6076690772661095</v>
      </c>
      <c r="M126" s="238">
        <f t="shared" ca="1" si="80"/>
        <v>39.499207832555783</v>
      </c>
      <c r="N126" s="238">
        <f t="shared" ca="1" si="81"/>
        <v>89.439195145143231</v>
      </c>
      <c r="O126" s="239">
        <f t="shared" ca="1" si="82"/>
        <v>871.06159702230093</v>
      </c>
      <c r="P126" s="217"/>
      <c r="Q126" s="217"/>
      <c r="R126" s="224"/>
      <c r="S126" s="230">
        <f t="shared" ca="1" si="83"/>
        <v>594952.0393763762</v>
      </c>
      <c r="T126" s="231">
        <f t="shared" ca="1" si="84"/>
        <v>3704.0611341912409</v>
      </c>
      <c r="U126" s="231">
        <f t="shared" ca="1" si="85"/>
        <v>6086.6435973602938</v>
      </c>
      <c r="V126" s="231"/>
      <c r="W126" s="231">
        <f t="shared" ca="1" si="86"/>
        <v>14874.769682415186</v>
      </c>
      <c r="X126" s="231">
        <f t="shared" ca="1" si="87"/>
        <v>1859.3462103018983</v>
      </c>
      <c r="Y126" s="231"/>
      <c r="Z126" s="232">
        <f t="shared" ca="1" si="56"/>
        <v>621476.86000064481</v>
      </c>
      <c r="AA126" s="231">
        <f t="shared" ca="1" si="57"/>
        <v>545.461217761135</v>
      </c>
      <c r="AB126" s="231">
        <f t="shared" ca="1" si="88"/>
        <v>22537.309710908456</v>
      </c>
      <c r="AC126" s="231">
        <f t="shared" ca="1" si="89"/>
        <v>121252.93151233904</v>
      </c>
      <c r="AD126" s="231">
        <f t="shared" ca="1" si="90"/>
        <v>4210.1712330673272</v>
      </c>
      <c r="AE126" s="231">
        <f t="shared" ca="1" si="58"/>
        <v>46060.554890827312</v>
      </c>
      <c r="AF126" s="231">
        <f t="shared" ca="1" si="59"/>
        <v>194606.42856490327</v>
      </c>
      <c r="AG126" s="232">
        <f t="shared" ca="1" si="60"/>
        <v>816083.28856554814</v>
      </c>
      <c r="AH126" s="244">
        <f t="shared" ca="1" si="91"/>
        <v>3.0280022431528049</v>
      </c>
      <c r="AI126" s="243">
        <f t="shared" ca="1" si="92"/>
        <v>6.856392783200576</v>
      </c>
      <c r="AJ126" s="242">
        <f t="shared" ca="1" si="93"/>
        <v>9.8843950263533813</v>
      </c>
      <c r="AK126" s="241">
        <f t="shared" ca="1" si="94"/>
        <v>2.1801616150700194</v>
      </c>
      <c r="AL126" s="243">
        <f t="shared" ca="1" si="95"/>
        <v>3.0373820029578553</v>
      </c>
      <c r="AM126" s="243"/>
      <c r="AN126" s="242">
        <f t="shared" ca="1" si="61"/>
        <v>5.2175436180278751</v>
      </c>
      <c r="AO126" s="224"/>
      <c r="AP126" s="235">
        <f t="shared" si="96"/>
        <v>9.2307692307692299</v>
      </c>
      <c r="AQ126" s="235">
        <f t="shared" si="62"/>
        <v>0.76120659303333005</v>
      </c>
      <c r="AR126" s="235">
        <f t="shared" si="63"/>
        <v>0.87159244309996131</v>
      </c>
      <c r="AT126" s="230">
        <f t="shared" ca="1" si="64"/>
        <v>452881.41491192294</v>
      </c>
      <c r="AU126" s="231">
        <f t="shared" ca="1" si="65"/>
        <v>2819.555756344887</v>
      </c>
      <c r="AV126" s="231">
        <f t="shared" ca="1" si="97"/>
        <v>4633.1932357547612</v>
      </c>
      <c r="AW126" s="231"/>
      <c r="AX126" s="231">
        <f t="shared" ca="1" si="98"/>
        <v>11322.772752106734</v>
      </c>
      <c r="AY126" s="231">
        <f t="shared" ca="1" si="99"/>
        <v>1415.3465940133417</v>
      </c>
      <c r="AZ126" s="231"/>
      <c r="BA126" s="232">
        <f t="shared" ca="1" si="66"/>
        <v>473072.28325014265</v>
      </c>
      <c r="BB126" s="231">
        <f t="shared" ca="1" si="67"/>
        <v>415.20867520376493</v>
      </c>
      <c r="BC126" s="231">
        <f t="shared" ca="1" si="100"/>
        <v>17155.548741177608</v>
      </c>
      <c r="BD126" s="231">
        <f t="shared" ca="1" si="101"/>
        <v>92298.530891811301</v>
      </c>
      <c r="BE126" s="231">
        <f t="shared" ca="1" si="102"/>
        <v>3204.8101004101145</v>
      </c>
      <c r="BF126" s="231">
        <f t="shared" ca="1" si="68"/>
        <v>35061.598061671342</v>
      </c>
      <c r="BG126" s="231">
        <f t="shared" ca="1" si="69"/>
        <v>148135.69647027412</v>
      </c>
      <c r="BH126" s="232">
        <f t="shared" ca="1" si="70"/>
        <v>621207.97972041683</v>
      </c>
      <c r="BI126" s="244">
        <f t="shared" ca="1" si="103"/>
        <v>2.6391838728217163</v>
      </c>
      <c r="BJ126" s="243">
        <f t="shared" ca="1" si="104"/>
        <v>5.9759801367627334</v>
      </c>
      <c r="BK126" s="242">
        <f t="shared" ca="1" si="105"/>
        <v>8.6151640095844506</v>
      </c>
      <c r="BL126" s="241">
        <f t="shared" ca="1" si="106"/>
        <v>1.9002123884316355</v>
      </c>
      <c r="BM126" s="243">
        <f t="shared" ca="1" si="107"/>
        <v>2.6473592005858912</v>
      </c>
      <c r="BN126" s="243">
        <f t="shared" si="71"/>
        <v>0</v>
      </c>
      <c r="BO126" s="242">
        <f t="shared" ca="1" si="72"/>
        <v>4.5475715890175268</v>
      </c>
      <c r="BP126" s="67"/>
      <c r="BQ126" s="67"/>
      <c r="BR126" s="67"/>
      <c r="BS126" s="67"/>
      <c r="BT126" s="67"/>
      <c r="BU126" s="67"/>
      <c r="BV126" s="67"/>
      <c r="BW126" s="67"/>
      <c r="BX126" s="67"/>
      <c r="BY126" s="67"/>
      <c r="BZ126" s="67"/>
      <c r="CA126" s="67"/>
      <c r="CB126" s="67"/>
    </row>
    <row r="127" spans="1:80" ht="12" customHeight="1" x14ac:dyDescent="0.15">
      <c r="A127" s="213">
        <f t="shared" si="73"/>
        <v>121</v>
      </c>
      <c r="B127" s="67">
        <f t="shared" si="74"/>
        <v>484</v>
      </c>
      <c r="C127" s="224">
        <f t="shared" si="75"/>
        <v>111.69230769230771</v>
      </c>
      <c r="D127" s="225">
        <f ca="1">IFERROR(OFFSET(extrapolation!P136,0,OS_dist_choice-1,1,1),0)</f>
        <v>0.12655705445090781</v>
      </c>
      <c r="E127" s="225">
        <f ca="1">IFERROR(OFFSET(extrapolation!D136,0,PFS_dist_choice-1,1,1),0)</f>
        <v>3.8320776066336881E-2</v>
      </c>
      <c r="F127" s="214"/>
      <c r="G127" s="226">
        <f t="shared" ca="1" si="76"/>
        <v>38.320776066336883</v>
      </c>
      <c r="H127" s="224">
        <f t="shared" ca="1" si="77"/>
        <v>88.236278384570937</v>
      </c>
      <c r="I127" s="224">
        <f t="shared" ca="1" si="54"/>
        <v>873.4429455490922</v>
      </c>
      <c r="J127" s="227">
        <f t="shared" ca="1" si="55"/>
        <v>1000</v>
      </c>
      <c r="K127" s="238">
        <f t="shared" ca="1" si="78"/>
        <v>0.77944782713124283</v>
      </c>
      <c r="L127" s="239">
        <f t="shared" ca="1" si="79"/>
        <v>1.5775139881582163</v>
      </c>
      <c r="M127" s="238">
        <f t="shared" ca="1" si="80"/>
        <v>38.710499979902508</v>
      </c>
      <c r="N127" s="238">
        <f t="shared" ca="1" si="81"/>
        <v>88.635311465084385</v>
      </c>
      <c r="O127" s="239">
        <f t="shared" ca="1" si="82"/>
        <v>872.65418855501309</v>
      </c>
      <c r="P127" s="217"/>
      <c r="Q127" s="217"/>
      <c r="R127" s="224"/>
      <c r="S127" s="230">
        <f t="shared" ca="1" si="83"/>
        <v>583091.90078477375</v>
      </c>
      <c r="T127" s="231">
        <f t="shared" ca="1" si="84"/>
        <v>3630.2221093694684</v>
      </c>
      <c r="U127" s="231">
        <f t="shared" ca="1" si="85"/>
        <v>5965.1073979030698</v>
      </c>
      <c r="V127" s="231"/>
      <c r="W127" s="231">
        <f t="shared" ca="1" si="86"/>
        <v>14577.754924431607</v>
      </c>
      <c r="X127" s="231">
        <f t="shared" ca="1" si="87"/>
        <v>1822.2193655539509</v>
      </c>
      <c r="Y127" s="231"/>
      <c r="Z127" s="232">
        <f t="shared" ca="1" si="56"/>
        <v>609087.20458203182</v>
      </c>
      <c r="AA127" s="231">
        <f t="shared" ca="1" si="57"/>
        <v>532.80159840578312</v>
      </c>
      <c r="AB127" s="231">
        <f t="shared" ca="1" si="88"/>
        <v>22334.743314379171</v>
      </c>
      <c r="AC127" s="231">
        <f t="shared" ca="1" si="89"/>
        <v>120163.10447796242</v>
      </c>
      <c r="AD127" s="231">
        <f t="shared" ca="1" si="90"/>
        <v>4172.3300165959172</v>
      </c>
      <c r="AE127" s="231">
        <f t="shared" ca="1" si="58"/>
        <v>45196.595910255346</v>
      </c>
      <c r="AF127" s="231">
        <f t="shared" ca="1" si="59"/>
        <v>192399.57531759865</v>
      </c>
      <c r="AG127" s="232">
        <f t="shared" ca="1" si="60"/>
        <v>801486.77989963046</v>
      </c>
      <c r="AH127" s="244">
        <f t="shared" ca="1" si="91"/>
        <v>2.9675400395270914</v>
      </c>
      <c r="AI127" s="243">
        <f t="shared" ca="1" si="92"/>
        <v>6.7947672033466464</v>
      </c>
      <c r="AJ127" s="242">
        <f t="shared" ca="1" si="93"/>
        <v>9.7623072428737387</v>
      </c>
      <c r="AK127" s="241">
        <f t="shared" ca="1" si="94"/>
        <v>2.1366288284595059</v>
      </c>
      <c r="AL127" s="243">
        <f t="shared" ca="1" si="95"/>
        <v>3.0100818710825643</v>
      </c>
      <c r="AM127" s="243"/>
      <c r="AN127" s="242">
        <f t="shared" ca="1" si="61"/>
        <v>5.1467106995420702</v>
      </c>
      <c r="AO127" s="224"/>
      <c r="AP127" s="235">
        <f t="shared" si="96"/>
        <v>9.3076923076923084</v>
      </c>
      <c r="AQ127" s="235">
        <f t="shared" si="62"/>
        <v>0.75947776269574607</v>
      </c>
      <c r="AR127" s="235">
        <f t="shared" si="63"/>
        <v>0.87059479894983827</v>
      </c>
      <c r="AT127" s="230">
        <f t="shared" ca="1" si="64"/>
        <v>442845.33225402993</v>
      </c>
      <c r="AU127" s="231">
        <f t="shared" ca="1" si="65"/>
        <v>2757.0729657125557</v>
      </c>
      <c r="AV127" s="231">
        <f t="shared" ca="1" si="97"/>
        <v>4530.366420799267</v>
      </c>
      <c r="AW127" s="231"/>
      <c r="AX127" s="231">
        <f t="shared" ca="1" si="98"/>
        <v>11071.480695134213</v>
      </c>
      <c r="AY127" s="231">
        <f t="shared" ca="1" si="99"/>
        <v>1383.9350868917766</v>
      </c>
      <c r="AZ127" s="231"/>
      <c r="BA127" s="232">
        <f t="shared" ca="1" si="66"/>
        <v>462588.18742256769</v>
      </c>
      <c r="BB127" s="231">
        <f t="shared" ca="1" si="67"/>
        <v>404.65096591794156</v>
      </c>
      <c r="BC127" s="231">
        <f t="shared" ca="1" si="100"/>
        <v>16962.740882788465</v>
      </c>
      <c r="BD127" s="231">
        <f t="shared" ca="1" si="101"/>
        <v>91261.205747498083</v>
      </c>
      <c r="BE127" s="231">
        <f t="shared" ca="1" si="102"/>
        <v>3168.7918662325724</v>
      </c>
      <c r="BF127" s="231">
        <f t="shared" ca="1" si="68"/>
        <v>34325.809543384436</v>
      </c>
      <c r="BG127" s="231">
        <f t="shared" ca="1" si="69"/>
        <v>146123.19900582152</v>
      </c>
      <c r="BH127" s="232">
        <f t="shared" ca="1" si="70"/>
        <v>608711.38642838923</v>
      </c>
      <c r="BI127" s="244">
        <f t="shared" ca="1" si="103"/>
        <v>2.5835249240876834</v>
      </c>
      <c r="BJ127" s="243">
        <f t="shared" ca="1" si="104"/>
        <v>5.9154889873085281</v>
      </c>
      <c r="BK127" s="242">
        <f t="shared" ca="1" si="105"/>
        <v>8.4990139113962133</v>
      </c>
      <c r="BL127" s="241">
        <f t="shared" ca="1" si="106"/>
        <v>1.8601379453431319</v>
      </c>
      <c r="BM127" s="243">
        <f t="shared" ca="1" si="107"/>
        <v>2.6205616213776781</v>
      </c>
      <c r="BN127" s="243">
        <f t="shared" si="71"/>
        <v>0</v>
      </c>
      <c r="BO127" s="242">
        <f t="shared" ca="1" si="72"/>
        <v>4.4806995667208103</v>
      </c>
      <c r="BP127" s="67"/>
      <c r="BQ127" s="67"/>
      <c r="BR127" s="67"/>
      <c r="BS127" s="67"/>
      <c r="BT127" s="67"/>
      <c r="BU127" s="67"/>
      <c r="BV127" s="67"/>
      <c r="BW127" s="67"/>
      <c r="BX127" s="67"/>
      <c r="BY127" s="67"/>
      <c r="BZ127" s="67"/>
      <c r="CA127" s="67"/>
      <c r="CB127" s="67"/>
    </row>
    <row r="128" spans="1:80" ht="12" customHeight="1" x14ac:dyDescent="0.15">
      <c r="A128" s="213">
        <f t="shared" si="73"/>
        <v>122</v>
      </c>
      <c r="B128" s="67">
        <f t="shared" si="74"/>
        <v>488</v>
      </c>
      <c r="C128" s="224">
        <f t="shared" si="75"/>
        <v>112.61538461538461</v>
      </c>
      <c r="D128" s="225">
        <f ca="1">IFERROR(OFFSET(extrapolation!P137,0,OS_dist_choice-1,1,1),0)</f>
        <v>0.12500895672839249</v>
      </c>
      <c r="E128" s="225">
        <f ca="1">IFERROR(OFFSET(extrapolation!D137,0,PFS_dist_choice-1,1,1),0)</f>
        <v>3.7559351395172635E-2</v>
      </c>
      <c r="F128" s="214"/>
      <c r="G128" s="226">
        <f t="shared" ca="1" si="76"/>
        <v>37.559351395172634</v>
      </c>
      <c r="H128" s="224">
        <f t="shared" ca="1" si="77"/>
        <v>87.449605333219893</v>
      </c>
      <c r="I128" s="224">
        <f t="shared" ca="1" si="54"/>
        <v>874.99104327160751</v>
      </c>
      <c r="J128" s="227">
        <f t="shared" ca="1" si="55"/>
        <v>1000</v>
      </c>
      <c r="K128" s="238">
        <f t="shared" ca="1" si="78"/>
        <v>0.76142467116424939</v>
      </c>
      <c r="L128" s="239">
        <f t="shared" ca="1" si="79"/>
        <v>1.5480977225153083</v>
      </c>
      <c r="M128" s="238">
        <f t="shared" ca="1" si="80"/>
        <v>37.940063730754758</v>
      </c>
      <c r="N128" s="238">
        <f t="shared" ca="1" si="81"/>
        <v>87.842941858895415</v>
      </c>
      <c r="O128" s="239">
        <f t="shared" ca="1" si="82"/>
        <v>874.2169944103498</v>
      </c>
      <c r="P128" s="217"/>
      <c r="Q128" s="217"/>
      <c r="R128" s="224"/>
      <c r="S128" s="230">
        <f t="shared" ca="1" si="83"/>
        <v>571506.00393224112</v>
      </c>
      <c r="T128" s="231">
        <f t="shared" ca="1" si="84"/>
        <v>3558.0904627896903</v>
      </c>
      <c r="U128" s="231">
        <f t="shared" ca="1" si="85"/>
        <v>5846.3867672785636</v>
      </c>
      <c r="V128" s="231"/>
      <c r="W128" s="231">
        <f t="shared" ca="1" si="86"/>
        <v>14287.620959982551</v>
      </c>
      <c r="X128" s="231">
        <f t="shared" ca="1" si="87"/>
        <v>1785.9526199978188</v>
      </c>
      <c r="Y128" s="231"/>
      <c r="Z128" s="232">
        <f t="shared" ca="1" si="56"/>
        <v>596984.05474228959</v>
      </c>
      <c r="AA128" s="231">
        <f t="shared" ca="1" si="57"/>
        <v>520.48163807838853</v>
      </c>
      <c r="AB128" s="231">
        <f t="shared" ca="1" si="88"/>
        <v>22135.078288422585</v>
      </c>
      <c r="AC128" s="231">
        <f t="shared" ca="1" si="89"/>
        <v>119088.88710116499</v>
      </c>
      <c r="AD128" s="231">
        <f t="shared" ca="1" si="90"/>
        <v>4135.0308021237843</v>
      </c>
      <c r="AE128" s="231">
        <f t="shared" ca="1" si="58"/>
        <v>44353.80460606952</v>
      </c>
      <c r="AF128" s="231">
        <f t="shared" ca="1" si="59"/>
        <v>190233.28243585926</v>
      </c>
      <c r="AG128" s="232">
        <f t="shared" ca="1" si="60"/>
        <v>787217.33717814879</v>
      </c>
      <c r="AH128" s="244">
        <f t="shared" ca="1" si="91"/>
        <v>2.9084785337744918</v>
      </c>
      <c r="AI128" s="243">
        <f t="shared" ca="1" si="92"/>
        <v>6.7340242903465342</v>
      </c>
      <c r="AJ128" s="242">
        <f t="shared" ca="1" si="93"/>
        <v>9.642502824121026</v>
      </c>
      <c r="AK128" s="241">
        <f t="shared" ca="1" si="94"/>
        <v>2.0941045443176343</v>
      </c>
      <c r="AL128" s="243">
        <f t="shared" ca="1" si="95"/>
        <v>2.9831727606235146</v>
      </c>
      <c r="AM128" s="243"/>
      <c r="AN128" s="242">
        <f t="shared" ca="1" si="61"/>
        <v>5.0772773049411484</v>
      </c>
      <c r="AO128" s="224"/>
      <c r="AP128" s="235">
        <f t="shared" si="96"/>
        <v>9.384615384615385</v>
      </c>
      <c r="AQ128" s="235">
        <f t="shared" si="62"/>
        <v>0.75775285882748511</v>
      </c>
      <c r="AR128" s="235">
        <f t="shared" si="63"/>
        <v>0.86959829672546063</v>
      </c>
      <c r="AT128" s="230">
        <f t="shared" ca="1" si="64"/>
        <v>433060.30831672763</v>
      </c>
      <c r="AU128" s="231">
        <f t="shared" ca="1" si="65"/>
        <v>2696.1532201456971</v>
      </c>
      <c r="AV128" s="231">
        <f t="shared" ca="1" si="97"/>
        <v>4430.1162867165103</v>
      </c>
      <c r="AW128" s="231"/>
      <c r="AX128" s="231">
        <f t="shared" ca="1" si="98"/>
        <v>10826.485628270275</v>
      </c>
      <c r="AY128" s="231">
        <f t="shared" ca="1" si="99"/>
        <v>1353.3107035337844</v>
      </c>
      <c r="AZ128" s="231"/>
      <c r="BA128" s="232">
        <f t="shared" ca="1" si="66"/>
        <v>452366.3741553938</v>
      </c>
      <c r="BB128" s="231">
        <f t="shared" ca="1" si="67"/>
        <v>394.39644922111137</v>
      </c>
      <c r="BC128" s="231">
        <f t="shared" ca="1" si="100"/>
        <v>16772.918853422409</v>
      </c>
      <c r="BD128" s="231">
        <f t="shared" ca="1" si="101"/>
        <v>90239.944655491388</v>
      </c>
      <c r="BE128" s="231">
        <f t="shared" ca="1" si="102"/>
        <v>3133.3314116490064</v>
      </c>
      <c r="BF128" s="231">
        <f t="shared" ca="1" si="68"/>
        <v>33609.222240124858</v>
      </c>
      <c r="BG128" s="231">
        <f t="shared" ca="1" si="69"/>
        <v>144149.81360990877</v>
      </c>
      <c r="BH128" s="232">
        <f t="shared" ca="1" si="70"/>
        <v>596516.18776530249</v>
      </c>
      <c r="BI128" s="244">
        <f t="shared" ca="1" si="103"/>
        <v>2.5292079790328632</v>
      </c>
      <c r="BJ128" s="243">
        <f t="shared" ca="1" si="104"/>
        <v>5.8558960529932245</v>
      </c>
      <c r="BK128" s="242">
        <f t="shared" ca="1" si="105"/>
        <v>8.3851040320260886</v>
      </c>
      <c r="BL128" s="241">
        <f t="shared" ca="1" si="106"/>
        <v>1.8210297449036617</v>
      </c>
      <c r="BM128" s="243">
        <f t="shared" ca="1" si="107"/>
        <v>2.5941619514759986</v>
      </c>
      <c r="BN128" s="243">
        <f t="shared" si="71"/>
        <v>0</v>
      </c>
      <c r="BO128" s="242">
        <f t="shared" ca="1" si="72"/>
        <v>4.4151916963796598</v>
      </c>
      <c r="BP128" s="67"/>
      <c r="BQ128" s="67"/>
      <c r="BR128" s="67"/>
      <c r="BS128" s="67"/>
      <c r="BT128" s="67"/>
      <c r="BU128" s="67"/>
      <c r="BV128" s="67"/>
      <c r="BW128" s="67"/>
      <c r="BX128" s="67"/>
      <c r="BY128" s="67"/>
      <c r="BZ128" s="67"/>
      <c r="CA128" s="67"/>
      <c r="CB128" s="67"/>
    </row>
    <row r="129" spans="1:80" ht="12" customHeight="1" x14ac:dyDescent="0.15">
      <c r="A129" s="213">
        <f t="shared" si="73"/>
        <v>123</v>
      </c>
      <c r="B129" s="67">
        <f t="shared" si="74"/>
        <v>492</v>
      </c>
      <c r="C129" s="224">
        <f t="shared" si="75"/>
        <v>113.53846153846155</v>
      </c>
      <c r="D129" s="225">
        <f ca="1">IFERROR(OFFSET(extrapolation!P138,0,OS_dist_choice-1,1,1),0)</f>
        <v>0.12348955828021833</v>
      </c>
      <c r="E129" s="225">
        <f ca="1">IFERROR(OFFSET(extrapolation!D138,0,PFS_dist_choice-1,1,1),0)</f>
        <v>3.681546830822402E-2</v>
      </c>
      <c r="F129" s="214"/>
      <c r="G129" s="226">
        <f t="shared" ca="1" si="76"/>
        <v>36.81546830822402</v>
      </c>
      <c r="H129" s="224">
        <f t="shared" ca="1" si="77"/>
        <v>86.674089971994363</v>
      </c>
      <c r="I129" s="224">
        <f t="shared" ca="1" si="54"/>
        <v>876.51044171978162</v>
      </c>
      <c r="J129" s="227">
        <f t="shared" ca="1" si="55"/>
        <v>1000</v>
      </c>
      <c r="K129" s="238">
        <f t="shared" ca="1" si="78"/>
        <v>0.74388308694861394</v>
      </c>
      <c r="L129" s="239">
        <f t="shared" ca="1" si="79"/>
        <v>1.5193984481741154</v>
      </c>
      <c r="M129" s="238">
        <f t="shared" ca="1" si="80"/>
        <v>37.187409851698327</v>
      </c>
      <c r="N129" s="238">
        <f t="shared" ca="1" si="81"/>
        <v>87.061847652607128</v>
      </c>
      <c r="O129" s="239">
        <f t="shared" ca="1" si="82"/>
        <v>875.75074249569457</v>
      </c>
      <c r="P129" s="217"/>
      <c r="Q129" s="217"/>
      <c r="R129" s="224"/>
      <c r="S129" s="230">
        <f t="shared" ca="1" si="83"/>
        <v>560187.02118565876</v>
      </c>
      <c r="T129" s="231">
        <f t="shared" ca="1" si="84"/>
        <v>3487.6205739661414</v>
      </c>
      <c r="U129" s="231">
        <f t="shared" ca="1" si="85"/>
        <v>5730.4063169007368</v>
      </c>
      <c r="V129" s="231"/>
      <c r="W129" s="231">
        <f t="shared" ca="1" si="86"/>
        <v>14004.183551591963</v>
      </c>
      <c r="X129" s="231">
        <f t="shared" ca="1" si="87"/>
        <v>1750.5229439489954</v>
      </c>
      <c r="Y129" s="231"/>
      <c r="Z129" s="232">
        <f t="shared" ca="1" si="56"/>
        <v>585159.75457206659</v>
      </c>
      <c r="AA129" s="231">
        <f t="shared" ca="1" si="57"/>
        <v>508.4908623223526</v>
      </c>
      <c r="AB129" s="231">
        <f t="shared" ca="1" si="88"/>
        <v>21938.254490847619</v>
      </c>
      <c r="AC129" s="231">
        <f t="shared" ca="1" si="89"/>
        <v>118029.95581107386</v>
      </c>
      <c r="AD129" s="231">
        <f t="shared" ca="1" si="90"/>
        <v>4098.2623545511751</v>
      </c>
      <c r="AE129" s="231">
        <f t="shared" ca="1" si="58"/>
        <v>43531.555475441615</v>
      </c>
      <c r="AF129" s="231">
        <f t="shared" ca="1" si="59"/>
        <v>188106.51899423663</v>
      </c>
      <c r="AG129" s="232">
        <f t="shared" ca="1" si="60"/>
        <v>773266.27356630319</v>
      </c>
      <c r="AH129" s="244">
        <f t="shared" ca="1" si="91"/>
        <v>2.8507802213485371</v>
      </c>
      <c r="AI129" s="243">
        <f t="shared" ca="1" si="92"/>
        <v>6.674145747496234</v>
      </c>
      <c r="AJ129" s="242">
        <f t="shared" ca="1" si="93"/>
        <v>9.5249259688447712</v>
      </c>
      <c r="AK129" s="241">
        <f t="shared" ca="1" si="94"/>
        <v>2.0525617593709469</v>
      </c>
      <c r="AL129" s="243">
        <f t="shared" ca="1" si="95"/>
        <v>2.9566465661408317</v>
      </c>
      <c r="AM129" s="243"/>
      <c r="AN129" s="242">
        <f t="shared" ca="1" si="61"/>
        <v>5.0092083255117785</v>
      </c>
      <c r="AO129" s="224"/>
      <c r="AP129" s="235">
        <f t="shared" si="96"/>
        <v>9.4615384615384617</v>
      </c>
      <c r="AQ129" s="235">
        <f t="shared" si="62"/>
        <v>0.75603187251086412</v>
      </c>
      <c r="AR129" s="235">
        <f t="shared" si="63"/>
        <v>0.86860293511975484</v>
      </c>
      <c r="AT129" s="230">
        <f t="shared" ca="1" si="64"/>
        <v>423519.2425832767</v>
      </c>
      <c r="AU129" s="231">
        <f t="shared" ca="1" si="65"/>
        <v>2636.7523131430366</v>
      </c>
      <c r="AV129" s="231">
        <f t="shared" ca="1" si="97"/>
        <v>4332.3698180145484</v>
      </c>
      <c r="AW129" s="231"/>
      <c r="AX129" s="231">
        <f t="shared" ca="1" si="98"/>
        <v>10587.609113495915</v>
      </c>
      <c r="AY129" s="231">
        <f t="shared" ca="1" si="99"/>
        <v>1323.4511391869894</v>
      </c>
      <c r="AZ129" s="231"/>
      <c r="BA129" s="232">
        <f t="shared" ca="1" si="66"/>
        <v>442399.4249671172</v>
      </c>
      <c r="BB129" s="231">
        <f t="shared" ca="1" si="67"/>
        <v>384.43529879623225</v>
      </c>
      <c r="BC129" s="231">
        <f t="shared" ca="1" si="100"/>
        <v>16586.0196223354</v>
      </c>
      <c r="BD129" s="231">
        <f t="shared" ca="1" si="101"/>
        <v>89234.408504220715</v>
      </c>
      <c r="BE129" s="231">
        <f t="shared" ca="1" si="102"/>
        <v>3098.4169619521081</v>
      </c>
      <c r="BF129" s="231">
        <f t="shared" ca="1" si="68"/>
        <v>32911.243399408682</v>
      </c>
      <c r="BG129" s="231">
        <f t="shared" ca="1" si="69"/>
        <v>142214.52378671314</v>
      </c>
      <c r="BH129" s="232">
        <f t="shared" ca="1" si="70"/>
        <v>584613.94875383028</v>
      </c>
      <c r="BI129" s="244">
        <f t="shared" ca="1" si="103"/>
        <v>2.4761960676446839</v>
      </c>
      <c r="BJ129" s="243">
        <f t="shared" ca="1" si="104"/>
        <v>5.7971825856922594</v>
      </c>
      <c r="BK129" s="242">
        <f t="shared" ca="1" si="105"/>
        <v>8.2733786533369429</v>
      </c>
      <c r="BL129" s="241">
        <f t="shared" ca="1" si="106"/>
        <v>1.7828611687041724</v>
      </c>
      <c r="BM129" s="243">
        <f t="shared" ca="1" si="107"/>
        <v>2.5681518854616709</v>
      </c>
      <c r="BN129" s="243">
        <f t="shared" si="71"/>
        <v>0</v>
      </c>
      <c r="BO129" s="242">
        <f t="shared" ca="1" si="72"/>
        <v>4.3510130541658434</v>
      </c>
      <c r="BP129" s="67"/>
      <c r="BQ129" s="67"/>
      <c r="BR129" s="67"/>
      <c r="BS129" s="67"/>
      <c r="BT129" s="67"/>
      <c r="BU129" s="67"/>
      <c r="BV129" s="67"/>
      <c r="BW129" s="67"/>
      <c r="BX129" s="67"/>
      <c r="BY129" s="67"/>
      <c r="BZ129" s="67"/>
      <c r="CA129" s="67"/>
      <c r="CB129" s="67"/>
    </row>
    <row r="130" spans="1:80" ht="12" customHeight="1" x14ac:dyDescent="0.15">
      <c r="A130" s="213">
        <f t="shared" si="73"/>
        <v>124</v>
      </c>
      <c r="B130" s="67">
        <f t="shared" si="74"/>
        <v>496</v>
      </c>
      <c r="C130" s="224">
        <f t="shared" si="75"/>
        <v>114.46153846153845</v>
      </c>
      <c r="D130" s="225">
        <f ca="1">IFERROR(OFFSET(extrapolation!P139,0,OS_dist_choice-1,1,1),0)</f>
        <v>0.12199816321087605</v>
      </c>
      <c r="E130" s="225">
        <f ca="1">IFERROR(OFFSET(extrapolation!D139,0,PFS_dist_choice-1,1,1),0)</f>
        <v>3.6088660017845386E-2</v>
      </c>
      <c r="F130" s="214"/>
      <c r="G130" s="226">
        <f t="shared" ca="1" si="76"/>
        <v>36.088660017845385</v>
      </c>
      <c r="H130" s="224">
        <f t="shared" ca="1" si="77"/>
        <v>85.909503193030673</v>
      </c>
      <c r="I130" s="224">
        <f t="shared" ca="1" si="54"/>
        <v>878.0018367891239</v>
      </c>
      <c r="J130" s="227">
        <f t="shared" ca="1" si="55"/>
        <v>1000</v>
      </c>
      <c r="K130" s="238">
        <f t="shared" ca="1" si="78"/>
        <v>0.72680829037863504</v>
      </c>
      <c r="L130" s="239">
        <f t="shared" ca="1" si="79"/>
        <v>1.4913950693422748</v>
      </c>
      <c r="M130" s="238">
        <f t="shared" ca="1" si="80"/>
        <v>36.452064163034706</v>
      </c>
      <c r="N130" s="238">
        <f t="shared" ca="1" si="81"/>
        <v>86.291796582512518</v>
      </c>
      <c r="O130" s="239">
        <f t="shared" ca="1" si="82"/>
        <v>877.25613925445282</v>
      </c>
      <c r="P130" s="217"/>
      <c r="Q130" s="217"/>
      <c r="R130" s="224"/>
      <c r="S130" s="230">
        <f t="shared" ca="1" si="83"/>
        <v>549127.84986800642</v>
      </c>
      <c r="T130" s="231">
        <f t="shared" ca="1" si="84"/>
        <v>3418.7682229480383</v>
      </c>
      <c r="U130" s="231">
        <f t="shared" ca="1" si="85"/>
        <v>5617.0929778908867</v>
      </c>
      <c r="V130" s="231"/>
      <c r="W130" s="231">
        <f t="shared" ca="1" si="86"/>
        <v>13727.264130772262</v>
      </c>
      <c r="X130" s="231">
        <f t="shared" ca="1" si="87"/>
        <v>1715.9080163465328</v>
      </c>
      <c r="Y130" s="231"/>
      <c r="Z130" s="232">
        <f t="shared" ca="1" si="56"/>
        <v>573606.88321596407</v>
      </c>
      <c r="AA130" s="231">
        <f t="shared" ca="1" si="57"/>
        <v>496.81916527186286</v>
      </c>
      <c r="AB130" s="231">
        <f t="shared" ca="1" si="88"/>
        <v>21744.213394751274</v>
      </c>
      <c r="AC130" s="231">
        <f t="shared" ca="1" si="89"/>
        <v>116985.99572722403</v>
      </c>
      <c r="AD130" s="231">
        <f t="shared" ca="1" si="90"/>
        <v>4062.0137405286118</v>
      </c>
      <c r="AE130" s="231">
        <f t="shared" ca="1" si="58"/>
        <v>42729.244112952729</v>
      </c>
      <c r="AF130" s="231">
        <f t="shared" ca="1" si="59"/>
        <v>186018.28614072851</v>
      </c>
      <c r="AG130" s="232">
        <f t="shared" ca="1" si="60"/>
        <v>759625.16935669258</v>
      </c>
      <c r="AH130" s="244">
        <f t="shared" ca="1" si="91"/>
        <v>2.7944087517179237</v>
      </c>
      <c r="AI130" s="243">
        <f t="shared" ca="1" si="92"/>
        <v>6.6151137695013027</v>
      </c>
      <c r="AJ130" s="242">
        <f t="shared" ca="1" si="93"/>
        <v>9.4095225212192268</v>
      </c>
      <c r="AK130" s="241">
        <f t="shared" ca="1" si="94"/>
        <v>2.0119743012369051</v>
      </c>
      <c r="AL130" s="243">
        <f t="shared" ca="1" si="95"/>
        <v>2.930495399889077</v>
      </c>
      <c r="AM130" s="243"/>
      <c r="AN130" s="242">
        <f t="shared" ca="1" si="61"/>
        <v>4.9424697011259822</v>
      </c>
      <c r="AO130" s="224"/>
      <c r="AP130" s="235">
        <f t="shared" si="96"/>
        <v>9.5384615384615383</v>
      </c>
      <c r="AQ130" s="235">
        <f t="shared" si="62"/>
        <v>0.75431479484845343</v>
      </c>
      <c r="AR130" s="235">
        <f t="shared" si="63"/>
        <v>0.86760871282714314</v>
      </c>
      <c r="AT130" s="230">
        <f t="shared" ca="1" si="64"/>
        <v>414215.26141875761</v>
      </c>
      <c r="AU130" s="231">
        <f t="shared" ca="1" si="65"/>
        <v>2578.8274507274614</v>
      </c>
      <c r="AV130" s="231">
        <f t="shared" ca="1" si="97"/>
        <v>4237.0563372624529</v>
      </c>
      <c r="AW130" s="231"/>
      <c r="AX130" s="231">
        <f t="shared" ca="1" si="98"/>
        <v>10354.678426634013</v>
      </c>
      <c r="AY130" s="231">
        <f t="shared" ca="1" si="99"/>
        <v>1294.3348033292516</v>
      </c>
      <c r="AZ130" s="231"/>
      <c r="BA130" s="232">
        <f t="shared" ca="1" si="66"/>
        <v>432680.15843671071</v>
      </c>
      <c r="BB130" s="231">
        <f t="shared" ca="1" si="67"/>
        <v>374.75804672882509</v>
      </c>
      <c r="BC130" s="231">
        <f t="shared" ca="1" si="100"/>
        <v>16401.9818660028</v>
      </c>
      <c r="BD130" s="231">
        <f t="shared" ca="1" si="101"/>
        <v>88244.267367123044</v>
      </c>
      <c r="BE130" s="231">
        <f t="shared" ca="1" si="102"/>
        <v>3064.0370613584387</v>
      </c>
      <c r="BF130" s="231">
        <f t="shared" ca="1" si="68"/>
        <v>32231.301007091424</v>
      </c>
      <c r="BG130" s="231">
        <f t="shared" ca="1" si="69"/>
        <v>140316.34534830455</v>
      </c>
      <c r="BH130" s="232">
        <f t="shared" ca="1" si="70"/>
        <v>572996.5037850152</v>
      </c>
      <c r="BI130" s="244">
        <f t="shared" ca="1" si="103"/>
        <v>2.4244533801908914</v>
      </c>
      <c r="BJ130" s="243">
        <f t="shared" ca="1" si="104"/>
        <v>5.7393303427621358</v>
      </c>
      <c r="BK130" s="242">
        <f t="shared" ca="1" si="105"/>
        <v>8.1637837229530277</v>
      </c>
      <c r="BL130" s="241">
        <f t="shared" ca="1" si="106"/>
        <v>1.745606433737442</v>
      </c>
      <c r="BM130" s="243">
        <f t="shared" ca="1" si="107"/>
        <v>2.5425233418436264</v>
      </c>
      <c r="BN130" s="243">
        <f t="shared" si="71"/>
        <v>0</v>
      </c>
      <c r="BO130" s="242">
        <f t="shared" ca="1" si="72"/>
        <v>4.2881297755810683</v>
      </c>
      <c r="BP130" s="67"/>
      <c r="BQ130" s="67"/>
      <c r="BR130" s="67"/>
      <c r="BS130" s="67"/>
      <c r="BT130" s="67"/>
      <c r="BU130" s="67"/>
      <c r="BV130" s="67"/>
      <c r="BW130" s="67"/>
      <c r="BX130" s="67"/>
      <c r="BY130" s="67"/>
      <c r="BZ130" s="67"/>
      <c r="CA130" s="67"/>
      <c r="CB130" s="67"/>
    </row>
    <row r="131" spans="1:80" ht="12" customHeight="1" x14ac:dyDescent="0.15">
      <c r="A131" s="213">
        <f t="shared" si="73"/>
        <v>125</v>
      </c>
      <c r="B131" s="67">
        <f t="shared" si="74"/>
        <v>500</v>
      </c>
      <c r="C131" s="224">
        <f t="shared" si="75"/>
        <v>115.38461538461539</v>
      </c>
      <c r="D131" s="225">
        <f ca="1">IFERROR(OFFSET(extrapolation!P140,0,OS_dist_choice-1,1,1),0)</f>
        <v>0.1205340960112798</v>
      </c>
      <c r="E131" s="225">
        <f ca="1">IFERROR(OFFSET(extrapolation!D140,0,PFS_dist_choice-1,1,1),0)</f>
        <v>3.537847400275429E-2</v>
      </c>
      <c r="F131" s="214"/>
      <c r="G131" s="226">
        <f t="shared" ca="1" si="76"/>
        <v>35.378474002754288</v>
      </c>
      <c r="H131" s="224">
        <f t="shared" ca="1" si="77"/>
        <v>85.155622008525597</v>
      </c>
      <c r="I131" s="224">
        <f t="shared" ca="1" si="54"/>
        <v>879.46590398872013</v>
      </c>
      <c r="J131" s="227">
        <f t="shared" ca="1" si="55"/>
        <v>1000</v>
      </c>
      <c r="K131" s="238">
        <f t="shared" ca="1" si="78"/>
        <v>0.71018601509109658</v>
      </c>
      <c r="L131" s="239">
        <f t="shared" ca="1" si="79"/>
        <v>1.4640671995962293</v>
      </c>
      <c r="M131" s="238">
        <f t="shared" ca="1" si="80"/>
        <v>35.733567010299836</v>
      </c>
      <c r="N131" s="238">
        <f t="shared" ca="1" si="81"/>
        <v>85.532562600778135</v>
      </c>
      <c r="O131" s="239">
        <f t="shared" ca="1" si="82"/>
        <v>878.73387038892201</v>
      </c>
      <c r="P131" s="217"/>
      <c r="Q131" s="217"/>
      <c r="R131" s="224"/>
      <c r="S131" s="230">
        <f t="shared" ca="1" si="83"/>
        <v>538321.604380353</v>
      </c>
      <c r="T131" s="231">
        <f t="shared" ca="1" si="84"/>
        <v>3351.4905412725498</v>
      </c>
      <c r="U131" s="231">
        <f t="shared" ca="1" si="85"/>
        <v>5506.3759196411556</v>
      </c>
      <c r="V131" s="231"/>
      <c r="W131" s="231">
        <f t="shared" ca="1" si="86"/>
        <v>13456.689599006753</v>
      </c>
      <c r="X131" s="231">
        <f t="shared" ca="1" si="87"/>
        <v>1682.0861998758442</v>
      </c>
      <c r="Y131" s="231"/>
      <c r="Z131" s="232">
        <f t="shared" ca="1" si="56"/>
        <v>562318.24664014927</v>
      </c>
      <c r="AA131" s="231">
        <f t="shared" ca="1" si="57"/>
        <v>485.45679497064936</v>
      </c>
      <c r="AB131" s="231">
        <f t="shared" ca="1" si="88"/>
        <v>21552.898039535634</v>
      </c>
      <c r="AC131" s="231">
        <f t="shared" ca="1" si="89"/>
        <v>115956.70039602517</v>
      </c>
      <c r="AD131" s="231">
        <f t="shared" ca="1" si="90"/>
        <v>4026.2743193064293</v>
      </c>
      <c r="AE131" s="231">
        <f t="shared" ca="1" si="58"/>
        <v>41946.286436969043</v>
      </c>
      <c r="AF131" s="231">
        <f t="shared" ca="1" si="59"/>
        <v>183967.61598680692</v>
      </c>
      <c r="AG131" s="232">
        <f t="shared" ca="1" si="60"/>
        <v>746285.86262695619</v>
      </c>
      <c r="AH131" s="244">
        <f t="shared" ca="1" si="91"/>
        <v>2.7393288878532385</v>
      </c>
      <c r="AI131" s="243">
        <f t="shared" ca="1" si="92"/>
        <v>6.5569110275750511</v>
      </c>
      <c r="AJ131" s="242">
        <f t="shared" ca="1" si="93"/>
        <v>9.2962399154282895</v>
      </c>
      <c r="AK131" s="241">
        <f t="shared" ca="1" si="94"/>
        <v>1.9723167992543316</v>
      </c>
      <c r="AL131" s="243">
        <f t="shared" ca="1" si="95"/>
        <v>2.9047115852157477</v>
      </c>
      <c r="AM131" s="243"/>
      <c r="AN131" s="242">
        <f t="shared" ca="1" si="61"/>
        <v>4.877028384470079</v>
      </c>
      <c r="AO131" s="224"/>
      <c r="AP131" s="235">
        <f t="shared" si="96"/>
        <v>9.615384615384615</v>
      </c>
      <c r="AQ131" s="235">
        <f t="shared" si="62"/>
        <v>0.75260161696303085</v>
      </c>
      <c r="AR131" s="235">
        <f t="shared" si="63"/>
        <v>0.86661562854354246</v>
      </c>
      <c r="AT131" s="230">
        <f t="shared" ca="1" si="64"/>
        <v>405141.70990278665</v>
      </c>
      <c r="AU131" s="231">
        <f t="shared" ca="1" si="65"/>
        <v>2522.3372005980245</v>
      </c>
      <c r="AV131" s="231">
        <f t="shared" ca="1" si="97"/>
        <v>4144.10742072823</v>
      </c>
      <c r="AW131" s="231"/>
      <c r="AX131" s="231">
        <f t="shared" ca="1" si="98"/>
        <v>10127.526351182081</v>
      </c>
      <c r="AY131" s="231">
        <f t="shared" ca="1" si="99"/>
        <v>1265.9407938977602</v>
      </c>
      <c r="AZ131" s="231"/>
      <c r="BA131" s="232">
        <f t="shared" ca="1" si="66"/>
        <v>423201.62166919274</v>
      </c>
      <c r="BB131" s="231">
        <f t="shared" ca="1" si="67"/>
        <v>365.35556886060124</v>
      </c>
      <c r="BC131" s="231">
        <f t="shared" ca="1" si="100"/>
        <v>16220.745914793855</v>
      </c>
      <c r="BD131" s="231">
        <f t="shared" ca="1" si="101"/>
        <v>87269.20021574627</v>
      </c>
      <c r="BE131" s="231">
        <f t="shared" ca="1" si="102"/>
        <v>3030.1805630467452</v>
      </c>
      <c r="BF131" s="231">
        <f t="shared" ca="1" si="68"/>
        <v>31568.842998057353</v>
      </c>
      <c r="BG131" s="231">
        <f t="shared" ca="1" si="69"/>
        <v>138454.32526050482</v>
      </c>
      <c r="BH131" s="232">
        <f t="shared" ca="1" si="70"/>
        <v>561655.94692969753</v>
      </c>
      <c r="BI131" s="244">
        <f t="shared" ca="1" si="103"/>
        <v>2.3739452259344174</v>
      </c>
      <c r="BJ131" s="243">
        <f t="shared" ca="1" si="104"/>
        <v>5.682321571466038</v>
      </c>
      <c r="BK131" s="242">
        <f t="shared" ca="1" si="105"/>
        <v>8.0562667974004558</v>
      </c>
      <c r="BL131" s="241">
        <f t="shared" ca="1" si="106"/>
        <v>1.7092405626727805</v>
      </c>
      <c r="BM131" s="243">
        <f t="shared" ca="1" si="107"/>
        <v>2.5172684561594547</v>
      </c>
      <c r="BN131" s="243">
        <f t="shared" si="71"/>
        <v>0</v>
      </c>
      <c r="BO131" s="242">
        <f t="shared" ca="1" si="72"/>
        <v>4.2265090188322354</v>
      </c>
      <c r="BP131" s="67"/>
      <c r="BQ131" s="67"/>
      <c r="BR131" s="67"/>
      <c r="BS131" s="67"/>
      <c r="BT131" s="67"/>
      <c r="BU131" s="67"/>
      <c r="BV131" s="67"/>
      <c r="BW131" s="67"/>
      <c r="BX131" s="67"/>
      <c r="BY131" s="67"/>
      <c r="BZ131" s="67"/>
      <c r="CA131" s="67"/>
      <c r="CB131" s="67"/>
    </row>
    <row r="132" spans="1:80" ht="12" customHeight="1" x14ac:dyDescent="0.15">
      <c r="A132" s="213">
        <f t="shared" si="73"/>
        <v>126</v>
      </c>
      <c r="B132" s="67">
        <f t="shared" si="74"/>
        <v>504</v>
      </c>
      <c r="C132" s="224">
        <f t="shared" si="75"/>
        <v>116.30769230769229</v>
      </c>
      <c r="D132" s="225">
        <f ca="1">IFERROR(OFFSET(extrapolation!P141,0,OS_dist_choice-1,1,1),0)</f>
        <v>0.11909670087538085</v>
      </c>
      <c r="E132" s="225">
        <f ca="1">IFERROR(OFFSET(extrapolation!D141,0,PFS_dist_choice-1,1,1),0)</f>
        <v>3.468447151080245E-2</v>
      </c>
      <c r="F132" s="214"/>
      <c r="G132" s="226">
        <f t="shared" ca="1" si="76"/>
        <v>34.684471510802453</v>
      </c>
      <c r="H132" s="224">
        <f t="shared" ca="1" si="77"/>
        <v>84.412229364578366</v>
      </c>
      <c r="I132" s="224">
        <f t="shared" ca="1" si="54"/>
        <v>880.90329912461914</v>
      </c>
      <c r="J132" s="227">
        <f t="shared" ca="1" si="55"/>
        <v>1000</v>
      </c>
      <c r="K132" s="238">
        <f t="shared" ca="1" si="78"/>
        <v>0.69400249195183505</v>
      </c>
      <c r="L132" s="239">
        <f t="shared" ca="1" si="79"/>
        <v>1.4373951358990098</v>
      </c>
      <c r="M132" s="238">
        <f t="shared" ca="1" si="80"/>
        <v>35.031472756778371</v>
      </c>
      <c r="N132" s="238">
        <f t="shared" ca="1" si="81"/>
        <v>84.783925686551981</v>
      </c>
      <c r="O132" s="239">
        <f t="shared" ca="1" si="82"/>
        <v>880.18460155666958</v>
      </c>
      <c r="P132" s="217"/>
      <c r="Q132" s="217"/>
      <c r="R132" s="224"/>
      <c r="S132" s="230">
        <f t="shared" ca="1" si="83"/>
        <v>527761.60863598052</v>
      </c>
      <c r="T132" s="231">
        <f t="shared" ca="1" si="84"/>
        <v>3285.7459648610552</v>
      </c>
      <c r="U132" s="231">
        <f t="shared" ca="1" si="85"/>
        <v>5398.1864716133477</v>
      </c>
      <c r="V132" s="231"/>
      <c r="W132" s="231">
        <f t="shared" ca="1" si="86"/>
        <v>13192.292136638625</v>
      </c>
      <c r="X132" s="231">
        <f t="shared" ca="1" si="87"/>
        <v>1649.0365170798282</v>
      </c>
      <c r="Y132" s="231"/>
      <c r="Z132" s="232">
        <f t="shared" ca="1" si="56"/>
        <v>551286.86972617335</v>
      </c>
      <c r="AA132" s="231">
        <f t="shared" ca="1" si="57"/>
        <v>474.39433934976319</v>
      </c>
      <c r="AB132" s="231">
        <f t="shared" ca="1" si="88"/>
        <v>21364.252983309969</v>
      </c>
      <c r="AC132" s="231">
        <f t="shared" ca="1" si="89"/>
        <v>114941.77153468019</v>
      </c>
      <c r="AD132" s="231">
        <f t="shared" ca="1" si="90"/>
        <v>3991.0337338430613</v>
      </c>
      <c r="AE132" s="231">
        <f t="shared" ca="1" si="58"/>
        <v>41182.117945237791</v>
      </c>
      <c r="AF132" s="231">
        <f t="shared" ca="1" si="59"/>
        <v>181953.57053642077</v>
      </c>
      <c r="AG132" s="232">
        <f t="shared" ca="1" si="60"/>
        <v>733240.44026259414</v>
      </c>
      <c r="AH132" s="244">
        <f t="shared" ca="1" si="91"/>
        <v>2.6855064673231879</v>
      </c>
      <c r="AI132" s="243">
        <f t="shared" ca="1" si="92"/>
        <v>6.4995206549581255</v>
      </c>
      <c r="AJ132" s="242">
        <f t="shared" ca="1" si="93"/>
        <v>9.1850271222813138</v>
      </c>
      <c r="AK132" s="241">
        <f t="shared" ca="1" si="94"/>
        <v>1.9335646564726952</v>
      </c>
      <c r="AL132" s="243">
        <f t="shared" ca="1" si="95"/>
        <v>2.8792876501464497</v>
      </c>
      <c r="AM132" s="243"/>
      <c r="AN132" s="242">
        <f t="shared" ca="1" si="61"/>
        <v>4.8128523066191446</v>
      </c>
      <c r="AO132" s="224"/>
      <c r="AP132" s="235">
        <f t="shared" si="96"/>
        <v>9.6923076923076916</v>
      </c>
      <c r="AQ132" s="235">
        <f t="shared" si="62"/>
        <v>0.75089232999753619</v>
      </c>
      <c r="AR132" s="235">
        <f t="shared" si="63"/>
        <v>0.86562368096636211</v>
      </c>
      <c r="AT132" s="230">
        <f t="shared" ca="1" si="64"/>
        <v>396292.14399191923</v>
      </c>
      <c r="AU132" s="231">
        <f t="shared" ca="1" si="65"/>
        <v>2467.2414433345202</v>
      </c>
      <c r="AV132" s="231">
        <f t="shared" ca="1" si="97"/>
        <v>4053.4568174309256</v>
      </c>
      <c r="AW132" s="231"/>
      <c r="AX132" s="231">
        <f t="shared" ca="1" si="98"/>
        <v>9905.990980488752</v>
      </c>
      <c r="AY132" s="231">
        <f t="shared" ca="1" si="99"/>
        <v>1238.248872561094</v>
      </c>
      <c r="AZ132" s="231"/>
      <c r="BA132" s="232">
        <f t="shared" ca="1" si="66"/>
        <v>413957.0821057345</v>
      </c>
      <c r="BB132" s="231">
        <f t="shared" ca="1" si="67"/>
        <v>356.21907081198555</v>
      </c>
      <c r="BC132" s="231">
        <f t="shared" ca="1" si="100"/>
        <v>16042.253701294436</v>
      </c>
      <c r="BD132" s="231">
        <f t="shared" ca="1" si="101"/>
        <v>86308.894641720486</v>
      </c>
      <c r="BE132" s="231">
        <f t="shared" ca="1" si="102"/>
        <v>2996.8366195041831</v>
      </c>
      <c r="BF132" s="231">
        <f t="shared" ca="1" si="68"/>
        <v>30923.336498132954</v>
      </c>
      <c r="BG132" s="231">
        <f t="shared" ca="1" si="69"/>
        <v>136627.54053146404</v>
      </c>
      <c r="BH132" s="232">
        <f t="shared" ca="1" si="70"/>
        <v>550584.62263719854</v>
      </c>
      <c r="BI132" s="244">
        <f t="shared" ca="1" si="103"/>
        <v>2.3246379935032695</v>
      </c>
      <c r="BJ132" s="243">
        <f t="shared" ca="1" si="104"/>
        <v>5.626138993861753</v>
      </c>
      <c r="BK132" s="242">
        <f t="shared" ca="1" si="105"/>
        <v>7.9507769873650229</v>
      </c>
      <c r="BL132" s="241">
        <f t="shared" ca="1" si="106"/>
        <v>1.6737393553223539</v>
      </c>
      <c r="BM132" s="243">
        <f t="shared" ca="1" si="107"/>
        <v>2.4923795742807568</v>
      </c>
      <c r="BN132" s="243">
        <f t="shared" si="71"/>
        <v>0</v>
      </c>
      <c r="BO132" s="242">
        <f t="shared" ca="1" si="72"/>
        <v>4.16611892960311</v>
      </c>
      <c r="BP132" s="67"/>
      <c r="BQ132" s="67"/>
      <c r="BR132" s="67"/>
      <c r="BS132" s="67"/>
      <c r="BT132" s="67"/>
      <c r="BU132" s="67"/>
      <c r="BV132" s="67"/>
      <c r="BW132" s="67"/>
      <c r="BX132" s="67"/>
      <c r="BY132" s="67"/>
      <c r="BZ132" s="67"/>
      <c r="CA132" s="67"/>
      <c r="CB132" s="67"/>
    </row>
    <row r="133" spans="1:80" ht="12" customHeight="1" x14ac:dyDescent="0.15">
      <c r="A133" s="213">
        <f t="shared" si="73"/>
        <v>127</v>
      </c>
      <c r="B133" s="67">
        <f t="shared" si="74"/>
        <v>508</v>
      </c>
      <c r="C133" s="224">
        <f t="shared" si="75"/>
        <v>117.23076923076924</v>
      </c>
      <c r="D133" s="225">
        <f ca="1">IFERROR(OFFSET(extrapolation!P142,0,OS_dist_choice-1,1,1),0)</f>
        <v>0.11768534104179261</v>
      </c>
      <c r="E133" s="225">
        <f ca="1">IFERROR(OFFSET(extrapolation!D142,0,PFS_dist_choice-1,1,1),0)</f>
        <v>3.4006227081352369E-2</v>
      </c>
      <c r="F133" s="214"/>
      <c r="G133" s="226">
        <f t="shared" ca="1" si="76"/>
        <v>34.006227081352371</v>
      </c>
      <c r="H133" s="224">
        <f t="shared" ca="1" si="77"/>
        <v>83.679113960440304</v>
      </c>
      <c r="I133" s="224">
        <f t="shared" ca="1" si="54"/>
        <v>882.31465895820736</v>
      </c>
      <c r="J133" s="227">
        <f t="shared" ca="1" si="55"/>
        <v>1000</v>
      </c>
      <c r="K133" s="238">
        <f t="shared" ca="1" si="78"/>
        <v>0.67824442945008201</v>
      </c>
      <c r="L133" s="239">
        <f t="shared" ca="1" si="79"/>
        <v>1.4113598335882216</v>
      </c>
      <c r="M133" s="238">
        <f t="shared" ca="1" si="80"/>
        <v>34.345349296077416</v>
      </c>
      <c r="N133" s="238">
        <f t="shared" ca="1" si="81"/>
        <v>84.045671662509335</v>
      </c>
      <c r="O133" s="239">
        <f t="shared" ca="1" si="82"/>
        <v>881.60897904141325</v>
      </c>
      <c r="P133" s="217"/>
      <c r="Q133" s="217"/>
      <c r="R133" s="224"/>
      <c r="S133" s="230">
        <f t="shared" ca="1" si="83"/>
        <v>517441.38879283017</v>
      </c>
      <c r="T133" s="231">
        <f t="shared" ca="1" si="84"/>
        <v>3221.4941887726977</v>
      </c>
      <c r="U133" s="231">
        <f t="shared" ca="1" si="85"/>
        <v>5292.4580482288138</v>
      </c>
      <c r="V133" s="231"/>
      <c r="W133" s="231">
        <f t="shared" ca="1" si="86"/>
        <v>12933.909019314018</v>
      </c>
      <c r="X133" s="231">
        <f t="shared" ca="1" si="87"/>
        <v>1616.7386274142523</v>
      </c>
      <c r="Y133" s="231"/>
      <c r="Z133" s="232">
        <f t="shared" ca="1" si="56"/>
        <v>540505.98867655988</v>
      </c>
      <c r="AA133" s="231">
        <f t="shared" ca="1" si="57"/>
        <v>463.6227128258771</v>
      </c>
      <c r="AB133" s="231">
        <f t="shared" ca="1" si="88"/>
        <v>21178.224256663081</v>
      </c>
      <c r="AC133" s="231">
        <f t="shared" ca="1" si="89"/>
        <v>113940.9187824759</v>
      </c>
      <c r="AD133" s="231">
        <f t="shared" ca="1" si="90"/>
        <v>3956.2819021693022</v>
      </c>
      <c r="AE133" s="231">
        <f t="shared" ca="1" si="58"/>
        <v>40436.192998280036</v>
      </c>
      <c r="AF133" s="231">
        <f t="shared" ca="1" si="59"/>
        <v>179975.24065241421</v>
      </c>
      <c r="AG133" s="232">
        <f t="shared" ca="1" si="60"/>
        <v>720481.22932897415</v>
      </c>
      <c r="AH133" s="244">
        <f t="shared" ca="1" si="91"/>
        <v>2.6329083649285905</v>
      </c>
      <c r="AI133" s="243">
        <f t="shared" ca="1" si="92"/>
        <v>6.4429262328549255</v>
      </c>
      <c r="AJ133" s="242">
        <f t="shared" ca="1" si="93"/>
        <v>9.0758345977835155</v>
      </c>
      <c r="AK133" s="241">
        <f t="shared" ca="1" si="94"/>
        <v>1.895694022748585</v>
      </c>
      <c r="AL133" s="243">
        <f t="shared" ca="1" si="95"/>
        <v>2.8542163211547322</v>
      </c>
      <c r="AM133" s="243"/>
      <c r="AN133" s="242">
        <f t="shared" ca="1" si="61"/>
        <v>4.7499103439033172</v>
      </c>
      <c r="AO133" s="224"/>
      <c r="AP133" s="235">
        <f t="shared" si="96"/>
        <v>9.7692307692307701</v>
      </c>
      <c r="AQ133" s="235">
        <f t="shared" si="62"/>
        <v>0.7491869251150246</v>
      </c>
      <c r="AR133" s="235">
        <f t="shared" si="63"/>
        <v>0.86463286879450285</v>
      </c>
      <c r="AT133" s="230">
        <f t="shared" ca="1" si="64"/>
        <v>387660.32299694838</v>
      </c>
      <c r="AU133" s="231">
        <f t="shared" ca="1" si="65"/>
        <v>2413.5013255625381</v>
      </c>
      <c r="AV133" s="231">
        <f t="shared" ca="1" si="97"/>
        <v>3965.0403714528097</v>
      </c>
      <c r="AW133" s="231"/>
      <c r="AX133" s="231">
        <f t="shared" ca="1" si="98"/>
        <v>9689.9155278973521</v>
      </c>
      <c r="AY133" s="231">
        <f t="shared" ca="1" si="99"/>
        <v>1211.239440987169</v>
      </c>
      <c r="AZ133" s="231"/>
      <c r="BA133" s="232">
        <f t="shared" ca="1" si="66"/>
        <v>404940.01966284821</v>
      </c>
      <c r="BB133" s="231">
        <f t="shared" ca="1" si="67"/>
        <v>347.34007463550495</v>
      </c>
      <c r="BC133" s="231">
        <f t="shared" ca="1" si="100"/>
        <v>15866.448710245841</v>
      </c>
      <c r="BD133" s="231">
        <f t="shared" ca="1" si="101"/>
        <v>85363.046587423873</v>
      </c>
      <c r="BE133" s="231">
        <f t="shared" ca="1" si="102"/>
        <v>2963.9946731744399</v>
      </c>
      <c r="BF133" s="231">
        <f t="shared" ca="1" si="68"/>
        <v>30294.267095739106</v>
      </c>
      <c r="BG133" s="231">
        <f t="shared" ca="1" si="69"/>
        <v>134835.09714121878</v>
      </c>
      <c r="BH133" s="232">
        <f t="shared" ca="1" si="70"/>
        <v>539775.11680406705</v>
      </c>
      <c r="BI133" s="244">
        <f t="shared" ca="1" si="103"/>
        <v>2.2764991128412508</v>
      </c>
      <c r="BJ133" s="243">
        <f t="shared" ca="1" si="104"/>
        <v>5.5707657921447131</v>
      </c>
      <c r="BK133" s="242">
        <f t="shared" ca="1" si="105"/>
        <v>7.8472649049859635</v>
      </c>
      <c r="BL133" s="241">
        <f t="shared" ca="1" si="106"/>
        <v>1.6390793612457006</v>
      </c>
      <c r="BM133" s="243">
        <f t="shared" ca="1" si="107"/>
        <v>2.467849245920108</v>
      </c>
      <c r="BN133" s="243">
        <f t="shared" si="71"/>
        <v>0</v>
      </c>
      <c r="BO133" s="242">
        <f t="shared" ca="1" si="72"/>
        <v>4.1069286071658091</v>
      </c>
      <c r="BP133" s="67"/>
      <c r="BQ133" s="67"/>
      <c r="BR133" s="67"/>
      <c r="BS133" s="67"/>
      <c r="BT133" s="67"/>
      <c r="BU133" s="67"/>
      <c r="BV133" s="67"/>
      <c r="BW133" s="67"/>
      <c r="BX133" s="67"/>
      <c r="BY133" s="67"/>
      <c r="BZ133" s="67"/>
      <c r="CA133" s="67"/>
      <c r="CB133" s="67"/>
    </row>
    <row r="134" spans="1:80" ht="12" customHeight="1" x14ac:dyDescent="0.15">
      <c r="A134" s="213">
        <f t="shared" si="73"/>
        <v>128</v>
      </c>
      <c r="B134" s="67">
        <f t="shared" si="74"/>
        <v>512</v>
      </c>
      <c r="C134" s="224">
        <f t="shared" si="75"/>
        <v>118.15384615384616</v>
      </c>
      <c r="D134" s="225">
        <f ca="1">IFERROR(OFFSET(extrapolation!P143,0,OS_dist_choice-1,1,1),0)</f>
        <v>0.11629939815947614</v>
      </c>
      <c r="E134" s="225">
        <f ca="1">IFERROR(OFFSET(extrapolation!D143,0,PFS_dist_choice-1,1,1),0)</f>
        <v>3.3343328086390178E-2</v>
      </c>
      <c r="F134" s="214"/>
      <c r="G134" s="226">
        <f t="shared" ca="1" si="76"/>
        <v>33.34332808639018</v>
      </c>
      <c r="H134" s="224">
        <f t="shared" ca="1" si="77"/>
        <v>82.956070073085925</v>
      </c>
      <c r="I134" s="224">
        <f t="shared" ref="I134:I197" ca="1" si="108">cohort_size*(1-D134)</f>
        <v>883.70060184052386</v>
      </c>
      <c r="J134" s="227">
        <f t="shared" ref="J134:J197" ca="1" si="109">G134+H134+I134</f>
        <v>1000</v>
      </c>
      <c r="K134" s="238">
        <f t="shared" ca="1" si="78"/>
        <v>0.66289899496219107</v>
      </c>
      <c r="L134" s="239">
        <f t="shared" ca="1" si="79"/>
        <v>1.385942882316499</v>
      </c>
      <c r="M134" s="238">
        <f t="shared" ca="1" si="80"/>
        <v>33.674777583871276</v>
      </c>
      <c r="N134" s="238">
        <f t="shared" ca="1" si="81"/>
        <v>83.317592016763115</v>
      </c>
      <c r="O134" s="239">
        <f t="shared" ca="1" si="82"/>
        <v>883.00763039936555</v>
      </c>
      <c r="P134" s="217"/>
      <c r="Q134" s="217"/>
      <c r="R134" s="224"/>
      <c r="S134" s="230">
        <f t="shared" ca="1" si="83"/>
        <v>507354.6662710394</v>
      </c>
      <c r="T134" s="231">
        <f t="shared" ca="1" si="84"/>
        <v>3158.6961237328687</v>
      </c>
      <c r="U134" s="231">
        <f t="shared" ca="1" si="85"/>
        <v>5189.126076712505</v>
      </c>
      <c r="V134" s="231"/>
      <c r="W134" s="231">
        <f t="shared" ca="1" si="86"/>
        <v>12681.38244164458</v>
      </c>
      <c r="X134" s="231">
        <f t="shared" ca="1" si="87"/>
        <v>1585.1728052055726</v>
      </c>
      <c r="Y134" s="231"/>
      <c r="Z134" s="232">
        <f t="shared" ref="Z134:Z197" ca="1" si="110">SUM(S134:Y134)</f>
        <v>529969.04371833499</v>
      </c>
      <c r="AA134" s="231">
        <f t="shared" ref="AA134:AA197" ca="1" si="111">PD_lumpsum_inavo*K134</f>
        <v>453.13314349386479</v>
      </c>
      <c r="AB134" s="231">
        <f t="shared" ca="1" si="88"/>
        <v>20994.75931778743</v>
      </c>
      <c r="AC134" s="231">
        <f t="shared" ca="1" si="89"/>
        <v>112953.85945934661</v>
      </c>
      <c r="AD134" s="231">
        <f t="shared" ca="1" si="90"/>
        <v>3922.0090090050903</v>
      </c>
      <c r="AE134" s="231">
        <f t="shared" ref="AE134:AE197" ca="1" si="112">End_of_life_costs_per_patient*L134</f>
        <v>39707.984130072218</v>
      </c>
      <c r="AF134" s="231">
        <f t="shared" ref="AF134:AF197" ca="1" si="113">SUM(AA134:AE134)</f>
        <v>178031.74505970522</v>
      </c>
      <c r="AG134" s="232">
        <f t="shared" ref="AG134:AG197" ca="1" si="114">Z134+AF134</f>
        <v>708000.78877804021</v>
      </c>
      <c r="AH134" s="244">
        <f t="shared" ca="1" si="91"/>
        <v>2.5815024568060116</v>
      </c>
      <c r="AI134" s="243">
        <f t="shared" ca="1" si="92"/>
        <v>6.3871117767812926</v>
      </c>
      <c r="AJ134" s="242">
        <f t="shared" ca="1" si="93"/>
        <v>8.9686142335873047</v>
      </c>
      <c r="AK134" s="241">
        <f t="shared" ca="1" si="94"/>
        <v>1.8586817689003283</v>
      </c>
      <c r="AL134" s="243">
        <f t="shared" ca="1" si="95"/>
        <v>2.8294905171141127</v>
      </c>
      <c r="AM134" s="243"/>
      <c r="AN134" s="242">
        <f t="shared" ref="AN134:AN197" ca="1" si="115">AK134+AL134-AM134</f>
        <v>4.6881722860144412</v>
      </c>
      <c r="AO134" s="224"/>
      <c r="AP134" s="235">
        <f t="shared" si="96"/>
        <v>9.8461538461538467</v>
      </c>
      <c r="AQ134" s="235">
        <f t="shared" ref="AQ134:AQ197" si="116">1/(1+cDR)^AP134</f>
        <v>0.7474853934986222</v>
      </c>
      <c r="AR134" s="235">
        <f t="shared" ref="AR134:AR197" si="117">1/(1+oDR)^AP134</f>
        <v>0.86364319072835427</v>
      </c>
      <c r="AT134" s="230">
        <f t="shared" ref="AT134:AT197" ca="1" si="118">S134*AQ134</f>
        <v>379240.20236097003</v>
      </c>
      <c r="AU134" s="231">
        <f t="shared" ref="AU134:AU197" ca="1" si="119">T134*AQ134</f>
        <v>2361.0792149910362</v>
      </c>
      <c r="AV134" s="231">
        <f t="shared" ca="1" si="97"/>
        <v>3878.7959473654082</v>
      </c>
      <c r="AW134" s="231"/>
      <c r="AX134" s="231">
        <f t="shared" ca="1" si="98"/>
        <v>9479.1481444992169</v>
      </c>
      <c r="AY134" s="231">
        <f t="shared" ca="1" si="99"/>
        <v>1184.8935180624021</v>
      </c>
      <c r="AZ134" s="231"/>
      <c r="BA134" s="232">
        <f t="shared" ref="BA134:BA197" ca="1" si="120">Z134*AQ134</f>
        <v>396144.11918588815</v>
      </c>
      <c r="BB134" s="231">
        <f t="shared" ref="BB134:BB197" ca="1" si="121">AA134*AQ134</f>
        <v>338.71040607177918</v>
      </c>
      <c r="BC134" s="231">
        <f t="shared" ca="1" si="100"/>
        <v>15693.275930065201</v>
      </c>
      <c r="BD134" s="231">
        <f t="shared" ca="1" si="101"/>
        <v>84431.360085157765</v>
      </c>
      <c r="BE134" s="231">
        <f t="shared" ca="1" si="102"/>
        <v>2931.644447401311</v>
      </c>
      <c r="BF134" s="231">
        <f t="shared" ref="BF134:BF197" ca="1" si="122">AE134*AQ134</f>
        <v>29681.138142504078</v>
      </c>
      <c r="BG134" s="231">
        <f t="shared" ref="BG134:BG197" ca="1" si="123">AF134*AQ134</f>
        <v>133076.12901120016</v>
      </c>
      <c r="BH134" s="232">
        <f t="shared" ref="BH134:BH197" ca="1" si="124">AG134*AQ134</f>
        <v>529220.24819708825</v>
      </c>
      <c r="BI134" s="244">
        <f t="shared" ca="1" si="103"/>
        <v>2.2294970186690293</v>
      </c>
      <c r="BJ134" s="243">
        <f t="shared" ca="1" si="104"/>
        <v>5.5161855944380438</v>
      </c>
      <c r="BK134" s="242">
        <f t="shared" ca="1" si="105"/>
        <v>7.7456826131070731</v>
      </c>
      <c r="BL134" s="241">
        <f t="shared" ca="1" si="106"/>
        <v>1.6052378534417011</v>
      </c>
      <c r="BM134" s="243">
        <f t="shared" ca="1" si="107"/>
        <v>2.4436702183360532</v>
      </c>
      <c r="BN134" s="243">
        <f t="shared" ref="BN134:BN197" si="125">AM134*AR134</f>
        <v>0</v>
      </c>
      <c r="BO134" s="242">
        <f t="shared" ref="BO134:BO197" ca="1" si="126">AN134*AR134</f>
        <v>4.0489080717777544</v>
      </c>
      <c r="BP134" s="67"/>
      <c r="BQ134" s="67"/>
      <c r="BR134" s="67"/>
      <c r="BS134" s="67"/>
      <c r="BT134" s="67"/>
      <c r="BU134" s="67"/>
      <c r="BV134" s="67"/>
      <c r="BW134" s="67"/>
      <c r="BX134" s="67"/>
      <c r="BY134" s="67"/>
      <c r="BZ134" s="67"/>
      <c r="CA134" s="67"/>
      <c r="CB134" s="67"/>
    </row>
    <row r="135" spans="1:80" ht="12" customHeight="1" x14ac:dyDescent="0.15">
      <c r="A135" s="213">
        <f t="shared" ref="A135:A198" si="127">A134+1</f>
        <v>129</v>
      </c>
      <c r="B135" s="67">
        <f t="shared" ref="B135:B198" si="128">A135*cycle_length_days/7</f>
        <v>516</v>
      </c>
      <c r="C135" s="224">
        <f t="shared" ref="C135:C198" si="129">B135/52*12</f>
        <v>119.07692307692308</v>
      </c>
      <c r="D135" s="225">
        <f ca="1">IFERROR(OFFSET(extrapolation!P144,0,OS_dist_choice-1,1,1),0)</f>
        <v>0.11493827167657857</v>
      </c>
      <c r="E135" s="225">
        <f ca="1">IFERROR(OFFSET(extrapolation!D144,0,PFS_dist_choice-1,1,1),0)</f>
        <v>3.2695374289551715E-2</v>
      </c>
      <c r="F135" s="214"/>
      <c r="G135" s="226">
        <f t="shared" ref="G135:G198" ca="1" si="130">cohort_size*IF(E135&gt;D135,D135,E135)</f>
        <v>32.695374289551715</v>
      </c>
      <c r="H135" s="224">
        <f t="shared" ref="H135:H198" ca="1" si="131">cohort_size-G135-I135</f>
        <v>82.242897387026801</v>
      </c>
      <c r="I135" s="224">
        <f t="shared" ca="1" si="108"/>
        <v>885.06172832342145</v>
      </c>
      <c r="J135" s="227">
        <f t="shared" ca="1" si="109"/>
        <v>1000</v>
      </c>
      <c r="K135" s="238">
        <f t="shared" ref="K135:K198" ca="1" si="132">MAX(0,G134-G135)</f>
        <v>0.64795379683846477</v>
      </c>
      <c r="L135" s="239">
        <f t="shared" ref="L135:L198" ca="1" si="133">I135-I134</f>
        <v>1.3611264828975891</v>
      </c>
      <c r="M135" s="238">
        <f t="shared" ref="M135:M198" ca="1" si="134">(G135+G134)/2</f>
        <v>33.019351187970948</v>
      </c>
      <c r="N135" s="238">
        <f t="shared" ref="N135:N198" ca="1" si="135">(H135+H134)/2</f>
        <v>82.599483730056363</v>
      </c>
      <c r="O135" s="239">
        <f t="shared" ref="O135:O198" ca="1" si="136">(I135+I134)/2</f>
        <v>884.38116508197265</v>
      </c>
      <c r="P135" s="217"/>
      <c r="Q135" s="217"/>
      <c r="R135" s="224"/>
      <c r="S135" s="230">
        <f t="shared" ref="S135:S198" ca="1" si="137">SD_drugacq_c2_inavo*G135</f>
        <v>497495.35104304884</v>
      </c>
      <c r="T135" s="231">
        <f t="shared" ref="T135:T198" ca="1" si="138">SD_admin_c2_inavo*G135</f>
        <v>3097.3138543586529</v>
      </c>
      <c r="U135" s="231">
        <f t="shared" ref="U135:U198" ca="1" si="139">SD_hcru_c2_inavo*M135</f>
        <v>5088.1279277607782</v>
      </c>
      <c r="V135" s="231"/>
      <c r="W135" s="231">
        <f t="shared" ref="W135:W198" ca="1" si="140">Societal_informal_PFS_per_cycle*M135</f>
        <v>12434.559347770852</v>
      </c>
      <c r="X135" s="231">
        <f t="shared" ref="X135:X198" ca="1" si="141">Patient_time_c2plus*M135</f>
        <v>1554.3199184713565</v>
      </c>
      <c r="Y135" s="231"/>
      <c r="Z135" s="232">
        <f t="shared" ca="1" si="110"/>
        <v>519669.67209141044</v>
      </c>
      <c r="AA135" s="231">
        <f t="shared" ca="1" si="111"/>
        <v>442.91716088202065</v>
      </c>
      <c r="AB135" s="231">
        <f t="shared" ref="AB135:AB198" ca="1" si="142">PD_ongoing_inavo*N135</f>
        <v>20813.807008934295</v>
      </c>
      <c r="AC135" s="231">
        <f t="shared" ref="AC135:AC198" ca="1" si="143">Societal_informal_PD_per_cycle*N135</f>
        <v>111980.31833159838</v>
      </c>
      <c r="AD135" s="231">
        <f t="shared" ref="AD135:AD198" ca="1" si="144">Patient_time_PD_per_cycle*N135</f>
        <v>3888.2054976249433</v>
      </c>
      <c r="AE135" s="231">
        <f t="shared" ca="1" si="112"/>
        <v>38996.981384674393</v>
      </c>
      <c r="AF135" s="231">
        <f t="shared" ca="1" si="113"/>
        <v>176122.22938371403</v>
      </c>
      <c r="AG135" s="232">
        <f t="shared" ca="1" si="114"/>
        <v>695791.90147512453</v>
      </c>
      <c r="AH135" s="244">
        <f t="shared" ref="AH135:AH198" ca="1" si="145">M135*cycle_length_days/365.25</f>
        <v>2.5312575859361712</v>
      </c>
      <c r="AI135" s="243">
        <f t="shared" ref="AI135:AI198" ca="1" si="146">N135*cycle_length_days/365.25</f>
        <v>6.3320617233171204</v>
      </c>
      <c r="AJ135" s="242">
        <f t="shared" ref="AJ135:AJ198" ca="1" si="147">AH135+AI135</f>
        <v>8.863319309253292</v>
      </c>
      <c r="AK135" s="241">
        <f t="shared" ref="AK135:AK198" ca="1" si="148">AH135*utility_pfs</f>
        <v>1.8225054618740433</v>
      </c>
      <c r="AL135" s="243">
        <f t="shared" ref="AL135:AL198" ca="1" si="149">AI135*utility_pd</f>
        <v>2.8051033434294843</v>
      </c>
      <c r="AM135" s="243"/>
      <c r="AN135" s="242">
        <f t="shared" ca="1" si="115"/>
        <v>4.6276088053035274</v>
      </c>
      <c r="AO135" s="224"/>
      <c r="AP135" s="235">
        <f t="shared" ref="AP135:AP198" si="150">B135/52</f>
        <v>9.9230769230769234</v>
      </c>
      <c r="AQ135" s="235">
        <f t="shared" si="116"/>
        <v>0.74578772635147905</v>
      </c>
      <c r="AR135" s="235">
        <f t="shared" si="117"/>
        <v>0.86265464546979376</v>
      </c>
      <c r="AT135" s="230">
        <f t="shared" ca="1" si="118"/>
        <v>371025.92672482633</v>
      </c>
      <c r="AU135" s="231">
        <f t="shared" ca="1" si="119"/>
        <v>2309.9386572390758</v>
      </c>
      <c r="AV135" s="231">
        <f t="shared" ref="AV135:AV198" ca="1" si="151">U135*AQ135</f>
        <v>3794.6633586301737</v>
      </c>
      <c r="AW135" s="231"/>
      <c r="AX135" s="231">
        <f t="shared" ref="AX135:AX198" ca="1" si="152">W135*AQ135</f>
        <v>9273.5417441565532</v>
      </c>
      <c r="AY135" s="231">
        <f t="shared" ref="AY135:AY198" ca="1" si="153">X135*AQ135</f>
        <v>1159.1927180195692</v>
      </c>
      <c r="AZ135" s="231"/>
      <c r="BA135" s="232">
        <f t="shared" ca="1" si="120"/>
        <v>387563.26320287166</v>
      </c>
      <c r="BB135" s="231">
        <f t="shared" ca="1" si="121"/>
        <v>330.32218237625443</v>
      </c>
      <c r="BC135" s="231">
        <f t="shared" ref="BC135:BC198" ca="1" si="154">AB135*AQ135</f>
        <v>15522.681805911587</v>
      </c>
      <c r="BD135" s="231">
        <f t="shared" ref="BD135:BD198" ca="1" si="155">AC135*AQ135</f>
        <v>83513.547004637599</v>
      </c>
      <c r="BE135" s="231">
        <f t="shared" ref="BE135:BE198" ca="1" si="156">AD135*AQ135</f>
        <v>2899.7759376610275</v>
      </c>
      <c r="BF135" s="231">
        <f t="shared" ca="1" si="122"/>
        <v>29083.470081447267</v>
      </c>
      <c r="BG135" s="231">
        <f t="shared" ca="1" si="123"/>
        <v>131349.79701203376</v>
      </c>
      <c r="BH135" s="232">
        <f t="shared" ca="1" si="124"/>
        <v>518913.06021490542</v>
      </c>
      <c r="BI135" s="244">
        <f t="shared" ref="BI135:BI198" ca="1" si="157">AH135*AR135</f>
        <v>2.1836011153884938</v>
      </c>
      <c r="BJ135" s="243">
        <f t="shared" ref="BJ135:BJ198" ca="1" si="158">AI135*AR135</f>
        <v>5.4623824610209821</v>
      </c>
      <c r="BK135" s="242">
        <f t="shared" ref="BK135:BK198" ca="1" si="159">AJ135*AR135</f>
        <v>7.6459835764094759</v>
      </c>
      <c r="BL135" s="241">
        <f t="shared" ref="BL135:BL198" ca="1" si="160">AK135*AR135</f>
        <v>1.5721928030797154</v>
      </c>
      <c r="BM135" s="243">
        <f t="shared" ref="BM135:BM198" ca="1" si="161">AL135*AR135</f>
        <v>2.4198354302322951</v>
      </c>
      <c r="BN135" s="243">
        <f t="shared" si="125"/>
        <v>0</v>
      </c>
      <c r="BO135" s="242">
        <f t="shared" ca="1" si="126"/>
        <v>3.9920282333120101</v>
      </c>
      <c r="BP135" s="67"/>
      <c r="BQ135" s="67"/>
      <c r="BR135" s="67"/>
      <c r="BS135" s="67"/>
      <c r="BT135" s="67"/>
      <c r="BU135" s="67"/>
      <c r="BV135" s="67"/>
      <c r="BW135" s="67"/>
      <c r="BX135" s="67"/>
      <c r="BY135" s="67"/>
      <c r="BZ135" s="67"/>
      <c r="CA135" s="67"/>
      <c r="CB135" s="67"/>
    </row>
    <row r="136" spans="1:80" ht="12" customHeight="1" x14ac:dyDescent="0.15">
      <c r="A136" s="213">
        <f t="shared" si="127"/>
        <v>130</v>
      </c>
      <c r="B136" s="67">
        <f t="shared" si="128"/>
        <v>520</v>
      </c>
      <c r="C136" s="224">
        <f t="shared" si="129"/>
        <v>120</v>
      </c>
      <c r="D136" s="225">
        <f ca="1">IFERROR(OFFSET(extrapolation!P145,0,OS_dist_choice-1,1,1),0)</f>
        <v>0.11360137825154455</v>
      </c>
      <c r="E136" s="225">
        <f ca="1">IFERROR(OFFSET(extrapolation!D145,0,PFS_dist_choice-1,1,1),0)</f>
        <v>3.2061977422276122E-2</v>
      </c>
      <c r="F136" s="214"/>
      <c r="G136" s="226">
        <f t="shared" ca="1" si="130"/>
        <v>32.061977422276122</v>
      </c>
      <c r="H136" s="224">
        <f t="shared" ca="1" si="131"/>
        <v>81.539400829268516</v>
      </c>
      <c r="I136" s="224">
        <f t="shared" ca="1" si="108"/>
        <v>886.39862174845541</v>
      </c>
      <c r="J136" s="227">
        <f t="shared" ca="1" si="109"/>
        <v>1000</v>
      </c>
      <c r="K136" s="238">
        <f t="shared" ca="1" si="132"/>
        <v>0.63339686727559297</v>
      </c>
      <c r="L136" s="239">
        <f t="shared" ca="1" si="133"/>
        <v>1.3368934250339635</v>
      </c>
      <c r="M136" s="238">
        <f t="shared" ca="1" si="134"/>
        <v>32.378675855913919</v>
      </c>
      <c r="N136" s="238">
        <f t="shared" ca="1" si="135"/>
        <v>81.891149108147658</v>
      </c>
      <c r="O136" s="239">
        <f t="shared" ca="1" si="136"/>
        <v>885.73017503593837</v>
      </c>
      <c r="P136" s="217"/>
      <c r="Q136" s="217"/>
      <c r="R136" s="224"/>
      <c r="S136" s="230">
        <f t="shared" ca="1" si="137"/>
        <v>487857.53518432239</v>
      </c>
      <c r="T136" s="231">
        <f t="shared" ca="1" si="138"/>
        <v>3037.3105990068098</v>
      </c>
      <c r="U136" s="231">
        <f t="shared" ca="1" si="139"/>
        <v>4989.4028489090069</v>
      </c>
      <c r="V136" s="231"/>
      <c r="W136" s="231">
        <f t="shared" ca="1" si="140"/>
        <v>12193.291268523488</v>
      </c>
      <c r="X136" s="231">
        <f t="shared" ca="1" si="141"/>
        <v>1524.161408565436</v>
      </c>
      <c r="Y136" s="231"/>
      <c r="Z136" s="232">
        <f t="shared" ca="1" si="110"/>
        <v>509601.70130932715</v>
      </c>
      <c r="AA136" s="231">
        <f t="shared" ca="1" si="111"/>
        <v>432.96658424429461</v>
      </c>
      <c r="AB136" s="231">
        <f t="shared" ca="1" si="142"/>
        <v>20635.317514177445</v>
      </c>
      <c r="AC136" s="231">
        <f t="shared" ca="1" si="143"/>
        <v>111020.02738467365</v>
      </c>
      <c r="AD136" s="231">
        <f t="shared" ca="1" si="144"/>
        <v>3854.862061967835</v>
      </c>
      <c r="AE136" s="231">
        <f t="shared" ca="1" si="112"/>
        <v>38302.69167811473</v>
      </c>
      <c r="AF136" s="231">
        <f t="shared" ca="1" si="113"/>
        <v>174245.86522317797</v>
      </c>
      <c r="AG136" s="232">
        <f t="shared" ca="1" si="114"/>
        <v>683847.56653250509</v>
      </c>
      <c r="AH136" s="244">
        <f t="shared" ca="1" si="145"/>
        <v>2.4821435289954543</v>
      </c>
      <c r="AI136" s="243">
        <f t="shared" ca="1" si="146"/>
        <v>6.2777609172570425</v>
      </c>
      <c r="AJ136" s="242">
        <f t="shared" ca="1" si="147"/>
        <v>8.7599044462524969</v>
      </c>
      <c r="AK136" s="241">
        <f t="shared" ca="1" si="148"/>
        <v>1.787143340876727</v>
      </c>
      <c r="AL136" s="243">
        <f t="shared" ca="1" si="149"/>
        <v>2.7810480863448697</v>
      </c>
      <c r="AM136" s="243"/>
      <c r="AN136" s="242">
        <f t="shared" ca="1" si="115"/>
        <v>4.5681914272215964</v>
      </c>
      <c r="AO136" s="224"/>
      <c r="AP136" s="235">
        <f t="shared" si="150"/>
        <v>10</v>
      </c>
      <c r="AQ136" s="235">
        <f t="shared" si="116"/>
        <v>0.74409391489672516</v>
      </c>
      <c r="AR136" s="235">
        <f t="shared" si="117"/>
        <v>0.86166723172218462</v>
      </c>
      <c r="AT136" s="230">
        <f t="shared" ca="1" si="118"/>
        <v>363011.8232671693</v>
      </c>
      <c r="AU136" s="231">
        <f t="shared" ca="1" si="119"/>
        <v>2260.0443343722945</v>
      </c>
      <c r="AV136" s="231">
        <f t="shared" ca="1" si="151"/>
        <v>3712.5842988415766</v>
      </c>
      <c r="AW136" s="231"/>
      <c r="AX136" s="231">
        <f t="shared" ca="1" si="152"/>
        <v>9072.9538354716988</v>
      </c>
      <c r="AY136" s="231">
        <f t="shared" ca="1" si="153"/>
        <v>1134.1192294339623</v>
      </c>
      <c r="AZ136" s="231"/>
      <c r="BA136" s="232">
        <f t="shared" ca="1" si="120"/>
        <v>379191.52496528882</v>
      </c>
      <c r="BB136" s="231">
        <f t="shared" ca="1" si="121"/>
        <v>322.16780068979995</v>
      </c>
      <c r="BC136" s="231">
        <f t="shared" ca="1" si="154"/>
        <v>15354.614194261254</v>
      </c>
      <c r="BD136" s="231">
        <f t="shared" ca="1" si="155"/>
        <v>82609.326808603451</v>
      </c>
      <c r="BE136" s="231">
        <f t="shared" ca="1" si="156"/>
        <v>2868.3794030765089</v>
      </c>
      <c r="BF136" s="231">
        <f t="shared" ca="1" si="122"/>
        <v>28500.799801850604</v>
      </c>
      <c r="BG136" s="231">
        <f t="shared" ca="1" si="123"/>
        <v>129655.28800848163</v>
      </c>
      <c r="BH136" s="232">
        <f t="shared" ca="1" si="124"/>
        <v>508846.81297377043</v>
      </c>
      <c r="BI136" s="244">
        <f t="shared" ca="1" si="157"/>
        <v>2.1387817433666472</v>
      </c>
      <c r="BJ136" s="243">
        <f t="shared" ca="1" si="158"/>
        <v>5.4093408709865987</v>
      </c>
      <c r="BK136" s="242">
        <f t="shared" ca="1" si="159"/>
        <v>7.5481226143532458</v>
      </c>
      <c r="BL136" s="241">
        <f t="shared" ca="1" si="160"/>
        <v>1.5399228552239859</v>
      </c>
      <c r="BM136" s="243">
        <f t="shared" ca="1" si="161"/>
        <v>2.3963380058470629</v>
      </c>
      <c r="BN136" s="243">
        <f t="shared" si="125"/>
        <v>0</v>
      </c>
      <c r="BO136" s="242">
        <f t="shared" ca="1" si="126"/>
        <v>3.9362608610710486</v>
      </c>
      <c r="BP136" s="67"/>
      <c r="BQ136" s="67"/>
      <c r="BR136" s="67"/>
      <c r="BS136" s="67"/>
      <c r="BT136" s="67"/>
      <c r="BU136" s="67"/>
      <c r="BV136" s="67"/>
      <c r="BW136" s="67"/>
      <c r="BX136" s="67"/>
      <c r="BY136" s="67"/>
      <c r="BZ136" s="67"/>
      <c r="CA136" s="67"/>
      <c r="CB136" s="67"/>
    </row>
    <row r="137" spans="1:80" ht="12" customHeight="1" x14ac:dyDescent="0.15">
      <c r="A137" s="213">
        <f t="shared" si="127"/>
        <v>131</v>
      </c>
      <c r="B137" s="67">
        <f t="shared" si="128"/>
        <v>524</v>
      </c>
      <c r="C137" s="224">
        <f t="shared" si="129"/>
        <v>120.92307692307692</v>
      </c>
      <c r="D137" s="225">
        <f ca="1">IFERROR(OFFSET(extrapolation!P146,0,OS_dist_choice-1,1,1),0)</f>
        <v>0.11228815118565093</v>
      </c>
      <c r="E137" s="225">
        <f ca="1">IFERROR(OFFSET(extrapolation!D146,0,PFS_dist_choice-1,1,1),0)</f>
        <v>3.1442760776344336E-2</v>
      </c>
      <c r="F137" s="214"/>
      <c r="G137" s="226">
        <f t="shared" ca="1" si="130"/>
        <v>31.442760776344336</v>
      </c>
      <c r="H137" s="224">
        <f t="shared" ca="1" si="131"/>
        <v>80.84539040930656</v>
      </c>
      <c r="I137" s="224">
        <f t="shared" ca="1" si="108"/>
        <v>887.71184881434908</v>
      </c>
      <c r="J137" s="227">
        <f t="shared" ca="1" si="109"/>
        <v>1000</v>
      </c>
      <c r="K137" s="238">
        <f t="shared" ca="1" si="132"/>
        <v>0.61921664593178605</v>
      </c>
      <c r="L137" s="239">
        <f t="shared" ca="1" si="133"/>
        <v>1.3132270658936704</v>
      </c>
      <c r="M137" s="238">
        <f t="shared" ca="1" si="134"/>
        <v>31.752369099310229</v>
      </c>
      <c r="N137" s="238">
        <f t="shared" ca="1" si="135"/>
        <v>81.192395619287538</v>
      </c>
      <c r="O137" s="239">
        <f t="shared" ca="1" si="136"/>
        <v>887.05523528140225</v>
      </c>
      <c r="P137" s="217"/>
      <c r="Q137" s="217"/>
      <c r="R137" s="224"/>
      <c r="S137" s="230">
        <f t="shared" ca="1" si="137"/>
        <v>478435.4866733813</v>
      </c>
      <c r="T137" s="231">
        <f t="shared" ca="1" si="138"/>
        <v>2978.6506711739321</v>
      </c>
      <c r="U137" s="231">
        <f t="shared" ca="1" si="139"/>
        <v>4892.8919004812424</v>
      </c>
      <c r="V137" s="231"/>
      <c r="W137" s="231">
        <f t="shared" ca="1" si="140"/>
        <v>11957.434164894643</v>
      </c>
      <c r="X137" s="231">
        <f t="shared" ca="1" si="141"/>
        <v>1494.6792706118304</v>
      </c>
      <c r="Y137" s="231"/>
      <c r="Z137" s="232">
        <f t="shared" ca="1" si="110"/>
        <v>499759.14268054295</v>
      </c>
      <c r="AA137" s="231">
        <f t="shared" ca="1" si="111"/>
        <v>423.27351136020536</v>
      </c>
      <c r="AB137" s="231">
        <f t="shared" ca="1" si="142"/>
        <v>20459.242318459706</v>
      </c>
      <c r="AC137" s="231">
        <f t="shared" ca="1" si="143"/>
        <v>110072.72560281761</v>
      </c>
      <c r="AD137" s="231">
        <f t="shared" ca="1" si="144"/>
        <v>3821.9696389867222</v>
      </c>
      <c r="AE137" s="231">
        <f t="shared" ca="1" si="112"/>
        <v>37624.638184605217</v>
      </c>
      <c r="AF137" s="231">
        <f t="shared" ca="1" si="113"/>
        <v>172401.84925622947</v>
      </c>
      <c r="AG137" s="232">
        <f t="shared" ca="1" si="114"/>
        <v>672160.99193677236</v>
      </c>
      <c r="AH137" s="244">
        <f t="shared" ca="1" si="145"/>
        <v>2.4341309644919549</v>
      </c>
      <c r="AI137" s="243">
        <f t="shared" ca="1" si="146"/>
        <v>6.2241945991514065</v>
      </c>
      <c r="AJ137" s="242">
        <f t="shared" ca="1" si="147"/>
        <v>8.6583255636433609</v>
      </c>
      <c r="AK137" s="241">
        <f t="shared" ca="1" si="148"/>
        <v>1.7525742944342075</v>
      </c>
      <c r="AL137" s="243">
        <f t="shared" ca="1" si="149"/>
        <v>2.7573182074240732</v>
      </c>
      <c r="AM137" s="243"/>
      <c r="AN137" s="242">
        <f t="shared" ca="1" si="115"/>
        <v>4.5098925018582809</v>
      </c>
      <c r="AO137" s="224"/>
      <c r="AP137" s="235">
        <f t="shared" si="150"/>
        <v>10.076923076923077</v>
      </c>
      <c r="AQ137" s="235">
        <f t="shared" si="116"/>
        <v>0.74240395037742279</v>
      </c>
      <c r="AR137" s="235">
        <f t="shared" si="117"/>
        <v>0.86068094819037344</v>
      </c>
      <c r="AT137" s="230">
        <f t="shared" ca="1" si="118"/>
        <v>355192.39530706307</v>
      </c>
      <c r="AU137" s="231">
        <f t="shared" ca="1" si="119"/>
        <v>2211.3620250738891</v>
      </c>
      <c r="AV137" s="231">
        <f t="shared" ca="1" si="151"/>
        <v>3632.5022756869703</v>
      </c>
      <c r="AW137" s="231"/>
      <c r="AX137" s="231">
        <f t="shared" ca="1" si="152"/>
        <v>8877.2463603957422</v>
      </c>
      <c r="AY137" s="231">
        <f t="shared" ca="1" si="153"/>
        <v>1109.6557950494678</v>
      </c>
      <c r="AZ137" s="231"/>
      <c r="BA137" s="232">
        <f t="shared" ca="1" si="120"/>
        <v>371023.16176326916</v>
      </c>
      <c r="BB137" s="231">
        <f t="shared" ca="1" si="121"/>
        <v>314.23992692393938</v>
      </c>
      <c r="BC137" s="231">
        <f t="shared" ca="1" si="154"/>
        <v>15189.022318953428</v>
      </c>
      <c r="BD137" s="231">
        <f t="shared" ca="1" si="155"/>
        <v>81718.42631634188</v>
      </c>
      <c r="BE137" s="231">
        <f t="shared" ca="1" si="156"/>
        <v>2837.4453582063152</v>
      </c>
      <c r="BF137" s="231">
        <f t="shared" ca="1" si="122"/>
        <v>27932.680019772139</v>
      </c>
      <c r="BG137" s="231">
        <f t="shared" ca="1" si="123"/>
        <v>127991.81394019771</v>
      </c>
      <c r="BH137" s="232">
        <f t="shared" ca="1" si="124"/>
        <v>499014.97570346686</v>
      </c>
      <c r="BI137" s="244">
        <f t="shared" ca="1" si="157"/>
        <v>2.0950101465384838</v>
      </c>
      <c r="BJ137" s="243">
        <f t="shared" ca="1" si="158"/>
        <v>5.357045709319034</v>
      </c>
      <c r="BK137" s="242">
        <f t="shared" ca="1" si="159"/>
        <v>7.4520558558575178</v>
      </c>
      <c r="BL137" s="241">
        <f t="shared" ca="1" si="160"/>
        <v>1.5084073055077085</v>
      </c>
      <c r="BM137" s="243">
        <f t="shared" ca="1" si="161"/>
        <v>2.3731712492283319</v>
      </c>
      <c r="BN137" s="243">
        <f t="shared" si="125"/>
        <v>0</v>
      </c>
      <c r="BO137" s="242">
        <f t="shared" ca="1" si="126"/>
        <v>3.8815785547360409</v>
      </c>
      <c r="BP137" s="67"/>
      <c r="BQ137" s="67"/>
      <c r="BR137" s="67"/>
      <c r="BS137" s="67"/>
      <c r="BT137" s="67"/>
      <c r="BU137" s="67"/>
      <c r="BV137" s="67"/>
      <c r="BW137" s="67"/>
      <c r="BX137" s="67"/>
      <c r="BY137" s="67"/>
      <c r="BZ137" s="67"/>
      <c r="CA137" s="67"/>
      <c r="CB137" s="67"/>
    </row>
    <row r="138" spans="1:80" ht="12" customHeight="1" x14ac:dyDescent="0.15">
      <c r="A138" s="213">
        <f t="shared" si="127"/>
        <v>132</v>
      </c>
      <c r="B138" s="67">
        <f t="shared" si="128"/>
        <v>528</v>
      </c>
      <c r="C138" s="224">
        <f t="shared" si="129"/>
        <v>121.84615384615384</v>
      </c>
      <c r="D138" s="225">
        <f ca="1">IFERROR(OFFSET(extrapolation!P147,0,OS_dist_choice-1,1,1),0)</f>
        <v>0.11099803987615273</v>
      </c>
      <c r="E138" s="225">
        <f ca="1">IFERROR(OFFSET(extrapolation!D147,0,PFS_dist_choice-1,1,1),0)</f>
        <v>3.0837358812089377E-2</v>
      </c>
      <c r="F138" s="214"/>
      <c r="G138" s="226">
        <f t="shared" ca="1" si="130"/>
        <v>30.837358812089377</v>
      </c>
      <c r="H138" s="224">
        <f t="shared" ca="1" si="131"/>
        <v>80.160681064063397</v>
      </c>
      <c r="I138" s="224">
        <f t="shared" ca="1" si="108"/>
        <v>889.0019601238472</v>
      </c>
      <c r="J138" s="227">
        <f t="shared" ca="1" si="109"/>
        <v>1000</v>
      </c>
      <c r="K138" s="238">
        <f t="shared" ca="1" si="132"/>
        <v>0.60540196425495907</v>
      </c>
      <c r="L138" s="239">
        <f t="shared" ca="1" si="133"/>
        <v>1.2901113094981156</v>
      </c>
      <c r="M138" s="238">
        <f t="shared" ca="1" si="134"/>
        <v>31.140059794216857</v>
      </c>
      <c r="N138" s="238">
        <f t="shared" ca="1" si="135"/>
        <v>80.503035736684978</v>
      </c>
      <c r="O138" s="239">
        <f t="shared" ca="1" si="136"/>
        <v>888.35690446909814</v>
      </c>
      <c r="P138" s="217"/>
      <c r="Q138" s="217"/>
      <c r="R138" s="224"/>
      <c r="S138" s="230">
        <f t="shared" ca="1" si="137"/>
        <v>469223.64343030145</v>
      </c>
      <c r="T138" s="231">
        <f t="shared" ca="1" si="138"/>
        <v>2921.2994423812388</v>
      </c>
      <c r="U138" s="231">
        <f t="shared" ca="1" si="139"/>
        <v>4798.5378940097771</v>
      </c>
      <c r="V138" s="231"/>
      <c r="W138" s="231">
        <f t="shared" ca="1" si="140"/>
        <v>11726.848277545361</v>
      </c>
      <c r="X138" s="231">
        <f t="shared" ca="1" si="141"/>
        <v>1465.8560346931702</v>
      </c>
      <c r="Y138" s="231"/>
      <c r="Z138" s="232">
        <f t="shared" ca="1" si="110"/>
        <v>490136.18507893104</v>
      </c>
      <c r="AA138" s="231">
        <f t="shared" ca="1" si="111"/>
        <v>413.830307822169</v>
      </c>
      <c r="AB138" s="231">
        <f t="shared" ca="1" si="142"/>
        <v>20285.534167896891</v>
      </c>
      <c r="AC138" s="231">
        <f t="shared" ca="1" si="143"/>
        <v>109138.1587555096</v>
      </c>
      <c r="AD138" s="231">
        <f t="shared" ca="1" si="144"/>
        <v>3789.5194012329721</v>
      </c>
      <c r="AE138" s="231">
        <f t="shared" ca="1" si="112"/>
        <v>36962.359745990827</v>
      </c>
      <c r="AF138" s="231">
        <f t="shared" ca="1" si="113"/>
        <v>170589.40237845248</v>
      </c>
      <c r="AG138" s="232">
        <f t="shared" ca="1" si="114"/>
        <v>660725.58745738352</v>
      </c>
      <c r="AH138" s="244">
        <f t="shared" ca="1" si="145"/>
        <v>2.3871914421302449</v>
      </c>
      <c r="AI138" s="243">
        <f t="shared" ca="1" si="146"/>
        <v>6.1713483932297866</v>
      </c>
      <c r="AJ138" s="242">
        <f t="shared" ca="1" si="147"/>
        <v>8.5585398353600315</v>
      </c>
      <c r="AK138" s="241">
        <f t="shared" ca="1" si="148"/>
        <v>1.7187778383337762</v>
      </c>
      <c r="AL138" s="243">
        <f t="shared" ca="1" si="149"/>
        <v>2.7339073382007957</v>
      </c>
      <c r="AM138" s="243"/>
      <c r="AN138" s="242">
        <f t="shared" ca="1" si="115"/>
        <v>4.4526851765345716</v>
      </c>
      <c r="AO138" s="224"/>
      <c r="AP138" s="235">
        <f t="shared" si="150"/>
        <v>10.153846153846153</v>
      </c>
      <c r="AQ138" s="235">
        <f t="shared" si="116"/>
        <v>0.74071782405652453</v>
      </c>
      <c r="AR138" s="235">
        <f t="shared" si="117"/>
        <v>0.85969579358069081</v>
      </c>
      <c r="AT138" s="230">
        <f t="shared" ca="1" si="118"/>
        <v>347562.31615756743</v>
      </c>
      <c r="AU138" s="231">
        <f t="shared" ca="1" si="119"/>
        <v>2163.8585663781696</v>
      </c>
      <c r="AV138" s="231">
        <f t="shared" ca="1" si="151"/>
        <v>3554.3625475036997</v>
      </c>
      <c r="AW138" s="231"/>
      <c r="AX138" s="231">
        <f t="shared" ca="1" si="152"/>
        <v>8686.2855391844023</v>
      </c>
      <c r="AY138" s="231">
        <f t="shared" ca="1" si="153"/>
        <v>1085.7856923980503</v>
      </c>
      <c r="AZ138" s="231"/>
      <c r="BA138" s="232">
        <f t="shared" ca="1" si="120"/>
        <v>363052.60850303178</v>
      </c>
      <c r="BB138" s="231">
        <f t="shared" ca="1" si="121"/>
        <v>306.53148513867876</v>
      </c>
      <c r="BC138" s="231">
        <f t="shared" ca="1" si="154"/>
        <v>15025.856728668867</v>
      </c>
      <c r="BD138" s="231">
        <f t="shared" ca="1" si="155"/>
        <v>80840.579474916609</v>
      </c>
      <c r="BE138" s="231">
        <f t="shared" ca="1" si="156"/>
        <v>2806.9645651012706</v>
      </c>
      <c r="BF138" s="231">
        <f t="shared" ca="1" si="122"/>
        <v>27378.678683044796</v>
      </c>
      <c r="BG138" s="231">
        <f t="shared" ca="1" si="123"/>
        <v>126358.61093687023</v>
      </c>
      <c r="BH138" s="232">
        <f t="shared" ca="1" si="124"/>
        <v>489411.21943990199</v>
      </c>
      <c r="BI138" s="244">
        <f t="shared" ca="1" si="157"/>
        <v>2.0522584412711948</v>
      </c>
      <c r="BJ138" s="243">
        <f t="shared" ca="1" si="158"/>
        <v>5.3054822543806024</v>
      </c>
      <c r="BK138" s="242">
        <f t="shared" ca="1" si="159"/>
        <v>7.3577406956517972</v>
      </c>
      <c r="BL138" s="241">
        <f t="shared" ca="1" si="160"/>
        <v>1.4776260777152601</v>
      </c>
      <c r="BM138" s="243">
        <f t="shared" ca="1" si="161"/>
        <v>2.3503286386906073</v>
      </c>
      <c r="BN138" s="243">
        <f t="shared" si="125"/>
        <v>0</v>
      </c>
      <c r="BO138" s="242">
        <f t="shared" ca="1" si="126"/>
        <v>3.8279547164058672</v>
      </c>
      <c r="BP138" s="67"/>
      <c r="BQ138" s="67"/>
      <c r="BR138" s="67"/>
      <c r="BS138" s="67"/>
      <c r="BT138" s="67"/>
      <c r="BU138" s="67"/>
      <c r="BV138" s="67"/>
      <c r="BW138" s="67"/>
      <c r="BX138" s="67"/>
      <c r="BY138" s="67"/>
      <c r="BZ138" s="67"/>
      <c r="CA138" s="67"/>
      <c r="CB138" s="67"/>
    </row>
    <row r="139" spans="1:80" ht="12" customHeight="1" x14ac:dyDescent="0.15">
      <c r="A139" s="213">
        <f t="shared" si="127"/>
        <v>133</v>
      </c>
      <c r="B139" s="67">
        <f t="shared" si="128"/>
        <v>532</v>
      </c>
      <c r="C139" s="224">
        <f t="shared" si="129"/>
        <v>122.76923076923076</v>
      </c>
      <c r="D139" s="225">
        <f ca="1">IFERROR(OFFSET(extrapolation!P148,0,OS_dist_choice-1,1,1),0)</f>
        <v>0.10973050928925003</v>
      </c>
      <c r="E139" s="225">
        <f ca="1">IFERROR(OFFSET(extrapolation!D148,0,PFS_dist_choice-1,1,1),0)</f>
        <v>3.0245416781604417E-2</v>
      </c>
      <c r="F139" s="214"/>
      <c r="G139" s="226">
        <f t="shared" ca="1" si="130"/>
        <v>30.245416781604419</v>
      </c>
      <c r="H139" s="224">
        <f t="shared" ca="1" si="131"/>
        <v>79.485092507645618</v>
      </c>
      <c r="I139" s="224">
        <f t="shared" ca="1" si="108"/>
        <v>890.26949071075001</v>
      </c>
      <c r="J139" s="227">
        <f t="shared" ca="1" si="109"/>
        <v>1000</v>
      </c>
      <c r="K139" s="238">
        <f t="shared" ca="1" si="132"/>
        <v>0.59194203048495808</v>
      </c>
      <c r="L139" s="239">
        <f t="shared" ca="1" si="133"/>
        <v>1.267530586902808</v>
      </c>
      <c r="M139" s="238">
        <f t="shared" ca="1" si="134"/>
        <v>30.541387796846898</v>
      </c>
      <c r="N139" s="238">
        <f t="shared" ca="1" si="135"/>
        <v>79.822886785854507</v>
      </c>
      <c r="O139" s="239">
        <f t="shared" ca="1" si="136"/>
        <v>889.63572541729854</v>
      </c>
      <c r="P139" s="217"/>
      <c r="Q139" s="217"/>
      <c r="R139" s="224"/>
      <c r="S139" s="230">
        <f t="shared" ca="1" si="137"/>
        <v>460216.60758341849</v>
      </c>
      <c r="T139" s="231">
        <f t="shared" ca="1" si="138"/>
        <v>2865.2233064801385</v>
      </c>
      <c r="U139" s="231">
        <f t="shared" ca="1" si="139"/>
        <v>4706.2853330177213</v>
      </c>
      <c r="V139" s="231"/>
      <c r="W139" s="231">
        <f t="shared" ca="1" si="140"/>
        <v>11501.397982087792</v>
      </c>
      <c r="X139" s="231">
        <f t="shared" ca="1" si="141"/>
        <v>1437.674747760974</v>
      </c>
      <c r="Y139" s="231"/>
      <c r="Z139" s="232">
        <f t="shared" ca="1" si="110"/>
        <v>480727.18895276514</v>
      </c>
      <c r="AA139" s="231">
        <f t="shared" ca="1" si="111"/>
        <v>404.6295967835776</v>
      </c>
      <c r="AB139" s="231">
        <f t="shared" ca="1" si="142"/>
        <v>20114.147031311637</v>
      </c>
      <c r="AC139" s="231">
        <f t="shared" ca="1" si="143"/>
        <v>108216.07919051126</v>
      </c>
      <c r="AD139" s="231">
        <f t="shared" ca="1" si="144"/>
        <v>3757.5027496705293</v>
      </c>
      <c r="AE139" s="231">
        <f t="shared" ca="1" si="112"/>
        <v>36315.410303917582</v>
      </c>
      <c r="AF139" s="231">
        <f t="shared" ca="1" si="113"/>
        <v>168807.76887219457</v>
      </c>
      <c r="AG139" s="232">
        <f t="shared" ca="1" si="114"/>
        <v>649534.95782495965</v>
      </c>
      <c r="AH139" s="244">
        <f t="shared" ca="1" si="145"/>
        <v>2.3412973533517132</v>
      </c>
      <c r="AI139" s="243">
        <f t="shared" ca="1" si="146"/>
        <v>6.119208295698634</v>
      </c>
      <c r="AJ139" s="242">
        <f t="shared" ca="1" si="147"/>
        <v>8.4605056490503472</v>
      </c>
      <c r="AK139" s="241">
        <f t="shared" ca="1" si="148"/>
        <v>1.6857340944132335</v>
      </c>
      <c r="AL139" s="243">
        <f t="shared" ca="1" si="149"/>
        <v>2.710809274994495</v>
      </c>
      <c r="AM139" s="243"/>
      <c r="AN139" s="242">
        <f t="shared" ca="1" si="115"/>
        <v>4.3965433694077287</v>
      </c>
      <c r="AO139" s="224"/>
      <c r="AP139" s="235">
        <f t="shared" si="150"/>
        <v>10.23076923076923</v>
      </c>
      <c r="AQ139" s="235">
        <f t="shared" si="116"/>
        <v>0.73903552721682531</v>
      </c>
      <c r="AR139" s="235">
        <f t="shared" si="117"/>
        <v>0.85871176660094706</v>
      </c>
      <c r="AT139" s="230">
        <f t="shared" ca="1" si="118"/>
        <v>340116.42321935046</v>
      </c>
      <c r="AU139" s="231">
        <f t="shared" ca="1" si="119"/>
        <v>2117.5018168984848</v>
      </c>
      <c r="AV139" s="231">
        <f t="shared" ca="1" si="151"/>
        <v>3478.1120623195638</v>
      </c>
      <c r="AW139" s="231"/>
      <c r="AX139" s="231">
        <f t="shared" ca="1" si="152"/>
        <v>8499.9417214227815</v>
      </c>
      <c r="AY139" s="231">
        <f t="shared" ca="1" si="153"/>
        <v>1062.4927151778477</v>
      </c>
      <c r="AZ139" s="231"/>
      <c r="BA139" s="232">
        <f t="shared" ca="1" si="120"/>
        <v>355274.47153516917</v>
      </c>
      <c r="BB139" s="231">
        <f t="shared" ca="1" si="121"/>
        <v>299.03564738648271</v>
      </c>
      <c r="BC139" s="231">
        <f t="shared" ca="1" si="154"/>
        <v>14865.069255802136</v>
      </c>
      <c r="BD139" s="231">
        <f t="shared" ca="1" si="155"/>
        <v>79975.52713789721</v>
      </c>
      <c r="BE139" s="231">
        <f t="shared" ca="1" si="156"/>
        <v>2776.9280256214302</v>
      </c>
      <c r="BF139" s="231">
        <f t="shared" ca="1" si="122"/>
        <v>26838.37840005106</v>
      </c>
      <c r="BG139" s="231">
        <f t="shared" ca="1" si="123"/>
        <v>124754.93846675831</v>
      </c>
      <c r="BH139" s="232">
        <f t="shared" ca="1" si="124"/>
        <v>480029.41000192746</v>
      </c>
      <c r="BI139" s="244">
        <f t="shared" ca="1" si="157"/>
        <v>2.0104995864347712</v>
      </c>
      <c r="BJ139" s="243">
        <f t="shared" ca="1" si="158"/>
        <v>5.2546361657985443</v>
      </c>
      <c r="BK139" s="242">
        <f t="shared" ca="1" si="159"/>
        <v>7.2651357522333155</v>
      </c>
      <c r="BL139" s="241">
        <f t="shared" ca="1" si="160"/>
        <v>1.4475597022330355</v>
      </c>
      <c r="BM139" s="243">
        <f t="shared" ca="1" si="161"/>
        <v>2.3278038214487551</v>
      </c>
      <c r="BN139" s="243">
        <f t="shared" si="125"/>
        <v>0</v>
      </c>
      <c r="BO139" s="242">
        <f t="shared" ca="1" si="126"/>
        <v>3.7753635236817908</v>
      </c>
      <c r="BP139" s="67"/>
      <c r="BQ139" s="67"/>
      <c r="BR139" s="67"/>
      <c r="BS139" s="67"/>
      <c r="BT139" s="67"/>
      <c r="BU139" s="67"/>
      <c r="BV139" s="67"/>
      <c r="BW139" s="67"/>
      <c r="BX139" s="67"/>
      <c r="BY139" s="67"/>
      <c r="BZ139" s="67"/>
      <c r="CA139" s="67"/>
      <c r="CB139" s="67"/>
    </row>
    <row r="140" spans="1:80" ht="12" customHeight="1" x14ac:dyDescent="0.15">
      <c r="A140" s="213">
        <f t="shared" si="127"/>
        <v>134</v>
      </c>
      <c r="B140" s="67">
        <f t="shared" si="128"/>
        <v>536</v>
      </c>
      <c r="C140" s="224">
        <f t="shared" si="129"/>
        <v>123.69230769230771</v>
      </c>
      <c r="D140" s="225">
        <f ca="1">IFERROR(OFFSET(extrapolation!P149,0,OS_dist_choice-1,1,1),0)</f>
        <v>0.10848503945212096</v>
      </c>
      <c r="E140" s="225">
        <f ca="1">IFERROR(OFFSET(extrapolation!D149,0,PFS_dist_choice-1,1,1),0)</f>
        <v>2.9666590366306478E-2</v>
      </c>
      <c r="F140" s="214"/>
      <c r="G140" s="226">
        <f t="shared" ca="1" si="130"/>
        <v>29.66659036630648</v>
      </c>
      <c r="H140" s="224">
        <f t="shared" ca="1" si="131"/>
        <v>78.81844908581445</v>
      </c>
      <c r="I140" s="224">
        <f t="shared" ca="1" si="108"/>
        <v>891.51496054787901</v>
      </c>
      <c r="J140" s="227">
        <f t="shared" ca="1" si="109"/>
        <v>1000</v>
      </c>
      <c r="K140" s="238">
        <f t="shared" ca="1" si="132"/>
        <v>0.57882641529793943</v>
      </c>
      <c r="L140" s="239">
        <f t="shared" ca="1" si="133"/>
        <v>1.2454698371290078</v>
      </c>
      <c r="M140" s="238">
        <f t="shared" ca="1" si="134"/>
        <v>29.956003573955449</v>
      </c>
      <c r="N140" s="238">
        <f t="shared" ca="1" si="135"/>
        <v>79.151770796730034</v>
      </c>
      <c r="O140" s="239">
        <f t="shared" ca="1" si="136"/>
        <v>890.89222562931445</v>
      </c>
      <c r="P140" s="217"/>
      <c r="Q140" s="217"/>
      <c r="R140" s="224"/>
      <c r="S140" s="230">
        <f t="shared" ca="1" si="137"/>
        <v>451409.13995446824</v>
      </c>
      <c r="T140" s="231">
        <f t="shared" ca="1" si="138"/>
        <v>2810.3896453177399</v>
      </c>
      <c r="U140" s="231">
        <f t="shared" ca="1" si="139"/>
        <v>4616.0803560631894</v>
      </c>
      <c r="V140" s="231"/>
      <c r="W140" s="231">
        <f t="shared" ca="1" si="140"/>
        <v>11280.951649894439</v>
      </c>
      <c r="X140" s="231">
        <f t="shared" ca="1" si="141"/>
        <v>1410.1189562368049</v>
      </c>
      <c r="Y140" s="231"/>
      <c r="Z140" s="232">
        <f t="shared" ca="1" si="110"/>
        <v>471526.68056198041</v>
      </c>
      <c r="AA140" s="231">
        <f t="shared" ca="1" si="111"/>
        <v>395.66424914582984</v>
      </c>
      <c r="AB140" s="231">
        <f t="shared" ca="1" si="142"/>
        <v>19945.036062968335</v>
      </c>
      <c r="AC140" s="231">
        <f t="shared" ca="1" si="143"/>
        <v>107306.24563337684</v>
      </c>
      <c r="AD140" s="231">
        <f t="shared" ca="1" si="144"/>
        <v>3725.9113067144731</v>
      </c>
      <c r="AE140" s="231">
        <f t="shared" ca="1" si="112"/>
        <v>35683.358353514399</v>
      </c>
      <c r="AF140" s="231">
        <f t="shared" ca="1" si="113"/>
        <v>167056.21560571986</v>
      </c>
      <c r="AG140" s="232">
        <f t="shared" ca="1" si="114"/>
        <v>638582.8961677003</v>
      </c>
      <c r="AH140" s="244">
        <f t="shared" ca="1" si="145"/>
        <v>2.2964219030000068</v>
      </c>
      <c r="AI140" s="243">
        <f t="shared" ca="1" si="146"/>
        <v>6.0677606634043562</v>
      </c>
      <c r="AJ140" s="242">
        <f t="shared" ca="1" si="147"/>
        <v>8.364182566404363</v>
      </c>
      <c r="AK140" s="241">
        <f t="shared" ca="1" si="148"/>
        <v>1.6534237701600047</v>
      </c>
      <c r="AL140" s="243">
        <f t="shared" ca="1" si="149"/>
        <v>2.68801797388813</v>
      </c>
      <c r="AM140" s="243"/>
      <c r="AN140" s="242">
        <f t="shared" ca="1" si="115"/>
        <v>4.3414417440481348</v>
      </c>
      <c r="AO140" s="224"/>
      <c r="AP140" s="235">
        <f t="shared" si="150"/>
        <v>10.307692307692308</v>
      </c>
      <c r="AQ140" s="235">
        <f t="shared" si="116"/>
        <v>0.73735705116091843</v>
      </c>
      <c r="AR140" s="235">
        <f t="shared" si="117"/>
        <v>0.85772886596043174</v>
      </c>
      <c r="AT140" s="230">
        <f t="shared" ca="1" si="118"/>
        <v>332849.71230391302</v>
      </c>
      <c r="AU140" s="231">
        <f t="shared" ca="1" si="119"/>
        <v>2072.2606214846683</v>
      </c>
      <c r="AV140" s="231">
        <f t="shared" ca="1" si="151"/>
        <v>3403.6993992685957</v>
      </c>
      <c r="AW140" s="231"/>
      <c r="AX140" s="231">
        <f t="shared" ca="1" si="152"/>
        <v>8318.0892428550615</v>
      </c>
      <c r="AY140" s="231">
        <f t="shared" ca="1" si="153"/>
        <v>1039.7611553568827</v>
      </c>
      <c r="AZ140" s="231"/>
      <c r="BA140" s="232">
        <f t="shared" ca="1" si="120"/>
        <v>347683.5227228782</v>
      </c>
      <c r="BB140" s="231">
        <f t="shared" ca="1" si="121"/>
        <v>291.74582399996802</v>
      </c>
      <c r="BC140" s="231">
        <f t="shared" ca="1" si="154"/>
        <v>14706.612976688506</v>
      </c>
      <c r="BD140" s="231">
        <f t="shared" ca="1" si="155"/>
        <v>79123.016851375927</v>
      </c>
      <c r="BE140" s="231">
        <f t="shared" ca="1" si="156"/>
        <v>2747.3269740061082</v>
      </c>
      <c r="BF140" s="231">
        <f t="shared" ca="1" si="122"/>
        <v>26311.375891065702</v>
      </c>
      <c r="BG140" s="231">
        <f t="shared" ca="1" si="123"/>
        <v>123180.07851713619</v>
      </c>
      <c r="BH140" s="232">
        <f t="shared" ca="1" si="124"/>
        <v>470863.60124001442</v>
      </c>
      <c r="BI140" s="244">
        <f t="shared" ca="1" si="157"/>
        <v>1.9697073546268924</v>
      </c>
      <c r="BJ140" s="243">
        <f t="shared" ca="1" si="158"/>
        <v>5.2044934727411354</v>
      </c>
      <c r="BK140" s="242">
        <f t="shared" ca="1" si="159"/>
        <v>7.1742008273680282</v>
      </c>
      <c r="BL140" s="241">
        <f t="shared" ca="1" si="160"/>
        <v>1.4181892953313624</v>
      </c>
      <c r="BM140" s="243">
        <f t="shared" ca="1" si="161"/>
        <v>2.3055906084243234</v>
      </c>
      <c r="BN140" s="243">
        <f t="shared" si="125"/>
        <v>0</v>
      </c>
      <c r="BO140" s="242">
        <f t="shared" ca="1" si="126"/>
        <v>3.7237799037556858</v>
      </c>
      <c r="BP140" s="67"/>
      <c r="BQ140" s="67"/>
      <c r="BR140" s="67"/>
      <c r="BS140" s="67"/>
      <c r="BT140" s="67"/>
      <c r="BU140" s="67"/>
      <c r="BV140" s="67"/>
      <c r="BW140" s="67"/>
      <c r="BX140" s="67"/>
      <c r="BY140" s="67"/>
      <c r="BZ140" s="67"/>
      <c r="CA140" s="67"/>
      <c r="CB140" s="67"/>
    </row>
    <row r="141" spans="1:80" ht="12" customHeight="1" x14ac:dyDescent="0.15">
      <c r="A141" s="213">
        <f t="shared" si="127"/>
        <v>135</v>
      </c>
      <c r="B141" s="67">
        <f t="shared" si="128"/>
        <v>540</v>
      </c>
      <c r="C141" s="224">
        <f t="shared" si="129"/>
        <v>124.61538461538461</v>
      </c>
      <c r="D141" s="225">
        <f ca="1">IFERROR(OFFSET(extrapolation!P150,0,OS_dist_choice-1,1,1),0)</f>
        <v>0.10726112496329067</v>
      </c>
      <c r="E141" s="225">
        <f ca="1">IFERROR(OFFSET(extrapolation!D150,0,PFS_dist_choice-1,1,1),0)</f>
        <v>2.9100545328240024E-2</v>
      </c>
      <c r="F141" s="214"/>
      <c r="G141" s="226">
        <f t="shared" ca="1" si="130"/>
        <v>29.100545328240024</v>
      </c>
      <c r="H141" s="224">
        <f t="shared" ca="1" si="131"/>
        <v>78.160579635050567</v>
      </c>
      <c r="I141" s="224">
        <f t="shared" ca="1" si="108"/>
        <v>892.73887503670937</v>
      </c>
      <c r="J141" s="227">
        <f t="shared" ca="1" si="109"/>
        <v>1000</v>
      </c>
      <c r="K141" s="238">
        <f t="shared" ca="1" si="132"/>
        <v>0.56604503806645567</v>
      </c>
      <c r="L141" s="239">
        <f t="shared" ca="1" si="133"/>
        <v>1.2239144888303599</v>
      </c>
      <c r="M141" s="238">
        <f t="shared" ca="1" si="134"/>
        <v>29.383567847273252</v>
      </c>
      <c r="N141" s="238">
        <f t="shared" ca="1" si="135"/>
        <v>78.489514360432509</v>
      </c>
      <c r="O141" s="239">
        <f t="shared" ca="1" si="136"/>
        <v>892.12691779229419</v>
      </c>
      <c r="P141" s="217"/>
      <c r="Q141" s="217"/>
      <c r="R141" s="224"/>
      <c r="S141" s="230">
        <f t="shared" ca="1" si="137"/>
        <v>442796.15475279593</v>
      </c>
      <c r="T141" s="231">
        <f t="shared" ca="1" si="138"/>
        <v>2756.7667957039807</v>
      </c>
      <c r="U141" s="231">
        <f t="shared" ca="1" si="139"/>
        <v>4527.8706819481868</v>
      </c>
      <c r="V141" s="231"/>
      <c r="W141" s="231">
        <f t="shared" ca="1" si="140"/>
        <v>11065.38151419755</v>
      </c>
      <c r="X141" s="231">
        <f t="shared" ca="1" si="141"/>
        <v>1383.1726892746938</v>
      </c>
      <c r="Y141" s="231"/>
      <c r="Z141" s="232">
        <f t="shared" ca="1" si="110"/>
        <v>462529.34643392038</v>
      </c>
      <c r="AA141" s="231">
        <f t="shared" ca="1" si="111"/>
        <v>386.92737416623589</v>
      </c>
      <c r="AB141" s="231">
        <f t="shared" ca="1" si="142"/>
        <v>19778.157566480764</v>
      </c>
      <c r="AC141" s="231">
        <f t="shared" ca="1" si="143"/>
        <v>106408.42299327282</v>
      </c>
      <c r="AD141" s="231">
        <f t="shared" ca="1" si="144"/>
        <v>3694.7369094886394</v>
      </c>
      <c r="AE141" s="231">
        <f t="shared" ca="1" si="112"/>
        <v>35065.786418132557</v>
      </c>
      <c r="AF141" s="231">
        <f t="shared" ca="1" si="113"/>
        <v>165334.03126154101</v>
      </c>
      <c r="AG141" s="232">
        <f t="shared" ca="1" si="114"/>
        <v>627863.37769546139</v>
      </c>
      <c r="AH141" s="244">
        <f t="shared" ca="1" si="145"/>
        <v>2.2525390820633842</v>
      </c>
      <c r="AI141" s="243">
        <f t="shared" ca="1" si="146"/>
        <v>6.0169922028531424</v>
      </c>
      <c r="AJ141" s="242">
        <f t="shared" ca="1" si="147"/>
        <v>8.2695312849165266</v>
      </c>
      <c r="AK141" s="241">
        <f t="shared" ca="1" si="148"/>
        <v>1.6218281390856366</v>
      </c>
      <c r="AL141" s="243">
        <f t="shared" ca="1" si="149"/>
        <v>2.665527545863942</v>
      </c>
      <c r="AM141" s="243"/>
      <c r="AN141" s="242">
        <f t="shared" ca="1" si="115"/>
        <v>4.2873556849495786</v>
      </c>
      <c r="AO141" s="224"/>
      <c r="AP141" s="235">
        <f t="shared" si="150"/>
        <v>10.384615384615385</v>
      </c>
      <c r="AQ141" s="235">
        <f t="shared" si="116"/>
        <v>0.73568238721115053</v>
      </c>
      <c r="AR141" s="235">
        <f t="shared" si="117"/>
        <v>0.85674709036991203</v>
      </c>
      <c r="AT141" s="230">
        <f t="shared" ca="1" si="118"/>
        <v>325757.33217645495</v>
      </c>
      <c r="AU141" s="231">
        <f t="shared" ca="1" si="119"/>
        <v>2028.1047772479387</v>
      </c>
      <c r="AV141" s="231">
        <f t="shared" ca="1" si="151"/>
        <v>3331.0747122790222</v>
      </c>
      <c r="AW141" s="231"/>
      <c r="AX141" s="231">
        <f t="shared" ca="1" si="152"/>
        <v>8140.6062877669892</v>
      </c>
      <c r="AY141" s="231">
        <f t="shared" ca="1" si="153"/>
        <v>1017.5757859708737</v>
      </c>
      <c r="AZ141" s="231"/>
      <c r="BA141" s="232">
        <f t="shared" ca="1" si="120"/>
        <v>340274.69373971981</v>
      </c>
      <c r="BB141" s="231">
        <f t="shared" ca="1" si="121"/>
        <v>284.6556543039585</v>
      </c>
      <c r="BC141" s="231">
        <f t="shared" ca="1" si="154"/>
        <v>14550.442173146848</v>
      </c>
      <c r="BD141" s="231">
        <f t="shared" ca="1" si="155"/>
        <v>78282.802647064833</v>
      </c>
      <c r="BE141" s="231">
        <f t="shared" ca="1" si="156"/>
        <v>2718.1528696897508</v>
      </c>
      <c r="BF141" s="231">
        <f t="shared" ca="1" si="122"/>
        <v>25797.281461528099</v>
      </c>
      <c r="BG141" s="231">
        <f t="shared" ca="1" si="123"/>
        <v>121633.33480573348</v>
      </c>
      <c r="BH141" s="232">
        <f t="shared" ca="1" si="124"/>
        <v>461908.02854545327</v>
      </c>
      <c r="BI141" s="244">
        <f t="shared" ca="1" si="157"/>
        <v>1.9298563045023169</v>
      </c>
      <c r="BJ141" s="243">
        <f t="shared" ca="1" si="158"/>
        <v>5.1550405625728777</v>
      </c>
      <c r="BK141" s="242">
        <f t="shared" ca="1" si="159"/>
        <v>7.0848968670751944</v>
      </c>
      <c r="BL141" s="241">
        <f t="shared" ca="1" si="160"/>
        <v>1.3894965392416683</v>
      </c>
      <c r="BM141" s="243">
        <f t="shared" ca="1" si="161"/>
        <v>2.2836829692197846</v>
      </c>
      <c r="BN141" s="243">
        <f t="shared" si="125"/>
        <v>0</v>
      </c>
      <c r="BO141" s="242">
        <f t="shared" ca="1" si="126"/>
        <v>3.6731795084614527</v>
      </c>
      <c r="BP141" s="67"/>
      <c r="BQ141" s="67"/>
      <c r="BR141" s="67"/>
      <c r="BS141" s="67"/>
      <c r="BT141" s="67"/>
      <c r="BU141" s="67"/>
      <c r="BV141" s="67"/>
      <c r="BW141" s="67"/>
      <c r="BX141" s="67"/>
      <c r="BY141" s="67"/>
      <c r="BZ141" s="67"/>
      <c r="CA141" s="67"/>
      <c r="CB141" s="67"/>
    </row>
    <row r="142" spans="1:80" ht="12" customHeight="1" x14ac:dyDescent="0.15">
      <c r="A142" s="213">
        <f t="shared" si="127"/>
        <v>136</v>
      </c>
      <c r="B142" s="67">
        <f t="shared" si="128"/>
        <v>544</v>
      </c>
      <c r="C142" s="224">
        <f t="shared" si="129"/>
        <v>125.53846153846155</v>
      </c>
      <c r="D142" s="225">
        <f ca="1">IFERROR(OFFSET(extrapolation!P151,0,OS_dist_choice-1,1,1),0)</f>
        <v>0.10605827452063787</v>
      </c>
      <c r="E142" s="225">
        <f ca="1">IFERROR(OFFSET(extrapolation!D151,0,PFS_dist_choice-1,1,1),0)</f>
        <v>2.8546957174542031E-2</v>
      </c>
      <c r="F142" s="214"/>
      <c r="G142" s="226">
        <f t="shared" ca="1" si="130"/>
        <v>28.54695717454203</v>
      </c>
      <c r="H142" s="224">
        <f t="shared" ca="1" si="131"/>
        <v>77.51131734609578</v>
      </c>
      <c r="I142" s="224">
        <f t="shared" ca="1" si="108"/>
        <v>893.94172547936216</v>
      </c>
      <c r="J142" s="227">
        <f t="shared" ca="1" si="109"/>
        <v>1000</v>
      </c>
      <c r="K142" s="238">
        <f t="shared" ca="1" si="132"/>
        <v>0.5535881536979943</v>
      </c>
      <c r="L142" s="239">
        <f t="shared" ca="1" si="133"/>
        <v>1.2028504426527888</v>
      </c>
      <c r="M142" s="238">
        <f t="shared" ca="1" si="134"/>
        <v>28.823751251391027</v>
      </c>
      <c r="N142" s="238">
        <f t="shared" ca="1" si="135"/>
        <v>77.835948490573173</v>
      </c>
      <c r="O142" s="239">
        <f t="shared" ca="1" si="136"/>
        <v>893.34030025803577</v>
      </c>
      <c r="P142" s="217"/>
      <c r="Q142" s="217"/>
      <c r="R142" s="224"/>
      <c r="S142" s="230">
        <f t="shared" ca="1" si="137"/>
        <v>434372.71446983004</v>
      </c>
      <c r="T142" s="231">
        <f t="shared" ca="1" si="138"/>
        <v>2704.3240176255672</v>
      </c>
      <c r="U142" s="231">
        <f t="shared" ca="1" si="139"/>
        <v>4441.6055570001836</v>
      </c>
      <c r="V142" s="231"/>
      <c r="W142" s="231">
        <f t="shared" ca="1" si="140"/>
        <v>10854.563541253838</v>
      </c>
      <c r="X142" s="231">
        <f t="shared" ca="1" si="141"/>
        <v>1356.8204426567297</v>
      </c>
      <c r="Y142" s="231"/>
      <c r="Z142" s="232">
        <f t="shared" ca="1" si="110"/>
        <v>453730.02802836645</v>
      </c>
      <c r="AA142" s="231">
        <f t="shared" ca="1" si="111"/>
        <v>378.412310461331</v>
      </c>
      <c r="AB142" s="231">
        <f t="shared" ca="1" si="142"/>
        <v>19613.46895986265</v>
      </c>
      <c r="AC142" s="231">
        <f t="shared" ca="1" si="143"/>
        <v>105522.38217494644</v>
      </c>
      <c r="AD142" s="231">
        <f t="shared" ca="1" si="144"/>
        <v>3663.9716032967508</v>
      </c>
      <c r="AE142" s="231">
        <f t="shared" ca="1" si="112"/>
        <v>34462.290543947536</v>
      </c>
      <c r="AF142" s="231">
        <f t="shared" ca="1" si="113"/>
        <v>163640.52559251472</v>
      </c>
      <c r="AG142" s="232">
        <f t="shared" ca="1" si="114"/>
        <v>617370.55362088117</v>
      </c>
      <c r="AH142" s="244">
        <f t="shared" ca="1" si="145"/>
        <v>2.2096236414481827</v>
      </c>
      <c r="AI142" s="243">
        <f t="shared" ca="1" si="146"/>
        <v>5.9668899595785048</v>
      </c>
      <c r="AJ142" s="242">
        <f t="shared" ca="1" si="147"/>
        <v>8.1765136010266879</v>
      </c>
      <c r="AK142" s="241">
        <f t="shared" ca="1" si="148"/>
        <v>1.5909290218426915</v>
      </c>
      <c r="AL142" s="243">
        <f t="shared" ca="1" si="149"/>
        <v>2.6433322520932778</v>
      </c>
      <c r="AM142" s="243"/>
      <c r="AN142" s="242">
        <f t="shared" ca="1" si="115"/>
        <v>4.2342612739359691</v>
      </c>
      <c r="AO142" s="224"/>
      <c r="AP142" s="235">
        <f t="shared" si="150"/>
        <v>10.461538461538462</v>
      </c>
      <c r="AQ142" s="235">
        <f t="shared" si="116"/>
        <v>0.73401152670957681</v>
      </c>
      <c r="AR142" s="235">
        <f t="shared" si="117"/>
        <v>0.85576643854163048</v>
      </c>
      <c r="AT142" s="230">
        <f t="shared" ca="1" si="118"/>
        <v>318834.57930898305</v>
      </c>
      <c r="AU142" s="231">
        <f t="shared" ca="1" si="119"/>
        <v>1985.0050008947192</v>
      </c>
      <c r="AV142" s="231">
        <f t="shared" ca="1" si="151"/>
        <v>3260.1896759354449</v>
      </c>
      <c r="AW142" s="231"/>
      <c r="AX142" s="231">
        <f t="shared" ca="1" si="152"/>
        <v>7967.3747566818402</v>
      </c>
      <c r="AY142" s="231">
        <f t="shared" ca="1" si="153"/>
        <v>995.92184458523002</v>
      </c>
      <c r="AZ142" s="231"/>
      <c r="BA142" s="232">
        <f t="shared" ca="1" si="120"/>
        <v>333043.07058708032</v>
      </c>
      <c r="BB142" s="231">
        <f t="shared" ca="1" si="121"/>
        <v>277.75899772741991</v>
      </c>
      <c r="BC142" s="231">
        <f t="shared" ca="1" si="154"/>
        <v>14396.512295299679</v>
      </c>
      <c r="BD142" s="231">
        <f t="shared" ca="1" si="155"/>
        <v>77454.644842263864</v>
      </c>
      <c r="BE142" s="231">
        <f t="shared" ca="1" si="156"/>
        <v>2689.3973903563838</v>
      </c>
      <c r="BF142" s="231">
        <f t="shared" ca="1" si="122"/>
        <v>25295.718496071942</v>
      </c>
      <c r="BG142" s="231">
        <f t="shared" ca="1" si="123"/>
        <v>120114.03202171931</v>
      </c>
      <c r="BH142" s="232">
        <f t="shared" ca="1" si="124"/>
        <v>453157.10260879964</v>
      </c>
      <c r="BI142" s="244">
        <f t="shared" ca="1" si="157"/>
        <v>1.8909217541595</v>
      </c>
      <c r="BJ142" s="243">
        <f t="shared" ca="1" si="158"/>
        <v>5.1062641698783109</v>
      </c>
      <c r="BK142" s="242">
        <f t="shared" ca="1" si="159"/>
        <v>6.9971859240378107</v>
      </c>
      <c r="BL142" s="241">
        <f t="shared" ca="1" si="160"/>
        <v>1.36146366299484</v>
      </c>
      <c r="BM142" s="243">
        <f t="shared" ca="1" si="161"/>
        <v>2.2620750272560919</v>
      </c>
      <c r="BN142" s="243">
        <f t="shared" si="125"/>
        <v>0</v>
      </c>
      <c r="BO142" s="242">
        <f t="shared" ca="1" si="126"/>
        <v>3.6235386902509314</v>
      </c>
      <c r="BP142" s="67"/>
      <c r="BQ142" s="67"/>
      <c r="BR142" s="67"/>
      <c r="BS142" s="67"/>
      <c r="BT142" s="67"/>
      <c r="BU142" s="67"/>
      <c r="BV142" s="67"/>
      <c r="BW142" s="67"/>
      <c r="BX142" s="67"/>
      <c r="BY142" s="67"/>
      <c r="BZ142" s="67"/>
      <c r="CA142" s="67"/>
      <c r="CB142" s="67"/>
    </row>
    <row r="143" spans="1:80" ht="12" customHeight="1" x14ac:dyDescent="0.15">
      <c r="A143" s="213">
        <f t="shared" si="127"/>
        <v>137</v>
      </c>
      <c r="B143" s="67">
        <f t="shared" si="128"/>
        <v>548</v>
      </c>
      <c r="C143" s="224">
        <f t="shared" si="129"/>
        <v>126.46153846153845</v>
      </c>
      <c r="D143" s="225">
        <f ca="1">IFERROR(OFFSET(extrapolation!P152,0,OS_dist_choice-1,1,1),0)</f>
        <v>0.10487601046635922</v>
      </c>
      <c r="E143" s="225">
        <f ca="1">IFERROR(OFFSET(extrapolation!D152,0,PFS_dist_choice-1,1,1),0)</f>
        <v>2.8005510834506531E-2</v>
      </c>
      <c r="F143" s="214"/>
      <c r="G143" s="226">
        <f t="shared" ca="1" si="130"/>
        <v>28.005510834506531</v>
      </c>
      <c r="H143" s="224">
        <f t="shared" ca="1" si="131"/>
        <v>76.870499631852681</v>
      </c>
      <c r="I143" s="224">
        <f t="shared" ca="1" si="108"/>
        <v>895.12398953364084</v>
      </c>
      <c r="J143" s="227">
        <f t="shared" ca="1" si="109"/>
        <v>1000</v>
      </c>
      <c r="K143" s="238">
        <f t="shared" ca="1" si="132"/>
        <v>0.54144634003549896</v>
      </c>
      <c r="L143" s="239">
        <f t="shared" ca="1" si="133"/>
        <v>1.1822640542786758</v>
      </c>
      <c r="M143" s="238">
        <f t="shared" ca="1" si="134"/>
        <v>28.27623400452428</v>
      </c>
      <c r="N143" s="238">
        <f t="shared" ca="1" si="135"/>
        <v>77.19090848897423</v>
      </c>
      <c r="O143" s="239">
        <f t="shared" ca="1" si="136"/>
        <v>894.5328575065015</v>
      </c>
      <c r="P143" s="217"/>
      <c r="Q143" s="217"/>
      <c r="R143" s="224"/>
      <c r="S143" s="230">
        <f t="shared" ca="1" si="137"/>
        <v>426134.02496527176</v>
      </c>
      <c r="T143" s="231">
        <f t="shared" ca="1" si="138"/>
        <v>2653.0314636535013</v>
      </c>
      <c r="U143" s="231">
        <f t="shared" ca="1" si="139"/>
        <v>4357.2357043385036</v>
      </c>
      <c r="V143" s="231"/>
      <c r="W143" s="231">
        <f t="shared" ca="1" si="140"/>
        <v>10648.377306359771</v>
      </c>
      <c r="X143" s="231">
        <f t="shared" ca="1" si="141"/>
        <v>1331.0471632949714</v>
      </c>
      <c r="Y143" s="231"/>
      <c r="Z143" s="232">
        <f t="shared" ca="1" si="110"/>
        <v>445123.71660291852</v>
      </c>
      <c r="AA143" s="231">
        <f t="shared" ca="1" si="111"/>
        <v>370.11261739433957</v>
      </c>
      <c r="AB143" s="231">
        <f t="shared" ca="1" si="142"/>
        <v>19450.928741691314</v>
      </c>
      <c r="AC143" s="231">
        <f t="shared" ca="1" si="143"/>
        <v>104647.89989668275</v>
      </c>
      <c r="AD143" s="231">
        <f t="shared" ca="1" si="144"/>
        <v>3633.6076353014842</v>
      </c>
      <c r="AE143" s="231">
        <f t="shared" ca="1" si="112"/>
        <v>33872.479814165883</v>
      </c>
      <c r="AF143" s="231">
        <f t="shared" ca="1" si="113"/>
        <v>161975.02870523577</v>
      </c>
      <c r="AG143" s="232">
        <f t="shared" ca="1" si="114"/>
        <v>607098.74530815426</v>
      </c>
      <c r="AH143" s="244">
        <f t="shared" ca="1" si="145"/>
        <v>2.1676510667397122</v>
      </c>
      <c r="AI143" s="243">
        <f t="shared" ca="1" si="146"/>
        <v>5.9174413078474437</v>
      </c>
      <c r="AJ143" s="242">
        <f t="shared" ca="1" si="147"/>
        <v>8.0850923745871555</v>
      </c>
      <c r="AK143" s="241">
        <f t="shared" ca="1" si="148"/>
        <v>1.5607087680525926</v>
      </c>
      <c r="AL143" s="243">
        <f t="shared" ca="1" si="149"/>
        <v>2.6214264993764176</v>
      </c>
      <c r="AM143" s="243"/>
      <c r="AN143" s="242">
        <f t="shared" ca="1" si="115"/>
        <v>4.1821352674290102</v>
      </c>
      <c r="AO143" s="224"/>
      <c r="AP143" s="235">
        <f t="shared" si="150"/>
        <v>10.538461538461538</v>
      </c>
      <c r="AQ143" s="235">
        <f t="shared" si="116"/>
        <v>0.73234446101791595</v>
      </c>
      <c r="AR143" s="235">
        <f t="shared" si="117"/>
        <v>0.85478690918930356</v>
      </c>
      <c r="AT143" s="230">
        <f t="shared" ca="1" si="118"/>
        <v>312076.89283458708</v>
      </c>
      <c r="AU143" s="231">
        <f t="shared" ca="1" si="119"/>
        <v>1942.9328973128961</v>
      </c>
      <c r="AV143" s="231">
        <f t="shared" ca="1" si="151"/>
        <v>3190.9974334218009</v>
      </c>
      <c r="AW143" s="231"/>
      <c r="AX143" s="231">
        <f t="shared" ca="1" si="152"/>
        <v>7798.2801391414541</v>
      </c>
      <c r="AY143" s="231">
        <f t="shared" ca="1" si="153"/>
        <v>974.78501739268177</v>
      </c>
      <c r="AZ143" s="231"/>
      <c r="BA143" s="232">
        <f t="shared" ca="1" si="120"/>
        <v>325983.88832185592</v>
      </c>
      <c r="BB143" s="231">
        <f t="shared" ca="1" si="121"/>
        <v>271.04992530158773</v>
      </c>
      <c r="BC143" s="231">
        <f t="shared" ca="1" si="154"/>
        <v>14244.779925631816</v>
      </c>
      <c r="BD143" s="231">
        <f t="shared" ca="1" si="155"/>
        <v>76638.30984649295</v>
      </c>
      <c r="BE143" s="231">
        <f t="shared" ca="1" si="156"/>
        <v>2661.0524252254495</v>
      </c>
      <c r="BF143" s="231">
        <f t="shared" ca="1" si="122"/>
        <v>24806.322972845552</v>
      </c>
      <c r="BG143" s="231">
        <f t="shared" ca="1" si="123"/>
        <v>118621.51509549735</v>
      </c>
      <c r="BH143" s="232">
        <f t="shared" ca="1" si="124"/>
        <v>444605.40341735329</v>
      </c>
      <c r="BI143" s="244">
        <f t="shared" ca="1" si="157"/>
        <v>1.8528797555393353</v>
      </c>
      <c r="BJ143" s="243">
        <f t="shared" ca="1" si="158"/>
        <v>5.0581513658440267</v>
      </c>
      <c r="BK143" s="242">
        <f t="shared" ca="1" si="159"/>
        <v>6.9110311213833615</v>
      </c>
      <c r="BL143" s="241">
        <f t="shared" ca="1" si="160"/>
        <v>1.3340734239883214</v>
      </c>
      <c r="BM143" s="243">
        <f t="shared" ca="1" si="161"/>
        <v>2.2407610550689037</v>
      </c>
      <c r="BN143" s="243">
        <f t="shared" si="125"/>
        <v>0</v>
      </c>
      <c r="BO143" s="242">
        <f t="shared" ca="1" si="126"/>
        <v>3.5748344790572251</v>
      </c>
      <c r="BP143" s="67"/>
      <c r="BQ143" s="67"/>
      <c r="BR143" s="67"/>
      <c r="BS143" s="67"/>
      <c r="BT143" s="67"/>
      <c r="BU143" s="67"/>
      <c r="BV143" s="67"/>
      <c r="BW143" s="67"/>
      <c r="BX143" s="67"/>
      <c r="BY143" s="67"/>
      <c r="BZ143" s="67"/>
      <c r="CA143" s="67"/>
      <c r="CB143" s="67"/>
    </row>
    <row r="144" spans="1:80" ht="12" customHeight="1" x14ac:dyDescent="0.15">
      <c r="A144" s="213">
        <f t="shared" si="127"/>
        <v>138</v>
      </c>
      <c r="B144" s="67">
        <f t="shared" si="128"/>
        <v>552</v>
      </c>
      <c r="C144" s="224">
        <f t="shared" si="129"/>
        <v>127.38461538461539</v>
      </c>
      <c r="D144" s="225">
        <f ca="1">IFERROR(OFFSET(extrapolation!P153,0,OS_dist_choice-1,1,1),0)</f>
        <v>0.10371386834824972</v>
      </c>
      <c r="E144" s="225">
        <f ca="1">IFERROR(OFFSET(extrapolation!D153,0,PFS_dist_choice-1,1,1),0)</f>
        <v>2.7475900348723492E-2</v>
      </c>
      <c r="F144" s="214"/>
      <c r="G144" s="226">
        <f t="shared" ca="1" si="130"/>
        <v>27.475900348723492</v>
      </c>
      <c r="H144" s="224">
        <f t="shared" ca="1" si="131"/>
        <v>76.237967999526177</v>
      </c>
      <c r="I144" s="224">
        <f t="shared" ca="1" si="108"/>
        <v>896.28613165175034</v>
      </c>
      <c r="J144" s="227">
        <f t="shared" ca="1" si="109"/>
        <v>1000</v>
      </c>
      <c r="K144" s="238">
        <f t="shared" ca="1" si="132"/>
        <v>0.5296104857830386</v>
      </c>
      <c r="L144" s="239">
        <f t="shared" ca="1" si="133"/>
        <v>1.1621421181095002</v>
      </c>
      <c r="M144" s="238">
        <f t="shared" ca="1" si="134"/>
        <v>27.740705591615011</v>
      </c>
      <c r="N144" s="238">
        <f t="shared" ca="1" si="135"/>
        <v>76.554233815689429</v>
      </c>
      <c r="O144" s="239">
        <f t="shared" ca="1" si="136"/>
        <v>895.70506059269565</v>
      </c>
      <c r="P144" s="217"/>
      <c r="Q144" s="217"/>
      <c r="R144" s="224"/>
      <c r="S144" s="230">
        <f t="shared" ca="1" si="137"/>
        <v>418075.43073700776</v>
      </c>
      <c r="T144" s="231">
        <f t="shared" ca="1" si="138"/>
        <v>2602.8601494944328</v>
      </c>
      <c r="U144" s="231">
        <f t="shared" ca="1" si="139"/>
        <v>4274.7132750417786</v>
      </c>
      <c r="V144" s="231"/>
      <c r="W144" s="231">
        <f t="shared" ca="1" si="140"/>
        <v>10446.705874512747</v>
      </c>
      <c r="X144" s="231">
        <f t="shared" ca="1" si="141"/>
        <v>1305.8382343140934</v>
      </c>
      <c r="Y144" s="231"/>
      <c r="Z144" s="232">
        <f t="shared" ca="1" si="110"/>
        <v>436705.54827037081</v>
      </c>
      <c r="AA144" s="231">
        <f t="shared" ca="1" si="111"/>
        <v>362.02206682161096</v>
      </c>
      <c r="AB144" s="231">
        <f t="shared" ca="1" si="142"/>
        <v>19290.49645835485</v>
      </c>
      <c r="AC144" s="231">
        <f t="shared" ca="1" si="143"/>
        <v>103784.75851409133</v>
      </c>
      <c r="AD144" s="231">
        <f t="shared" ca="1" si="144"/>
        <v>3603.6374484059484</v>
      </c>
      <c r="AE144" s="231">
        <f t="shared" ca="1" si="112"/>
        <v>33295.975881524391</v>
      </c>
      <c r="AF144" s="231">
        <f t="shared" ca="1" si="113"/>
        <v>160336.89036919814</v>
      </c>
      <c r="AG144" s="232">
        <f t="shared" ca="1" si="114"/>
        <v>597042.43863956898</v>
      </c>
      <c r="AH144" s="244">
        <f t="shared" ca="1" si="145"/>
        <v>2.1265975539088853</v>
      </c>
      <c r="AI144" s="243">
        <f t="shared" ca="1" si="146"/>
        <v>5.8686339406962462</v>
      </c>
      <c r="AJ144" s="242">
        <f t="shared" ca="1" si="147"/>
        <v>7.9952314946051315</v>
      </c>
      <c r="AK144" s="241">
        <f t="shared" ca="1" si="148"/>
        <v>1.5311502388143974</v>
      </c>
      <c r="AL144" s="243">
        <f t="shared" ca="1" si="149"/>
        <v>2.5998048357284369</v>
      </c>
      <c r="AM144" s="243"/>
      <c r="AN144" s="242">
        <f t="shared" ca="1" si="115"/>
        <v>4.1309550745428343</v>
      </c>
      <c r="AO144" s="224"/>
      <c r="AP144" s="235">
        <f t="shared" si="150"/>
        <v>10.615384615384615</v>
      </c>
      <c r="AQ144" s="235">
        <f t="shared" si="116"/>
        <v>0.73068118151750572</v>
      </c>
      <c r="AR144" s="235">
        <f t="shared" si="117"/>
        <v>0.85380850102812056</v>
      </c>
      <c r="AT144" s="230">
        <f t="shared" ca="1" si="118"/>
        <v>305479.84969435696</v>
      </c>
      <c r="AU144" s="231">
        <f t="shared" ca="1" si="119"/>
        <v>1901.8609293574236</v>
      </c>
      <c r="AV144" s="231">
        <f t="shared" ca="1" si="151"/>
        <v>3123.4525464560934</v>
      </c>
      <c r="AW144" s="231"/>
      <c r="AX144" s="231">
        <f t="shared" ca="1" si="152"/>
        <v>7633.2113913548419</v>
      </c>
      <c r="AY144" s="231">
        <f t="shared" ca="1" si="153"/>
        <v>954.15142391935524</v>
      </c>
      <c r="AZ144" s="231"/>
      <c r="BA144" s="232">
        <f t="shared" ca="1" si="120"/>
        <v>319092.52598544466</v>
      </c>
      <c r="BB144" s="231">
        <f t="shared" ca="1" si="121"/>
        <v>264.52271152062411</v>
      </c>
      <c r="BC144" s="231">
        <f t="shared" ca="1" si="154"/>
        <v>14095.202744249982</v>
      </c>
      <c r="BD144" s="231">
        <f t="shared" ca="1" si="155"/>
        <v>75833.569974585262</v>
      </c>
      <c r="BE144" s="231">
        <f t="shared" ca="1" si="156"/>
        <v>2633.1100685619881</v>
      </c>
      <c r="BF144" s="231">
        <f t="shared" ca="1" si="122"/>
        <v>24328.742996890614</v>
      </c>
      <c r="BG144" s="231">
        <f t="shared" ca="1" si="123"/>
        <v>117155.14849580848</v>
      </c>
      <c r="BH144" s="232">
        <f t="shared" ca="1" si="124"/>
        <v>436247.6744812532</v>
      </c>
      <c r="BI144" s="244">
        <f t="shared" ca="1" si="157"/>
        <v>1.8157070697930131</v>
      </c>
      <c r="BJ144" s="243">
        <f t="shared" ca="1" si="158"/>
        <v>5.0106895479886138</v>
      </c>
      <c r="BK144" s="242">
        <f t="shared" ca="1" si="159"/>
        <v>6.8263966177816275</v>
      </c>
      <c r="BL144" s="241">
        <f t="shared" ca="1" si="160"/>
        <v>1.3073090902509694</v>
      </c>
      <c r="BM144" s="243">
        <f t="shared" ca="1" si="161"/>
        <v>2.2197354697589557</v>
      </c>
      <c r="BN144" s="243">
        <f t="shared" si="125"/>
        <v>0</v>
      </c>
      <c r="BO144" s="242">
        <f t="shared" ca="1" si="126"/>
        <v>3.5270445600099252</v>
      </c>
      <c r="BP144" s="67"/>
      <c r="BQ144" s="67"/>
      <c r="BR144" s="67"/>
      <c r="BS144" s="67"/>
      <c r="BT144" s="67"/>
      <c r="BU144" s="67"/>
      <c r="BV144" s="67"/>
      <c r="BW144" s="67"/>
      <c r="BX144" s="67"/>
      <c r="BY144" s="67"/>
      <c r="BZ144" s="67"/>
      <c r="CA144" s="67"/>
      <c r="CB144" s="67"/>
    </row>
    <row r="145" spans="1:80" ht="12" customHeight="1" x14ac:dyDescent="0.15">
      <c r="A145" s="213">
        <f t="shared" si="127"/>
        <v>139</v>
      </c>
      <c r="B145" s="67">
        <f t="shared" si="128"/>
        <v>556</v>
      </c>
      <c r="C145" s="224">
        <f t="shared" si="129"/>
        <v>128.30769230769229</v>
      </c>
      <c r="D145" s="225">
        <f ca="1">IFERROR(OFFSET(extrapolation!P154,0,OS_dist_choice-1,1,1),0)</f>
        <v>0.10257139649666819</v>
      </c>
      <c r="E145" s="225">
        <f ca="1">IFERROR(OFFSET(extrapolation!D154,0,PFS_dist_choice-1,1,1),0)</f>
        <v>2.6957828569784459E-2</v>
      </c>
      <c r="F145" s="214"/>
      <c r="G145" s="226">
        <f t="shared" ca="1" si="130"/>
        <v>26.957828569784461</v>
      </c>
      <c r="H145" s="224">
        <f t="shared" ca="1" si="131"/>
        <v>75.613567926883661</v>
      </c>
      <c r="I145" s="224">
        <f t="shared" ca="1" si="108"/>
        <v>897.42860350333183</v>
      </c>
      <c r="J145" s="227">
        <f t="shared" ca="1" si="109"/>
        <v>1000</v>
      </c>
      <c r="K145" s="238">
        <f t="shared" ca="1" si="132"/>
        <v>0.51807177893903145</v>
      </c>
      <c r="L145" s="239">
        <f t="shared" ca="1" si="133"/>
        <v>1.1424718515814902</v>
      </c>
      <c r="M145" s="238">
        <f t="shared" ca="1" si="134"/>
        <v>27.216864459253976</v>
      </c>
      <c r="N145" s="238">
        <f t="shared" ca="1" si="135"/>
        <v>75.925767963204919</v>
      </c>
      <c r="O145" s="239">
        <f t="shared" ca="1" si="136"/>
        <v>896.85736757754103</v>
      </c>
      <c r="P145" s="217"/>
      <c r="Q145" s="217"/>
      <c r="R145" s="224"/>
      <c r="S145" s="230">
        <f t="shared" ca="1" si="137"/>
        <v>410192.41036702425</v>
      </c>
      <c r="T145" s="231">
        <f t="shared" ca="1" si="138"/>
        <v>2553.781925637767</v>
      </c>
      <c r="U145" s="231">
        <f t="shared" ca="1" si="139"/>
        <v>4193.9918011368936</v>
      </c>
      <c r="V145" s="231"/>
      <c r="W145" s="231">
        <f t="shared" ca="1" si="140"/>
        <v>10249.4356855237</v>
      </c>
      <c r="X145" s="231">
        <f t="shared" ca="1" si="141"/>
        <v>1281.1794606904625</v>
      </c>
      <c r="Y145" s="231"/>
      <c r="Z145" s="232">
        <f t="shared" ca="1" si="110"/>
        <v>428470.79924001306</v>
      </c>
      <c r="AA145" s="231">
        <f t="shared" ca="1" si="111"/>
        <v>354.13463518600054</v>
      </c>
      <c r="AB145" s="231">
        <f t="shared" ca="1" si="142"/>
        <v>19132.132672352662</v>
      </c>
      <c r="AC145" s="231">
        <f t="shared" ca="1" si="143"/>
        <v>102932.74584956003</v>
      </c>
      <c r="AD145" s="231">
        <f t="shared" ca="1" si="144"/>
        <v>3574.0536753319452</v>
      </c>
      <c r="AE145" s="231">
        <f t="shared" ca="1" si="112"/>
        <v>32732.412518925335</v>
      </c>
      <c r="AF145" s="231">
        <f t="shared" ca="1" si="113"/>
        <v>158725.47935135599</v>
      </c>
      <c r="AG145" s="232">
        <f t="shared" ca="1" si="114"/>
        <v>587196.27859136905</v>
      </c>
      <c r="AH145" s="244">
        <f t="shared" ca="1" si="145"/>
        <v>2.086439985925014</v>
      </c>
      <c r="AI145" s="243">
        <f t="shared" ca="1" si="146"/>
        <v>5.8204558602867573</v>
      </c>
      <c r="AJ145" s="242">
        <f t="shared" ca="1" si="147"/>
        <v>7.9068958462117713</v>
      </c>
      <c r="AK145" s="241">
        <f t="shared" ca="1" si="148"/>
        <v>1.5022367898660101</v>
      </c>
      <c r="AL145" s="243">
        <f t="shared" ca="1" si="149"/>
        <v>2.5784619461070335</v>
      </c>
      <c r="AM145" s="243"/>
      <c r="AN145" s="242">
        <f t="shared" ca="1" si="115"/>
        <v>4.0806987359730433</v>
      </c>
      <c r="AO145" s="224"/>
      <c r="AP145" s="235">
        <f t="shared" si="150"/>
        <v>10.692307692307692</v>
      </c>
      <c r="AQ145" s="235">
        <f t="shared" si="116"/>
        <v>0.72902167960925846</v>
      </c>
      <c r="AR145" s="235">
        <f t="shared" si="117"/>
        <v>0.85283121277474117</v>
      </c>
      <c r="AT145" s="230">
        <f t="shared" ca="1" si="118"/>
        <v>299039.15996873821</v>
      </c>
      <c r="AU145" s="231">
        <f t="shared" ca="1" si="119"/>
        <v>1861.7623887842112</v>
      </c>
      <c r="AV145" s="231">
        <f t="shared" ca="1" si="151"/>
        <v>3057.5109471322771</v>
      </c>
      <c r="AW145" s="231"/>
      <c r="AX145" s="231">
        <f t="shared" ca="1" si="152"/>
        <v>7472.0608185075589</v>
      </c>
      <c r="AY145" s="231">
        <f t="shared" ca="1" si="153"/>
        <v>934.00760231344486</v>
      </c>
      <c r="AZ145" s="231"/>
      <c r="BA145" s="232">
        <f t="shared" ca="1" si="120"/>
        <v>312364.50172547571</v>
      </c>
      <c r="BB145" s="231">
        <f t="shared" ca="1" si="121"/>
        <v>258.17182655111009</v>
      </c>
      <c r="BC145" s="231">
        <f t="shared" ca="1" si="154"/>
        <v>13947.739495305708</v>
      </c>
      <c r="BD145" s="231">
        <f t="shared" ca="1" si="155"/>
        <v>75040.203266039185</v>
      </c>
      <c r="BE145" s="231">
        <f t="shared" ca="1" si="156"/>
        <v>2605.5626134041381</v>
      </c>
      <c r="BF145" s="231">
        <f t="shared" ca="1" si="122"/>
        <v>23862.638352210066</v>
      </c>
      <c r="BG145" s="231">
        <f t="shared" ca="1" si="123"/>
        <v>115714.31555351021</v>
      </c>
      <c r="BH145" s="232">
        <f t="shared" ca="1" si="124"/>
        <v>428078.81727898592</v>
      </c>
      <c r="BI145" s="244">
        <f t="shared" ca="1" si="157"/>
        <v>1.7793811435781435</v>
      </c>
      <c r="BJ145" s="243">
        <f t="shared" ca="1" si="158"/>
        <v>4.9638664302302047</v>
      </c>
      <c r="BK145" s="242">
        <f t="shared" ca="1" si="159"/>
        <v>6.7432475738083486</v>
      </c>
      <c r="BL145" s="241">
        <f t="shared" ca="1" si="160"/>
        <v>1.2811544233762633</v>
      </c>
      <c r="BM145" s="243">
        <f t="shared" ca="1" si="161"/>
        <v>2.1989928285919809</v>
      </c>
      <c r="BN145" s="243">
        <f t="shared" si="125"/>
        <v>0</v>
      </c>
      <c r="BO145" s="242">
        <f t="shared" ca="1" si="126"/>
        <v>3.4801472519682437</v>
      </c>
      <c r="BP145" s="67"/>
      <c r="BQ145" s="67"/>
      <c r="BR145" s="67"/>
      <c r="BS145" s="67"/>
      <c r="BT145" s="67"/>
      <c r="BU145" s="67"/>
      <c r="BV145" s="67"/>
      <c r="BW145" s="67"/>
      <c r="BX145" s="67"/>
      <c r="BY145" s="67"/>
      <c r="BZ145" s="67"/>
      <c r="CA145" s="67"/>
      <c r="CB145" s="67"/>
    </row>
    <row r="146" spans="1:80" ht="12" customHeight="1" x14ac:dyDescent="0.15">
      <c r="A146" s="213">
        <f t="shared" si="127"/>
        <v>140</v>
      </c>
      <c r="B146" s="67">
        <f t="shared" si="128"/>
        <v>560</v>
      </c>
      <c r="C146" s="224">
        <f t="shared" si="129"/>
        <v>129.23076923076923</v>
      </c>
      <c r="D146" s="225">
        <f ca="1">IFERROR(OFFSET(extrapolation!P155,0,OS_dist_choice-1,1,1),0)</f>
        <v>0.10144815561659411</v>
      </c>
      <c r="E146" s="225">
        <f ca="1">IFERROR(OFFSET(extrapolation!D155,0,PFS_dist_choice-1,1,1),0)</f>
        <v>2.6451006874074867E-2</v>
      </c>
      <c r="F146" s="214"/>
      <c r="G146" s="226">
        <f t="shared" ca="1" si="130"/>
        <v>26.451006874074867</v>
      </c>
      <c r="H146" s="224">
        <f t="shared" ca="1" si="131"/>
        <v>74.997148742519244</v>
      </c>
      <c r="I146" s="224">
        <f t="shared" ca="1" si="108"/>
        <v>898.55184438340586</v>
      </c>
      <c r="J146" s="227">
        <f t="shared" ca="1" si="109"/>
        <v>1000</v>
      </c>
      <c r="K146" s="238">
        <f t="shared" ca="1" si="132"/>
        <v>0.50682169570959346</v>
      </c>
      <c r="L146" s="239">
        <f t="shared" ca="1" si="133"/>
        <v>1.1232408800740359</v>
      </c>
      <c r="M146" s="238">
        <f t="shared" ca="1" si="134"/>
        <v>26.704417721929666</v>
      </c>
      <c r="N146" s="238">
        <f t="shared" ca="1" si="135"/>
        <v>75.305358334701452</v>
      </c>
      <c r="O146" s="239">
        <f t="shared" ca="1" si="136"/>
        <v>897.99022394336885</v>
      </c>
      <c r="P146" s="217"/>
      <c r="Q146" s="217"/>
      <c r="R146" s="224"/>
      <c r="S146" s="230">
        <f t="shared" ca="1" si="137"/>
        <v>402480.57213601639</v>
      </c>
      <c r="T146" s="231">
        <f t="shared" ca="1" si="138"/>
        <v>2505.7694500530324</v>
      </c>
      <c r="U146" s="231">
        <f t="shared" ca="1" si="139"/>
        <v>4115.0261503333249</v>
      </c>
      <c r="V146" s="231"/>
      <c r="W146" s="231">
        <f t="shared" ca="1" si="140"/>
        <v>10056.456443395162</v>
      </c>
      <c r="X146" s="231">
        <f t="shared" ca="1" si="141"/>
        <v>1257.0570554243952</v>
      </c>
      <c r="Y146" s="231"/>
      <c r="Z146" s="232">
        <f t="shared" ca="1" si="110"/>
        <v>420414.88123522233</v>
      </c>
      <c r="AA146" s="231">
        <f t="shared" ca="1" si="111"/>
        <v>346.44449593844655</v>
      </c>
      <c r="AB146" s="231">
        <f t="shared" ca="1" si="142"/>
        <v>18975.7989316194</v>
      </c>
      <c r="AC146" s="231">
        <f t="shared" ca="1" si="143"/>
        <v>102091.65502721477</v>
      </c>
      <c r="AD146" s="231">
        <f t="shared" ca="1" si="144"/>
        <v>3544.8491328894015</v>
      </c>
      <c r="AE146" s="231">
        <f t="shared" ca="1" si="112"/>
        <v>32181.435187054682</v>
      </c>
      <c r="AF146" s="231">
        <f t="shared" ca="1" si="113"/>
        <v>157140.1827747167</v>
      </c>
      <c r="AG146" s="232">
        <f t="shared" ca="1" si="114"/>
        <v>577555.06400993909</v>
      </c>
      <c r="AH146" s="244">
        <f t="shared" ca="1" si="145"/>
        <v>2.0471559102369077</v>
      </c>
      <c r="AI146" s="243">
        <f t="shared" ca="1" si="146"/>
        <v>5.7728953685739652</v>
      </c>
      <c r="AJ146" s="242">
        <f t="shared" ca="1" si="147"/>
        <v>7.8200512788108725</v>
      </c>
      <c r="AK146" s="241">
        <f t="shared" ca="1" si="148"/>
        <v>1.4739522553705735</v>
      </c>
      <c r="AL146" s="243">
        <f t="shared" ca="1" si="149"/>
        <v>2.5573926482782667</v>
      </c>
      <c r="AM146" s="243"/>
      <c r="AN146" s="242">
        <f t="shared" ca="1" si="115"/>
        <v>4.03134490364884</v>
      </c>
      <c r="AO146" s="224"/>
      <c r="AP146" s="235">
        <f t="shared" si="150"/>
        <v>10.76923076923077</v>
      </c>
      <c r="AQ146" s="235">
        <f t="shared" si="116"/>
        <v>0.7273659467136161</v>
      </c>
      <c r="AR146" s="235">
        <f t="shared" si="117"/>
        <v>0.85185504314729354</v>
      </c>
      <c r="AT146" s="230">
        <f t="shared" ca="1" si="118"/>
        <v>292750.66238555143</v>
      </c>
      <c r="AU146" s="231">
        <f t="shared" ca="1" si="119"/>
        <v>1822.6113682838811</v>
      </c>
      <c r="AV146" s="231">
        <f t="shared" ca="1" si="151"/>
        <v>2993.1298915884859</v>
      </c>
      <c r="AW146" s="231"/>
      <c r="AX146" s="231">
        <f t="shared" ca="1" si="152"/>
        <v>7314.7239615343669</v>
      </c>
      <c r="AY146" s="231">
        <f t="shared" ca="1" si="153"/>
        <v>914.34049519179587</v>
      </c>
      <c r="AZ146" s="231"/>
      <c r="BA146" s="232">
        <f t="shared" ca="1" si="120"/>
        <v>305795.46810214996</v>
      </c>
      <c r="BB146" s="231">
        <f t="shared" ca="1" si="121"/>
        <v>251.99192877198971</v>
      </c>
      <c r="BC146" s="231">
        <f t="shared" ca="1" si="154"/>
        <v>13802.34995454457</v>
      </c>
      <c r="BD146" s="231">
        <f t="shared" ca="1" si="155"/>
        <v>74257.993310429971</v>
      </c>
      <c r="BE146" s="231">
        <f t="shared" ca="1" si="156"/>
        <v>2578.4025455010405</v>
      </c>
      <c r="BF146" s="231">
        <f t="shared" ca="1" si="122"/>
        <v>23407.680071434905</v>
      </c>
      <c r="BG146" s="231">
        <f t="shared" ca="1" si="123"/>
        <v>114298.41781068248</v>
      </c>
      <c r="BH146" s="232">
        <f t="shared" ca="1" si="124"/>
        <v>420093.88591283251</v>
      </c>
      <c r="BI146" s="244">
        <f t="shared" ca="1" si="157"/>
        <v>1.743880086244098</v>
      </c>
      <c r="BJ146" s="243">
        <f t="shared" ca="1" si="158"/>
        <v>4.9176700332813859</v>
      </c>
      <c r="BK146" s="242">
        <f t="shared" ca="1" si="159"/>
        <v>6.6615501195254838</v>
      </c>
      <c r="BL146" s="241">
        <f t="shared" ca="1" si="160"/>
        <v>1.2555936620957506</v>
      </c>
      <c r="BM146" s="243">
        <f t="shared" ca="1" si="161"/>
        <v>2.1785278247436541</v>
      </c>
      <c r="BN146" s="243">
        <f t="shared" si="125"/>
        <v>0</v>
      </c>
      <c r="BO146" s="242">
        <f t="shared" ca="1" si="126"/>
        <v>3.4341214868394045</v>
      </c>
      <c r="BP146" s="67"/>
      <c r="BQ146" s="67"/>
      <c r="BR146" s="67"/>
      <c r="BS146" s="67"/>
      <c r="BT146" s="67"/>
      <c r="BU146" s="67"/>
      <c r="BV146" s="67"/>
      <c r="BW146" s="67"/>
      <c r="BX146" s="67"/>
      <c r="BY146" s="67"/>
      <c r="BZ146" s="67"/>
      <c r="CA146" s="67"/>
      <c r="CB146" s="67"/>
    </row>
    <row r="147" spans="1:80" ht="12" customHeight="1" x14ac:dyDescent="0.15">
      <c r="A147" s="213">
        <f t="shared" si="127"/>
        <v>141</v>
      </c>
      <c r="B147" s="67">
        <f t="shared" si="128"/>
        <v>564</v>
      </c>
      <c r="C147" s="224">
        <f t="shared" si="129"/>
        <v>130.15384615384616</v>
      </c>
      <c r="D147" s="225">
        <f ca="1">IFERROR(OFFSET(extrapolation!P156,0,OS_dist_choice-1,1,1),0)</f>
        <v>0.10034371839419497</v>
      </c>
      <c r="E147" s="225">
        <f ca="1">IFERROR(OFFSET(extrapolation!D156,0,PFS_dist_choice-1,1,1),0)</f>
        <v>2.5955154884191201E-2</v>
      </c>
      <c r="F147" s="214"/>
      <c r="G147" s="226">
        <f t="shared" ca="1" si="130"/>
        <v>25.955154884191202</v>
      </c>
      <c r="H147" s="224">
        <f t="shared" ca="1" si="131"/>
        <v>74.388563510003792</v>
      </c>
      <c r="I147" s="224">
        <f t="shared" ca="1" si="108"/>
        <v>899.65628160580502</v>
      </c>
      <c r="J147" s="227">
        <f t="shared" ca="1" si="109"/>
        <v>1000</v>
      </c>
      <c r="K147" s="238">
        <f t="shared" ca="1" si="132"/>
        <v>0.49585198988366486</v>
      </c>
      <c r="L147" s="239">
        <f t="shared" ca="1" si="133"/>
        <v>1.1044372223991559</v>
      </c>
      <c r="M147" s="238">
        <f t="shared" ca="1" si="134"/>
        <v>26.203080879133033</v>
      </c>
      <c r="N147" s="238">
        <f t="shared" ca="1" si="135"/>
        <v>74.692856126261518</v>
      </c>
      <c r="O147" s="239">
        <f t="shared" ca="1" si="136"/>
        <v>899.10406299460544</v>
      </c>
      <c r="P147" s="217"/>
      <c r="Q147" s="217"/>
      <c r="R147" s="224"/>
      <c r="S147" s="230">
        <f t="shared" ca="1" si="137"/>
        <v>394935.64979966619</v>
      </c>
      <c r="T147" s="231">
        <f t="shared" ca="1" si="138"/>
        <v>2458.796161893772</v>
      </c>
      <c r="U147" s="231">
        <f t="shared" ca="1" si="139"/>
        <v>4037.7724824302973</v>
      </c>
      <c r="V147" s="231"/>
      <c r="W147" s="231">
        <f t="shared" ca="1" si="140"/>
        <v>9867.6610097874345</v>
      </c>
      <c r="X147" s="231">
        <f t="shared" ca="1" si="141"/>
        <v>1233.4576262234293</v>
      </c>
      <c r="Y147" s="231"/>
      <c r="Z147" s="232">
        <f t="shared" ca="1" si="110"/>
        <v>412533.33708000107</v>
      </c>
      <c r="AA147" s="231">
        <f t="shared" ca="1" si="111"/>
        <v>338.94601227520081</v>
      </c>
      <c r="AB147" s="231">
        <f t="shared" ca="1" si="142"/>
        <v>18821.457739842968</v>
      </c>
      <c r="AC147" s="231">
        <f t="shared" ca="1" si="143"/>
        <v>101261.28431322746</v>
      </c>
      <c r="AD147" s="231">
        <f t="shared" ca="1" si="144"/>
        <v>3516.0168164315082</v>
      </c>
      <c r="AE147" s="231">
        <f t="shared" ca="1" si="112"/>
        <v>31642.700618647745</v>
      </c>
      <c r="AF147" s="231">
        <f t="shared" ca="1" si="113"/>
        <v>155580.40550042488</v>
      </c>
      <c r="AG147" s="232">
        <f t="shared" ca="1" si="114"/>
        <v>568113.74258042593</v>
      </c>
      <c r="AH147" s="244">
        <f t="shared" ca="1" si="145"/>
        <v>2.0087235170861737</v>
      </c>
      <c r="AI147" s="243">
        <f t="shared" ca="1" si="146"/>
        <v>5.7259410582760371</v>
      </c>
      <c r="AJ147" s="242">
        <f t="shared" ca="1" si="147"/>
        <v>7.7346645753622107</v>
      </c>
      <c r="AK147" s="241">
        <f t="shared" ca="1" si="148"/>
        <v>1.4462809323020449</v>
      </c>
      <c r="AL147" s="243">
        <f t="shared" ca="1" si="149"/>
        <v>2.5365918888162846</v>
      </c>
      <c r="AM147" s="243"/>
      <c r="AN147" s="242">
        <f t="shared" ca="1" si="115"/>
        <v>3.9828728211183293</v>
      </c>
      <c r="AO147" s="224"/>
      <c r="AP147" s="235">
        <f t="shared" si="150"/>
        <v>10.846153846153847</v>
      </c>
      <c r="AQ147" s="235">
        <f t="shared" si="116"/>
        <v>0.72571397427050699</v>
      </c>
      <c r="AR147" s="235">
        <f t="shared" si="117"/>
        <v>0.85087999086537369</v>
      </c>
      <c r="AT147" s="230">
        <f t="shared" ca="1" si="118"/>
        <v>286610.31999722088</v>
      </c>
      <c r="AU147" s="231">
        <f t="shared" ca="1" si="119"/>
        <v>1784.3827345689981</v>
      </c>
      <c r="AV147" s="231">
        <f t="shared" ca="1" si="151"/>
        <v>2930.267915424582</v>
      </c>
      <c r="AW147" s="231"/>
      <c r="AX147" s="231">
        <f t="shared" ca="1" si="152"/>
        <v>7161.0994881669631</v>
      </c>
      <c r="AY147" s="231">
        <f t="shared" ca="1" si="153"/>
        <v>895.13743602087038</v>
      </c>
      <c r="AZ147" s="231"/>
      <c r="BA147" s="232">
        <f t="shared" ca="1" si="120"/>
        <v>299381.20757140231</v>
      </c>
      <c r="BB147" s="231">
        <f t="shared" ca="1" si="121"/>
        <v>245.97785763137603</v>
      </c>
      <c r="BC147" s="231">
        <f t="shared" ca="1" si="154"/>
        <v>13658.994897945835</v>
      </c>
      <c r="BD147" s="231">
        <f t="shared" ca="1" si="155"/>
        <v>73486.729078688048</v>
      </c>
      <c r="BE147" s="231">
        <f t="shared" ca="1" si="156"/>
        <v>2551.6225374544456</v>
      </c>
      <c r="BF147" s="231">
        <f t="shared" ca="1" si="122"/>
        <v>22963.550022610685</v>
      </c>
      <c r="BG147" s="231">
        <f t="shared" ca="1" si="123"/>
        <v>112906.87439433039</v>
      </c>
      <c r="BH147" s="232">
        <f t="shared" ca="1" si="124"/>
        <v>412288.08196573268</v>
      </c>
      <c r="BI147" s="244">
        <f t="shared" ca="1" si="157"/>
        <v>1.7091826478693448</v>
      </c>
      <c r="BJ147" s="243">
        <f t="shared" ca="1" si="158"/>
        <v>4.8720886753615824</v>
      </c>
      <c r="BK147" s="242">
        <f t="shared" ca="1" si="159"/>
        <v>6.5812713232309275</v>
      </c>
      <c r="BL147" s="241">
        <f t="shared" ca="1" si="160"/>
        <v>1.2306115064659282</v>
      </c>
      <c r="BM147" s="243">
        <f t="shared" ca="1" si="161"/>
        <v>2.1583352831851812</v>
      </c>
      <c r="BN147" s="243">
        <f t="shared" si="125"/>
        <v>0</v>
      </c>
      <c r="BO147" s="242">
        <f t="shared" ca="1" si="126"/>
        <v>3.3889467896511092</v>
      </c>
      <c r="BP147" s="67"/>
      <c r="BQ147" s="67"/>
      <c r="BR147" s="67"/>
      <c r="BS147" s="67"/>
      <c r="BT147" s="67"/>
      <c r="BU147" s="67"/>
      <c r="BV147" s="67"/>
      <c r="BW147" s="67"/>
      <c r="BX147" s="67"/>
      <c r="BY147" s="67"/>
      <c r="BZ147" s="67"/>
      <c r="CA147" s="67"/>
      <c r="CB147" s="67"/>
    </row>
    <row r="148" spans="1:80" ht="12" customHeight="1" x14ac:dyDescent="0.15">
      <c r="A148" s="213">
        <f t="shared" si="127"/>
        <v>142</v>
      </c>
      <c r="B148" s="67">
        <f t="shared" si="128"/>
        <v>568</v>
      </c>
      <c r="C148" s="224">
        <f t="shared" si="129"/>
        <v>131.07692307692309</v>
      </c>
      <c r="D148" s="225">
        <f ca="1">IFERROR(OFFSET(extrapolation!P157,0,OS_dist_choice-1,1,1),0)</f>
        <v>9.9257669117353384E-2</v>
      </c>
      <c r="E148" s="225">
        <f ca="1">IFERROR(OFFSET(extrapolation!D157,0,PFS_dist_choice-1,1,1),0)</f>
        <v>2.5470000201547993E-2</v>
      </c>
      <c r="F148" s="214"/>
      <c r="G148" s="226">
        <f t="shared" ca="1" si="130"/>
        <v>25.470000201547993</v>
      </c>
      <c r="H148" s="224">
        <f t="shared" ca="1" si="131"/>
        <v>73.787668915805284</v>
      </c>
      <c r="I148" s="224">
        <f t="shared" ca="1" si="108"/>
        <v>900.74233088264668</v>
      </c>
      <c r="J148" s="227">
        <f t="shared" ca="1" si="109"/>
        <v>1000</v>
      </c>
      <c r="K148" s="238">
        <f t="shared" ca="1" si="132"/>
        <v>0.48515468264320916</v>
      </c>
      <c r="L148" s="239">
        <f t="shared" ca="1" si="133"/>
        <v>1.0860492768416634</v>
      </c>
      <c r="M148" s="238">
        <f t="shared" ca="1" si="134"/>
        <v>25.712577542869596</v>
      </c>
      <c r="N148" s="238">
        <f t="shared" ca="1" si="135"/>
        <v>74.088116212904538</v>
      </c>
      <c r="O148" s="239">
        <f t="shared" ca="1" si="136"/>
        <v>900.19930624422591</v>
      </c>
      <c r="P148" s="217"/>
      <c r="Q148" s="217"/>
      <c r="R148" s="224"/>
      <c r="S148" s="230">
        <f t="shared" ca="1" si="137"/>
        <v>387553.49851996993</v>
      </c>
      <c r="T148" s="231">
        <f t="shared" ca="1" si="138"/>
        <v>2412.8362561667409</v>
      </c>
      <c r="U148" s="231">
        <f t="shared" ca="1" si="139"/>
        <v>3962.1882073276711</v>
      </c>
      <c r="V148" s="231"/>
      <c r="W148" s="231">
        <f t="shared" ca="1" si="140"/>
        <v>9682.9453014040046</v>
      </c>
      <c r="X148" s="231">
        <f t="shared" ca="1" si="141"/>
        <v>1210.3681626755006</v>
      </c>
      <c r="Y148" s="231"/>
      <c r="Z148" s="232">
        <f t="shared" ca="1" si="110"/>
        <v>404821.83644754387</v>
      </c>
      <c r="AA148" s="231">
        <f t="shared" ca="1" si="111"/>
        <v>331.63373017245931</v>
      </c>
      <c r="AB148" s="231">
        <f t="shared" ca="1" si="142"/>
        <v>18669.072527747125</v>
      </c>
      <c r="AC148" s="231">
        <f t="shared" ca="1" si="143"/>
        <v>100441.43696131361</v>
      </c>
      <c r="AD148" s="231">
        <f t="shared" ca="1" si="144"/>
        <v>3487.5498944900555</v>
      </c>
      <c r="AE148" s="231">
        <f t="shared" ca="1" si="112"/>
        <v>31115.876418532691</v>
      </c>
      <c r="AF148" s="231">
        <f t="shared" ca="1" si="113"/>
        <v>154045.56953225596</v>
      </c>
      <c r="AG148" s="232">
        <f t="shared" ca="1" si="114"/>
        <v>558867.40597979981</v>
      </c>
      <c r="AH148" s="244">
        <f t="shared" ca="1" si="145"/>
        <v>1.9711216186183398</v>
      </c>
      <c r="AI148" s="243">
        <f t="shared" ca="1" si="146"/>
        <v>5.6795818041377881</v>
      </c>
      <c r="AJ148" s="242">
        <f t="shared" ca="1" si="147"/>
        <v>7.6507034227561279</v>
      </c>
      <c r="AK148" s="241">
        <f t="shared" ca="1" si="148"/>
        <v>1.4192075654052045</v>
      </c>
      <c r="AL148" s="243">
        <f t="shared" ca="1" si="149"/>
        <v>2.5160547392330401</v>
      </c>
      <c r="AM148" s="243"/>
      <c r="AN148" s="242">
        <f t="shared" ca="1" si="115"/>
        <v>3.9352623046382447</v>
      </c>
      <c r="AO148" s="224"/>
      <c r="AP148" s="235">
        <f t="shared" si="150"/>
        <v>10.923076923076923</v>
      </c>
      <c r="AQ148" s="235">
        <f t="shared" si="116"/>
        <v>0.72406575373930004</v>
      </c>
      <c r="AR148" s="235">
        <f t="shared" si="117"/>
        <v>0.8499060546500431</v>
      </c>
      <c r="AT148" s="230">
        <f t="shared" ca="1" si="118"/>
        <v>280614.21602016472</v>
      </c>
      <c r="AU148" s="231">
        <f t="shared" ca="1" si="119"/>
        <v>1747.0521024708821</v>
      </c>
      <c r="AV148" s="231">
        <f t="shared" ca="1" si="151"/>
        <v>2868.8847907956761</v>
      </c>
      <c r="AW148" s="231"/>
      <c r="AX148" s="231">
        <f t="shared" ca="1" si="152"/>
        <v>7011.0890880775041</v>
      </c>
      <c r="AY148" s="231">
        <f t="shared" ca="1" si="153"/>
        <v>876.38613600968802</v>
      </c>
      <c r="AZ148" s="231"/>
      <c r="BA148" s="232">
        <f t="shared" ca="1" si="120"/>
        <v>293117.62813751848</v>
      </c>
      <c r="BB148" s="231">
        <f t="shared" ca="1" si="121"/>
        <v>240.12462680269741</v>
      </c>
      <c r="BC148" s="231">
        <f t="shared" ca="1" si="154"/>
        <v>13517.636071416882</v>
      </c>
      <c r="BD148" s="231">
        <f t="shared" ca="1" si="155"/>
        <v>72726.204760051929</v>
      </c>
      <c r="BE148" s="231">
        <f t="shared" ca="1" si="156"/>
        <v>2525.2154430573582</v>
      </c>
      <c r="BF148" s="231">
        <f t="shared" ca="1" si="122"/>
        <v>22529.940512243786</v>
      </c>
      <c r="BG148" s="231">
        <f t="shared" ca="1" si="123"/>
        <v>111539.12141357266</v>
      </c>
      <c r="BH148" s="232">
        <f t="shared" ca="1" si="124"/>
        <v>404656.74955109117</v>
      </c>
      <c r="BI148" s="244">
        <f t="shared" ca="1" si="157"/>
        <v>1.6752681981153201</v>
      </c>
      <c r="BJ148" s="243">
        <f t="shared" ca="1" si="158"/>
        <v>4.8271109632169216</v>
      </c>
      <c r="BK148" s="242">
        <f t="shared" ca="1" si="159"/>
        <v>6.5023791613322413</v>
      </c>
      <c r="BL148" s="241">
        <f t="shared" ca="1" si="160"/>
        <v>1.2061931026430304</v>
      </c>
      <c r="BM148" s="243">
        <f t="shared" ca="1" si="161"/>
        <v>2.1384101567050959</v>
      </c>
      <c r="BN148" s="243">
        <f t="shared" si="125"/>
        <v>0</v>
      </c>
      <c r="BO148" s="242">
        <f t="shared" ca="1" si="126"/>
        <v>3.3446032593481263</v>
      </c>
      <c r="BP148" s="67"/>
      <c r="BQ148" s="67"/>
      <c r="BR148" s="67"/>
      <c r="BS148" s="67"/>
      <c r="BT148" s="67"/>
      <c r="BU148" s="67"/>
      <c r="BV148" s="67"/>
      <c r="BW148" s="67"/>
      <c r="BX148" s="67"/>
      <c r="BY148" s="67"/>
      <c r="BZ148" s="67"/>
      <c r="CA148" s="67"/>
      <c r="CB148" s="67"/>
    </row>
    <row r="149" spans="1:80" ht="12" customHeight="1" x14ac:dyDescent="0.15">
      <c r="A149" s="213">
        <f t="shared" si="127"/>
        <v>143</v>
      </c>
      <c r="B149" s="67">
        <f t="shared" si="128"/>
        <v>572</v>
      </c>
      <c r="C149" s="224">
        <f t="shared" si="129"/>
        <v>132</v>
      </c>
      <c r="D149" s="225">
        <f ca="1">IFERROR(OFFSET(extrapolation!P158,0,OS_dist_choice-1,1,1),0)</f>
        <v>9.8189603309618179E-2</v>
      </c>
      <c r="E149" s="225">
        <f ca="1">IFERROR(OFFSET(extrapolation!D158,0,PFS_dist_choice-1,1,1),0)</f>
        <v>2.4995278148753242E-2</v>
      </c>
      <c r="F149" s="214"/>
      <c r="G149" s="226">
        <f t="shared" ca="1" si="130"/>
        <v>24.995278148753243</v>
      </c>
      <c r="H149" s="224">
        <f t="shared" ca="1" si="131"/>
        <v>73.194325160864992</v>
      </c>
      <c r="I149" s="224">
        <f t="shared" ca="1" si="108"/>
        <v>901.81039669038182</v>
      </c>
      <c r="J149" s="227">
        <f t="shared" ca="1" si="109"/>
        <v>1000</v>
      </c>
      <c r="K149" s="238">
        <f t="shared" ca="1" si="132"/>
        <v>0.47472205279474977</v>
      </c>
      <c r="L149" s="239">
        <f t="shared" ca="1" si="133"/>
        <v>1.0680658077351382</v>
      </c>
      <c r="M149" s="238">
        <f t="shared" ca="1" si="134"/>
        <v>25.232639175150616</v>
      </c>
      <c r="N149" s="238">
        <f t="shared" ca="1" si="135"/>
        <v>73.490997038335138</v>
      </c>
      <c r="O149" s="239">
        <f t="shared" ca="1" si="136"/>
        <v>901.27636378651425</v>
      </c>
      <c r="P149" s="217"/>
      <c r="Q149" s="217"/>
      <c r="R149" s="224"/>
      <c r="S149" s="230">
        <f t="shared" ca="1" si="137"/>
        <v>380330.09094520262</v>
      </c>
      <c r="T149" s="231">
        <f t="shared" ca="1" si="138"/>
        <v>2367.8646593264921</v>
      </c>
      <c r="U149" s="231">
        <f t="shared" ca="1" si="139"/>
        <v>3888.2319445745588</v>
      </c>
      <c r="V149" s="231"/>
      <c r="W149" s="231">
        <f t="shared" ca="1" si="140"/>
        <v>9502.2081911349196</v>
      </c>
      <c r="X149" s="231">
        <f t="shared" ca="1" si="141"/>
        <v>1187.776023891865</v>
      </c>
      <c r="Y149" s="231"/>
      <c r="Z149" s="232">
        <f t="shared" ca="1" si="110"/>
        <v>397276.17176413047</v>
      </c>
      <c r="AA149" s="231">
        <f t="shared" ca="1" si="111"/>
        <v>324.502371709003</v>
      </c>
      <c r="AB149" s="231">
        <f t="shared" ca="1" si="142"/>
        <v>18518.607625309738</v>
      </c>
      <c r="AC149" s="231">
        <f t="shared" ca="1" si="143"/>
        <v>99631.921063263842</v>
      </c>
      <c r="AD149" s="231">
        <f t="shared" ca="1" si="144"/>
        <v>3459.4417035855499</v>
      </c>
      <c r="AE149" s="231">
        <f t="shared" ca="1" si="112"/>
        <v>30600.640679025153</v>
      </c>
      <c r="AF149" s="231">
        <f t="shared" ca="1" si="113"/>
        <v>152535.11344289329</v>
      </c>
      <c r="AG149" s="232">
        <f t="shared" ca="1" si="114"/>
        <v>549811.28520702373</v>
      </c>
      <c r="AH149" s="244">
        <f t="shared" ca="1" si="145"/>
        <v>1.9343296287589795</v>
      </c>
      <c r="AI149" s="243">
        <f t="shared" ca="1" si="146"/>
        <v>5.6338067544788064</v>
      </c>
      <c r="AJ149" s="242">
        <f t="shared" ca="1" si="147"/>
        <v>7.5681363832377855</v>
      </c>
      <c r="AK149" s="241">
        <f t="shared" ca="1" si="148"/>
        <v>1.3927173327064652</v>
      </c>
      <c r="AL149" s="243">
        <f t="shared" ca="1" si="149"/>
        <v>2.4957763922341112</v>
      </c>
      <c r="AM149" s="243"/>
      <c r="AN149" s="242">
        <f t="shared" ca="1" si="115"/>
        <v>3.8884937249405764</v>
      </c>
      <c r="AO149" s="224"/>
      <c r="AP149" s="235">
        <f t="shared" si="150"/>
        <v>11</v>
      </c>
      <c r="AQ149" s="235">
        <f t="shared" si="116"/>
        <v>0.72242127659876232</v>
      </c>
      <c r="AR149" s="235">
        <f t="shared" si="117"/>
        <v>0.8489332332238273</v>
      </c>
      <c r="AT149" s="230">
        <f t="shared" ca="1" si="118"/>
        <v>274758.54982955666</v>
      </c>
      <c r="AU149" s="231">
        <f t="shared" ca="1" si="119"/>
        <v>1710.5958100037378</v>
      </c>
      <c r="AV149" s="231">
        <f t="shared" ca="1" si="151"/>
        <v>2808.9414851116408</v>
      </c>
      <c r="AW149" s="231"/>
      <c r="AX149" s="231">
        <f t="shared" ca="1" si="152"/>
        <v>6864.5973719469048</v>
      </c>
      <c r="AY149" s="231">
        <f t="shared" ca="1" si="153"/>
        <v>858.0746714933631</v>
      </c>
      <c r="AZ149" s="231"/>
      <c r="BA149" s="232">
        <f t="shared" ca="1" si="120"/>
        <v>287000.7591681123</v>
      </c>
      <c r="BB149" s="231">
        <f t="shared" ca="1" si="121"/>
        <v>234.42741762934403</v>
      </c>
      <c r="BC149" s="231">
        <f t="shared" ca="1" si="154"/>
        <v>13378.236161507835</v>
      </c>
      <c r="BD149" s="231">
        <f t="shared" ca="1" si="155"/>
        <v>71976.219604510188</v>
      </c>
      <c r="BE149" s="231">
        <f t="shared" ca="1" si="156"/>
        <v>2499.1742918232699</v>
      </c>
      <c r="BF149" s="231">
        <f t="shared" ca="1" si="122"/>
        <v>22106.553904081367</v>
      </c>
      <c r="BG149" s="231">
        <f t="shared" ca="1" si="123"/>
        <v>110194.61137955199</v>
      </c>
      <c r="BH149" s="232">
        <f t="shared" ca="1" si="124"/>
        <v>397195.37054766429</v>
      </c>
      <c r="BI149" s="244">
        <f t="shared" ca="1" si="157"/>
        <v>1.642116705863006</v>
      </c>
      <c r="BJ149" s="243">
        <f t="shared" ca="1" si="158"/>
        <v>4.7827257834379298</v>
      </c>
      <c r="BK149" s="242">
        <f t="shared" ca="1" si="159"/>
        <v>6.4248424893009357</v>
      </c>
      <c r="BL149" s="241">
        <f t="shared" ca="1" si="160"/>
        <v>1.1823240282213643</v>
      </c>
      <c r="BM149" s="243">
        <f t="shared" ca="1" si="161"/>
        <v>2.118747522063003</v>
      </c>
      <c r="BN149" s="243">
        <f t="shared" si="125"/>
        <v>0</v>
      </c>
      <c r="BO149" s="242">
        <f t="shared" ca="1" si="126"/>
        <v>3.3010715502843673</v>
      </c>
      <c r="BP149" s="67"/>
      <c r="BQ149" s="67"/>
      <c r="BR149" s="67"/>
      <c r="BS149" s="67"/>
      <c r="BT149" s="67"/>
      <c r="BU149" s="67"/>
      <c r="BV149" s="67"/>
      <c r="BW149" s="67"/>
      <c r="BX149" s="67"/>
      <c r="BY149" s="67"/>
      <c r="BZ149" s="67"/>
      <c r="CA149" s="67"/>
      <c r="CB149" s="67"/>
    </row>
    <row r="150" spans="1:80" ht="12" customHeight="1" x14ac:dyDescent="0.15">
      <c r="A150" s="213">
        <f t="shared" si="127"/>
        <v>144</v>
      </c>
      <c r="B150" s="67">
        <f t="shared" si="128"/>
        <v>576</v>
      </c>
      <c r="C150" s="224">
        <f t="shared" si="129"/>
        <v>132.92307692307691</v>
      </c>
      <c r="D150" s="225">
        <f ca="1">IFERROR(OFFSET(extrapolation!P159,0,OS_dist_choice-1,1,1),0)</f>
        <v>9.7139127377071172E-2</v>
      </c>
      <c r="E150" s="225">
        <f ca="1">IFERROR(OFFSET(extrapolation!D159,0,PFS_dist_choice-1,1,1),0)</f>
        <v>2.453073152135532E-2</v>
      </c>
      <c r="F150" s="214"/>
      <c r="G150" s="226">
        <f t="shared" ca="1" si="130"/>
        <v>24.530731521355321</v>
      </c>
      <c r="H150" s="224">
        <f t="shared" ca="1" si="131"/>
        <v>72.608395855715912</v>
      </c>
      <c r="I150" s="224">
        <f t="shared" ca="1" si="108"/>
        <v>902.86087262292881</v>
      </c>
      <c r="J150" s="227">
        <f t="shared" ca="1" si="109"/>
        <v>1000</v>
      </c>
      <c r="K150" s="238">
        <f t="shared" ca="1" si="132"/>
        <v>0.46454662739792241</v>
      </c>
      <c r="L150" s="239">
        <f t="shared" ca="1" si="133"/>
        <v>1.0504759325469877</v>
      </c>
      <c r="M150" s="238">
        <f t="shared" ca="1" si="134"/>
        <v>24.763004835054282</v>
      </c>
      <c r="N150" s="238">
        <f t="shared" ca="1" si="135"/>
        <v>72.901360508290452</v>
      </c>
      <c r="O150" s="239">
        <f t="shared" ca="1" si="136"/>
        <v>902.33563465665532</v>
      </c>
      <c r="P150" s="217"/>
      <c r="Q150" s="217"/>
      <c r="R150" s="224"/>
      <c r="S150" s="230">
        <f t="shared" ca="1" si="137"/>
        <v>373261.51343247941</v>
      </c>
      <c r="T150" s="231">
        <f t="shared" ca="1" si="138"/>
        <v>2323.8570057577431</v>
      </c>
      <c r="U150" s="231">
        <f t="shared" ca="1" si="139"/>
        <v>3815.8634843926343</v>
      </c>
      <c r="V150" s="231"/>
      <c r="W150" s="231">
        <f t="shared" ca="1" si="140"/>
        <v>9325.3514128040824</v>
      </c>
      <c r="X150" s="231">
        <f t="shared" ca="1" si="141"/>
        <v>1165.6689266005103</v>
      </c>
      <c r="Y150" s="231"/>
      <c r="Z150" s="232">
        <f t="shared" ca="1" si="110"/>
        <v>389892.25426203437</v>
      </c>
      <c r="AA150" s="231">
        <f t="shared" ca="1" si="111"/>
        <v>317.54682866022421</v>
      </c>
      <c r="AB150" s="231">
        <f t="shared" ca="1" si="142"/>
        <v>18370.02823488793</v>
      </c>
      <c r="AC150" s="231">
        <f t="shared" ca="1" si="143"/>
        <v>98832.549404354591</v>
      </c>
      <c r="AD150" s="231">
        <f t="shared" ca="1" si="144"/>
        <v>3431.6857432067563</v>
      </c>
      <c r="AE150" s="231">
        <f t="shared" ca="1" si="112"/>
        <v>30096.68160990853</v>
      </c>
      <c r="AF150" s="231">
        <f t="shared" ca="1" si="113"/>
        <v>151048.49182101805</v>
      </c>
      <c r="AG150" s="232">
        <f t="shared" ca="1" si="114"/>
        <v>540940.74608305236</v>
      </c>
      <c r="AH150" s="244">
        <f t="shared" ca="1" si="145"/>
        <v>1.898327543823463</v>
      </c>
      <c r="AI150" s="243">
        <f t="shared" ca="1" si="146"/>
        <v>5.5886053230174744</v>
      </c>
      <c r="AJ150" s="242">
        <f t="shared" ca="1" si="147"/>
        <v>7.4869328668409372</v>
      </c>
      <c r="AK150" s="241">
        <f t="shared" ca="1" si="148"/>
        <v>1.3667958315528934</v>
      </c>
      <c r="AL150" s="243">
        <f t="shared" ca="1" si="149"/>
        <v>2.475752158096741</v>
      </c>
      <c r="AM150" s="243"/>
      <c r="AN150" s="242">
        <f t="shared" ca="1" si="115"/>
        <v>3.8425479896496344</v>
      </c>
      <c r="AO150" s="224"/>
      <c r="AP150" s="235">
        <f t="shared" si="150"/>
        <v>11.076923076923077</v>
      </c>
      <c r="AQ150" s="235">
        <f t="shared" si="116"/>
        <v>0.72078053434701239</v>
      </c>
      <c r="AR150" s="235">
        <f t="shared" si="117"/>
        <v>0.84796152531071278</v>
      </c>
      <c r="AT150" s="230">
        <f t="shared" ca="1" si="118"/>
        <v>269039.63310303702</v>
      </c>
      <c r="AU150" s="231">
        <f t="shared" ca="1" si="119"/>
        <v>1674.9908943561143</v>
      </c>
      <c r="AV150" s="231">
        <f t="shared" ca="1" si="151"/>
        <v>2750.4001212757757</v>
      </c>
      <c r="AW150" s="231"/>
      <c r="AX150" s="231">
        <f t="shared" ca="1" si="152"/>
        <v>6721.5317742945936</v>
      </c>
      <c r="AY150" s="231">
        <f t="shared" ca="1" si="153"/>
        <v>840.1914717868242</v>
      </c>
      <c r="AZ150" s="231"/>
      <c r="BA150" s="232">
        <f t="shared" ca="1" si="120"/>
        <v>281026.74736475036</v>
      </c>
      <c r="BB150" s="231">
        <f t="shared" ca="1" si="121"/>
        <v>228.88157284191558</v>
      </c>
      <c r="BC150" s="231">
        <f t="shared" ca="1" si="154"/>
        <v>13240.758767112227</v>
      </c>
      <c r="BD150" s="231">
        <f t="shared" ca="1" si="155"/>
        <v>71236.577770548203</v>
      </c>
      <c r="BE150" s="231">
        <f t="shared" ca="1" si="156"/>
        <v>2473.4922836995902</v>
      </c>
      <c r="BF150" s="231">
        <f t="shared" ca="1" si="122"/>
        <v>21693.102252861772</v>
      </c>
      <c r="BG150" s="231">
        <f t="shared" ca="1" si="123"/>
        <v>108872.81264706372</v>
      </c>
      <c r="BH150" s="232">
        <f t="shared" ca="1" si="124"/>
        <v>389899.56001181406</v>
      </c>
      <c r="BI150" s="244">
        <f t="shared" ca="1" si="157"/>
        <v>1.6097087195998827</v>
      </c>
      <c r="BJ150" s="243">
        <f t="shared" ca="1" si="158"/>
        <v>4.7389222940654658</v>
      </c>
      <c r="BK150" s="242">
        <f t="shared" ca="1" si="159"/>
        <v>6.348631013665349</v>
      </c>
      <c r="BL150" s="241">
        <f t="shared" ca="1" si="160"/>
        <v>1.1589902781119155</v>
      </c>
      <c r="BM150" s="243">
        <f t="shared" ca="1" si="161"/>
        <v>2.0993425762710016</v>
      </c>
      <c r="BN150" s="243">
        <f t="shared" si="125"/>
        <v>0</v>
      </c>
      <c r="BO150" s="242">
        <f t="shared" ca="1" si="126"/>
        <v>3.2583328543829171</v>
      </c>
      <c r="BP150" s="67"/>
      <c r="BQ150" s="67"/>
      <c r="BR150" s="67"/>
      <c r="BS150" s="67"/>
      <c r="BT150" s="67"/>
      <c r="BU150" s="67"/>
      <c r="BV150" s="67"/>
      <c r="BW150" s="67"/>
      <c r="BX150" s="67"/>
      <c r="BY150" s="67"/>
      <c r="BZ150" s="67"/>
      <c r="CA150" s="67"/>
      <c r="CB150" s="67"/>
    </row>
    <row r="151" spans="1:80" ht="12" customHeight="1" x14ac:dyDescent="0.15">
      <c r="A151" s="213">
        <f t="shared" si="127"/>
        <v>145</v>
      </c>
      <c r="B151" s="67">
        <f t="shared" si="128"/>
        <v>580</v>
      </c>
      <c r="C151" s="224">
        <f t="shared" si="129"/>
        <v>133.84615384615384</v>
      </c>
      <c r="D151" s="225">
        <f ca="1">IFERROR(OFFSET(extrapolation!P160,0,OS_dist_choice-1,1,1),0)</f>
        <v>9.6105858267616251E-2</v>
      </c>
      <c r="E151" s="225">
        <f ca="1">IFERROR(OFFSET(extrapolation!D160,0,PFS_dist_choice-1,1,1),0)</f>
        <v>2.4076110348579371E-2</v>
      </c>
      <c r="F151" s="214"/>
      <c r="G151" s="226">
        <f t="shared" ca="1" si="130"/>
        <v>24.07611034857937</v>
      </c>
      <c r="H151" s="224">
        <f t="shared" ca="1" si="131"/>
        <v>72.029747919036822</v>
      </c>
      <c r="I151" s="224">
        <f t="shared" ca="1" si="108"/>
        <v>903.89414173238379</v>
      </c>
      <c r="J151" s="227">
        <f t="shared" ca="1" si="109"/>
        <v>1000</v>
      </c>
      <c r="K151" s="238">
        <f t="shared" ca="1" si="132"/>
        <v>0.45462117277595127</v>
      </c>
      <c r="L151" s="239">
        <f t="shared" ca="1" si="133"/>
        <v>1.0332691094549773</v>
      </c>
      <c r="M151" s="238">
        <f t="shared" ca="1" si="134"/>
        <v>24.303420934967345</v>
      </c>
      <c r="N151" s="238">
        <f t="shared" ca="1" si="135"/>
        <v>72.319071887376367</v>
      </c>
      <c r="O151" s="239">
        <f t="shared" ca="1" si="136"/>
        <v>903.3775071776563</v>
      </c>
      <c r="P151" s="217"/>
      <c r="Q151" s="217"/>
      <c r="R151" s="224"/>
      <c r="S151" s="230">
        <f t="shared" ca="1" si="137"/>
        <v>366343.96240710234</v>
      </c>
      <c r="T151" s="231">
        <f t="shared" ca="1" si="138"/>
        <v>2280.7896151093446</v>
      </c>
      <c r="U151" s="231">
        <f t="shared" ca="1" si="139"/>
        <v>3745.0437501141041</v>
      </c>
      <c r="V151" s="231"/>
      <c r="W151" s="231">
        <f t="shared" ca="1" si="140"/>
        <v>9152.2794693737433</v>
      </c>
      <c r="X151" s="231">
        <f t="shared" ca="1" si="141"/>
        <v>1144.0349336717179</v>
      </c>
      <c r="Y151" s="231"/>
      <c r="Z151" s="232">
        <f t="shared" ca="1" si="110"/>
        <v>382666.11017537123</v>
      </c>
      <c r="AA151" s="231">
        <f t="shared" ca="1" si="111"/>
        <v>310.76215635322211</v>
      </c>
      <c r="AB151" s="231">
        <f t="shared" ca="1" si="142"/>
        <v>18223.300405222402</v>
      </c>
      <c r="AC151" s="231">
        <f t="shared" ca="1" si="143"/>
        <v>98043.139323488678</v>
      </c>
      <c r="AD151" s="231">
        <f t="shared" ca="1" si="144"/>
        <v>3404.2756709544678</v>
      </c>
      <c r="AE151" s="231">
        <f t="shared" ca="1" si="112"/>
        <v>29603.697182495107</v>
      </c>
      <c r="AF151" s="231">
        <f t="shared" ca="1" si="113"/>
        <v>149585.17473851389</v>
      </c>
      <c r="AG151" s="232">
        <f t="shared" ca="1" si="114"/>
        <v>532251.28491388517</v>
      </c>
      <c r="AH151" s="244">
        <f t="shared" ca="1" si="145"/>
        <v>1.8630959238304878</v>
      </c>
      <c r="AI151" s="243">
        <f t="shared" ca="1" si="146"/>
        <v>5.5439671809624596</v>
      </c>
      <c r="AJ151" s="242">
        <f t="shared" ca="1" si="147"/>
        <v>7.4070631047929476</v>
      </c>
      <c r="AK151" s="241">
        <f t="shared" ca="1" si="148"/>
        <v>1.3414290651579512</v>
      </c>
      <c r="AL151" s="243">
        <f t="shared" ca="1" si="149"/>
        <v>2.4559774611663694</v>
      </c>
      <c r="AM151" s="243"/>
      <c r="AN151" s="242">
        <f t="shared" ca="1" si="115"/>
        <v>3.7974065263243206</v>
      </c>
      <c r="AO151" s="224"/>
      <c r="AP151" s="235">
        <f t="shared" si="150"/>
        <v>11.153846153846153</v>
      </c>
      <c r="AQ151" s="235">
        <f t="shared" si="116"/>
        <v>0.71914351850148017</v>
      </c>
      <c r="AR151" s="235">
        <f t="shared" si="117"/>
        <v>0.84699092963614875</v>
      </c>
      <c r="AT151" s="230">
        <f t="shared" ca="1" si="118"/>
        <v>263453.88610721758</v>
      </c>
      <c r="AU151" s="231">
        <f t="shared" ca="1" si="119"/>
        <v>1640.2150687713709</v>
      </c>
      <c r="AV151" s="231">
        <f t="shared" ca="1" si="151"/>
        <v>2693.2239393990349</v>
      </c>
      <c r="AW151" s="231"/>
      <c r="AX151" s="231">
        <f t="shared" ca="1" si="152"/>
        <v>6581.8024599142936</v>
      </c>
      <c r="AY151" s="231">
        <f t="shared" ca="1" si="153"/>
        <v>822.72530748928671</v>
      </c>
      <c r="AZ151" s="231"/>
      <c r="BA151" s="232">
        <f t="shared" ca="1" si="120"/>
        <v>275191.85288279154</v>
      </c>
      <c r="BB151" s="231">
        <f t="shared" ca="1" si="121"/>
        <v>223.48259053696327</v>
      </c>
      <c r="BC151" s="231">
        <f t="shared" ca="1" si="154"/>
        <v>13105.168372121088</v>
      </c>
      <c r="BD151" s="231">
        <f t="shared" ca="1" si="155"/>
        <v>70507.088178024482</v>
      </c>
      <c r="BE151" s="231">
        <f t="shared" ca="1" si="156"/>
        <v>2448.1627839591833</v>
      </c>
      <c r="BF151" s="231">
        <f t="shared" ca="1" si="122"/>
        <v>21289.306952471885</v>
      </c>
      <c r="BG151" s="231">
        <f t="shared" ca="1" si="123"/>
        <v>107573.2088771136</v>
      </c>
      <c r="BH151" s="232">
        <f t="shared" ca="1" si="124"/>
        <v>382765.06175990519</v>
      </c>
      <c r="BI151" s="244">
        <f t="shared" ca="1" si="157"/>
        <v>1.5780253485265043</v>
      </c>
      <c r="BJ151" s="243">
        <f t="shared" ca="1" si="158"/>
        <v>4.6956899164756924</v>
      </c>
      <c r="BK151" s="242">
        <f t="shared" ca="1" si="159"/>
        <v>6.2737152650021972</v>
      </c>
      <c r="BL151" s="241">
        <f t="shared" ca="1" si="160"/>
        <v>1.136178250939083</v>
      </c>
      <c r="BM151" s="243">
        <f t="shared" ca="1" si="161"/>
        <v>2.0801906329987316</v>
      </c>
      <c r="BN151" s="243">
        <f t="shared" si="125"/>
        <v>0</v>
      </c>
      <c r="BO151" s="242">
        <f t="shared" ca="1" si="126"/>
        <v>3.2163688839378146</v>
      </c>
      <c r="BP151" s="67"/>
      <c r="BQ151" s="67"/>
      <c r="BR151" s="67"/>
      <c r="BS151" s="67"/>
      <c r="BT151" s="67"/>
      <c r="BU151" s="67"/>
      <c r="BV151" s="67"/>
      <c r="BW151" s="67"/>
      <c r="BX151" s="67"/>
      <c r="BY151" s="67"/>
      <c r="BZ151" s="67"/>
      <c r="CA151" s="67"/>
      <c r="CB151" s="67"/>
    </row>
    <row r="152" spans="1:80" ht="12" customHeight="1" x14ac:dyDescent="0.15">
      <c r="A152" s="213">
        <f t="shared" si="127"/>
        <v>146</v>
      </c>
      <c r="B152" s="67">
        <f t="shared" si="128"/>
        <v>584</v>
      </c>
      <c r="C152" s="224">
        <f t="shared" si="129"/>
        <v>134.76923076923077</v>
      </c>
      <c r="D152" s="225">
        <f ca="1">IFERROR(OFFSET(extrapolation!P161,0,OS_dist_choice-1,1,1),0)</f>
        <v>9.5089423142218313E-2</v>
      </c>
      <c r="E152" s="225">
        <f ca="1">IFERROR(OFFSET(extrapolation!D161,0,PFS_dist_choice-1,1,1),0)</f>
        <v>2.3631171662689021E-2</v>
      </c>
      <c r="F152" s="214"/>
      <c r="G152" s="226">
        <f t="shared" ca="1" si="130"/>
        <v>23.63117166268902</v>
      </c>
      <c r="H152" s="224">
        <f t="shared" ca="1" si="131"/>
        <v>71.458251479529395</v>
      </c>
      <c r="I152" s="224">
        <f t="shared" ca="1" si="108"/>
        <v>904.91057685778162</v>
      </c>
      <c r="J152" s="227">
        <f t="shared" ca="1" si="109"/>
        <v>1000</v>
      </c>
      <c r="K152" s="238">
        <f t="shared" ca="1" si="132"/>
        <v>0.44493868589034946</v>
      </c>
      <c r="L152" s="239">
        <f t="shared" ca="1" si="133"/>
        <v>1.0164351253978339</v>
      </c>
      <c r="M152" s="238">
        <f t="shared" ca="1" si="134"/>
        <v>23.853641005634195</v>
      </c>
      <c r="N152" s="238">
        <f t="shared" ca="1" si="135"/>
        <v>71.743999699283108</v>
      </c>
      <c r="O152" s="239">
        <f t="shared" ca="1" si="136"/>
        <v>904.40235929508276</v>
      </c>
      <c r="P152" s="217"/>
      <c r="Q152" s="217"/>
      <c r="R152" s="224"/>
      <c r="S152" s="230">
        <f t="shared" ca="1" si="137"/>
        <v>359573.74085315032</v>
      </c>
      <c r="T152" s="231">
        <f t="shared" ca="1" si="138"/>
        <v>2238.6394704453423</v>
      </c>
      <c r="U152" s="231">
        <f t="shared" ca="1" si="139"/>
        <v>3675.7347619768693</v>
      </c>
      <c r="V152" s="231"/>
      <c r="W152" s="231">
        <f t="shared" ca="1" si="140"/>
        <v>8982.8995444657485</v>
      </c>
      <c r="X152" s="231">
        <f t="shared" ca="1" si="141"/>
        <v>1122.8624430582186</v>
      </c>
      <c r="Y152" s="231"/>
      <c r="Z152" s="232">
        <f t="shared" ca="1" si="110"/>
        <v>375593.87707309652</v>
      </c>
      <c r="AA152" s="231">
        <f t="shared" ca="1" si="111"/>
        <v>304.14356777086789</v>
      </c>
      <c r="AB152" s="231">
        <f t="shared" ca="1" si="142"/>
        <v>18078.391006293274</v>
      </c>
      <c r="AC152" s="231">
        <f t="shared" ca="1" si="143"/>
        <v>97263.512577917398</v>
      </c>
      <c r="AD152" s="231">
        <f t="shared" ca="1" si="144"/>
        <v>3377.2052978443539</v>
      </c>
      <c r="AE152" s="231">
        <f t="shared" ca="1" si="112"/>
        <v>29121.394787269637</v>
      </c>
      <c r="AF152" s="231">
        <f t="shared" ca="1" si="113"/>
        <v>148144.64723709552</v>
      </c>
      <c r="AG152" s="232">
        <f t="shared" ca="1" si="114"/>
        <v>523738.52431019204</v>
      </c>
      <c r="AH152" s="244">
        <f t="shared" ca="1" si="145"/>
        <v>1.8286158744907803</v>
      </c>
      <c r="AI152" s="243">
        <f t="shared" ca="1" si="146"/>
        <v>5.4998822493632495</v>
      </c>
      <c r="AJ152" s="242">
        <f t="shared" ca="1" si="147"/>
        <v>7.3284981238540299</v>
      </c>
      <c r="AK152" s="241">
        <f t="shared" ca="1" si="148"/>
        <v>1.3166034296333617</v>
      </c>
      <c r="AL152" s="243">
        <f t="shared" ca="1" si="149"/>
        <v>2.4364478364679196</v>
      </c>
      <c r="AM152" s="243"/>
      <c r="AN152" s="242">
        <f t="shared" ca="1" si="115"/>
        <v>3.7530512661012816</v>
      </c>
      <c r="AO152" s="224"/>
      <c r="AP152" s="235">
        <f t="shared" si="150"/>
        <v>11.23076923076923</v>
      </c>
      <c r="AQ152" s="235">
        <f t="shared" si="116"/>
        <v>0.7175102205988596</v>
      </c>
      <c r="AR152" s="235">
        <f t="shared" si="117"/>
        <v>0.84602144492704157</v>
      </c>
      <c r="AT152" s="230">
        <f t="shared" ca="1" si="118"/>
        <v>257997.83412110107</v>
      </c>
      <c r="AU152" s="231">
        <f t="shared" ca="1" si="119"/>
        <v>1606.2467002805517</v>
      </c>
      <c r="AV152" s="231">
        <f t="shared" ca="1" si="151"/>
        <v>2637.37725992892</v>
      </c>
      <c r="AW152" s="231"/>
      <c r="AX152" s="231">
        <f t="shared" ca="1" si="152"/>
        <v>6445.3222337670149</v>
      </c>
      <c r="AY152" s="231">
        <f t="shared" ca="1" si="153"/>
        <v>805.66527922087687</v>
      </c>
      <c r="AZ152" s="231"/>
      <c r="BA152" s="232">
        <f t="shared" ca="1" si="120"/>
        <v>269492.44559429842</v>
      </c>
      <c r="BB152" s="231">
        <f t="shared" ca="1" si="121"/>
        <v>218.22611840499962</v>
      </c>
      <c r="BC152" s="231">
        <f t="shared" ca="1" si="154"/>
        <v>12971.430318997925</v>
      </c>
      <c r="BD152" s="231">
        <f t="shared" ca="1" si="155"/>
        <v>69787.564366001461</v>
      </c>
      <c r="BE152" s="231">
        <f t="shared" ca="1" si="156"/>
        <v>2423.1793182639399</v>
      </c>
      <c r="BF152" s="231">
        <f t="shared" ca="1" si="122"/>
        <v>20894.898397960318</v>
      </c>
      <c r="BG152" s="231">
        <f t="shared" ca="1" si="123"/>
        <v>106295.29851962865</v>
      </c>
      <c r="BH152" s="232">
        <f t="shared" ca="1" si="124"/>
        <v>375787.74411392707</v>
      </c>
      <c r="BI152" s="244">
        <f t="shared" ca="1" si="157"/>
        <v>1.5470482443532156</v>
      </c>
      <c r="BJ152" s="243">
        <f t="shared" ca="1" si="158"/>
        <v>4.653018327534884</v>
      </c>
      <c r="BK152" s="242">
        <f t="shared" ca="1" si="159"/>
        <v>6.2000665718880992</v>
      </c>
      <c r="BL152" s="241">
        <f t="shared" ca="1" si="160"/>
        <v>1.1138747359343153</v>
      </c>
      <c r="BM152" s="243">
        <f t="shared" ca="1" si="161"/>
        <v>2.0612871190979538</v>
      </c>
      <c r="BN152" s="243">
        <f t="shared" si="125"/>
        <v>0</v>
      </c>
      <c r="BO152" s="242">
        <f t="shared" ca="1" si="126"/>
        <v>3.1751618550322691</v>
      </c>
      <c r="BP152" s="67"/>
      <c r="BQ152" s="67"/>
      <c r="BR152" s="67"/>
      <c r="BS152" s="67"/>
      <c r="BT152" s="67"/>
      <c r="BU152" s="67"/>
      <c r="BV152" s="67"/>
      <c r="BW152" s="67"/>
      <c r="BX152" s="67"/>
      <c r="BY152" s="67"/>
      <c r="BZ152" s="67"/>
      <c r="CA152" s="67"/>
      <c r="CB152" s="67"/>
    </row>
    <row r="153" spans="1:80" ht="12" customHeight="1" x14ac:dyDescent="0.15">
      <c r="A153" s="213">
        <f t="shared" si="127"/>
        <v>147</v>
      </c>
      <c r="B153" s="67">
        <f t="shared" si="128"/>
        <v>588</v>
      </c>
      <c r="C153" s="224">
        <f t="shared" si="129"/>
        <v>135.69230769230771</v>
      </c>
      <c r="D153" s="225">
        <f ca="1">IFERROR(OFFSET(extrapolation!P162,0,OS_dist_choice-1,1,1),0)</f>
        <v>9.4089459057640407E-2</v>
      </c>
      <c r="E153" s="225">
        <f ca="1">IFERROR(OFFSET(extrapolation!D162,0,PFS_dist_choice-1,1,1),0)</f>
        <v>2.3195679276627912E-2</v>
      </c>
      <c r="F153" s="214"/>
      <c r="G153" s="226">
        <f t="shared" ca="1" si="130"/>
        <v>23.195679276627914</v>
      </c>
      <c r="H153" s="224">
        <f t="shared" ca="1" si="131"/>
        <v>70.893779781012427</v>
      </c>
      <c r="I153" s="224">
        <f t="shared" ca="1" si="108"/>
        <v>905.9105409423596</v>
      </c>
      <c r="J153" s="227">
        <f t="shared" ca="1" si="109"/>
        <v>1000</v>
      </c>
      <c r="K153" s="238">
        <f t="shared" ca="1" si="132"/>
        <v>0.43549238606110663</v>
      </c>
      <c r="L153" s="239">
        <f t="shared" ca="1" si="133"/>
        <v>0.99996408457798225</v>
      </c>
      <c r="M153" s="238">
        <f t="shared" ca="1" si="134"/>
        <v>23.413425469658467</v>
      </c>
      <c r="N153" s="238">
        <f t="shared" ca="1" si="135"/>
        <v>71.176015630270911</v>
      </c>
      <c r="O153" s="239">
        <f t="shared" ca="1" si="136"/>
        <v>905.41055890007055</v>
      </c>
      <c r="P153" s="217"/>
      <c r="Q153" s="217"/>
      <c r="R153" s="224"/>
      <c r="S153" s="230">
        <f t="shared" ca="1" si="137"/>
        <v>352947.25493005506</v>
      </c>
      <c r="T153" s="231">
        <f t="shared" ca="1" si="138"/>
        <v>2197.3841971804077</v>
      </c>
      <c r="U153" s="231">
        <f t="shared" ca="1" si="139"/>
        <v>3607.8996022221777</v>
      </c>
      <c r="V153" s="231"/>
      <c r="W153" s="231">
        <f t="shared" ca="1" si="140"/>
        <v>8817.1214170658641</v>
      </c>
      <c r="X153" s="231">
        <f t="shared" ca="1" si="141"/>
        <v>1102.140177133233</v>
      </c>
      <c r="Y153" s="231"/>
      <c r="Z153" s="232">
        <f t="shared" ca="1" si="110"/>
        <v>368671.80032365676</v>
      </c>
      <c r="AA153" s="231">
        <f t="shared" ca="1" si="111"/>
        <v>297.68642789203233</v>
      </c>
      <c r="AB153" s="231">
        <f t="shared" ca="1" si="142"/>
        <v>17935.267704999958</v>
      </c>
      <c r="AC153" s="231">
        <f t="shared" ca="1" si="143"/>
        <v>96493.495212395792</v>
      </c>
      <c r="AD153" s="231">
        <f t="shared" ca="1" si="144"/>
        <v>3350.4685837637426</v>
      </c>
      <c r="AE153" s="231">
        <f t="shared" ca="1" si="112"/>
        <v>28649.490904486767</v>
      </c>
      <c r="AF153" s="231">
        <f t="shared" ca="1" si="113"/>
        <v>146726.4088335383</v>
      </c>
      <c r="AG153" s="232">
        <f t="shared" ca="1" si="114"/>
        <v>515398.20915719506</v>
      </c>
      <c r="AH153" s="244">
        <f t="shared" ca="1" si="145"/>
        <v>1.7948690298437702</v>
      </c>
      <c r="AI153" s="243">
        <f t="shared" ca="1" si="146"/>
        <v>5.4563406917113912</v>
      </c>
      <c r="AJ153" s="242">
        <f t="shared" ca="1" si="147"/>
        <v>7.2512097215551616</v>
      </c>
      <c r="AK153" s="241">
        <f t="shared" ca="1" si="148"/>
        <v>1.2923057014875146</v>
      </c>
      <c r="AL153" s="243">
        <f t="shared" ca="1" si="149"/>
        <v>2.4171589264281463</v>
      </c>
      <c r="AM153" s="243"/>
      <c r="AN153" s="242">
        <f t="shared" ca="1" si="115"/>
        <v>3.7094646279156609</v>
      </c>
      <c r="AO153" s="224"/>
      <c r="AP153" s="235">
        <f t="shared" si="150"/>
        <v>11.307692307692308</v>
      </c>
      <c r="AQ153" s="235">
        <f t="shared" si="116"/>
        <v>0.71588063219506637</v>
      </c>
      <c r="AR153" s="235">
        <f t="shared" si="117"/>
        <v>0.84505306991175566</v>
      </c>
      <c r="AT153" s="230">
        <f t="shared" ca="1" si="118"/>
        <v>252668.10399084107</v>
      </c>
      <c r="AU153" s="231">
        <f t="shared" ca="1" si="119"/>
        <v>1573.0647882529586</v>
      </c>
      <c r="AV153" s="231">
        <f t="shared" ca="1" si="151"/>
        <v>2582.825448135141</v>
      </c>
      <c r="AW153" s="231"/>
      <c r="AX153" s="231">
        <f t="shared" ca="1" si="152"/>
        <v>6312.00645418977</v>
      </c>
      <c r="AY153" s="231">
        <f t="shared" ca="1" si="153"/>
        <v>789.00080677372125</v>
      </c>
      <c r="AZ153" s="231"/>
      <c r="BA153" s="232">
        <f t="shared" ca="1" si="120"/>
        <v>263925.00148819265</v>
      </c>
      <c r="BB153" s="231">
        <f t="shared" ca="1" si="121"/>
        <v>213.10794819523915</v>
      </c>
      <c r="BC153" s="231">
        <f t="shared" ca="1" si="154"/>
        <v>12839.510783243128</v>
      </c>
      <c r="BD153" s="231">
        <f t="shared" ca="1" si="155"/>
        <v>69077.824355361503</v>
      </c>
      <c r="BE153" s="231">
        <f t="shared" ca="1" si="156"/>
        <v>2398.5355678944966</v>
      </c>
      <c r="BF153" s="231">
        <f t="shared" ca="1" si="122"/>
        <v>20509.615660770789</v>
      </c>
      <c r="BG153" s="231">
        <f t="shared" ca="1" si="123"/>
        <v>105038.59431546516</v>
      </c>
      <c r="BH153" s="232">
        <f t="shared" ca="1" si="124"/>
        <v>368963.59580365784</v>
      </c>
      <c r="BI153" s="244">
        <f t="shared" ca="1" si="157"/>
        <v>1.5167595837590127</v>
      </c>
      <c r="BJ153" s="243">
        <f t="shared" ca="1" si="158"/>
        <v>4.6108974520151431</v>
      </c>
      <c r="BK153" s="242">
        <f t="shared" ca="1" si="159"/>
        <v>6.1276570357741562</v>
      </c>
      <c r="BL153" s="241">
        <f t="shared" ca="1" si="160"/>
        <v>1.0920669003064891</v>
      </c>
      <c r="BM153" s="243">
        <f t="shared" ca="1" si="161"/>
        <v>2.0426275712427087</v>
      </c>
      <c r="BN153" s="243">
        <f t="shared" si="125"/>
        <v>0</v>
      </c>
      <c r="BO153" s="242">
        <f t="shared" ca="1" si="126"/>
        <v>3.1346944715491976</v>
      </c>
      <c r="BP153" s="67"/>
      <c r="BQ153" s="67"/>
      <c r="BR153" s="67"/>
      <c r="BS153" s="67"/>
      <c r="BT153" s="67"/>
      <c r="BU153" s="67"/>
      <c r="BV153" s="67"/>
      <c r="BW153" s="67"/>
      <c r="BX153" s="67"/>
      <c r="BY153" s="67"/>
      <c r="BZ153" s="67"/>
      <c r="CA153" s="67"/>
      <c r="CB153" s="67"/>
    </row>
    <row r="154" spans="1:80" ht="12" customHeight="1" x14ac:dyDescent="0.15">
      <c r="A154" s="213">
        <f t="shared" si="127"/>
        <v>148</v>
      </c>
      <c r="B154" s="67">
        <f t="shared" si="128"/>
        <v>592</v>
      </c>
      <c r="C154" s="224">
        <f t="shared" si="129"/>
        <v>136.61538461538461</v>
      </c>
      <c r="D154" s="225">
        <f ca="1">IFERROR(OFFSET(extrapolation!P163,0,OS_dist_choice-1,1,1),0)</f>
        <v>9.3105612660239798E-2</v>
      </c>
      <c r="E154" s="225">
        <f ca="1">IFERROR(OFFSET(extrapolation!D163,0,PFS_dist_choice-1,1,1),0)</f>
        <v>2.2769403569604663E-2</v>
      </c>
      <c r="F154" s="214"/>
      <c r="G154" s="226">
        <f t="shared" ca="1" si="130"/>
        <v>22.769403569604663</v>
      </c>
      <c r="H154" s="224">
        <f t="shared" ca="1" si="131"/>
        <v>70.336209090635066</v>
      </c>
      <c r="I154" s="224">
        <f t="shared" ca="1" si="108"/>
        <v>906.89438733976021</v>
      </c>
      <c r="J154" s="227">
        <f t="shared" ca="1" si="109"/>
        <v>1000</v>
      </c>
      <c r="K154" s="238">
        <f t="shared" ca="1" si="132"/>
        <v>0.42627570702325102</v>
      </c>
      <c r="L154" s="239">
        <f t="shared" ca="1" si="133"/>
        <v>0.98384639740061175</v>
      </c>
      <c r="M154" s="238">
        <f t="shared" ca="1" si="134"/>
        <v>22.982541423116288</v>
      </c>
      <c r="N154" s="238">
        <f t="shared" ca="1" si="135"/>
        <v>70.614994435823746</v>
      </c>
      <c r="O154" s="239">
        <f t="shared" ca="1" si="136"/>
        <v>906.40246414105991</v>
      </c>
      <c r="P154" s="217"/>
      <c r="Q154" s="217"/>
      <c r="R154" s="224"/>
      <c r="S154" s="230">
        <f t="shared" ca="1" si="137"/>
        <v>346461.01071004546</v>
      </c>
      <c r="T154" s="231">
        <f t="shared" ca="1" si="138"/>
        <v>2157.0020427677705</v>
      </c>
      <c r="U154" s="231">
        <f t="shared" ca="1" si="139"/>
        <v>3541.5023814422452</v>
      </c>
      <c r="V154" s="231"/>
      <c r="W154" s="231">
        <f t="shared" ca="1" si="140"/>
        <v>8654.8573792828247</v>
      </c>
      <c r="X154" s="231">
        <f t="shared" ca="1" si="141"/>
        <v>1081.8571724103531</v>
      </c>
      <c r="Y154" s="231"/>
      <c r="Z154" s="232">
        <f t="shared" ca="1" si="110"/>
        <v>361896.22968594864</v>
      </c>
      <c r="AA154" s="231">
        <f t="shared" ca="1" si="111"/>
        <v>291.38624826174686</v>
      </c>
      <c r="AB154" s="231">
        <f t="shared" ca="1" si="142"/>
        <v>17793.898941639323</v>
      </c>
      <c r="AC154" s="231">
        <f t="shared" ca="1" si="143"/>
        <v>95732.917432632908</v>
      </c>
      <c r="AD154" s="231">
        <f t="shared" ca="1" si="144"/>
        <v>3324.0596330775311</v>
      </c>
      <c r="AE154" s="231">
        <f t="shared" ca="1" si="112"/>
        <v>28187.710787269538</v>
      </c>
      <c r="AF154" s="231">
        <f t="shared" ca="1" si="113"/>
        <v>145329.97304288106</v>
      </c>
      <c r="AG154" s="232">
        <f t="shared" ca="1" si="114"/>
        <v>507226.2027288297</v>
      </c>
      <c r="AH154" s="244">
        <f t="shared" ca="1" si="145"/>
        <v>1.7618375355161016</v>
      </c>
      <c r="AI154" s="243">
        <f t="shared" ca="1" si="146"/>
        <v>5.4133329067845724</v>
      </c>
      <c r="AJ154" s="242">
        <f t="shared" ca="1" si="147"/>
        <v>7.1751704423006739</v>
      </c>
      <c r="AK154" s="241">
        <f t="shared" ca="1" si="148"/>
        <v>1.2685230255715931</v>
      </c>
      <c r="AL154" s="243">
        <f t="shared" ca="1" si="149"/>
        <v>2.3981064777055656</v>
      </c>
      <c r="AM154" s="243"/>
      <c r="AN154" s="242">
        <f t="shared" ca="1" si="115"/>
        <v>3.666629503277159</v>
      </c>
      <c r="AO154" s="224"/>
      <c r="AP154" s="235">
        <f t="shared" si="150"/>
        <v>11.384615384615385</v>
      </c>
      <c r="AQ154" s="235">
        <f t="shared" si="116"/>
        <v>0.71425474486519469</v>
      </c>
      <c r="AR154" s="235">
        <f t="shared" si="117"/>
        <v>0.84408580332011052</v>
      </c>
      <c r="AT154" s="230">
        <f t="shared" ca="1" si="118"/>
        <v>247461.42081044102</v>
      </c>
      <c r="AU154" s="231">
        <f t="shared" ca="1" si="119"/>
        <v>1540.6489437307978</v>
      </c>
      <c r="AV154" s="231">
        <f t="shared" ca="1" si="151"/>
        <v>2529.5348798965101</v>
      </c>
      <c r="AW154" s="231"/>
      <c r="AX154" s="231">
        <f t="shared" ca="1" si="152"/>
        <v>6181.7729492843018</v>
      </c>
      <c r="AY154" s="231">
        <f t="shared" ca="1" si="153"/>
        <v>772.72161866053773</v>
      </c>
      <c r="AZ154" s="231"/>
      <c r="BA154" s="232">
        <f t="shared" ca="1" si="120"/>
        <v>258486.09920201314</v>
      </c>
      <c r="BB154" s="231">
        <f t="shared" ca="1" si="121"/>
        <v>208.12401040942029</v>
      </c>
      <c r="BC154" s="231">
        <f t="shared" ca="1" si="154"/>
        <v>12709.376748717652</v>
      </c>
      <c r="BD154" s="231">
        <f t="shared" ca="1" si="155"/>
        <v>68377.690516045972</v>
      </c>
      <c r="BE154" s="231">
        <f t="shared" ca="1" si="156"/>
        <v>2374.2253651404844</v>
      </c>
      <c r="BF154" s="231">
        <f t="shared" ca="1" si="122"/>
        <v>20133.206176695101</v>
      </c>
      <c r="BG154" s="231">
        <f t="shared" ca="1" si="123"/>
        <v>103802.62281700863</v>
      </c>
      <c r="BH154" s="232">
        <f t="shared" ca="1" si="124"/>
        <v>362288.72201902175</v>
      </c>
      <c r="BI154" s="244">
        <f t="shared" ca="1" si="157"/>
        <v>1.4871420514856324</v>
      </c>
      <c r="BJ154" s="243">
        <f t="shared" ca="1" si="158"/>
        <v>4.5693174552624445</v>
      </c>
      <c r="BK154" s="242">
        <f t="shared" ca="1" si="159"/>
        <v>6.0564595067480766</v>
      </c>
      <c r="BL154" s="241">
        <f t="shared" ca="1" si="160"/>
        <v>1.0707422770696553</v>
      </c>
      <c r="BM154" s="243">
        <f t="shared" ca="1" si="161"/>
        <v>2.024207632681263</v>
      </c>
      <c r="BN154" s="243">
        <f t="shared" si="125"/>
        <v>0</v>
      </c>
      <c r="BO154" s="242">
        <f t="shared" ca="1" si="126"/>
        <v>3.0949499097509183</v>
      </c>
      <c r="BP154" s="67"/>
      <c r="BQ154" s="67"/>
      <c r="BR154" s="67"/>
      <c r="BS154" s="67"/>
      <c r="BT154" s="67"/>
      <c r="BU154" s="67"/>
      <c r="BV154" s="67"/>
      <c r="BW154" s="67"/>
      <c r="BX154" s="67"/>
      <c r="BY154" s="67"/>
      <c r="BZ154" s="67"/>
      <c r="CA154" s="67"/>
      <c r="CB154" s="67"/>
    </row>
    <row r="155" spans="1:80" ht="12" customHeight="1" x14ac:dyDescent="0.15">
      <c r="A155" s="213">
        <f t="shared" si="127"/>
        <v>149</v>
      </c>
      <c r="B155" s="67">
        <f t="shared" si="128"/>
        <v>596</v>
      </c>
      <c r="C155" s="224">
        <f t="shared" si="129"/>
        <v>137.53846153846155</v>
      </c>
      <c r="D155" s="225">
        <f ca="1">IFERROR(OFFSET(extrapolation!P164,0,OS_dist_choice-1,1,1),0)</f>
        <v>9.213753989040932E-2</v>
      </c>
      <c r="E155" s="225">
        <f ca="1">IFERROR(OFFSET(extrapolation!D164,0,PFS_dist_choice-1,1,1),0)</f>
        <v>2.2352121280310056E-2</v>
      </c>
      <c r="F155" s="214"/>
      <c r="G155" s="226">
        <f t="shared" ca="1" si="130"/>
        <v>22.352121280310055</v>
      </c>
      <c r="H155" s="224">
        <f t="shared" ca="1" si="131"/>
        <v>69.785418610099214</v>
      </c>
      <c r="I155" s="224">
        <f t="shared" ca="1" si="108"/>
        <v>907.86246010959076</v>
      </c>
      <c r="J155" s="227">
        <f t="shared" ca="1" si="109"/>
        <v>1000</v>
      </c>
      <c r="K155" s="238">
        <f t="shared" ca="1" si="132"/>
        <v>0.41728228929460798</v>
      </c>
      <c r="L155" s="239">
        <f t="shared" ca="1" si="133"/>
        <v>0.9680727698305418</v>
      </c>
      <c r="M155" s="238">
        <f t="shared" ca="1" si="134"/>
        <v>22.56076242495736</v>
      </c>
      <c r="N155" s="238">
        <f t="shared" ca="1" si="135"/>
        <v>70.06081385036714</v>
      </c>
      <c r="O155" s="239">
        <f t="shared" ca="1" si="136"/>
        <v>907.37842372467549</v>
      </c>
      <c r="P155" s="217"/>
      <c r="Q155" s="217"/>
      <c r="R155" s="224"/>
      <c r="S155" s="230">
        <f t="shared" ca="1" si="137"/>
        <v>340111.61103172431</v>
      </c>
      <c r="T155" s="231">
        <f t="shared" ca="1" si="138"/>
        <v>2117.4718571101707</v>
      </c>
      <c r="U155" s="231">
        <f t="shared" ca="1" si="139"/>
        <v>3476.5082061279459</v>
      </c>
      <c r="V155" s="231"/>
      <c r="W155" s="231">
        <f t="shared" ca="1" si="140"/>
        <v>8496.0221570401427</v>
      </c>
      <c r="X155" s="231">
        <f t="shared" ca="1" si="141"/>
        <v>1062.0027696300178</v>
      </c>
      <c r="Y155" s="231"/>
      <c r="Z155" s="232">
        <f t="shared" ca="1" si="110"/>
        <v>355263.61602163257</v>
      </c>
      <c r="AA155" s="231">
        <f t="shared" ca="1" si="111"/>
        <v>285.23868177408622</v>
      </c>
      <c r="AB155" s="231">
        <f t="shared" ca="1" si="142"/>
        <v>17654.253907155955</v>
      </c>
      <c r="AC155" s="231">
        <f t="shared" ca="1" si="143"/>
        <v>94981.613482895977</v>
      </c>
      <c r="AD155" s="231">
        <f t="shared" ca="1" si="144"/>
        <v>3297.9726903783326</v>
      </c>
      <c r="AE155" s="231">
        <f t="shared" ca="1" si="112"/>
        <v>27735.78815667806</v>
      </c>
      <c r="AF155" s="231">
        <f t="shared" ca="1" si="113"/>
        <v>143954.86691888241</v>
      </c>
      <c r="AG155" s="232">
        <f t="shared" ca="1" si="114"/>
        <v>499218.48294051498</v>
      </c>
      <c r="AH155" s="244">
        <f t="shared" ca="1" si="145"/>
        <v>1.7295040325771556</v>
      </c>
      <c r="AI155" s="243">
        <f t="shared" ca="1" si="146"/>
        <v>5.3708495217256127</v>
      </c>
      <c r="AJ155" s="242">
        <f t="shared" ca="1" si="147"/>
        <v>7.1003535543027683</v>
      </c>
      <c r="AK155" s="241">
        <f t="shared" ca="1" si="148"/>
        <v>1.2452429034555519</v>
      </c>
      <c r="AL155" s="243">
        <f t="shared" ca="1" si="149"/>
        <v>2.3792863381244462</v>
      </c>
      <c r="AM155" s="243"/>
      <c r="AN155" s="242">
        <f t="shared" ca="1" si="115"/>
        <v>3.6245292415799981</v>
      </c>
      <c r="AO155" s="224"/>
      <c r="AP155" s="235">
        <f t="shared" si="150"/>
        <v>11.461538461538462</v>
      </c>
      <c r="AQ155" s="235">
        <f t="shared" si="116"/>
        <v>0.7126325502034726</v>
      </c>
      <c r="AR155" s="235">
        <f t="shared" si="117"/>
        <v>0.8431196438833799</v>
      </c>
      <c r="AT155" s="230">
        <f t="shared" ca="1" si="118"/>
        <v>242374.60472334921</v>
      </c>
      <c r="AU155" s="231">
        <f t="shared" ca="1" si="119"/>
        <v>1508.9793695165042</v>
      </c>
      <c r="AV155" s="231">
        <f t="shared" ca="1" si="151"/>
        <v>2477.472908736258</v>
      </c>
      <c r="AW155" s="231"/>
      <c r="AX155" s="231">
        <f t="shared" ca="1" si="152"/>
        <v>6054.5419363567253</v>
      </c>
      <c r="AY155" s="231">
        <f t="shared" ca="1" si="153"/>
        <v>756.81774204459066</v>
      </c>
      <c r="AZ155" s="231"/>
      <c r="BA155" s="232">
        <f t="shared" ca="1" si="120"/>
        <v>253172.41668000328</v>
      </c>
      <c r="BB155" s="231">
        <f t="shared" ca="1" si="121"/>
        <v>203.27036920934384</v>
      </c>
      <c r="BC155" s="231">
        <f t="shared" ca="1" si="154"/>
        <v>12580.995983796169</v>
      </c>
      <c r="BD155" s="231">
        <f t="shared" ca="1" si="155"/>
        <v>67686.989438756704</v>
      </c>
      <c r="BE155" s="231">
        <f t="shared" ca="1" si="156"/>
        <v>2350.2426888457185</v>
      </c>
      <c r="BF155" s="231">
        <f t="shared" ca="1" si="122"/>
        <v>19765.42544599676</v>
      </c>
      <c r="BG155" s="231">
        <f t="shared" ca="1" si="123"/>
        <v>102586.92392660469</v>
      </c>
      <c r="BH155" s="232">
        <f t="shared" ca="1" si="124"/>
        <v>355759.34060660796</v>
      </c>
      <c r="BI155" s="244">
        <f t="shared" ca="1" si="157"/>
        <v>1.4581788240413209</v>
      </c>
      <c r="BJ155" s="243">
        <f t="shared" ca="1" si="158"/>
        <v>4.5282687361085197</v>
      </c>
      <c r="BK155" s="242">
        <f t="shared" ca="1" si="159"/>
        <v>5.9864475601498404</v>
      </c>
      <c r="BL155" s="241">
        <f t="shared" ca="1" si="160"/>
        <v>1.049888753309751</v>
      </c>
      <c r="BM155" s="243">
        <f t="shared" ca="1" si="161"/>
        <v>2.0060230500960743</v>
      </c>
      <c r="BN155" s="243">
        <f t="shared" si="125"/>
        <v>0</v>
      </c>
      <c r="BO155" s="242">
        <f t="shared" ca="1" si="126"/>
        <v>3.055911803405825</v>
      </c>
      <c r="BP155" s="67"/>
      <c r="BQ155" s="67"/>
      <c r="BR155" s="67"/>
      <c r="BS155" s="67"/>
      <c r="BT155" s="67"/>
      <c r="BU155" s="67"/>
      <c r="BV155" s="67"/>
      <c r="BW155" s="67"/>
      <c r="BX155" s="67"/>
      <c r="BY155" s="67"/>
      <c r="BZ155" s="67"/>
      <c r="CA155" s="67"/>
      <c r="CB155" s="67"/>
    </row>
    <row r="156" spans="1:80" ht="12" customHeight="1" x14ac:dyDescent="0.15">
      <c r="A156" s="213">
        <f t="shared" si="127"/>
        <v>150</v>
      </c>
      <c r="B156" s="67">
        <f t="shared" si="128"/>
        <v>600</v>
      </c>
      <c r="C156" s="224">
        <f t="shared" si="129"/>
        <v>138.46153846153845</v>
      </c>
      <c r="D156" s="225">
        <f ca="1">IFERROR(OFFSET(extrapolation!P165,0,OS_dist_choice-1,1,1),0)</f>
        <v>9.1184905697258206E-2</v>
      </c>
      <c r="E156" s="225">
        <f ca="1">IFERROR(OFFSET(extrapolation!D165,0,PFS_dist_choice-1,1,1),0)</f>
        <v>2.1943615307457254E-2</v>
      </c>
      <c r="F156" s="214"/>
      <c r="G156" s="226">
        <f t="shared" ca="1" si="130"/>
        <v>21.943615307457254</v>
      </c>
      <c r="H156" s="224">
        <f t="shared" ca="1" si="131"/>
        <v>69.241290389801065</v>
      </c>
      <c r="I156" s="224">
        <f t="shared" ca="1" si="108"/>
        <v>908.81509430274173</v>
      </c>
      <c r="J156" s="227">
        <f t="shared" ca="1" si="109"/>
        <v>1000</v>
      </c>
      <c r="K156" s="238">
        <f t="shared" ca="1" si="132"/>
        <v>0.40850597285280088</v>
      </c>
      <c r="L156" s="239">
        <f t="shared" ca="1" si="133"/>
        <v>0.95263419315097053</v>
      </c>
      <c r="M156" s="238">
        <f t="shared" ca="1" si="134"/>
        <v>22.147868293883654</v>
      </c>
      <c r="N156" s="238">
        <f t="shared" ca="1" si="135"/>
        <v>69.51335449995014</v>
      </c>
      <c r="O156" s="239">
        <f t="shared" ca="1" si="136"/>
        <v>908.33877720616624</v>
      </c>
      <c r="P156" s="217"/>
      <c r="Q156" s="217"/>
      <c r="R156" s="224"/>
      <c r="S156" s="230">
        <f t="shared" ca="1" si="137"/>
        <v>333895.75246507284</v>
      </c>
      <c r="T156" s="231">
        <f t="shared" ca="1" si="138"/>
        <v>2078.773073664539</v>
      </c>
      <c r="U156" s="231">
        <f t="shared" ca="1" si="139"/>
        <v>3412.883147368766</v>
      </c>
      <c r="V156" s="231"/>
      <c r="W156" s="231">
        <f t="shared" ca="1" si="140"/>
        <v>8340.5328335838822</v>
      </c>
      <c r="X156" s="231">
        <f t="shared" ca="1" si="141"/>
        <v>1042.5666041979853</v>
      </c>
      <c r="Y156" s="231"/>
      <c r="Z156" s="232">
        <f t="shared" ca="1" si="110"/>
        <v>348770.50812388799</v>
      </c>
      <c r="AA156" s="231">
        <f t="shared" ca="1" si="111"/>
        <v>279.23951766643847</v>
      </c>
      <c r="AB156" s="231">
        <f t="shared" ca="1" si="142"/>
        <v>17516.302521139369</v>
      </c>
      <c r="AC156" s="231">
        <f t="shared" ca="1" si="143"/>
        <v>94239.421527633211</v>
      </c>
      <c r="AD156" s="231">
        <f t="shared" ca="1" si="144"/>
        <v>3272.2021363761528</v>
      </c>
      <c r="AE156" s="231">
        <f t="shared" ca="1" si="112"/>
        <v>27293.464908292328</v>
      </c>
      <c r="AF156" s="231">
        <f t="shared" ca="1" si="113"/>
        <v>142600.63061110751</v>
      </c>
      <c r="AG156" s="232">
        <f t="shared" ca="1" si="114"/>
        <v>491371.1387349955</v>
      </c>
      <c r="AH156" s="244">
        <f t="shared" ca="1" si="145"/>
        <v>1.6978516419678094</v>
      </c>
      <c r="AI156" s="243">
        <f t="shared" ca="1" si="146"/>
        <v>5.3288813853486756</v>
      </c>
      <c r="AJ156" s="242">
        <f t="shared" ca="1" si="147"/>
        <v>7.0267330273164852</v>
      </c>
      <c r="AK156" s="241">
        <f t="shared" ca="1" si="148"/>
        <v>1.2224531822168228</v>
      </c>
      <c r="AL156" s="243">
        <f t="shared" ca="1" si="149"/>
        <v>2.3606944537094634</v>
      </c>
      <c r="AM156" s="243"/>
      <c r="AN156" s="242">
        <f t="shared" ca="1" si="115"/>
        <v>3.5831476359262862</v>
      </c>
      <c r="AO156" s="224"/>
      <c r="AP156" s="235">
        <f t="shared" si="150"/>
        <v>11.538461538461538</v>
      </c>
      <c r="AQ156" s="235">
        <f t="shared" si="116"/>
        <v>0.71101403982321931</v>
      </c>
      <c r="AR156" s="235">
        <f t="shared" si="117"/>
        <v>0.84215459033428941</v>
      </c>
      <c r="AT156" s="230">
        <f t="shared" ca="1" si="118"/>
        <v>237404.56784000507</v>
      </c>
      <c r="AU156" s="231">
        <f t="shared" ca="1" si="119"/>
        <v>1478.0368409819546</v>
      </c>
      <c r="AV156" s="231">
        <f t="shared" ca="1" si="151"/>
        <v>2426.6078340552499</v>
      </c>
      <c r="AW156" s="231"/>
      <c r="AX156" s="231">
        <f t="shared" ca="1" si="152"/>
        <v>5930.2359442846782</v>
      </c>
      <c r="AY156" s="231">
        <f t="shared" ca="1" si="153"/>
        <v>741.27949303558478</v>
      </c>
      <c r="AZ156" s="231"/>
      <c r="BA156" s="232">
        <f t="shared" ca="1" si="120"/>
        <v>247980.72795236253</v>
      </c>
      <c r="BB156" s="231">
        <f t="shared" ca="1" si="121"/>
        <v>198.54321753430165</v>
      </c>
      <c r="BC156" s="231">
        <f t="shared" ca="1" si="154"/>
        <v>12454.337018320944</v>
      </c>
      <c r="BD156" s="231">
        <f t="shared" ca="1" si="155"/>
        <v>67005.551810965757</v>
      </c>
      <c r="BE156" s="231">
        <f t="shared" ca="1" si="156"/>
        <v>2326.5816601029774</v>
      </c>
      <c r="BF156" s="231">
        <f t="shared" ca="1" si="122"/>
        <v>19406.0367452182</v>
      </c>
      <c r="BG156" s="231">
        <f t="shared" ca="1" si="123"/>
        <v>101391.05045214218</v>
      </c>
      <c r="BH156" s="232">
        <f t="shared" ca="1" si="124"/>
        <v>349371.7784045047</v>
      </c>
      <c r="BI156" s="244">
        <f t="shared" ca="1" si="157"/>
        <v>1.4298535539898012</v>
      </c>
      <c r="BJ156" s="243">
        <f t="shared" ca="1" si="158"/>
        <v>4.4877419200183342</v>
      </c>
      <c r="BK156" s="242">
        <f t="shared" ca="1" si="159"/>
        <v>5.9175954740081362</v>
      </c>
      <c r="BL156" s="241">
        <f t="shared" ca="1" si="160"/>
        <v>1.0294945588726567</v>
      </c>
      <c r="BM156" s="243">
        <f t="shared" ca="1" si="161"/>
        <v>1.9880696705681222</v>
      </c>
      <c r="BN156" s="243">
        <f t="shared" si="125"/>
        <v>0</v>
      </c>
      <c r="BO156" s="242">
        <f t="shared" ca="1" si="126"/>
        <v>3.017564229440779</v>
      </c>
      <c r="BP156" s="67"/>
      <c r="BQ156" s="67"/>
      <c r="BR156" s="67"/>
      <c r="BS156" s="67"/>
      <c r="BT156" s="67"/>
      <c r="BU156" s="67"/>
      <c r="BV156" s="67"/>
      <c r="BW156" s="67"/>
      <c r="BX156" s="67"/>
      <c r="BY156" s="67"/>
      <c r="BZ156" s="67"/>
      <c r="CA156" s="67"/>
      <c r="CB156" s="67"/>
    </row>
    <row r="157" spans="1:80" ht="12" customHeight="1" x14ac:dyDescent="0.15">
      <c r="A157" s="213">
        <f t="shared" si="127"/>
        <v>151</v>
      </c>
      <c r="B157" s="67">
        <f t="shared" si="128"/>
        <v>604</v>
      </c>
      <c r="C157" s="224">
        <f t="shared" si="129"/>
        <v>139.38461538461539</v>
      </c>
      <c r="D157" s="225">
        <f ca="1">IFERROR(OFFSET(extrapolation!P166,0,OS_dist_choice-1,1,1),0)</f>
        <v>9.0247383763146435E-2</v>
      </c>
      <c r="E157" s="225">
        <f ca="1">IFERROR(OFFSET(extrapolation!D166,0,PFS_dist_choice-1,1,1),0)</f>
        <v>2.1543674517359723E-2</v>
      </c>
      <c r="F157" s="214"/>
      <c r="G157" s="226">
        <f t="shared" ca="1" si="130"/>
        <v>21.543674517359722</v>
      </c>
      <c r="H157" s="224">
        <f t="shared" ca="1" si="131"/>
        <v>68.70370924578674</v>
      </c>
      <c r="I157" s="224">
        <f t="shared" ca="1" si="108"/>
        <v>909.75261623685356</v>
      </c>
      <c r="J157" s="227">
        <f t="shared" ca="1" si="109"/>
        <v>1000</v>
      </c>
      <c r="K157" s="238">
        <f t="shared" ca="1" si="132"/>
        <v>0.39994079009753136</v>
      </c>
      <c r="L157" s="239">
        <f t="shared" ca="1" si="133"/>
        <v>0.93752193411182816</v>
      </c>
      <c r="M157" s="238">
        <f t="shared" ca="1" si="134"/>
        <v>21.743644912408488</v>
      </c>
      <c r="N157" s="238">
        <f t="shared" ca="1" si="135"/>
        <v>68.972499817793903</v>
      </c>
      <c r="O157" s="239">
        <f t="shared" ca="1" si="136"/>
        <v>909.28385526979764</v>
      </c>
      <c r="P157" s="217"/>
      <c r="Q157" s="217"/>
      <c r="R157" s="224"/>
      <c r="S157" s="230">
        <f t="shared" ca="1" si="137"/>
        <v>327810.22238354111</v>
      </c>
      <c r="T157" s="231">
        <f t="shared" ca="1" si="138"/>
        <v>2040.8856912133742</v>
      </c>
      <c r="U157" s="231">
        <f t="shared" ca="1" si="139"/>
        <v>3350.5942106592229</v>
      </c>
      <c r="V157" s="231"/>
      <c r="W157" s="231">
        <f t="shared" ca="1" si="140"/>
        <v>8188.3087756944378</v>
      </c>
      <c r="X157" s="231">
        <f t="shared" ca="1" si="141"/>
        <v>1023.5385969618047</v>
      </c>
      <c r="Y157" s="231"/>
      <c r="Z157" s="232">
        <f t="shared" ca="1" si="110"/>
        <v>342413.54965806997</v>
      </c>
      <c r="AA157" s="231">
        <f t="shared" ca="1" si="111"/>
        <v>273.38467670878083</v>
      </c>
      <c r="AB157" s="231">
        <f t="shared" ca="1" si="142"/>
        <v>17380.015410543518</v>
      </c>
      <c r="AC157" s="231">
        <f t="shared" ca="1" si="143"/>
        <v>93506.18353698276</v>
      </c>
      <c r="AD157" s="231">
        <f t="shared" ca="1" si="144"/>
        <v>3246.7424839230125</v>
      </c>
      <c r="AE157" s="231">
        <f t="shared" ca="1" si="112"/>
        <v>26860.490829957424</v>
      </c>
      <c r="AF157" s="231">
        <f t="shared" ca="1" si="113"/>
        <v>141266.81693811549</v>
      </c>
      <c r="AG157" s="232">
        <f t="shared" ca="1" si="114"/>
        <v>483680.36659618549</v>
      </c>
      <c r="AH157" s="244">
        <f t="shared" ca="1" si="145"/>
        <v>1.6668639494796378</v>
      </c>
      <c r="AI157" s="243">
        <f t="shared" ca="1" si="146"/>
        <v>5.2874195616652413</v>
      </c>
      <c r="AJ157" s="242">
        <f t="shared" ca="1" si="147"/>
        <v>6.9542835111448795</v>
      </c>
      <c r="AK157" s="241">
        <f t="shared" ca="1" si="148"/>
        <v>1.2001420436253392</v>
      </c>
      <c r="AL157" s="243">
        <f t="shared" ca="1" si="149"/>
        <v>2.3423268658177019</v>
      </c>
      <c r="AM157" s="243"/>
      <c r="AN157" s="242">
        <f t="shared" ca="1" si="115"/>
        <v>3.5424689094430413</v>
      </c>
      <c r="AO157" s="224"/>
      <c r="AP157" s="235">
        <f t="shared" si="150"/>
        <v>11.615384615384615</v>
      </c>
      <c r="AQ157" s="235">
        <f t="shared" si="116"/>
        <v>0.70939920535680168</v>
      </c>
      <c r="AR157" s="235">
        <f t="shared" si="117"/>
        <v>0.8411906414070156</v>
      </c>
      <c r="AT157" s="230">
        <f t="shared" ca="1" si="118"/>
        <v>232548.3112667205</v>
      </c>
      <c r="AU157" s="231">
        <f t="shared" ca="1" si="119"/>
        <v>1447.8026875708347</v>
      </c>
      <c r="AV157" s="231">
        <f t="shared" ca="1" si="151"/>
        <v>2376.9088705147528</v>
      </c>
      <c r="AW157" s="231"/>
      <c r="AX157" s="231">
        <f t="shared" ca="1" si="152"/>
        <v>5808.77973869376</v>
      </c>
      <c r="AY157" s="231">
        <f t="shared" ca="1" si="153"/>
        <v>726.09746733672</v>
      </c>
      <c r="AZ157" s="231"/>
      <c r="BA157" s="232">
        <f t="shared" ca="1" si="120"/>
        <v>242907.90003083658</v>
      </c>
      <c r="BB157" s="231">
        <f t="shared" ca="1" si="121"/>
        <v>193.93887241393526</v>
      </c>
      <c r="BC157" s="231">
        <f t="shared" ca="1" si="154"/>
        <v>12329.369121328538</v>
      </c>
      <c r="BD157" s="231">
        <f t="shared" ca="1" si="155"/>
        <v>66333.21229708282</v>
      </c>
      <c r="BE157" s="231">
        <f t="shared" ca="1" si="156"/>
        <v>2303.2365380931537</v>
      </c>
      <c r="BF157" s="231">
        <f t="shared" ca="1" si="122"/>
        <v>19054.810850265454</v>
      </c>
      <c r="BG157" s="231">
        <f t="shared" ca="1" si="123"/>
        <v>100214.56767918389</v>
      </c>
      <c r="BH157" s="232">
        <f t="shared" ca="1" si="124"/>
        <v>343122.46771002049</v>
      </c>
      <c r="BI157" s="244">
        <f t="shared" ca="1" si="157"/>
        <v>1.4021503548010077</v>
      </c>
      <c r="BJ157" s="243">
        <f t="shared" ca="1" si="158"/>
        <v>4.447727852465186</v>
      </c>
      <c r="BK157" s="242">
        <f t="shared" ca="1" si="159"/>
        <v>5.8498782072661939</v>
      </c>
      <c r="BL157" s="241">
        <f t="shared" ca="1" si="160"/>
        <v>1.0095482554567257</v>
      </c>
      <c r="BM157" s="243">
        <f t="shared" ca="1" si="161"/>
        <v>1.9703434386420773</v>
      </c>
      <c r="BN157" s="243">
        <f t="shared" si="125"/>
        <v>0</v>
      </c>
      <c r="BO157" s="242">
        <f t="shared" ca="1" si="126"/>
        <v>2.9798916940988032</v>
      </c>
      <c r="BP157" s="67"/>
      <c r="BQ157" s="67"/>
      <c r="BR157" s="67"/>
      <c r="BS157" s="67"/>
      <c r="BT157" s="67"/>
      <c r="BU157" s="67"/>
      <c r="BV157" s="67"/>
      <c r="BW157" s="67"/>
      <c r="BX157" s="67"/>
      <c r="BY157" s="67"/>
      <c r="BZ157" s="67"/>
      <c r="CA157" s="67"/>
      <c r="CB157" s="67"/>
    </row>
    <row r="158" spans="1:80" ht="12" customHeight="1" x14ac:dyDescent="0.15">
      <c r="A158" s="213">
        <f t="shared" si="127"/>
        <v>152</v>
      </c>
      <c r="B158" s="67">
        <f t="shared" si="128"/>
        <v>608</v>
      </c>
      <c r="C158" s="224">
        <f t="shared" si="129"/>
        <v>140.30769230769229</v>
      </c>
      <c r="D158" s="225">
        <f ca="1">IFERROR(OFFSET(extrapolation!P167,0,OS_dist_choice-1,1,1),0)</f>
        <v>8.9324656237704816E-2</v>
      </c>
      <c r="E158" s="225">
        <f ca="1">IFERROR(OFFSET(extrapolation!D167,0,PFS_dist_choice-1,1,1),0)</f>
        <v>2.1152093558267415E-2</v>
      </c>
      <c r="F158" s="214"/>
      <c r="G158" s="226">
        <f t="shared" ca="1" si="130"/>
        <v>21.152093558267417</v>
      </c>
      <c r="H158" s="224">
        <f t="shared" ca="1" si="131"/>
        <v>68.172562679437419</v>
      </c>
      <c r="I158" s="224">
        <f t="shared" ca="1" si="108"/>
        <v>910.67534376229514</v>
      </c>
      <c r="J158" s="227">
        <f t="shared" ca="1" si="109"/>
        <v>1000</v>
      </c>
      <c r="K158" s="238">
        <f t="shared" ca="1" si="132"/>
        <v>0.39158095909230539</v>
      </c>
      <c r="L158" s="239">
        <f t="shared" ca="1" si="133"/>
        <v>0.9227275254415872</v>
      </c>
      <c r="M158" s="238">
        <f t="shared" ca="1" si="134"/>
        <v>21.347884037813571</v>
      </c>
      <c r="N158" s="238">
        <f t="shared" ca="1" si="135"/>
        <v>68.43813596261208</v>
      </c>
      <c r="O158" s="239">
        <f t="shared" ca="1" si="136"/>
        <v>910.21397999957435</v>
      </c>
      <c r="P158" s="217"/>
      <c r="Q158" s="217"/>
      <c r="R158" s="224"/>
      <c r="S158" s="230">
        <f t="shared" ca="1" si="137"/>
        <v>321851.89613897342</v>
      </c>
      <c r="T158" s="231">
        <f t="shared" ca="1" si="138"/>
        <v>2003.7902562763522</v>
      </c>
      <c r="U158" s="231">
        <f t="shared" ca="1" si="139"/>
        <v>3289.6093067682277</v>
      </c>
      <c r="V158" s="231"/>
      <c r="W158" s="231">
        <f t="shared" ca="1" si="140"/>
        <v>8039.2715624959865</v>
      </c>
      <c r="X158" s="231">
        <f t="shared" ca="1" si="141"/>
        <v>1004.9089453119983</v>
      </c>
      <c r="Y158" s="231"/>
      <c r="Z158" s="232">
        <f t="shared" ca="1" si="110"/>
        <v>336189.47620982601</v>
      </c>
      <c r="AA158" s="231">
        <f t="shared" ca="1" si="111"/>
        <v>267.67020658397462</v>
      </c>
      <c r="AB158" s="231">
        <f t="shared" ca="1" si="142"/>
        <v>17245.363889104799</v>
      </c>
      <c r="AC158" s="231">
        <f t="shared" ca="1" si="143"/>
        <v>92781.74517603952</v>
      </c>
      <c r="AD158" s="231">
        <f t="shared" ca="1" si="144"/>
        <v>3221.5883741680386</v>
      </c>
      <c r="AE158" s="231">
        <f t="shared" ca="1" si="112"/>
        <v>26436.623329941955</v>
      </c>
      <c r="AF158" s="231">
        <f t="shared" ca="1" si="113"/>
        <v>139952.9909758383</v>
      </c>
      <c r="AG158" s="232">
        <f t="shared" ca="1" si="114"/>
        <v>476142.46718566434</v>
      </c>
      <c r="AH158" s="244">
        <f t="shared" ca="1" si="145"/>
        <v>1.6365249912629158</v>
      </c>
      <c r="AI158" s="243">
        <f t="shared" ca="1" si="146"/>
        <v>5.2464553236225546</v>
      </c>
      <c r="AJ158" s="242">
        <f t="shared" ca="1" si="147"/>
        <v>6.8829803148854705</v>
      </c>
      <c r="AK158" s="241">
        <f t="shared" ca="1" si="148"/>
        <v>1.1782979937092994</v>
      </c>
      <c r="AL158" s="243">
        <f t="shared" ca="1" si="149"/>
        <v>2.3241797083647917</v>
      </c>
      <c r="AM158" s="243"/>
      <c r="AN158" s="242">
        <f t="shared" ca="1" si="115"/>
        <v>3.5024777020740911</v>
      </c>
      <c r="AO158" s="224"/>
      <c r="AP158" s="235">
        <f t="shared" si="150"/>
        <v>11.692307692307692</v>
      </c>
      <c r="AQ158" s="235">
        <f t="shared" si="116"/>
        <v>0.70778803845559068</v>
      </c>
      <c r="AR158" s="235">
        <f t="shared" si="117"/>
        <v>0.84022779583718343</v>
      </c>
      <c r="AT158" s="230">
        <f t="shared" ca="1" si="118"/>
        <v>227802.9222414165</v>
      </c>
      <c r="AU158" s="231">
        <f t="shared" ca="1" si="119"/>
        <v>1418.2587749662648</v>
      </c>
      <c r="AV158" s="231">
        <f t="shared" ca="1" si="151"/>
        <v>2328.3461185227393</v>
      </c>
      <c r="AW158" s="231"/>
      <c r="AX158" s="231">
        <f t="shared" ca="1" si="152"/>
        <v>5690.1002498308462</v>
      </c>
      <c r="AY158" s="231">
        <f t="shared" ca="1" si="153"/>
        <v>711.26253122885578</v>
      </c>
      <c r="AZ158" s="231"/>
      <c r="BA158" s="232">
        <f t="shared" ca="1" si="120"/>
        <v>237950.88991596524</v>
      </c>
      <c r="BB158" s="231">
        <f t="shared" ca="1" si="121"/>
        <v>189.45377047107414</v>
      </c>
      <c r="BC158" s="231">
        <f t="shared" ca="1" si="154"/>
        <v>12206.062279522363</v>
      </c>
      <c r="BD158" s="231">
        <f t="shared" ca="1" si="155"/>
        <v>65669.809422635473</v>
      </c>
      <c r="BE158" s="231">
        <f t="shared" ca="1" si="156"/>
        <v>2280.2017160637315</v>
      </c>
      <c r="BF158" s="231">
        <f t="shared" ca="1" si="122"/>
        <v>18711.525770088923</v>
      </c>
      <c r="BG158" s="231">
        <f t="shared" ca="1" si="123"/>
        <v>99057.052958781569</v>
      </c>
      <c r="BH158" s="232">
        <f t="shared" ca="1" si="124"/>
        <v>337007.9428747468</v>
      </c>
      <c r="BI158" s="244">
        <f t="shared" ca="1" si="157"/>
        <v>1.3750537862413057</v>
      </c>
      <c r="BJ158" s="243">
        <f t="shared" ca="1" si="158"/>
        <v>4.4082175925256362</v>
      </c>
      <c r="BK158" s="242">
        <f t="shared" ca="1" si="159"/>
        <v>5.7832713787669414</v>
      </c>
      <c r="BL158" s="241">
        <f t="shared" ca="1" si="160"/>
        <v>0.99003872609374011</v>
      </c>
      <c r="BM158" s="243">
        <f t="shared" ca="1" si="161"/>
        <v>1.9528403934888567</v>
      </c>
      <c r="BN158" s="243">
        <f t="shared" si="125"/>
        <v>0</v>
      </c>
      <c r="BO158" s="242">
        <f t="shared" ca="1" si="126"/>
        <v>2.9428791195825967</v>
      </c>
      <c r="BP158" s="67"/>
      <c r="BQ158" s="67"/>
      <c r="BR158" s="67"/>
      <c r="BS158" s="67"/>
      <c r="BT158" s="67"/>
      <c r="BU158" s="67"/>
      <c r="BV158" s="67"/>
      <c r="BW158" s="67"/>
      <c r="BX158" s="67"/>
      <c r="BY158" s="67"/>
      <c r="BZ158" s="67"/>
      <c r="CA158" s="67"/>
      <c r="CB158" s="67"/>
    </row>
    <row r="159" spans="1:80" ht="12" customHeight="1" x14ac:dyDescent="0.15">
      <c r="A159" s="213">
        <f t="shared" si="127"/>
        <v>153</v>
      </c>
      <c r="B159" s="67">
        <f t="shared" si="128"/>
        <v>612</v>
      </c>
      <c r="C159" s="224">
        <f t="shared" si="129"/>
        <v>141.23076923076923</v>
      </c>
      <c r="D159" s="225">
        <f ca="1">IFERROR(OFFSET(extrapolation!P168,0,OS_dist_choice-1,1,1),0)</f>
        <v>8.8416413480982434E-2</v>
      </c>
      <c r="E159" s="225">
        <f ca="1">IFERROR(OFFSET(extrapolation!D168,0,PFS_dist_choice-1,1,1),0)</f>
        <v>2.0768672681196643E-2</v>
      </c>
      <c r="F159" s="214"/>
      <c r="G159" s="226">
        <f t="shared" ca="1" si="130"/>
        <v>20.768672681196641</v>
      </c>
      <c r="H159" s="224">
        <f t="shared" ca="1" si="131"/>
        <v>67.647740799785765</v>
      </c>
      <c r="I159" s="224">
        <f t="shared" ca="1" si="108"/>
        <v>911.58358651901756</v>
      </c>
      <c r="J159" s="227">
        <f t="shared" ca="1" si="109"/>
        <v>1000</v>
      </c>
      <c r="K159" s="238">
        <f t="shared" ca="1" si="132"/>
        <v>0.3834208770707761</v>
      </c>
      <c r="L159" s="239">
        <f t="shared" ca="1" si="133"/>
        <v>0.90824275672241583</v>
      </c>
      <c r="M159" s="238">
        <f t="shared" ca="1" si="134"/>
        <v>20.960383119732029</v>
      </c>
      <c r="N159" s="238">
        <f t="shared" ca="1" si="135"/>
        <v>67.910151739611592</v>
      </c>
      <c r="O159" s="239">
        <f t="shared" ca="1" si="136"/>
        <v>911.12946514065629</v>
      </c>
      <c r="P159" s="217"/>
      <c r="Q159" s="217"/>
      <c r="R159" s="224"/>
      <c r="S159" s="230">
        <f t="shared" ca="1" si="137"/>
        <v>316017.73433534126</v>
      </c>
      <c r="T159" s="231">
        <f t="shared" ca="1" si="138"/>
        <v>1967.4678461370938</v>
      </c>
      <c r="U159" s="231">
        <f t="shared" ca="1" si="139"/>
        <v>3229.8972236294799</v>
      </c>
      <c r="V159" s="231"/>
      <c r="W159" s="231">
        <f t="shared" ca="1" si="140"/>
        <v>7893.3449167611661</v>
      </c>
      <c r="X159" s="231">
        <f t="shared" ca="1" si="141"/>
        <v>986.66811459514577</v>
      </c>
      <c r="Y159" s="231"/>
      <c r="Z159" s="232">
        <f t="shared" ca="1" si="110"/>
        <v>330095.11243646417</v>
      </c>
      <c r="AA159" s="231">
        <f t="shared" ca="1" si="111"/>
        <v>262.09227744894213</v>
      </c>
      <c r="AB159" s="231">
        <f t="shared" ca="1" si="142"/>
        <v>17112.319937435459</v>
      </c>
      <c r="AC159" s="231">
        <f t="shared" ca="1" si="143"/>
        <v>92065.95569775562</v>
      </c>
      <c r="AD159" s="231">
        <f t="shared" ca="1" si="144"/>
        <v>3196.7345728387363</v>
      </c>
      <c r="AE159" s="231">
        <f t="shared" ca="1" si="112"/>
        <v>26021.627175506437</v>
      </c>
      <c r="AF159" s="231">
        <f t="shared" ca="1" si="113"/>
        <v>138658.72966098518</v>
      </c>
      <c r="AG159" s="232">
        <f t="shared" ca="1" si="114"/>
        <v>468753.84209744935</v>
      </c>
      <c r="AH159" s="244">
        <f t="shared" ca="1" si="145"/>
        <v>1.6068192398425649</v>
      </c>
      <c r="AI159" s="243">
        <f t="shared" ca="1" si="146"/>
        <v>5.2059801470475691</v>
      </c>
      <c r="AJ159" s="242">
        <f t="shared" ca="1" si="147"/>
        <v>6.8127993868901342</v>
      </c>
      <c r="AK159" s="241">
        <f t="shared" ca="1" si="148"/>
        <v>1.1569098526866466</v>
      </c>
      <c r="AL159" s="243">
        <f t="shared" ca="1" si="149"/>
        <v>2.3062492051420733</v>
      </c>
      <c r="AM159" s="243"/>
      <c r="AN159" s="242">
        <f t="shared" ca="1" si="115"/>
        <v>3.4631590578287197</v>
      </c>
      <c r="AO159" s="224"/>
      <c r="AP159" s="235">
        <f t="shared" si="150"/>
        <v>11.76923076923077</v>
      </c>
      <c r="AQ159" s="235">
        <f t="shared" si="116"/>
        <v>0.70618053078991849</v>
      </c>
      <c r="AR159" s="235">
        <f t="shared" si="117"/>
        <v>0.83926605236186558</v>
      </c>
      <c r="AT159" s="230">
        <f t="shared" ca="1" si="118"/>
        <v>223165.57137195874</v>
      </c>
      <c r="AU159" s="231">
        <f t="shared" ca="1" si="119"/>
        <v>1389.3874878971906</v>
      </c>
      <c r="AV159" s="231">
        <f t="shared" ca="1" si="151"/>
        <v>2280.8905357795502</v>
      </c>
      <c r="AW159" s="231"/>
      <c r="AX159" s="231">
        <f t="shared" ca="1" si="152"/>
        <v>5574.1265030263057</v>
      </c>
      <c r="AY159" s="231">
        <f t="shared" ca="1" si="153"/>
        <v>696.76581287828822</v>
      </c>
      <c r="AZ159" s="231"/>
      <c r="BA159" s="232">
        <f t="shared" ca="1" si="120"/>
        <v>233106.74171154009</v>
      </c>
      <c r="BB159" s="231">
        <f t="shared" ca="1" si="121"/>
        <v>185.08446360483254</v>
      </c>
      <c r="BC159" s="231">
        <f t="shared" ca="1" si="154"/>
        <v>12084.387176465078</v>
      </c>
      <c r="BD159" s="231">
        <f t="shared" ca="1" si="155"/>
        <v>65015.185462322188</v>
      </c>
      <c r="BE159" s="231">
        <f t="shared" ca="1" si="156"/>
        <v>2257.4717174417424</v>
      </c>
      <c r="BF159" s="231">
        <f t="shared" ca="1" si="122"/>
        <v>18375.966490816503</v>
      </c>
      <c r="BG159" s="231">
        <f t="shared" ca="1" si="123"/>
        <v>97918.095310650329</v>
      </c>
      <c r="BH159" s="232">
        <f t="shared" ca="1" si="124"/>
        <v>331024.83702219045</v>
      </c>
      <c r="BI159" s="244">
        <f t="shared" ca="1" si="157"/>
        <v>1.3485488402817631</v>
      </c>
      <c r="BJ159" s="243">
        <f t="shared" ca="1" si="158"/>
        <v>4.369202406686858</v>
      </c>
      <c r="BK159" s="242">
        <f t="shared" ca="1" si="159"/>
        <v>5.7177512469686214</v>
      </c>
      <c r="BL159" s="241">
        <f t="shared" ca="1" si="160"/>
        <v>0.97095516500286938</v>
      </c>
      <c r="BM159" s="243">
        <f t="shared" ca="1" si="161"/>
        <v>1.9355566661622783</v>
      </c>
      <c r="BN159" s="243">
        <f t="shared" si="125"/>
        <v>0</v>
      </c>
      <c r="BO159" s="242">
        <f t="shared" ca="1" si="126"/>
        <v>2.9065118311651474</v>
      </c>
      <c r="BP159" s="67"/>
      <c r="BQ159" s="67"/>
      <c r="BR159" s="67"/>
      <c r="BS159" s="67"/>
      <c r="BT159" s="67"/>
      <c r="BU159" s="67"/>
      <c r="BV159" s="67"/>
      <c r="BW159" s="67"/>
      <c r="BX159" s="67"/>
      <c r="BY159" s="67"/>
      <c r="BZ159" s="67"/>
      <c r="CA159" s="67"/>
      <c r="CB159" s="67"/>
    </row>
    <row r="160" spans="1:80" ht="12" customHeight="1" x14ac:dyDescent="0.15">
      <c r="A160" s="213">
        <f t="shared" si="127"/>
        <v>154</v>
      </c>
      <c r="B160" s="67">
        <f t="shared" si="128"/>
        <v>616</v>
      </c>
      <c r="C160" s="224">
        <f t="shared" si="129"/>
        <v>142.15384615384616</v>
      </c>
      <c r="D160" s="225">
        <f ca="1">IFERROR(OFFSET(extrapolation!P169,0,OS_dist_choice-1,1,1),0)</f>
        <v>8.7522353815377957E-2</v>
      </c>
      <c r="E160" s="225">
        <f ca="1">IFERROR(OFFSET(extrapolation!D169,0,PFS_dist_choice-1,1,1),0)</f>
        <v>2.039321756700041E-2</v>
      </c>
      <c r="F160" s="214"/>
      <c r="G160" s="226">
        <f t="shared" ca="1" si="130"/>
        <v>20.393217567000409</v>
      </c>
      <c r="H160" s="224">
        <f t="shared" ca="1" si="131"/>
        <v>67.129136248377563</v>
      </c>
      <c r="I160" s="224">
        <f t="shared" ca="1" si="108"/>
        <v>912.47764618462202</v>
      </c>
      <c r="J160" s="227">
        <f t="shared" ca="1" si="109"/>
        <v>1000</v>
      </c>
      <c r="K160" s="238">
        <f t="shared" ca="1" si="132"/>
        <v>0.37545511419623168</v>
      </c>
      <c r="L160" s="239">
        <f t="shared" ca="1" si="133"/>
        <v>0.89405966560445904</v>
      </c>
      <c r="M160" s="238">
        <f t="shared" ca="1" si="134"/>
        <v>20.580945124098527</v>
      </c>
      <c r="N160" s="238">
        <f t="shared" ca="1" si="135"/>
        <v>67.388438524081664</v>
      </c>
      <c r="O160" s="239">
        <f t="shared" ca="1" si="136"/>
        <v>912.03061635181984</v>
      </c>
      <c r="P160" s="217"/>
      <c r="Q160" s="217"/>
      <c r="R160" s="224"/>
      <c r="S160" s="230">
        <f t="shared" ca="1" si="137"/>
        <v>310304.78019743273</v>
      </c>
      <c r="T160" s="231">
        <f t="shared" ca="1" si="138"/>
        <v>1931.9000524611113</v>
      </c>
      <c r="U160" s="231">
        <f t="shared" ca="1" si="139"/>
        <v>3171.4275992130033</v>
      </c>
      <c r="V160" s="231"/>
      <c r="W160" s="231">
        <f t="shared" ca="1" si="140"/>
        <v>7750.4546386135198</v>
      </c>
      <c r="X160" s="231">
        <f t="shared" ca="1" si="141"/>
        <v>968.80682982668998</v>
      </c>
      <c r="Y160" s="231"/>
      <c r="Z160" s="232">
        <f t="shared" ca="1" si="110"/>
        <v>324127.36931754707</v>
      </c>
      <c r="AA160" s="231">
        <f t="shared" ca="1" si="111"/>
        <v>256.64717766888452</v>
      </c>
      <c r="AB160" s="231">
        <f t="shared" ca="1" si="142"/>
        <v>16980.85618376917</v>
      </c>
      <c r="AC160" s="231">
        <f t="shared" ca="1" si="143"/>
        <v>91358.667839349975</v>
      </c>
      <c r="AD160" s="231">
        <f t="shared" ca="1" si="144"/>
        <v>3172.1759666440962</v>
      </c>
      <c r="AE160" s="231">
        <f t="shared" ca="1" si="112"/>
        <v>25615.274241187901</v>
      </c>
      <c r="AF160" s="231">
        <f t="shared" ca="1" si="113"/>
        <v>137383.62140862003</v>
      </c>
      <c r="AG160" s="232">
        <f t="shared" ca="1" si="114"/>
        <v>461510.9907261671</v>
      </c>
      <c r="AH160" s="244">
        <f t="shared" ca="1" si="145"/>
        <v>1.5777315906222007</v>
      </c>
      <c r="AI160" s="243">
        <f t="shared" ca="1" si="146"/>
        <v>5.1659857047892856</v>
      </c>
      <c r="AJ160" s="242">
        <f t="shared" ca="1" si="147"/>
        <v>6.7437172954114866</v>
      </c>
      <c r="AK160" s="241">
        <f t="shared" ca="1" si="148"/>
        <v>1.1359667452479845</v>
      </c>
      <c r="AL160" s="243">
        <f t="shared" ca="1" si="149"/>
        <v>2.2885316672216534</v>
      </c>
      <c r="AM160" s="243"/>
      <c r="AN160" s="242">
        <f t="shared" ca="1" si="115"/>
        <v>3.4244984124696378</v>
      </c>
      <c r="AO160" s="224"/>
      <c r="AP160" s="235">
        <f t="shared" si="150"/>
        <v>11.846153846153847</v>
      </c>
      <c r="AQ160" s="235">
        <f t="shared" si="116"/>
        <v>0.7045766740490359</v>
      </c>
      <c r="AR160" s="235">
        <f t="shared" si="117"/>
        <v>0.83830540971958001</v>
      </c>
      <c r="AT160" s="230">
        <f t="shared" ca="1" si="118"/>
        <v>218633.50997302428</v>
      </c>
      <c r="AU160" s="231">
        <f t="shared" ca="1" si="119"/>
        <v>1361.1717135582078</v>
      </c>
      <c r="AV160" s="231">
        <f t="shared" ca="1" si="151"/>
        <v>2234.5139098408167</v>
      </c>
      <c r="AW160" s="231"/>
      <c r="AX160" s="231">
        <f t="shared" ca="1" si="152"/>
        <v>5460.7895516422359</v>
      </c>
      <c r="AY160" s="231">
        <f t="shared" ca="1" si="153"/>
        <v>682.59869395527949</v>
      </c>
      <c r="AZ160" s="231"/>
      <c r="BA160" s="232">
        <f t="shared" ca="1" si="120"/>
        <v>228372.58384202083</v>
      </c>
      <c r="BB160" s="231">
        <f t="shared" ca="1" si="121"/>
        <v>180.82761484601465</v>
      </c>
      <c r="BC160" s="231">
        <f t="shared" ca="1" si="154"/>
        <v>11964.315172465087</v>
      </c>
      <c r="BD160" s="231">
        <f t="shared" ca="1" si="155"/>
        <v>64369.186331799829</v>
      </c>
      <c r="BE160" s="231">
        <f t="shared" ca="1" si="156"/>
        <v>2235.0411920763827</v>
      </c>
      <c r="BF160" s="231">
        <f t="shared" ca="1" si="122"/>
        <v>18047.924729710114</v>
      </c>
      <c r="BG160" s="231">
        <f t="shared" ca="1" si="123"/>
        <v>96797.295040897428</v>
      </c>
      <c r="BH160" s="232">
        <f t="shared" ca="1" si="124"/>
        <v>325169.87888291827</v>
      </c>
      <c r="BI160" s="244">
        <f t="shared" ca="1" si="157"/>
        <v>1.3226209275040686</v>
      </c>
      <c r="BJ160" s="243">
        <f t="shared" ca="1" si="158"/>
        <v>4.3306737628588756</v>
      </c>
      <c r="BK160" s="242">
        <f t="shared" ca="1" si="159"/>
        <v>5.6532946903629444</v>
      </c>
      <c r="BL160" s="241">
        <f t="shared" ca="1" si="160"/>
        <v>0.95228706780292938</v>
      </c>
      <c r="BM160" s="243">
        <f t="shared" ca="1" si="161"/>
        <v>1.9184884769464816</v>
      </c>
      <c r="BN160" s="243">
        <f t="shared" si="125"/>
        <v>0</v>
      </c>
      <c r="BO160" s="242">
        <f t="shared" ca="1" si="126"/>
        <v>2.870775544749411</v>
      </c>
      <c r="BP160" s="67"/>
      <c r="BQ160" s="67"/>
      <c r="BR160" s="67"/>
      <c r="BS160" s="67"/>
      <c r="BT160" s="67"/>
      <c r="BU160" s="67"/>
      <c r="BV160" s="67"/>
      <c r="BW160" s="67"/>
      <c r="BX160" s="67"/>
      <c r="BY160" s="67"/>
      <c r="BZ160" s="67"/>
      <c r="CA160" s="67"/>
      <c r="CB160" s="67"/>
    </row>
    <row r="161" spans="1:80" ht="12" customHeight="1" x14ac:dyDescent="0.15">
      <c r="A161" s="213">
        <f t="shared" si="127"/>
        <v>155</v>
      </c>
      <c r="B161" s="67">
        <f t="shared" si="128"/>
        <v>620</v>
      </c>
      <c r="C161" s="224">
        <f t="shared" si="129"/>
        <v>143.07692307692309</v>
      </c>
      <c r="D161" s="225">
        <f ca="1">IFERROR(OFFSET(extrapolation!P170,0,OS_dist_choice-1,1,1),0)</f>
        <v>8.6642183286031307E-2</v>
      </c>
      <c r="E161" s="225">
        <f ca="1">IFERROR(OFFSET(extrapolation!D170,0,PFS_dist_choice-1,1,1),0)</f>
        <v>2.002553915943639E-2</v>
      </c>
      <c r="F161" s="214"/>
      <c r="G161" s="226">
        <f t="shared" ca="1" si="130"/>
        <v>20.025539159436391</v>
      </c>
      <c r="H161" s="224">
        <f t="shared" ca="1" si="131"/>
        <v>66.616644126594906</v>
      </c>
      <c r="I161" s="224">
        <f t="shared" ca="1" si="108"/>
        <v>913.35781671396865</v>
      </c>
      <c r="J161" s="227">
        <f t="shared" ca="1" si="109"/>
        <v>1000</v>
      </c>
      <c r="K161" s="238">
        <f t="shared" ca="1" si="132"/>
        <v>0.36767840756401782</v>
      </c>
      <c r="L161" s="239">
        <f t="shared" ca="1" si="133"/>
        <v>0.88017052934662843</v>
      </c>
      <c r="M161" s="238">
        <f t="shared" ca="1" si="134"/>
        <v>20.209378363218399</v>
      </c>
      <c r="N161" s="238">
        <f t="shared" ca="1" si="135"/>
        <v>66.872890187486234</v>
      </c>
      <c r="O161" s="239">
        <f t="shared" ca="1" si="136"/>
        <v>912.91773144929539</v>
      </c>
      <c r="P161" s="217"/>
      <c r="Q161" s="217"/>
      <c r="R161" s="224"/>
      <c r="S161" s="230">
        <f t="shared" ca="1" si="137"/>
        <v>304710.15703080135</v>
      </c>
      <c r="T161" s="231">
        <f t="shared" ca="1" si="138"/>
        <v>1897.0689654819209</v>
      </c>
      <c r="U161" s="231">
        <f t="shared" ca="1" si="139"/>
        <v>3114.1708953395932</v>
      </c>
      <c r="V161" s="231"/>
      <c r="W161" s="231">
        <f t="shared" ca="1" si="140"/>
        <v>7610.5285415342378</v>
      </c>
      <c r="X161" s="231">
        <f t="shared" ca="1" si="141"/>
        <v>951.31606769177972</v>
      </c>
      <c r="Y161" s="231"/>
      <c r="Z161" s="232">
        <f t="shared" ca="1" si="110"/>
        <v>318283.2415008489</v>
      </c>
      <c r="AA161" s="231">
        <f t="shared" ca="1" si="111"/>
        <v>251.33130971756015</v>
      </c>
      <c r="AB161" s="231">
        <f t="shared" ca="1" si="142"/>
        <v>16850.945885337493</v>
      </c>
      <c r="AC161" s="231">
        <f t="shared" ca="1" si="143"/>
        <v>90659.737722111546</v>
      </c>
      <c r="AD161" s="231">
        <f t="shared" ca="1" si="144"/>
        <v>3147.9075597955393</v>
      </c>
      <c r="AE161" s="231">
        <f t="shared" ca="1" si="112"/>
        <v>25217.343266439115</v>
      </c>
      <c r="AF161" s="231">
        <f t="shared" ca="1" si="113"/>
        <v>136127.26574340125</v>
      </c>
      <c r="AG161" s="232">
        <f t="shared" ca="1" si="114"/>
        <v>454410.50724425016</v>
      </c>
      <c r="AH161" s="244">
        <f t="shared" ca="1" si="145"/>
        <v>1.5492473488572625</v>
      </c>
      <c r="AI161" s="243">
        <f t="shared" ca="1" si="146"/>
        <v>5.1264638610530175</v>
      </c>
      <c r="AJ161" s="242">
        <f t="shared" ca="1" si="147"/>
        <v>6.67571120991028</v>
      </c>
      <c r="AK161" s="241">
        <f t="shared" ca="1" si="148"/>
        <v>1.1154580911772289</v>
      </c>
      <c r="AL161" s="243">
        <f t="shared" ca="1" si="149"/>
        <v>2.271023490446487</v>
      </c>
      <c r="AM161" s="243"/>
      <c r="AN161" s="242">
        <f t="shared" ca="1" si="115"/>
        <v>3.3864815816237162</v>
      </c>
      <c r="AO161" s="224"/>
      <c r="AP161" s="235">
        <f t="shared" si="150"/>
        <v>11.923076923076923</v>
      </c>
      <c r="AQ161" s="235">
        <f t="shared" si="116"/>
        <v>0.70297645994106805</v>
      </c>
      <c r="AR161" s="235">
        <f t="shared" si="117"/>
        <v>0.83734586665028887</v>
      </c>
      <c r="AT161" s="230">
        <f t="shared" ca="1" si="118"/>
        <v>214204.06749759967</v>
      </c>
      <c r="AU161" s="231">
        <f t="shared" ca="1" si="119"/>
        <v>1333.594825618545</v>
      </c>
      <c r="AV161" s="231">
        <f t="shared" ca="1" si="151"/>
        <v>2189.1888316573336</v>
      </c>
      <c r="AW161" s="231"/>
      <c r="AX161" s="231">
        <f t="shared" ca="1" si="152"/>
        <v>5350.0224124081979</v>
      </c>
      <c r="AY161" s="231">
        <f t="shared" ca="1" si="153"/>
        <v>668.75280155102473</v>
      </c>
      <c r="AZ161" s="231"/>
      <c r="BA161" s="232">
        <f t="shared" ca="1" si="120"/>
        <v>223745.62636883481</v>
      </c>
      <c r="BB161" s="231">
        <f t="shared" ca="1" si="121"/>
        <v>176.67999437760258</v>
      </c>
      <c r="BC161" s="231">
        <f t="shared" ca="1" si="154"/>
        <v>11845.818285133057</v>
      </c>
      <c r="BD161" s="231">
        <f t="shared" ca="1" si="155"/>
        <v>63731.661483075681</v>
      </c>
      <c r="BE161" s="231">
        <f t="shared" ca="1" si="156"/>
        <v>2212.9049126067944</v>
      </c>
      <c r="BF161" s="231">
        <f t="shared" ca="1" si="122"/>
        <v>17727.1986985601</v>
      </c>
      <c r="BG161" s="231">
        <f t="shared" ca="1" si="123"/>
        <v>95694.263373753231</v>
      </c>
      <c r="BH161" s="232">
        <f t="shared" ca="1" si="124"/>
        <v>319439.88974258804</v>
      </c>
      <c r="BI161" s="244">
        <f t="shared" ca="1" si="157"/>
        <v>1.2972558639845468</v>
      </c>
      <c r="BJ161" s="243">
        <f t="shared" ca="1" si="158"/>
        <v>4.2926233245848247</v>
      </c>
      <c r="BK161" s="242">
        <f t="shared" ca="1" si="159"/>
        <v>5.5898791885693715</v>
      </c>
      <c r="BL161" s="241">
        <f t="shared" ca="1" si="160"/>
        <v>0.9340242220688737</v>
      </c>
      <c r="BM161" s="243">
        <f t="shared" ca="1" si="161"/>
        <v>1.9016321327910777</v>
      </c>
      <c r="BN161" s="243">
        <f t="shared" si="125"/>
        <v>0</v>
      </c>
      <c r="BO161" s="242">
        <f t="shared" ca="1" si="126"/>
        <v>2.8356563548599514</v>
      </c>
      <c r="BP161" s="67"/>
      <c r="BQ161" s="67"/>
      <c r="BR161" s="67"/>
      <c r="BS161" s="67"/>
      <c r="BT161" s="67"/>
      <c r="BU161" s="67"/>
      <c r="BV161" s="67"/>
      <c r="BW161" s="67"/>
      <c r="BX161" s="67"/>
      <c r="BY161" s="67"/>
      <c r="BZ161" s="67"/>
      <c r="CA161" s="67"/>
      <c r="CB161" s="67"/>
    </row>
    <row r="162" spans="1:80" ht="12" customHeight="1" x14ac:dyDescent="0.15">
      <c r="A162" s="213">
        <f t="shared" si="127"/>
        <v>156</v>
      </c>
      <c r="B162" s="67">
        <f t="shared" si="128"/>
        <v>624</v>
      </c>
      <c r="C162" s="224">
        <f t="shared" si="129"/>
        <v>144</v>
      </c>
      <c r="D162" s="225">
        <f ca="1">IFERROR(OFFSET(extrapolation!P171,0,OS_dist_choice-1,1,1),0)</f>
        <v>8.5775615429353538E-2</v>
      </c>
      <c r="E162" s="225">
        <f ca="1">IFERROR(OFFSET(extrapolation!D171,0,PFS_dist_choice-1,1,1),0)</f>
        <v>1.966545350400084E-2</v>
      </c>
      <c r="F162" s="214"/>
      <c r="G162" s="226">
        <f t="shared" ca="1" si="130"/>
        <v>19.66545350400084</v>
      </c>
      <c r="H162" s="224">
        <f t="shared" ca="1" si="131"/>
        <v>66.1101619253526</v>
      </c>
      <c r="I162" s="224">
        <f t="shared" ca="1" si="108"/>
        <v>914.22438457064652</v>
      </c>
      <c r="J162" s="227">
        <f t="shared" ca="1" si="109"/>
        <v>1000</v>
      </c>
      <c r="K162" s="238">
        <f t="shared" ca="1" si="132"/>
        <v>0.36008565543555093</v>
      </c>
      <c r="L162" s="239">
        <f t="shared" ca="1" si="133"/>
        <v>0.86656785667787517</v>
      </c>
      <c r="M162" s="238">
        <f t="shared" ca="1" si="134"/>
        <v>19.845496331718614</v>
      </c>
      <c r="N162" s="238">
        <f t="shared" ca="1" si="135"/>
        <v>66.363403025973753</v>
      </c>
      <c r="O162" s="239">
        <f t="shared" ca="1" si="136"/>
        <v>913.79110064230758</v>
      </c>
      <c r="P162" s="217"/>
      <c r="Q162" s="217"/>
      <c r="R162" s="224"/>
      <c r="S162" s="230">
        <f t="shared" ca="1" si="137"/>
        <v>299231.06576945056</v>
      </c>
      <c r="T162" s="231">
        <f t="shared" ca="1" si="138"/>
        <v>1862.9571587333817</v>
      </c>
      <c r="U162" s="231">
        <f t="shared" ca="1" si="139"/>
        <v>3058.0983724016232</v>
      </c>
      <c r="V162" s="231"/>
      <c r="W162" s="231">
        <f t="shared" ca="1" si="140"/>
        <v>7473.4963905839222</v>
      </c>
      <c r="X162" s="231">
        <f t="shared" ca="1" si="141"/>
        <v>934.18704882299028</v>
      </c>
      <c r="Y162" s="231"/>
      <c r="Z162" s="232">
        <f t="shared" ca="1" si="110"/>
        <v>312559.80473999248</v>
      </c>
      <c r="AA162" s="231">
        <f t="shared" ca="1" si="111"/>
        <v>246.14118623587021</v>
      </c>
      <c r="AB162" s="231">
        <f t="shared" ca="1" si="142"/>
        <v>16722.562910355387</v>
      </c>
      <c r="AC162" s="231">
        <f t="shared" ca="1" si="143"/>
        <v>89969.024754479891</v>
      </c>
      <c r="AD162" s="231">
        <f t="shared" ca="1" si="144"/>
        <v>3123.9244706416625</v>
      </c>
      <c r="AE162" s="231">
        <f t="shared" ca="1" si="112"/>
        <v>24827.619622449813</v>
      </c>
      <c r="AF162" s="231">
        <f t="shared" ca="1" si="113"/>
        <v>134889.27294416263</v>
      </c>
      <c r="AG162" s="232">
        <f t="shared" ca="1" si="114"/>
        <v>447449.07768415508</v>
      </c>
      <c r="AH162" s="244">
        <f t="shared" ca="1" si="145"/>
        <v>1.521352217079045</v>
      </c>
      <c r="AI162" s="243">
        <f t="shared" ca="1" si="146"/>
        <v>5.0874066659199588</v>
      </c>
      <c r="AJ162" s="242">
        <f t="shared" ca="1" si="147"/>
        <v>6.6087588829990036</v>
      </c>
      <c r="AK162" s="241">
        <f t="shared" ca="1" si="148"/>
        <v>1.0953735962969124</v>
      </c>
      <c r="AL162" s="243">
        <f t="shared" ca="1" si="149"/>
        <v>2.2537211530025418</v>
      </c>
      <c r="AM162" s="243"/>
      <c r="AN162" s="242">
        <f t="shared" ca="1" si="115"/>
        <v>3.3490947492994545</v>
      </c>
      <c r="AO162" s="224"/>
      <c r="AP162" s="235">
        <f t="shared" si="150"/>
        <v>12</v>
      </c>
      <c r="AQ162" s="235">
        <f t="shared" si="116"/>
        <v>0.70137988019297326</v>
      </c>
      <c r="AR162" s="235">
        <f t="shared" si="117"/>
        <v>0.83638742189539661</v>
      </c>
      <c r="AT162" s="230">
        <f t="shared" ca="1" si="118"/>
        <v>209874.64905939295</v>
      </c>
      <c r="AU162" s="231">
        <f t="shared" ca="1" si="119"/>
        <v>1306.6406687970612</v>
      </c>
      <c r="AV162" s="231">
        <f t="shared" ca="1" si="151"/>
        <v>2144.8886700533772</v>
      </c>
      <c r="AW162" s="231"/>
      <c r="AX162" s="231">
        <f t="shared" ca="1" si="152"/>
        <v>5241.7600030503691</v>
      </c>
      <c r="AY162" s="231">
        <f t="shared" ca="1" si="153"/>
        <v>655.22000038129613</v>
      </c>
      <c r="AZ162" s="231"/>
      <c r="BA162" s="232">
        <f t="shared" ca="1" si="120"/>
        <v>219223.15840167506</v>
      </c>
      <c r="BB162" s="231">
        <f t="shared" ca="1" si="121"/>
        <v>172.63847571267095</v>
      </c>
      <c r="BC162" s="231">
        <f t="shared" ca="1" si="154"/>
        <v>11728.869170584519</v>
      </c>
      <c r="BD162" s="231">
        <f t="shared" ca="1" si="155"/>
        <v>63102.463803375751</v>
      </c>
      <c r="BE162" s="231">
        <f t="shared" ca="1" si="156"/>
        <v>2191.0577709505465</v>
      </c>
      <c r="BF162" s="231">
        <f t="shared" ca="1" si="122"/>
        <v>17413.592876270563</v>
      </c>
      <c r="BG162" s="231">
        <f t="shared" ca="1" si="123"/>
        <v>94608.622096894047</v>
      </c>
      <c r="BH162" s="232">
        <f t="shared" ca="1" si="124"/>
        <v>313831.78049856907</v>
      </c>
      <c r="BI162" s="244">
        <f t="shared" ca="1" si="157"/>
        <v>1.2724398586375882</v>
      </c>
      <c r="BJ162" s="243">
        <f t="shared" ca="1" si="158"/>
        <v>4.2550429454422494</v>
      </c>
      <c r="BK162" s="242">
        <f t="shared" ca="1" si="159"/>
        <v>5.5274828040798374</v>
      </c>
      <c r="BL162" s="241">
        <f t="shared" ca="1" si="160"/>
        <v>0.91615669821906354</v>
      </c>
      <c r="BM162" s="243">
        <f t="shared" ca="1" si="161"/>
        <v>1.8849840248309166</v>
      </c>
      <c r="BN162" s="243">
        <f t="shared" si="125"/>
        <v>0</v>
      </c>
      <c r="BO162" s="242">
        <f t="shared" ca="1" si="126"/>
        <v>2.8011407230499805</v>
      </c>
      <c r="BP162" s="67"/>
      <c r="BQ162" s="67"/>
      <c r="BR162" s="67"/>
      <c r="BS162" s="67"/>
      <c r="BT162" s="67"/>
      <c r="BU162" s="67"/>
      <c r="BV162" s="67"/>
      <c r="BW162" s="67"/>
      <c r="BX162" s="67"/>
      <c r="BY162" s="67"/>
      <c r="BZ162" s="67"/>
      <c r="CA162" s="67"/>
      <c r="CB162" s="67"/>
    </row>
    <row r="163" spans="1:80" ht="12" customHeight="1" x14ac:dyDescent="0.15">
      <c r="A163" s="213">
        <f t="shared" si="127"/>
        <v>157</v>
      </c>
      <c r="B163" s="67">
        <f t="shared" si="128"/>
        <v>628</v>
      </c>
      <c r="C163" s="224">
        <f t="shared" si="129"/>
        <v>144.92307692307691</v>
      </c>
      <c r="D163" s="225">
        <f ca="1">IFERROR(OFFSET(extrapolation!P172,0,OS_dist_choice-1,1,1),0)</f>
        <v>8.4922371049398496E-2</v>
      </c>
      <c r="E163" s="225">
        <f ca="1">IFERROR(OFFSET(extrapolation!D172,0,PFS_dist_choice-1,1,1),0)</f>
        <v>1.9312781592305539E-2</v>
      </c>
      <c r="F163" s="214"/>
      <c r="G163" s="226">
        <f t="shared" ca="1" si="130"/>
        <v>19.312781592305541</v>
      </c>
      <c r="H163" s="224">
        <f t="shared" ca="1" si="131"/>
        <v>65.609589457092966</v>
      </c>
      <c r="I163" s="224">
        <f t="shared" ca="1" si="108"/>
        <v>915.07762895060148</v>
      </c>
      <c r="J163" s="227">
        <f t="shared" ca="1" si="109"/>
        <v>1000</v>
      </c>
      <c r="K163" s="238">
        <f t="shared" ca="1" si="132"/>
        <v>0.35267191169529966</v>
      </c>
      <c r="L163" s="239">
        <f t="shared" ca="1" si="133"/>
        <v>0.85324437995495828</v>
      </c>
      <c r="M163" s="238">
        <f t="shared" ca="1" si="134"/>
        <v>19.489117548153189</v>
      </c>
      <c r="N163" s="238">
        <f t="shared" ca="1" si="135"/>
        <v>65.859875691222783</v>
      </c>
      <c r="O163" s="239">
        <f t="shared" ca="1" si="136"/>
        <v>914.651006760624</v>
      </c>
      <c r="P163" s="217"/>
      <c r="Q163" s="217"/>
      <c r="R163" s="224"/>
      <c r="S163" s="230">
        <f t="shared" ca="1" si="137"/>
        <v>293864.78260786145</v>
      </c>
      <c r="T163" s="231">
        <f t="shared" ca="1" si="138"/>
        <v>1829.5476743071374</v>
      </c>
      <c r="U163" s="231">
        <f t="shared" ca="1" si="139"/>
        <v>3003.1820649551814</v>
      </c>
      <c r="V163" s="231"/>
      <c r="W163" s="231">
        <f t="shared" ca="1" si="140"/>
        <v>7339.2898427537202</v>
      </c>
      <c r="X163" s="231">
        <f t="shared" ca="1" si="141"/>
        <v>917.41123034421503</v>
      </c>
      <c r="Y163" s="231"/>
      <c r="Z163" s="232">
        <f t="shared" ca="1" si="110"/>
        <v>306954.2134202217</v>
      </c>
      <c r="AA163" s="231">
        <f t="shared" ca="1" si="111"/>
        <v>241.07342624285707</v>
      </c>
      <c r="AB163" s="231">
        <f t="shared" ca="1" si="142"/>
        <v>16595.681720595407</v>
      </c>
      <c r="AC163" s="231">
        <f t="shared" ca="1" si="143"/>
        <v>89286.391538292388</v>
      </c>
      <c r="AD163" s="231">
        <f t="shared" ca="1" si="144"/>
        <v>3100.2219284129301</v>
      </c>
      <c r="AE163" s="231">
        <f t="shared" ca="1" si="112"/>
        <v>24445.895087462697</v>
      </c>
      <c r="AF163" s="231">
        <f t="shared" ca="1" si="113"/>
        <v>133669.26370100628</v>
      </c>
      <c r="AG163" s="232">
        <f t="shared" ca="1" si="114"/>
        <v>440623.477121228</v>
      </c>
      <c r="AH163" s="244">
        <f t="shared" ca="1" si="145"/>
        <v>1.4940322829521953</v>
      </c>
      <c r="AI163" s="243">
        <f t="shared" ca="1" si="146"/>
        <v>5.048806350045826</v>
      </c>
      <c r="AJ163" s="242">
        <f t="shared" ca="1" si="147"/>
        <v>6.5428386329980217</v>
      </c>
      <c r="AK163" s="241">
        <f t="shared" ca="1" si="148"/>
        <v>1.0757032437255805</v>
      </c>
      <c r="AL163" s="243">
        <f t="shared" ca="1" si="149"/>
        <v>2.2366212130703009</v>
      </c>
      <c r="AM163" s="243"/>
      <c r="AN163" s="242">
        <f t="shared" ca="1" si="115"/>
        <v>3.3123244567958814</v>
      </c>
      <c r="AO163" s="224"/>
      <c r="AP163" s="235">
        <f t="shared" si="150"/>
        <v>12.076923076923077</v>
      </c>
      <c r="AQ163" s="235">
        <f t="shared" si="116"/>
        <v>0.69978692655049757</v>
      </c>
      <c r="AR163" s="235">
        <f t="shared" si="117"/>
        <v>0.83543007419774673</v>
      </c>
      <c r="AT163" s="230">
        <f t="shared" ca="1" si="118"/>
        <v>205642.73304258546</v>
      </c>
      <c r="AU163" s="231">
        <f t="shared" ca="1" si="119"/>
        <v>1280.2935439810024</v>
      </c>
      <c r="AV163" s="231">
        <f t="shared" ca="1" si="151"/>
        <v>2101.5875471065633</v>
      </c>
      <c r="AW163" s="231"/>
      <c r="AX163" s="231">
        <f t="shared" ca="1" si="152"/>
        <v>5135.9390821239103</v>
      </c>
      <c r="AY163" s="231">
        <f t="shared" ca="1" si="153"/>
        <v>641.99238526548879</v>
      </c>
      <c r="AZ163" s="231"/>
      <c r="BA163" s="232">
        <f t="shared" ca="1" si="120"/>
        <v>214802.54560106245</v>
      </c>
      <c r="BB163" s="231">
        <f t="shared" ca="1" si="121"/>
        <v>168.70003202348701</v>
      </c>
      <c r="BC163" s="231">
        <f t="shared" ca="1" si="154"/>
        <v>11613.441105265732</v>
      </c>
      <c r="BD163" s="231">
        <f t="shared" ca="1" si="155"/>
        <v>62481.449517365982</v>
      </c>
      <c r="BE163" s="231">
        <f t="shared" ca="1" si="156"/>
        <v>2169.4947749085409</v>
      </c>
      <c r="BF163" s="231">
        <f t="shared" ca="1" si="122"/>
        <v>17106.917790031428</v>
      </c>
      <c r="BG163" s="231">
        <f t="shared" ca="1" si="123"/>
        <v>93540.003219595164</v>
      </c>
      <c r="BH163" s="232">
        <f t="shared" ca="1" si="124"/>
        <v>308342.5488206576</v>
      </c>
      <c r="BI163" s="244">
        <f t="shared" ca="1" si="157"/>
        <v>1.2481595010005815</v>
      </c>
      <c r="BJ163" s="243">
        <f t="shared" ca="1" si="158"/>
        <v>4.217924663628839</v>
      </c>
      <c r="BK163" s="242">
        <f t="shared" ca="1" si="159"/>
        <v>5.4660841646294207</v>
      </c>
      <c r="BL163" s="241">
        <f t="shared" ca="1" si="160"/>
        <v>0.89867484072041848</v>
      </c>
      <c r="BM163" s="243">
        <f t="shared" ca="1" si="161"/>
        <v>1.8685406259875759</v>
      </c>
      <c r="BN163" s="243">
        <f t="shared" si="125"/>
        <v>0</v>
      </c>
      <c r="BO163" s="242">
        <f t="shared" ca="1" si="126"/>
        <v>2.7672154667079942</v>
      </c>
      <c r="BP163" s="67"/>
      <c r="BQ163" s="67"/>
      <c r="BR163" s="67"/>
      <c r="BS163" s="67"/>
      <c r="BT163" s="67"/>
      <c r="BU163" s="67"/>
      <c r="BV163" s="67"/>
      <c r="BW163" s="67"/>
      <c r="BX163" s="67"/>
      <c r="BY163" s="67"/>
      <c r="BZ163" s="67"/>
      <c r="CA163" s="67"/>
      <c r="CB163" s="67"/>
    </row>
    <row r="164" spans="1:80" ht="12" customHeight="1" x14ac:dyDescent="0.15">
      <c r="A164" s="213">
        <f t="shared" si="127"/>
        <v>158</v>
      </c>
      <c r="B164" s="67">
        <f t="shared" si="128"/>
        <v>632</v>
      </c>
      <c r="C164" s="224">
        <f t="shared" si="129"/>
        <v>145.84615384615384</v>
      </c>
      <c r="D164" s="225">
        <f ca="1">IFERROR(OFFSET(extrapolation!P173,0,OS_dist_choice-1,1,1),0)</f>
        <v>8.4082178001779986E-2</v>
      </c>
      <c r="E164" s="225">
        <f ca="1">IFERROR(OFFSET(extrapolation!D173,0,PFS_dist_choice-1,1,1),0)</f>
        <v>1.8967349211786111E-2</v>
      </c>
      <c r="F164" s="214"/>
      <c r="G164" s="226">
        <f t="shared" ca="1" si="130"/>
        <v>18.967349211786111</v>
      </c>
      <c r="H164" s="224">
        <f t="shared" ca="1" si="131"/>
        <v>65.114828789993908</v>
      </c>
      <c r="I164" s="224">
        <f t="shared" ca="1" si="108"/>
        <v>915.91782199822001</v>
      </c>
      <c r="J164" s="227">
        <f t="shared" ca="1" si="109"/>
        <v>1000</v>
      </c>
      <c r="K164" s="238">
        <f t="shared" ca="1" si="132"/>
        <v>0.34543238051942993</v>
      </c>
      <c r="L164" s="239">
        <f t="shared" ca="1" si="133"/>
        <v>0.84019304761852709</v>
      </c>
      <c r="M164" s="238">
        <f t="shared" ca="1" si="134"/>
        <v>19.140065402045828</v>
      </c>
      <c r="N164" s="238">
        <f t="shared" ca="1" si="135"/>
        <v>65.362209123543437</v>
      </c>
      <c r="O164" s="239">
        <f t="shared" ca="1" si="136"/>
        <v>915.4977254744108</v>
      </c>
      <c r="P164" s="217"/>
      <c r="Q164" s="217"/>
      <c r="R164" s="224"/>
      <c r="S164" s="230">
        <f t="shared" ca="1" si="137"/>
        <v>288608.65671414236</v>
      </c>
      <c r="T164" s="231">
        <f t="shared" ca="1" si="138"/>
        <v>1796.8240086151125</v>
      </c>
      <c r="U164" s="231">
        <f t="shared" ca="1" si="139"/>
        <v>2949.394758150052</v>
      </c>
      <c r="V164" s="231"/>
      <c r="W164" s="231">
        <f t="shared" ca="1" si="140"/>
        <v>7207.8423893640256</v>
      </c>
      <c r="X164" s="231">
        <f t="shared" ca="1" si="141"/>
        <v>900.9802986705032</v>
      </c>
      <c r="Y164" s="231"/>
      <c r="Z164" s="232">
        <f t="shared" ca="1" si="110"/>
        <v>301463.69816894201</v>
      </c>
      <c r="AA164" s="231">
        <f t="shared" ca="1" si="111"/>
        <v>236.12475149138788</v>
      </c>
      <c r="AB164" s="231">
        <f t="shared" ca="1" si="142"/>
        <v>16470.277354530255</v>
      </c>
      <c r="AC164" s="231">
        <f t="shared" ca="1" si="143"/>
        <v>88611.703778089737</v>
      </c>
      <c r="AD164" s="231">
        <f t="shared" ca="1" si="144"/>
        <v>3076.79527007256</v>
      </c>
      <c r="AE164" s="231">
        <f t="shared" ca="1" si="112"/>
        <v>24071.96763063626</v>
      </c>
      <c r="AF164" s="231">
        <f t="shared" ca="1" si="113"/>
        <v>132466.8687848202</v>
      </c>
      <c r="AG164" s="232">
        <f t="shared" ca="1" si="114"/>
        <v>433930.5669537622</v>
      </c>
      <c r="AH164" s="244">
        <f t="shared" ca="1" si="145"/>
        <v>1.46727400754903</v>
      </c>
      <c r="AI164" s="243">
        <f t="shared" ca="1" si="146"/>
        <v>5.0106553195324199</v>
      </c>
      <c r="AJ164" s="242">
        <f t="shared" ca="1" si="147"/>
        <v>6.4779293270814495</v>
      </c>
      <c r="AK164" s="241">
        <f t="shared" ca="1" si="148"/>
        <v>1.0564372854353017</v>
      </c>
      <c r="AL164" s="243">
        <f t="shared" ca="1" si="149"/>
        <v>2.2197203065528619</v>
      </c>
      <c r="AM164" s="243"/>
      <c r="AN164" s="242">
        <f t="shared" ca="1" si="115"/>
        <v>3.2761575919881638</v>
      </c>
      <c r="AO164" s="224"/>
      <c r="AP164" s="235">
        <f t="shared" si="150"/>
        <v>12.153846153846153</v>
      </c>
      <c r="AQ164" s="235">
        <f t="shared" si="116"/>
        <v>0.69819759077813603</v>
      </c>
      <c r="AR164" s="235">
        <f t="shared" si="117"/>
        <v>0.83447382230162448</v>
      </c>
      <c r="AT164" s="230">
        <f t="shared" ca="1" si="118"/>
        <v>201505.86879552831</v>
      </c>
      <c r="AU164" s="231">
        <f t="shared" ca="1" si="119"/>
        <v>1254.5381938673843</v>
      </c>
      <c r="AV164" s="231">
        <f t="shared" ca="1" si="151"/>
        <v>2059.2603143940296</v>
      </c>
      <c r="AW164" s="231"/>
      <c r="AX164" s="231">
        <f t="shared" ca="1" si="152"/>
        <v>5032.4981909624867</v>
      </c>
      <c r="AY164" s="231">
        <f t="shared" ca="1" si="153"/>
        <v>629.06227387031083</v>
      </c>
      <c r="AZ164" s="231"/>
      <c r="BA164" s="232">
        <f t="shared" ca="1" si="120"/>
        <v>210481.22776862248</v>
      </c>
      <c r="BB164" s="231">
        <f t="shared" ca="1" si="121"/>
        <v>164.8617326143731</v>
      </c>
      <c r="BC164" s="231">
        <f t="shared" ca="1" si="154"/>
        <v>11499.507968380716</v>
      </c>
      <c r="BD164" s="231">
        <f t="shared" ca="1" si="155"/>
        <v>61868.478092608108</v>
      </c>
      <c r="BE164" s="231">
        <f t="shared" ca="1" si="156"/>
        <v>2148.2110448822259</v>
      </c>
      <c r="BF164" s="231">
        <f t="shared" ca="1" si="122"/>
        <v>16806.989804999514</v>
      </c>
      <c r="BG164" s="231">
        <f t="shared" ca="1" si="123"/>
        <v>92488.04864348493</v>
      </c>
      <c r="BH164" s="232">
        <f t="shared" ca="1" si="124"/>
        <v>302969.2764121074</v>
      </c>
      <c r="BI164" s="244">
        <f t="shared" ca="1" si="157"/>
        <v>1.2244017494432617</v>
      </c>
      <c r="BJ164" s="243">
        <f t="shared" ca="1" si="158"/>
        <v>4.1812606967261861</v>
      </c>
      <c r="BK164" s="242">
        <f t="shared" ca="1" si="159"/>
        <v>5.4056624461694476</v>
      </c>
      <c r="BL164" s="241">
        <f t="shared" ca="1" si="160"/>
        <v>0.88156925959914845</v>
      </c>
      <c r="BM164" s="243">
        <f t="shared" ca="1" si="161"/>
        <v>1.8522984886497003</v>
      </c>
      <c r="BN164" s="243">
        <f t="shared" si="125"/>
        <v>0</v>
      </c>
      <c r="BO164" s="242">
        <f t="shared" ca="1" si="126"/>
        <v>2.7338677482488491</v>
      </c>
      <c r="BP164" s="67"/>
      <c r="BQ164" s="67"/>
      <c r="BR164" s="67"/>
      <c r="BS164" s="67"/>
      <c r="BT164" s="67"/>
      <c r="BU164" s="67"/>
      <c r="BV164" s="67"/>
      <c r="BW164" s="67"/>
      <c r="BX164" s="67"/>
      <c r="BY164" s="67"/>
      <c r="BZ164" s="67"/>
      <c r="CA164" s="67"/>
      <c r="CB164" s="67"/>
    </row>
    <row r="165" spans="1:80" ht="12" customHeight="1" x14ac:dyDescent="0.15">
      <c r="A165" s="213">
        <f t="shared" si="127"/>
        <v>159</v>
      </c>
      <c r="B165" s="67">
        <f t="shared" si="128"/>
        <v>636</v>
      </c>
      <c r="C165" s="224">
        <f t="shared" si="129"/>
        <v>146.76923076923077</v>
      </c>
      <c r="D165" s="225">
        <f ca="1">IFERROR(OFFSET(extrapolation!P174,0,OS_dist_choice-1,1,1),0)</f>
        <v>8.3254770984858159E-2</v>
      </c>
      <c r="E165" s="225">
        <f ca="1">IFERROR(OFFSET(extrapolation!D174,0,PFS_dist_choice-1,1,1),0)</f>
        <v>1.8628986800537151E-2</v>
      </c>
      <c r="F165" s="214"/>
      <c r="G165" s="226">
        <f t="shared" ca="1" si="130"/>
        <v>18.628986800537149</v>
      </c>
      <c r="H165" s="224">
        <f t="shared" ca="1" si="131"/>
        <v>64.625784184320992</v>
      </c>
      <c r="I165" s="224">
        <f t="shared" ca="1" si="108"/>
        <v>916.74522901514183</v>
      </c>
      <c r="J165" s="227">
        <f t="shared" ca="1" si="109"/>
        <v>1000</v>
      </c>
      <c r="K165" s="238">
        <f t="shared" ca="1" si="132"/>
        <v>0.33836241124896205</v>
      </c>
      <c r="L165" s="239">
        <f t="shared" ca="1" si="133"/>
        <v>0.82740701692182483</v>
      </c>
      <c r="M165" s="238">
        <f t="shared" ca="1" si="134"/>
        <v>18.798168006161632</v>
      </c>
      <c r="N165" s="238">
        <f t="shared" ca="1" si="135"/>
        <v>64.87030648715745</v>
      </c>
      <c r="O165" s="239">
        <f t="shared" ca="1" si="136"/>
        <v>916.33152550668092</v>
      </c>
      <c r="P165" s="217"/>
      <c r="Q165" s="217"/>
      <c r="R165" s="224"/>
      <c r="S165" s="230">
        <f t="shared" ca="1" si="137"/>
        <v>283460.10802118952</v>
      </c>
      <c r="T165" s="231">
        <f t="shared" ca="1" si="138"/>
        <v>1764.7700986376842</v>
      </c>
      <c r="U165" s="231">
        <f t="shared" ca="1" si="139"/>
        <v>2896.7099649654783</v>
      </c>
      <c r="V165" s="231"/>
      <c r="W165" s="231">
        <f t="shared" ca="1" si="140"/>
        <v>7079.0893004323716</v>
      </c>
      <c r="X165" s="231">
        <f t="shared" ca="1" si="141"/>
        <v>884.88616255404645</v>
      </c>
      <c r="Y165" s="231"/>
      <c r="Z165" s="232">
        <f t="shared" ca="1" si="110"/>
        <v>296085.56354777905</v>
      </c>
      <c r="AA165" s="231">
        <f t="shared" ca="1" si="111"/>
        <v>231.29198296363523</v>
      </c>
      <c r="AB165" s="231">
        <f t="shared" ca="1" si="142"/>
        <v>16346.32541102436</v>
      </c>
      <c r="AC165" s="231">
        <f t="shared" ca="1" si="143"/>
        <v>87944.830193374932</v>
      </c>
      <c r="AD165" s="231">
        <f t="shared" ca="1" si="144"/>
        <v>3053.6399372699625</v>
      </c>
      <c r="AE165" s="231">
        <f t="shared" ca="1" si="112"/>
        <v>23705.64120371838</v>
      </c>
      <c r="AF165" s="231">
        <f t="shared" ca="1" si="113"/>
        <v>131281.72872835127</v>
      </c>
      <c r="AG165" s="232">
        <f t="shared" ca="1" si="114"/>
        <v>427367.29227613029</v>
      </c>
      <c r="AH165" s="244">
        <f t="shared" ca="1" si="145"/>
        <v>1.441064214024711</v>
      </c>
      <c r="AI165" s="243">
        <f t="shared" ca="1" si="146"/>
        <v>4.9729461509662114</v>
      </c>
      <c r="AJ165" s="242">
        <f t="shared" ca="1" si="147"/>
        <v>6.4140103649909221</v>
      </c>
      <c r="AK165" s="241">
        <f t="shared" ca="1" si="148"/>
        <v>1.0375662340977918</v>
      </c>
      <c r="AL165" s="243">
        <f t="shared" ca="1" si="149"/>
        <v>2.2030151448780315</v>
      </c>
      <c r="AM165" s="243"/>
      <c r="AN165" s="242">
        <f t="shared" ca="1" si="115"/>
        <v>3.2405813789758233</v>
      </c>
      <c r="AO165" s="224"/>
      <c r="AP165" s="235">
        <f t="shared" si="150"/>
        <v>12.23076923076923</v>
      </c>
      <c r="AQ165" s="235">
        <f t="shared" si="116"/>
        <v>0.69661186465908687</v>
      </c>
      <c r="AR165" s="235">
        <f t="shared" si="117"/>
        <v>0.83351866495275051</v>
      </c>
      <c r="AT165" s="230">
        <f t="shared" ca="1" si="118"/>
        <v>197461.67440510701</v>
      </c>
      <c r="AU165" s="231">
        <f t="shared" ca="1" si="119"/>
        <v>1229.3597891065979</v>
      </c>
      <c r="AV165" s="231">
        <f t="shared" ca="1" si="151"/>
        <v>2017.8825300711601</v>
      </c>
      <c r="AW165" s="231"/>
      <c r="AX165" s="231">
        <f t="shared" ca="1" si="152"/>
        <v>4931.3775976623856</v>
      </c>
      <c r="AY165" s="231">
        <f t="shared" ca="1" si="153"/>
        <v>616.4221997077982</v>
      </c>
      <c r="AZ165" s="231"/>
      <c r="BA165" s="232">
        <f t="shared" ca="1" si="120"/>
        <v>206256.71652165492</v>
      </c>
      <c r="BB165" s="231">
        <f t="shared" ca="1" si="121"/>
        <v>161.12073953299569</v>
      </c>
      <c r="BC165" s="231">
        <f t="shared" ca="1" si="154"/>
        <v>11387.044224897894</v>
      </c>
      <c r="BD165" s="231">
        <f t="shared" ca="1" si="155"/>
        <v>61263.412148133677</v>
      </c>
      <c r="BE165" s="231">
        <f t="shared" ca="1" si="156"/>
        <v>2127.2018106990854</v>
      </c>
      <c r="BF165" s="231">
        <f t="shared" ca="1" si="122"/>
        <v>16513.630921861542</v>
      </c>
      <c r="BG165" s="231">
        <f t="shared" ca="1" si="123"/>
        <v>91452.409845125192</v>
      </c>
      <c r="BH165" s="232">
        <f t="shared" ca="1" si="124"/>
        <v>297709.12636678008</v>
      </c>
      <c r="BI165" s="244">
        <f t="shared" ca="1" si="157"/>
        <v>1.2011539197850618</v>
      </c>
      <c r="BJ165" s="243">
        <f t="shared" ca="1" si="158"/>
        <v>4.1450434366352757</v>
      </c>
      <c r="BK165" s="242">
        <f t="shared" ca="1" si="159"/>
        <v>5.3461973564203378</v>
      </c>
      <c r="BL165" s="241">
        <f t="shared" ca="1" si="160"/>
        <v>0.86483082224524443</v>
      </c>
      <c r="BM165" s="243">
        <f t="shared" ca="1" si="161"/>
        <v>1.836254242429427</v>
      </c>
      <c r="BN165" s="243">
        <f t="shared" si="125"/>
        <v>0</v>
      </c>
      <c r="BO165" s="242">
        <f t="shared" ca="1" si="126"/>
        <v>2.7010850646746714</v>
      </c>
      <c r="BP165" s="67"/>
      <c r="BQ165" s="67"/>
      <c r="BR165" s="67"/>
      <c r="BS165" s="67"/>
      <c r="BT165" s="67"/>
      <c r="BU165" s="67"/>
      <c r="BV165" s="67"/>
      <c r="BW165" s="67"/>
      <c r="BX165" s="67"/>
      <c r="BY165" s="67"/>
      <c r="BZ165" s="67"/>
      <c r="CA165" s="67"/>
      <c r="CB165" s="67"/>
    </row>
    <row r="166" spans="1:80" ht="12" customHeight="1" x14ac:dyDescent="0.15">
      <c r="A166" s="213">
        <f t="shared" si="127"/>
        <v>160</v>
      </c>
      <c r="B166" s="67">
        <f t="shared" si="128"/>
        <v>640</v>
      </c>
      <c r="C166" s="224">
        <f t="shared" si="129"/>
        <v>147.69230769230771</v>
      </c>
      <c r="D166" s="225">
        <f ca="1">IFERROR(OFFSET(extrapolation!P175,0,OS_dist_choice-1,1,1),0)</f>
        <v>8.2439891337925147E-2</v>
      </c>
      <c r="E166" s="225">
        <f ca="1">IFERROR(OFFSET(extrapolation!D175,0,PFS_dist_choice-1,1,1),0)</f>
        <v>1.829752930707973E-2</v>
      </c>
      <c r="F166" s="214"/>
      <c r="G166" s="226">
        <f t="shared" ca="1" si="130"/>
        <v>18.297529307079728</v>
      </c>
      <c r="H166" s="224">
        <f t="shared" ca="1" si="131"/>
        <v>64.142362030845447</v>
      </c>
      <c r="I166" s="224">
        <f t="shared" ca="1" si="108"/>
        <v>917.56010866207487</v>
      </c>
      <c r="J166" s="227">
        <f t="shared" ca="1" si="109"/>
        <v>1000</v>
      </c>
      <c r="K166" s="238">
        <f t="shared" ca="1" si="132"/>
        <v>0.33145749345742104</v>
      </c>
      <c r="L166" s="239">
        <f t="shared" ca="1" si="133"/>
        <v>0.81487964693303638</v>
      </c>
      <c r="M166" s="238">
        <f t="shared" ca="1" si="134"/>
        <v>18.463258053808438</v>
      </c>
      <c r="N166" s="238">
        <f t="shared" ca="1" si="135"/>
        <v>64.38407310758322</v>
      </c>
      <c r="O166" s="239">
        <f t="shared" ca="1" si="136"/>
        <v>917.15266883860841</v>
      </c>
      <c r="P166" s="217"/>
      <c r="Q166" s="217"/>
      <c r="R166" s="224"/>
      <c r="S166" s="230">
        <f t="shared" ca="1" si="137"/>
        <v>278416.6250928982</v>
      </c>
      <c r="T166" s="231">
        <f t="shared" ca="1" si="138"/>
        <v>1733.3703086391115</v>
      </c>
      <c r="U166" s="231">
        <f t="shared" ca="1" si="139"/>
        <v>2845.1019042209623</v>
      </c>
      <c r="V166" s="231"/>
      <c r="W166" s="231">
        <f t="shared" ca="1" si="140"/>
        <v>6952.9675709353969</v>
      </c>
      <c r="X166" s="231">
        <f t="shared" ca="1" si="141"/>
        <v>869.12094636692461</v>
      </c>
      <c r="Y166" s="231"/>
      <c r="Z166" s="232">
        <f t="shared" ca="1" si="110"/>
        <v>290817.18582306057</v>
      </c>
      <c r="AA166" s="231">
        <f t="shared" ca="1" si="111"/>
        <v>226.57203749950588</v>
      </c>
      <c r="AB166" s="231">
        <f t="shared" ca="1" si="142"/>
        <v>16223.802033555872</v>
      </c>
      <c r="AC166" s="231">
        <f t="shared" ca="1" si="143"/>
        <v>87285.64243372604</v>
      </c>
      <c r="AD166" s="231">
        <f t="shared" ca="1" si="144"/>
        <v>3030.7514733932649</v>
      </c>
      <c r="AE166" s="231">
        <f t="shared" ca="1" si="112"/>
        <v>23346.725540559935</v>
      </c>
      <c r="AF166" s="231">
        <f t="shared" ca="1" si="113"/>
        <v>130113.49351873461</v>
      </c>
      <c r="AG166" s="232">
        <f t="shared" ca="1" si="114"/>
        <v>420930.67934179516</v>
      </c>
      <c r="AH166" s="244">
        <f t="shared" ca="1" si="145"/>
        <v>1.4153900766779912</v>
      </c>
      <c r="AI166" s="243">
        <f t="shared" ca="1" si="146"/>
        <v>4.9356715866182892</v>
      </c>
      <c r="AJ166" s="242">
        <f t="shared" ca="1" si="147"/>
        <v>6.3510616632962806</v>
      </c>
      <c r="AK166" s="241">
        <f t="shared" ca="1" si="148"/>
        <v>1.0190808552081536</v>
      </c>
      <c r="AL166" s="243">
        <f t="shared" ca="1" si="149"/>
        <v>2.1865025128719022</v>
      </c>
      <c r="AM166" s="243"/>
      <c r="AN166" s="242">
        <f t="shared" ca="1" si="115"/>
        <v>3.2055833680800561</v>
      </c>
      <c r="AO166" s="224"/>
      <c r="AP166" s="235">
        <f t="shared" si="150"/>
        <v>12.307692307692308</v>
      </c>
      <c r="AQ166" s="235">
        <f t="shared" si="116"/>
        <v>0.69502973999521001</v>
      </c>
      <c r="AR166" s="235">
        <f t="shared" si="117"/>
        <v>0.83256460089828144</v>
      </c>
      <c r="AT166" s="230">
        <f t="shared" ca="1" si="118"/>
        <v>193507.8345486609</v>
      </c>
      <c r="AU166" s="231">
        <f t="shared" ca="1" si="119"/>
        <v>1204.7439149288587</v>
      </c>
      <c r="AV166" s="231">
        <f t="shared" ca="1" si="151"/>
        <v>1977.4304367505722</v>
      </c>
      <c r="AW166" s="231"/>
      <c r="AX166" s="231">
        <f t="shared" ca="1" si="152"/>
        <v>4832.519243022356</v>
      </c>
      <c r="AY166" s="231">
        <f t="shared" ca="1" si="153"/>
        <v>604.0649053777945</v>
      </c>
      <c r="AZ166" s="231"/>
      <c r="BA166" s="232">
        <f t="shared" ca="1" si="120"/>
        <v>202126.59304874047</v>
      </c>
      <c r="BB166" s="231">
        <f t="shared" ca="1" si="121"/>
        <v>157.47430431346655</v>
      </c>
      <c r="BC166" s="231">
        <f t="shared" ca="1" si="154"/>
        <v>11276.024909116097</v>
      </c>
      <c r="BD166" s="231">
        <f t="shared" ca="1" si="155"/>
        <v>60666.11736602748</v>
      </c>
      <c r="BE166" s="231">
        <f t="shared" ca="1" si="156"/>
        <v>2106.4624085426203</v>
      </c>
      <c r="BF166" s="231">
        <f t="shared" ca="1" si="122"/>
        <v>16226.668582194901</v>
      </c>
      <c r="BG166" s="231">
        <f t="shared" ca="1" si="123"/>
        <v>90432.747570194566</v>
      </c>
      <c r="BH166" s="232">
        <f t="shared" ca="1" si="124"/>
        <v>292559.34061893501</v>
      </c>
      <c r="BI166" s="244">
        <f t="shared" ca="1" si="157"/>
        <v>1.1784036743047996</v>
      </c>
      <c r="BJ166" s="243">
        <f t="shared" ca="1" si="158"/>
        <v>4.1092654446778436</v>
      </c>
      <c r="BK166" s="242">
        <f t="shared" ca="1" si="159"/>
        <v>5.2876691189826435</v>
      </c>
      <c r="BL166" s="241">
        <f t="shared" ca="1" si="160"/>
        <v>0.8484506454994557</v>
      </c>
      <c r="BM166" s="243">
        <f t="shared" ca="1" si="161"/>
        <v>1.8204045919922847</v>
      </c>
      <c r="BN166" s="243">
        <f t="shared" si="125"/>
        <v>0</v>
      </c>
      <c r="BO166" s="242">
        <f t="shared" ca="1" si="126"/>
        <v>2.6688552374917407</v>
      </c>
      <c r="BP166" s="67"/>
      <c r="BQ166" s="67"/>
      <c r="BR166" s="67"/>
      <c r="BS166" s="67"/>
      <c r="BT166" s="67"/>
      <c r="BU166" s="67"/>
      <c r="BV166" s="67"/>
      <c r="BW166" s="67"/>
      <c r="BX166" s="67"/>
      <c r="BY166" s="67"/>
      <c r="BZ166" s="67"/>
      <c r="CA166" s="67"/>
      <c r="CB166" s="67"/>
    </row>
    <row r="167" spans="1:80" ht="12" customHeight="1" x14ac:dyDescent="0.15">
      <c r="A167" s="213">
        <f t="shared" si="127"/>
        <v>161</v>
      </c>
      <c r="B167" s="67">
        <f t="shared" si="128"/>
        <v>644</v>
      </c>
      <c r="C167" s="224">
        <f t="shared" si="129"/>
        <v>148.61538461538461</v>
      </c>
      <c r="D167" s="225">
        <f ca="1">IFERROR(OFFSET(extrapolation!P176,0,OS_dist_choice-1,1,1),0)</f>
        <v>8.1637286846132071E-2</v>
      </c>
      <c r="E167" s="225">
        <f ca="1">IFERROR(OFFSET(extrapolation!D176,0,PFS_dist_choice-1,1,1),0)</f>
        <v>1.7972816054873775E-2</v>
      </c>
      <c r="F167" s="214"/>
      <c r="G167" s="226">
        <f t="shared" ca="1" si="130"/>
        <v>17.972816054873775</v>
      </c>
      <c r="H167" s="224">
        <f t="shared" ca="1" si="131"/>
        <v>63.664470791258282</v>
      </c>
      <c r="I167" s="224">
        <f t="shared" ca="1" si="108"/>
        <v>918.36271315386796</v>
      </c>
      <c r="J167" s="227">
        <f t="shared" ca="1" si="109"/>
        <v>1000</v>
      </c>
      <c r="K167" s="238">
        <f t="shared" ca="1" si="132"/>
        <v>0.32471325220595304</v>
      </c>
      <c r="L167" s="239">
        <f t="shared" ca="1" si="133"/>
        <v>0.80260449179309035</v>
      </c>
      <c r="M167" s="238">
        <f t="shared" ca="1" si="134"/>
        <v>18.135172680976751</v>
      </c>
      <c r="N167" s="238">
        <f t="shared" ca="1" si="135"/>
        <v>63.903416411051865</v>
      </c>
      <c r="O167" s="239">
        <f t="shared" ca="1" si="136"/>
        <v>917.96141090797141</v>
      </c>
      <c r="P167" s="217"/>
      <c r="Q167" s="217"/>
      <c r="R167" s="224"/>
      <c r="S167" s="230">
        <f t="shared" ca="1" si="137"/>
        <v>273475.76306257257</v>
      </c>
      <c r="T167" s="231">
        <f t="shared" ca="1" si="138"/>
        <v>1702.6094173324548</v>
      </c>
      <c r="U167" s="231">
        <f t="shared" ca="1" si="139"/>
        <v>2794.5454793326726</v>
      </c>
      <c r="V167" s="231"/>
      <c r="W167" s="231">
        <f t="shared" ca="1" si="140"/>
        <v>6829.4158688929492</v>
      </c>
      <c r="X167" s="231">
        <f t="shared" ca="1" si="141"/>
        <v>853.67698361161865</v>
      </c>
      <c r="Y167" s="231"/>
      <c r="Z167" s="232">
        <f t="shared" ca="1" si="110"/>
        <v>285656.01081174228</v>
      </c>
      <c r="AA167" s="231">
        <f t="shared" ca="1" si="111"/>
        <v>221.9619245532146</v>
      </c>
      <c r="AB167" s="231">
        <f t="shared" ca="1" si="142"/>
        <v>16102.683894950424</v>
      </c>
      <c r="AC167" s="231">
        <f t="shared" ca="1" si="143"/>
        <v>86634.014996662401</v>
      </c>
      <c r="AD167" s="231">
        <f t="shared" ca="1" si="144"/>
        <v>3008.1255207174445</v>
      </c>
      <c r="AE167" s="231">
        <f t="shared" ca="1" si="112"/>
        <v>22995.035963947324</v>
      </c>
      <c r="AF167" s="231">
        <f t="shared" ca="1" si="113"/>
        <v>128961.8223008308</v>
      </c>
      <c r="AG167" s="232">
        <f t="shared" ca="1" si="114"/>
        <v>414617.83311257308</v>
      </c>
      <c r="AH167" s="244">
        <f t="shared" ca="1" si="145"/>
        <v>1.3902391103828857</v>
      </c>
      <c r="AI167" s="243">
        <f t="shared" ca="1" si="146"/>
        <v>4.8988245298000059</v>
      </c>
      <c r="AJ167" s="242">
        <f t="shared" ca="1" si="147"/>
        <v>6.2890636401828921</v>
      </c>
      <c r="AK167" s="241">
        <f t="shared" ca="1" si="148"/>
        <v>1.0009721594756777</v>
      </c>
      <c r="AL167" s="243">
        <f t="shared" ca="1" si="149"/>
        <v>2.1701792667014028</v>
      </c>
      <c r="AM167" s="243"/>
      <c r="AN167" s="242">
        <f t="shared" ca="1" si="115"/>
        <v>3.1711514261770803</v>
      </c>
      <c r="AO167" s="224"/>
      <c r="AP167" s="235">
        <f t="shared" si="150"/>
        <v>12.384615384615385</v>
      </c>
      <c r="AQ167" s="235">
        <f t="shared" si="116"/>
        <v>0.69345120860698517</v>
      </c>
      <c r="AR167" s="235">
        <f t="shared" si="117"/>
        <v>0.8316116288868084</v>
      </c>
      <c r="AT167" s="230">
        <f t="shared" ca="1" si="118"/>
        <v>189642.09842045847</v>
      </c>
      <c r="AU167" s="231">
        <f t="shared" ca="1" si="119"/>
        <v>1180.6765582348255</v>
      </c>
      <c r="AV167" s="231">
        <f t="shared" ca="1" si="151"/>
        <v>1937.8809401504284</v>
      </c>
      <c r="AW167" s="231"/>
      <c r="AX167" s="231">
        <f t="shared" ca="1" si="152"/>
        <v>4735.8666883635397</v>
      </c>
      <c r="AY167" s="231">
        <f t="shared" ca="1" si="153"/>
        <v>591.98333604544246</v>
      </c>
      <c r="AZ167" s="231"/>
      <c r="BA167" s="232">
        <f t="shared" ca="1" si="120"/>
        <v>198088.50594325271</v>
      </c>
      <c r="BB167" s="231">
        <f t="shared" ca="1" si="121"/>
        <v>153.91976484615913</v>
      </c>
      <c r="BC167" s="231">
        <f t="shared" ca="1" si="154"/>
        <v>11166.425608769607</v>
      </c>
      <c r="BD167" s="231">
        <f t="shared" ca="1" si="155"/>
        <v>60076.462405911218</v>
      </c>
      <c r="BE167" s="231">
        <f t="shared" ca="1" si="156"/>
        <v>2085.9882779830286</v>
      </c>
      <c r="BF167" s="231">
        <f t="shared" ca="1" si="122"/>
        <v>15945.935481160363</v>
      </c>
      <c r="BG167" s="231">
        <f t="shared" ca="1" si="123"/>
        <v>89428.73153867037</v>
      </c>
      <c r="BH167" s="232">
        <f t="shared" ca="1" si="124"/>
        <v>287517.23748192308</v>
      </c>
      <c r="BI167" s="244">
        <f t="shared" ca="1" si="157"/>
        <v>1.156139011127659</v>
      </c>
      <c r="BJ167" s="243">
        <f t="shared" ca="1" si="158"/>
        <v>4.0739194468576363</v>
      </c>
      <c r="BK167" s="242">
        <f t="shared" ca="1" si="159"/>
        <v>5.2300584579852956</v>
      </c>
      <c r="BL167" s="241">
        <f t="shared" ca="1" si="160"/>
        <v>0.83242008801191447</v>
      </c>
      <c r="BM167" s="243">
        <f t="shared" ca="1" si="161"/>
        <v>1.804746314957933</v>
      </c>
      <c r="BN167" s="243">
        <f t="shared" si="125"/>
        <v>0</v>
      </c>
      <c r="BO167" s="242">
        <f t="shared" ca="1" si="126"/>
        <v>2.6371664029698474</v>
      </c>
      <c r="BP167" s="67"/>
      <c r="BQ167" s="67"/>
      <c r="BR167" s="67"/>
      <c r="BS167" s="67"/>
      <c r="BT167" s="67"/>
      <c r="BU167" s="67"/>
      <c r="BV167" s="67"/>
      <c r="BW167" s="67"/>
      <c r="BX167" s="67"/>
      <c r="BY167" s="67"/>
      <c r="BZ167" s="67"/>
      <c r="CA167" s="67"/>
      <c r="CB167" s="67"/>
    </row>
    <row r="168" spans="1:80" ht="12" customHeight="1" x14ac:dyDescent="0.15">
      <c r="A168" s="213">
        <f t="shared" si="127"/>
        <v>162</v>
      </c>
      <c r="B168" s="67">
        <f t="shared" si="128"/>
        <v>648</v>
      </c>
      <c r="C168" s="224">
        <f t="shared" si="129"/>
        <v>149.53846153846155</v>
      </c>
      <c r="D168" s="225">
        <f ca="1">IFERROR(OFFSET(extrapolation!P177,0,OS_dist_choice-1,1,1),0)</f>
        <v>8.0846711551910255E-2</v>
      </c>
      <c r="E168" s="225">
        <f ca="1">IFERROR(OFFSET(extrapolation!D177,0,PFS_dist_choice-1,1,1),0)</f>
        <v>1.7654690611397905E-2</v>
      </c>
      <c r="F168" s="214"/>
      <c r="G168" s="226">
        <f t="shared" ca="1" si="130"/>
        <v>17.654690611397903</v>
      </c>
      <c r="H168" s="224">
        <f t="shared" ca="1" si="131"/>
        <v>63.192020940512407</v>
      </c>
      <c r="I168" s="224">
        <f t="shared" ca="1" si="108"/>
        <v>919.15328844808971</v>
      </c>
      <c r="J168" s="227">
        <f t="shared" ca="1" si="109"/>
        <v>1000</v>
      </c>
      <c r="K168" s="238">
        <f t="shared" ca="1" si="132"/>
        <v>0.31812544347587135</v>
      </c>
      <c r="L168" s="239">
        <f t="shared" ca="1" si="133"/>
        <v>0.79057529422175321</v>
      </c>
      <c r="M168" s="238">
        <f t="shared" ca="1" si="134"/>
        <v>17.813753333135839</v>
      </c>
      <c r="N168" s="238">
        <f t="shared" ca="1" si="135"/>
        <v>63.428245865885344</v>
      </c>
      <c r="O168" s="239">
        <f t="shared" ca="1" si="136"/>
        <v>918.75800080097883</v>
      </c>
      <c r="P168" s="217"/>
      <c r="Q168" s="217"/>
      <c r="R168" s="224"/>
      <c r="S168" s="230">
        <f t="shared" ca="1" si="137"/>
        <v>268635.14164083434</v>
      </c>
      <c r="T168" s="231">
        <f t="shared" ca="1" si="138"/>
        <v>1672.4726054771861</v>
      </c>
      <c r="U168" s="231">
        <f t="shared" ca="1" si="139"/>
        <v>2745.0162577873443</v>
      </c>
      <c r="V168" s="231"/>
      <c r="W168" s="231">
        <f t="shared" ca="1" si="140"/>
        <v>6708.374485205627</v>
      </c>
      <c r="X168" s="231">
        <f t="shared" ca="1" si="141"/>
        <v>838.54681065070338</v>
      </c>
      <c r="Y168" s="231"/>
      <c r="Z168" s="232">
        <f t="shared" ca="1" si="110"/>
        <v>280599.55179995525</v>
      </c>
      <c r="AA168" s="231">
        <f t="shared" ca="1" si="111"/>
        <v>217.45874307114204</v>
      </c>
      <c r="AB168" s="231">
        <f t="shared" ca="1" si="142"/>
        <v>15982.948182609314</v>
      </c>
      <c r="AC168" s="231">
        <f t="shared" ca="1" si="143"/>
        <v>85989.825148170843</v>
      </c>
      <c r="AD168" s="231">
        <f t="shared" ca="1" si="144"/>
        <v>2985.757817644821</v>
      </c>
      <c r="AE168" s="231">
        <f t="shared" ca="1" si="112"/>
        <v>22650.393199548696</v>
      </c>
      <c r="AF168" s="231">
        <f t="shared" ca="1" si="113"/>
        <v>127826.3830910448</v>
      </c>
      <c r="AG168" s="232">
        <f t="shared" ca="1" si="114"/>
        <v>408425.93489100004</v>
      </c>
      <c r="AH168" s="244">
        <f t="shared" ca="1" si="145"/>
        <v>1.3655991603772855</v>
      </c>
      <c r="AI168" s="243">
        <f t="shared" ca="1" si="146"/>
        <v>4.8623980403690341</v>
      </c>
      <c r="AJ168" s="242">
        <f t="shared" ca="1" si="147"/>
        <v>6.2279972007463194</v>
      </c>
      <c r="AK168" s="241">
        <f t="shared" ca="1" si="148"/>
        <v>0.98323139547164551</v>
      </c>
      <c r="AL168" s="243">
        <f t="shared" ca="1" si="149"/>
        <v>2.154042331883482</v>
      </c>
      <c r="AM168" s="243"/>
      <c r="AN168" s="242">
        <f t="shared" ca="1" si="115"/>
        <v>3.1372737273551277</v>
      </c>
      <c r="AO168" s="224"/>
      <c r="AP168" s="235">
        <f t="shared" si="150"/>
        <v>12.461538461538462</v>
      </c>
      <c r="AQ168" s="235">
        <f t="shared" si="116"/>
        <v>0.69187626233346855</v>
      </c>
      <c r="AR168" s="235">
        <f t="shared" si="117"/>
        <v>0.8306597476683546</v>
      </c>
      <c r="AT168" s="230">
        <f t="shared" ca="1" si="118"/>
        <v>185862.27772988236</v>
      </c>
      <c r="AU168" s="231">
        <f t="shared" ca="1" si="119"/>
        <v>1157.1440951326733</v>
      </c>
      <c r="AV168" s="231">
        <f t="shared" ca="1" si="151"/>
        <v>1899.2115884825128</v>
      </c>
      <c r="AW168" s="231"/>
      <c r="AX168" s="231">
        <f t="shared" ca="1" si="152"/>
        <v>4641.3650651572752</v>
      </c>
      <c r="AY168" s="231">
        <f t="shared" ca="1" si="153"/>
        <v>580.1706331446594</v>
      </c>
      <c r="AZ168" s="231"/>
      <c r="BA168" s="232">
        <f t="shared" ca="1" si="120"/>
        <v>194140.16911179954</v>
      </c>
      <c r="BB168" s="231">
        <f t="shared" ca="1" si="121"/>
        <v>150.4545423677958</v>
      </c>
      <c r="BC168" s="231">
        <f t="shared" ca="1" si="154"/>
        <v>11058.222449653236</v>
      </c>
      <c r="BD168" s="231">
        <f t="shared" ca="1" si="155"/>
        <v>59494.318822224945</v>
      </c>
      <c r="BE168" s="231">
        <f t="shared" ca="1" si="156"/>
        <v>2065.7749591050328</v>
      </c>
      <c r="BF168" s="231">
        <f t="shared" ca="1" si="122"/>
        <v>15671.269387287166</v>
      </c>
      <c r="BG168" s="231">
        <f t="shared" ca="1" si="123"/>
        <v>88440.040160638164</v>
      </c>
      <c r="BH168" s="232">
        <f t="shared" ca="1" si="124"/>
        <v>282580.20927243767</v>
      </c>
      <c r="BI168" s="244">
        <f t="shared" ca="1" si="157"/>
        <v>1.1343482539751129</v>
      </c>
      <c r="BJ168" s="243">
        <f t="shared" ca="1" si="158"/>
        <v>4.0389983292760441</v>
      </c>
      <c r="BK168" s="242">
        <f t="shared" ca="1" si="159"/>
        <v>5.1733465832511563</v>
      </c>
      <c r="BL168" s="241">
        <f t="shared" ca="1" si="160"/>
        <v>0.81673074286208125</v>
      </c>
      <c r="BM168" s="243">
        <f t="shared" ca="1" si="161"/>
        <v>1.7892762598692873</v>
      </c>
      <c r="BN168" s="243">
        <f t="shared" si="125"/>
        <v>0</v>
      </c>
      <c r="BO168" s="242">
        <f t="shared" ca="1" si="126"/>
        <v>2.6060070027313684</v>
      </c>
      <c r="BP168" s="67"/>
      <c r="BQ168" s="67"/>
      <c r="BR168" s="67"/>
      <c r="BS168" s="67"/>
      <c r="BT168" s="67"/>
      <c r="BU168" s="67"/>
      <c r="BV168" s="67"/>
      <c r="BW168" s="67"/>
      <c r="BX168" s="67"/>
      <c r="BY168" s="67"/>
      <c r="BZ168" s="67"/>
      <c r="CA168" s="67"/>
      <c r="CB168" s="67"/>
    </row>
    <row r="169" spans="1:80" ht="12" customHeight="1" x14ac:dyDescent="0.15">
      <c r="A169" s="213">
        <f t="shared" si="127"/>
        <v>163</v>
      </c>
      <c r="B169" s="67">
        <f t="shared" si="128"/>
        <v>652</v>
      </c>
      <c r="C169" s="224">
        <f t="shared" si="129"/>
        <v>150.46153846153845</v>
      </c>
      <c r="D169" s="225">
        <f ca="1">IFERROR(OFFSET(extrapolation!P178,0,OS_dist_choice-1,1,1),0)</f>
        <v>8.0067925572648399E-2</v>
      </c>
      <c r="E169" s="225">
        <f ca="1">IFERROR(OFFSET(extrapolation!D178,0,PFS_dist_choice-1,1,1),0)</f>
        <v>1.7343000661623198E-2</v>
      </c>
      <c r="F169" s="214"/>
      <c r="G169" s="226">
        <f t="shared" ca="1" si="130"/>
        <v>17.343000661623197</v>
      </c>
      <c r="H169" s="224">
        <f t="shared" ca="1" si="131"/>
        <v>62.724924911025141</v>
      </c>
      <c r="I169" s="224">
        <f t="shared" ca="1" si="108"/>
        <v>919.93207442735161</v>
      </c>
      <c r="J169" s="227">
        <f t="shared" ca="1" si="109"/>
        <v>1000</v>
      </c>
      <c r="K169" s="238">
        <f t="shared" ca="1" si="132"/>
        <v>0.31168994977470632</v>
      </c>
      <c r="L169" s="239">
        <f t="shared" ca="1" si="133"/>
        <v>0.77878597926189741</v>
      </c>
      <c r="M169" s="238">
        <f t="shared" ca="1" si="134"/>
        <v>17.498845636510552</v>
      </c>
      <c r="N169" s="238">
        <f t="shared" ca="1" si="135"/>
        <v>62.958472925768774</v>
      </c>
      <c r="O169" s="239">
        <f t="shared" ca="1" si="136"/>
        <v>919.5426814377206</v>
      </c>
      <c r="P169" s="217"/>
      <c r="Q169" s="217"/>
      <c r="R169" s="224"/>
      <c r="S169" s="230">
        <f t="shared" ca="1" si="137"/>
        <v>263892.44319038989</v>
      </c>
      <c r="T169" s="231">
        <f t="shared" ca="1" si="138"/>
        <v>1642.9454438930456</v>
      </c>
      <c r="U169" s="231">
        <f t="shared" ca="1" si="139"/>
        <v>2696.4904513066385</v>
      </c>
      <c r="V169" s="231"/>
      <c r="W169" s="231">
        <f t="shared" ca="1" si="140"/>
        <v>6589.7852851796897</v>
      </c>
      <c r="X169" s="231">
        <f t="shared" ca="1" si="141"/>
        <v>823.72316064746121</v>
      </c>
      <c r="Y169" s="231"/>
      <c r="Z169" s="232">
        <f t="shared" ca="1" si="110"/>
        <v>275645.38753141667</v>
      </c>
      <c r="AA169" s="231">
        <f t="shared" ca="1" si="111"/>
        <v>213.0596784882938</v>
      </c>
      <c r="AB169" s="231">
        <f t="shared" ca="1" si="142"/>
        <v>15864.572584215011</v>
      </c>
      <c r="AC169" s="231">
        <f t="shared" ca="1" si="143"/>
        <v>85352.952845799751</v>
      </c>
      <c r="AD169" s="231">
        <f t="shared" ca="1" si="144"/>
        <v>2963.6441960347133</v>
      </c>
      <c r="AE169" s="231">
        <f t="shared" ca="1" si="112"/>
        <v>22312.62319668398</v>
      </c>
      <c r="AF169" s="231">
        <f t="shared" ca="1" si="113"/>
        <v>126706.85250122176</v>
      </c>
      <c r="AG169" s="232">
        <f t="shared" ca="1" si="114"/>
        <v>402352.24003263842</v>
      </c>
      <c r="AH169" s="244">
        <f t="shared" ca="1" si="145"/>
        <v>1.3414583923950594</v>
      </c>
      <c r="AI169" s="243">
        <f t="shared" ca="1" si="146"/>
        <v>4.8263853303806314</v>
      </c>
      <c r="AJ169" s="242">
        <f t="shared" ca="1" si="147"/>
        <v>6.1678437227756913</v>
      </c>
      <c r="AK169" s="241">
        <f t="shared" ca="1" si="148"/>
        <v>0.96585004252444273</v>
      </c>
      <c r="AL169" s="243">
        <f t="shared" ca="1" si="149"/>
        <v>2.1380887013586198</v>
      </c>
      <c r="AM169" s="243"/>
      <c r="AN169" s="242">
        <f t="shared" ca="1" si="115"/>
        <v>3.1039387438830626</v>
      </c>
      <c r="AO169" s="224"/>
      <c r="AP169" s="235">
        <f t="shared" si="150"/>
        <v>12.538461538461538</v>
      </c>
      <c r="AQ169" s="235">
        <f t="shared" si="116"/>
        <v>0.69030489303225173</v>
      </c>
      <c r="AR169" s="235">
        <f t="shared" si="117"/>
        <v>0.82970895599437389</v>
      </c>
      <c r="AT169" s="230">
        <f t="shared" ca="1" si="118"/>
        <v>182166.24476856165</v>
      </c>
      <c r="AU169" s="231">
        <f t="shared" ca="1" si="119"/>
        <v>1134.1332789044143</v>
      </c>
      <c r="AV169" s="231">
        <f t="shared" ca="1" si="151"/>
        <v>1861.4005525517173</v>
      </c>
      <c r="AW169" s="231"/>
      <c r="AX169" s="231">
        <f t="shared" ca="1" si="152"/>
        <v>4548.9610263914719</v>
      </c>
      <c r="AY169" s="231">
        <f t="shared" ca="1" si="153"/>
        <v>568.62012829893399</v>
      </c>
      <c r="AZ169" s="231"/>
      <c r="BA169" s="232">
        <f t="shared" ca="1" si="120"/>
        <v>190279.35975470816</v>
      </c>
      <c r="BB169" s="231">
        <f t="shared" ca="1" si="121"/>
        <v>147.0761385683476</v>
      </c>
      <c r="BC169" s="231">
        <f t="shared" ca="1" si="154"/>
        <v>10951.392080748938</v>
      </c>
      <c r="BD169" s="231">
        <f t="shared" ca="1" si="155"/>
        <v>58919.560984206626</v>
      </c>
      <c r="BE169" s="231">
        <f t="shared" ca="1" si="156"/>
        <v>2045.8180897293964</v>
      </c>
      <c r="BF169" s="231">
        <f t="shared" ca="1" si="122"/>
        <v>15402.512969055873</v>
      </c>
      <c r="BG169" s="231">
        <f t="shared" ca="1" si="123"/>
        <v>87466.360262309187</v>
      </c>
      <c r="BH169" s="232">
        <f t="shared" ca="1" si="124"/>
        <v>277745.72001701733</v>
      </c>
      <c r="BI169" s="244">
        <f t="shared" ca="1" si="157"/>
        <v>1.1130200422639958</v>
      </c>
      <c r="BJ169" s="243">
        <f t="shared" ca="1" si="158"/>
        <v>4.0044951336966754</v>
      </c>
      <c r="BK169" s="242">
        <f t="shared" ca="1" si="159"/>
        <v>5.117515175960671</v>
      </c>
      <c r="BL169" s="241">
        <f t="shared" ca="1" si="160"/>
        <v>0.80137443043007706</v>
      </c>
      <c r="BM169" s="243">
        <f t="shared" ca="1" si="161"/>
        <v>1.7739913442276272</v>
      </c>
      <c r="BN169" s="243">
        <f t="shared" si="125"/>
        <v>0</v>
      </c>
      <c r="BO169" s="242">
        <f t="shared" ca="1" si="126"/>
        <v>2.5753657746577043</v>
      </c>
      <c r="BP169" s="67"/>
      <c r="BQ169" s="67"/>
      <c r="BR169" s="67"/>
      <c r="BS169" s="67"/>
      <c r="BT169" s="67"/>
      <c r="BU169" s="67"/>
      <c r="BV169" s="67"/>
      <c r="BW169" s="67"/>
      <c r="BX169" s="67"/>
      <c r="BY169" s="67"/>
      <c r="BZ169" s="67"/>
      <c r="CA169" s="67"/>
      <c r="CB169" s="67"/>
    </row>
    <row r="170" spans="1:80" ht="12" customHeight="1" x14ac:dyDescent="0.15">
      <c r="A170" s="213">
        <f t="shared" si="127"/>
        <v>164</v>
      </c>
      <c r="B170" s="67">
        <f t="shared" si="128"/>
        <v>656</v>
      </c>
      <c r="C170" s="224">
        <f t="shared" si="129"/>
        <v>151.38461538461539</v>
      </c>
      <c r="D170" s="225">
        <f ca="1">IFERROR(OFFSET(extrapolation!P179,0,OS_dist_choice-1,1,1),0)</f>
        <v>7.9300694924395745E-2</v>
      </c>
      <c r="E170" s="225">
        <f ca="1">IFERROR(OFFSET(extrapolation!D179,0,PFS_dist_choice-1,1,1),0)</f>
        <v>1.703759788571757E-2</v>
      </c>
      <c r="F170" s="214"/>
      <c r="G170" s="226">
        <f t="shared" ca="1" si="130"/>
        <v>17.03759788571757</v>
      </c>
      <c r="H170" s="224">
        <f t="shared" ca="1" si="131"/>
        <v>62.263097038678211</v>
      </c>
      <c r="I170" s="224">
        <f t="shared" ca="1" si="108"/>
        <v>920.69930507560423</v>
      </c>
      <c r="J170" s="227">
        <f t="shared" ca="1" si="109"/>
        <v>1000</v>
      </c>
      <c r="K170" s="238">
        <f t="shared" ca="1" si="132"/>
        <v>0.30540277590562681</v>
      </c>
      <c r="L170" s="239">
        <f t="shared" ca="1" si="133"/>
        <v>0.76723064825262099</v>
      </c>
      <c r="M170" s="238">
        <f t="shared" ca="1" si="134"/>
        <v>17.190299273670384</v>
      </c>
      <c r="N170" s="238">
        <f t="shared" ca="1" si="135"/>
        <v>62.494010974851676</v>
      </c>
      <c r="O170" s="239">
        <f t="shared" ca="1" si="136"/>
        <v>920.31568975147798</v>
      </c>
      <c r="P170" s="217"/>
      <c r="Q170" s="217"/>
      <c r="R170" s="224"/>
      <c r="S170" s="230">
        <f t="shared" ca="1" si="137"/>
        <v>259245.41086517059</v>
      </c>
      <c r="T170" s="231">
        <f t="shared" ca="1" si="138"/>
        <v>1614.0138818746725</v>
      </c>
      <c r="U170" s="231">
        <f t="shared" ca="1" si="139"/>
        <v>2648.9448966759956</v>
      </c>
      <c r="V170" s="231"/>
      <c r="W170" s="231">
        <f t="shared" ca="1" si="140"/>
        <v>6473.5916616758877</v>
      </c>
      <c r="X170" s="231">
        <f t="shared" ca="1" si="141"/>
        <v>809.19895770948597</v>
      </c>
      <c r="Y170" s="231"/>
      <c r="Z170" s="232">
        <f t="shared" ca="1" si="110"/>
        <v>270791.16026310663</v>
      </c>
      <c r="AA170" s="231">
        <f t="shared" ca="1" si="111"/>
        <v>208.76199983643374</v>
      </c>
      <c r="AB170" s="231">
        <f t="shared" ca="1" si="142"/>
        <v>15747.535273897491</v>
      </c>
      <c r="AC170" s="231">
        <f t="shared" ca="1" si="143"/>
        <v>84723.280664232763</v>
      </c>
      <c r="AD170" s="231">
        <f t="shared" ca="1" si="144"/>
        <v>2941.780578619193</v>
      </c>
      <c r="AE170" s="231">
        <f t="shared" ca="1" si="112"/>
        <v>21981.55695565162</v>
      </c>
      <c r="AF170" s="231">
        <f t="shared" ca="1" si="113"/>
        <v>125602.91547223751</v>
      </c>
      <c r="AG170" s="232">
        <f t="shared" ca="1" si="114"/>
        <v>396394.07573534414</v>
      </c>
      <c r="AH170" s="244">
        <f t="shared" ca="1" si="145"/>
        <v>1.3178052831287359</v>
      </c>
      <c r="AI170" s="243">
        <f t="shared" ca="1" si="146"/>
        <v>4.7907797598791158</v>
      </c>
      <c r="AJ170" s="242">
        <f t="shared" ca="1" si="147"/>
        <v>6.1085850430078512</v>
      </c>
      <c r="AK170" s="241">
        <f t="shared" ca="1" si="148"/>
        <v>0.94881980385268982</v>
      </c>
      <c r="AL170" s="243">
        <f t="shared" ca="1" si="149"/>
        <v>2.1223154336264485</v>
      </c>
      <c r="AM170" s="243"/>
      <c r="AN170" s="242">
        <f t="shared" ca="1" si="115"/>
        <v>3.0711352374791385</v>
      </c>
      <c r="AO170" s="224"/>
      <c r="AP170" s="235">
        <f t="shared" si="150"/>
        <v>12.615384615384615</v>
      </c>
      <c r="AQ170" s="235">
        <f t="shared" si="116"/>
        <v>0.68873709257941906</v>
      </c>
      <c r="AR170" s="235">
        <f t="shared" si="117"/>
        <v>0.82875925261774941</v>
      </c>
      <c r="AT170" s="230">
        <f t="shared" ca="1" si="118"/>
        <v>178551.93054383452</v>
      </c>
      <c r="AU170" s="231">
        <f t="shared" ca="1" si="119"/>
        <v>1111.6312283851839</v>
      </c>
      <c r="AV170" s="231">
        <f t="shared" ca="1" si="151"/>
        <v>1824.4266065397148</v>
      </c>
      <c r="AW170" s="231"/>
      <c r="AX170" s="231">
        <f t="shared" ca="1" si="152"/>
        <v>4458.6026996090213</v>
      </c>
      <c r="AY170" s="231">
        <f t="shared" ca="1" si="153"/>
        <v>557.32533745112767</v>
      </c>
      <c r="AZ170" s="231"/>
      <c r="BA170" s="232">
        <f t="shared" ca="1" si="120"/>
        <v>186503.91641581958</v>
      </c>
      <c r="BB170" s="231">
        <f t="shared" ca="1" si="121"/>
        <v>143.78213280841052</v>
      </c>
      <c r="BC170" s="231">
        <f t="shared" ca="1" si="154"/>
        <v>10845.911659836003</v>
      </c>
      <c r="BD170" s="231">
        <f t="shared" ca="1" si="155"/>
        <v>58352.065998473787</v>
      </c>
      <c r="BE170" s="231">
        <f t="shared" ca="1" si="156"/>
        <v>2026.113402724784</v>
      </c>
      <c r="BF170" s="231">
        <f t="shared" ca="1" si="122"/>
        <v>15139.513628004403</v>
      </c>
      <c r="BG170" s="231">
        <f t="shared" ca="1" si="123"/>
        <v>86507.386821847394</v>
      </c>
      <c r="BH170" s="232">
        <f t="shared" ca="1" si="124"/>
        <v>273011.30323766696</v>
      </c>
      <c r="BI170" s="244">
        <f t="shared" ca="1" si="157"/>
        <v>1.0921433215414929</v>
      </c>
      <c r="BJ170" s="243">
        <f t="shared" ca="1" si="158"/>
        <v>3.9704030532536572</v>
      </c>
      <c r="BK170" s="242">
        <f t="shared" ca="1" si="159"/>
        <v>5.0625463747951498</v>
      </c>
      <c r="BL170" s="241">
        <f t="shared" ca="1" si="160"/>
        <v>0.78634319150987486</v>
      </c>
      <c r="BM170" s="243">
        <f t="shared" ca="1" si="161"/>
        <v>1.7588885525913702</v>
      </c>
      <c r="BN170" s="243">
        <f t="shared" si="125"/>
        <v>0</v>
      </c>
      <c r="BO170" s="242">
        <f t="shared" ca="1" si="126"/>
        <v>2.5452317441012453</v>
      </c>
      <c r="BP170" s="67"/>
      <c r="BQ170" s="67"/>
      <c r="BR170" s="67"/>
      <c r="BS170" s="67"/>
      <c r="BT170" s="67"/>
      <c r="BU170" s="67"/>
      <c r="BV170" s="67"/>
      <c r="BW170" s="67"/>
      <c r="BX170" s="67"/>
      <c r="BY170" s="67"/>
      <c r="BZ170" s="67"/>
      <c r="CA170" s="67"/>
      <c r="CB170" s="67"/>
    </row>
    <row r="171" spans="1:80" ht="12" customHeight="1" x14ac:dyDescent="0.15">
      <c r="A171" s="213">
        <f t="shared" si="127"/>
        <v>165</v>
      </c>
      <c r="B171" s="67">
        <f t="shared" si="128"/>
        <v>660</v>
      </c>
      <c r="C171" s="224">
        <f t="shared" si="129"/>
        <v>152.30769230769229</v>
      </c>
      <c r="D171" s="225">
        <f ca="1">IFERROR(OFFSET(extrapolation!P180,0,OS_dist_choice-1,1,1),0)</f>
        <v>7.8544791351374321E-2</v>
      </c>
      <c r="E171" s="225">
        <f ca="1">IFERROR(OFFSET(extrapolation!D180,0,PFS_dist_choice-1,1,1),0)</f>
        <v>1.6738337840823792E-2</v>
      </c>
      <c r="F171" s="214"/>
      <c r="G171" s="226">
        <f t="shared" ca="1" si="130"/>
        <v>16.738337840823792</v>
      </c>
      <c r="H171" s="224">
        <f t="shared" ca="1" si="131"/>
        <v>61.806453510550568</v>
      </c>
      <c r="I171" s="224">
        <f t="shared" ca="1" si="108"/>
        <v>921.45520864862567</v>
      </c>
      <c r="J171" s="227">
        <f t="shared" ca="1" si="109"/>
        <v>1000</v>
      </c>
      <c r="K171" s="238">
        <f t="shared" ca="1" si="132"/>
        <v>0.29926004489377789</v>
      </c>
      <c r="L171" s="239">
        <f t="shared" ca="1" si="133"/>
        <v>0.75590357302144184</v>
      </c>
      <c r="M171" s="238">
        <f t="shared" ca="1" si="134"/>
        <v>16.887967863270681</v>
      </c>
      <c r="N171" s="238">
        <f t="shared" ca="1" si="135"/>
        <v>62.03477527461439</v>
      </c>
      <c r="O171" s="239">
        <f t="shared" ca="1" si="136"/>
        <v>921.07725686211495</v>
      </c>
      <c r="P171" s="217"/>
      <c r="Q171" s="217"/>
      <c r="R171" s="224"/>
      <c r="S171" s="230">
        <f t="shared" ca="1" si="137"/>
        <v>254691.8468114578</v>
      </c>
      <c r="T171" s="231">
        <f t="shared" ca="1" si="138"/>
        <v>1585.6642359921448</v>
      </c>
      <c r="U171" s="231">
        <f t="shared" ca="1" si="139"/>
        <v>2602.3570372133163</v>
      </c>
      <c r="V171" s="231"/>
      <c r="W171" s="231">
        <f t="shared" ca="1" si="140"/>
        <v>6359.7384898219261</v>
      </c>
      <c r="X171" s="231">
        <f t="shared" ca="1" si="141"/>
        <v>794.96731122774077</v>
      </c>
      <c r="Y171" s="231"/>
      <c r="Z171" s="232">
        <f t="shared" ca="1" si="110"/>
        <v>266034.57388571295</v>
      </c>
      <c r="AA171" s="231">
        <f t="shared" ca="1" si="111"/>
        <v>204.56305695947992</v>
      </c>
      <c r="AB171" s="231">
        <f t="shared" ca="1" si="142"/>
        <v>15631.814898845394</v>
      </c>
      <c r="AC171" s="231">
        <f t="shared" ca="1" si="143"/>
        <v>84100.69372325539</v>
      </c>
      <c r="AD171" s="231">
        <f t="shared" ca="1" si="144"/>
        <v>2920.1629765019234</v>
      </c>
      <c r="AE171" s="231">
        <f t="shared" ca="1" si="112"/>
        <v>21657.030361331927</v>
      </c>
      <c r="AF171" s="231">
        <f t="shared" ca="1" si="113"/>
        <v>124514.2650168941</v>
      </c>
      <c r="AG171" s="232">
        <f t="shared" ca="1" si="114"/>
        <v>390548.83890260704</v>
      </c>
      <c r="AH171" s="244">
        <f t="shared" ca="1" si="145"/>
        <v>1.2946286110104834</v>
      </c>
      <c r="AI171" s="243">
        <f t="shared" ca="1" si="146"/>
        <v>4.7555748328246485</v>
      </c>
      <c r="AJ171" s="242">
        <f t="shared" ca="1" si="147"/>
        <v>6.050203443835132</v>
      </c>
      <c r="AK171" s="241">
        <f t="shared" ca="1" si="148"/>
        <v>0.93213259992754804</v>
      </c>
      <c r="AL171" s="243">
        <f t="shared" ca="1" si="149"/>
        <v>2.1067196509413195</v>
      </c>
      <c r="AM171" s="243"/>
      <c r="AN171" s="242">
        <f t="shared" ca="1" si="115"/>
        <v>3.0388522508688673</v>
      </c>
      <c r="AO171" s="224"/>
      <c r="AP171" s="235">
        <f t="shared" si="150"/>
        <v>12.692307692307692</v>
      </c>
      <c r="AQ171" s="235">
        <f t="shared" si="116"/>
        <v>0.68717285286950547</v>
      </c>
      <c r="AR171" s="235">
        <f t="shared" si="117"/>
        <v>0.82781063629279161</v>
      </c>
      <c r="AT171" s="230">
        <f t="shared" ca="1" si="118"/>
        <v>175017.3229760325</v>
      </c>
      <c r="AU171" s="231">
        <f t="shared" ca="1" si="119"/>
        <v>1089.625416739867</v>
      </c>
      <c r="AV171" s="231">
        <f t="shared" ca="1" si="151"/>
        <v>1788.2691094469083</v>
      </c>
      <c r="AW171" s="231"/>
      <c r="AX171" s="231">
        <f t="shared" ca="1" si="152"/>
        <v>4370.2396415549338</v>
      </c>
      <c r="AY171" s="231">
        <f t="shared" ca="1" si="153"/>
        <v>546.27995519436672</v>
      </c>
      <c r="AZ171" s="231"/>
      <c r="BA171" s="232">
        <f t="shared" ca="1" si="120"/>
        <v>182811.73709896862</v>
      </c>
      <c r="BB171" s="231">
        <f t="shared" ca="1" si="121"/>
        <v>140.57017944255296</v>
      </c>
      <c r="BC171" s="231">
        <f t="shared" ca="1" si="154"/>
        <v>10741.75883956763</v>
      </c>
      <c r="BD171" s="231">
        <f t="shared" ca="1" si="155"/>
        <v>57791.713634113919</v>
      </c>
      <c r="BE171" s="231">
        <f t="shared" ca="1" si="156"/>
        <v>2006.6567234067334</v>
      </c>
      <c r="BF171" s="231">
        <f t="shared" ca="1" si="122"/>
        <v>14882.123338077958</v>
      </c>
      <c r="BG171" s="231">
        <f t="shared" ca="1" si="123"/>
        <v>85562.822714608788</v>
      </c>
      <c r="BH171" s="232">
        <f t="shared" ca="1" si="124"/>
        <v>268374.55981357739</v>
      </c>
      <c r="BI171" s="244">
        <f t="shared" ca="1" si="157"/>
        <v>1.0717073342434413</v>
      </c>
      <c r="BJ171" s="243">
        <f t="shared" ca="1" si="158"/>
        <v>3.9367154282985584</v>
      </c>
      <c r="BK171" s="242">
        <f t="shared" ca="1" si="159"/>
        <v>5.0084227625419997</v>
      </c>
      <c r="BL171" s="241">
        <f t="shared" ca="1" si="160"/>
        <v>0.77162928065527769</v>
      </c>
      <c r="BM171" s="243">
        <f t="shared" ca="1" si="161"/>
        <v>1.7439649347362616</v>
      </c>
      <c r="BN171" s="243">
        <f t="shared" si="125"/>
        <v>0</v>
      </c>
      <c r="BO171" s="242">
        <f t="shared" ca="1" si="126"/>
        <v>2.5155942153915389</v>
      </c>
      <c r="BP171" s="67"/>
      <c r="BQ171" s="67"/>
      <c r="BR171" s="67"/>
      <c r="BS171" s="67"/>
      <c r="BT171" s="67"/>
      <c r="BU171" s="67"/>
      <c r="BV171" s="67"/>
      <c r="BW171" s="67"/>
      <c r="BX171" s="67"/>
      <c r="BY171" s="67"/>
      <c r="BZ171" s="67"/>
      <c r="CA171" s="67"/>
      <c r="CB171" s="67"/>
    </row>
    <row r="172" spans="1:80" ht="12" customHeight="1" x14ac:dyDescent="0.15">
      <c r="A172" s="213">
        <f t="shared" si="127"/>
        <v>166</v>
      </c>
      <c r="B172" s="67">
        <f t="shared" si="128"/>
        <v>664</v>
      </c>
      <c r="C172" s="224">
        <f t="shared" si="129"/>
        <v>153.23076923076923</v>
      </c>
      <c r="D172" s="225">
        <f ca="1">IFERROR(OFFSET(extrapolation!P181,0,OS_dist_choice-1,1,1),0)</f>
        <v>7.7799992161085726E-2</v>
      </c>
      <c r="E172" s="225">
        <f ca="1">IFERROR(OFFSET(extrapolation!D181,0,PFS_dist_choice-1,1,1),0)</f>
        <v>1.6445079846758137E-2</v>
      </c>
      <c r="F172" s="214"/>
      <c r="G172" s="226">
        <f t="shared" ca="1" si="130"/>
        <v>16.445079846758137</v>
      </c>
      <c r="H172" s="224">
        <f t="shared" ca="1" si="131"/>
        <v>61.354912314327521</v>
      </c>
      <c r="I172" s="224">
        <f t="shared" ca="1" si="108"/>
        <v>922.2000078389143</v>
      </c>
      <c r="J172" s="227">
        <f t="shared" ca="1" si="109"/>
        <v>1000</v>
      </c>
      <c r="K172" s="238">
        <f t="shared" ca="1" si="132"/>
        <v>0.29325799406565523</v>
      </c>
      <c r="L172" s="239">
        <f t="shared" ca="1" si="133"/>
        <v>0.74479919028863151</v>
      </c>
      <c r="M172" s="238">
        <f t="shared" ca="1" si="134"/>
        <v>16.591708843790965</v>
      </c>
      <c r="N172" s="238">
        <f t="shared" ca="1" si="135"/>
        <v>61.580682912439045</v>
      </c>
      <c r="O172" s="239">
        <f t="shared" ca="1" si="136"/>
        <v>921.82760824376999</v>
      </c>
      <c r="P172" s="217"/>
      <c r="Q172" s="217"/>
      <c r="R172" s="224"/>
      <c r="S172" s="230">
        <f t="shared" ca="1" si="137"/>
        <v>250229.61042866475</v>
      </c>
      <c r="T172" s="231">
        <f t="shared" ca="1" si="138"/>
        <v>1557.8831792629289</v>
      </c>
      <c r="U172" s="231">
        <f t="shared" ca="1" si="139"/>
        <v>2556.7049048535832</v>
      </c>
      <c r="V172" s="231"/>
      <c r="W172" s="231">
        <f t="shared" ca="1" si="140"/>
        <v>6248.1720832301771</v>
      </c>
      <c r="X172" s="231">
        <f t="shared" ca="1" si="141"/>
        <v>781.02151040377214</v>
      </c>
      <c r="Y172" s="231"/>
      <c r="Z172" s="232">
        <f t="shared" ca="1" si="110"/>
        <v>261373.39210641518</v>
      </c>
      <c r="AA172" s="231">
        <f t="shared" ca="1" si="111"/>
        <v>200.46027783351022</v>
      </c>
      <c r="AB172" s="231">
        <f t="shared" ca="1" si="142"/>
        <v>15517.390566346698</v>
      </c>
      <c r="AC172" s="231">
        <f t="shared" ca="1" si="143"/>
        <v>83485.079618032614</v>
      </c>
      <c r="AD172" s="231">
        <f t="shared" ca="1" si="144"/>
        <v>2898.7874867372434</v>
      </c>
      <c r="AE172" s="231">
        <f t="shared" ca="1" si="112"/>
        <v>21338.884022868326</v>
      </c>
      <c r="AF172" s="231">
        <f t="shared" ca="1" si="113"/>
        <v>123440.6019718184</v>
      </c>
      <c r="AG172" s="232">
        <f t="shared" ca="1" si="114"/>
        <v>384813.99407823361</v>
      </c>
      <c r="AH172" s="244">
        <f t="shared" ca="1" si="145"/>
        <v>1.2719174472995127</v>
      </c>
      <c r="AI172" s="243">
        <f t="shared" ca="1" si="146"/>
        <v>4.7207641931506998</v>
      </c>
      <c r="AJ172" s="242">
        <f t="shared" ca="1" si="147"/>
        <v>5.992681640450213</v>
      </c>
      <c r="AK172" s="241">
        <f t="shared" ca="1" si="148"/>
        <v>0.91578056205564917</v>
      </c>
      <c r="AL172" s="243">
        <f t="shared" ca="1" si="149"/>
        <v>2.09129853756576</v>
      </c>
      <c r="AM172" s="243"/>
      <c r="AN172" s="242">
        <f t="shared" ca="1" si="115"/>
        <v>3.007079099621409</v>
      </c>
      <c r="AO172" s="224"/>
      <c r="AP172" s="235">
        <f t="shared" si="150"/>
        <v>12.76923076923077</v>
      </c>
      <c r="AQ172" s="235">
        <f t="shared" si="116"/>
        <v>0.68561216581545492</v>
      </c>
      <c r="AR172" s="235">
        <f t="shared" si="117"/>
        <v>0.82686310577523714</v>
      </c>
      <c r="AT172" s="230">
        <f t="shared" ca="1" si="118"/>
        <v>171560.46515715439</v>
      </c>
      <c r="AU172" s="231">
        <f t="shared" ca="1" si="119"/>
        <v>1068.1036606219234</v>
      </c>
      <c r="AV172" s="231">
        <f t="shared" ca="1" si="151"/>
        <v>1752.9079871676618</v>
      </c>
      <c r="AW172" s="231"/>
      <c r="AX172" s="231">
        <f t="shared" ca="1" si="152"/>
        <v>4283.8227943711045</v>
      </c>
      <c r="AY172" s="231">
        <f t="shared" ca="1" si="153"/>
        <v>535.47784929638806</v>
      </c>
      <c r="AZ172" s="231"/>
      <c r="BA172" s="232">
        <f t="shared" ca="1" si="120"/>
        <v>179200.77744861145</v>
      </c>
      <c r="BB172" s="231">
        <f t="shared" ca="1" si="121"/>
        <v>137.43800524540077</v>
      </c>
      <c r="BC172" s="231">
        <f t="shared" ca="1" si="154"/>
        <v>10638.911753997269</v>
      </c>
      <c r="BD172" s="231">
        <f t="shared" ca="1" si="155"/>
        <v>57238.386250195035</v>
      </c>
      <c r="BE172" s="231">
        <f t="shared" ca="1" si="156"/>
        <v>1987.4439670206607</v>
      </c>
      <c r="BF172" s="231">
        <f t="shared" ca="1" si="122"/>
        <v>14630.198491003561</v>
      </c>
      <c r="BG172" s="231">
        <f t="shared" ca="1" si="123"/>
        <v>84632.378467461924</v>
      </c>
      <c r="BH172" s="232">
        <f t="shared" ca="1" si="124"/>
        <v>263833.15591607336</v>
      </c>
      <c r="BI172" s="244">
        <f t="shared" ca="1" si="157"/>
        <v>1.0517016107637867</v>
      </c>
      <c r="BJ172" s="243">
        <f t="shared" ca="1" si="158"/>
        <v>3.9034257423811192</v>
      </c>
      <c r="BK172" s="242">
        <f t="shared" ca="1" si="159"/>
        <v>4.9551273531449063</v>
      </c>
      <c r="BL172" s="241">
        <f t="shared" ca="1" si="160"/>
        <v>0.75722515974992632</v>
      </c>
      <c r="BM172" s="243">
        <f t="shared" ca="1" si="161"/>
        <v>1.7292176038748357</v>
      </c>
      <c r="BN172" s="243">
        <f t="shared" si="125"/>
        <v>0</v>
      </c>
      <c r="BO172" s="242">
        <f t="shared" ca="1" si="126"/>
        <v>2.4864427636247619</v>
      </c>
      <c r="BP172" s="67"/>
      <c r="BQ172" s="67"/>
      <c r="BR172" s="67"/>
      <c r="BS172" s="67"/>
      <c r="BT172" s="67"/>
      <c r="BU172" s="67"/>
      <c r="BV172" s="67"/>
      <c r="BW172" s="67"/>
      <c r="BX172" s="67"/>
      <c r="BY172" s="67"/>
      <c r="BZ172" s="67"/>
      <c r="CA172" s="67"/>
      <c r="CB172" s="67"/>
    </row>
    <row r="173" spans="1:80" ht="12" customHeight="1" x14ac:dyDescent="0.15">
      <c r="A173" s="213">
        <f t="shared" si="127"/>
        <v>167</v>
      </c>
      <c r="B173" s="67">
        <f t="shared" si="128"/>
        <v>668</v>
      </c>
      <c r="C173" s="224">
        <f t="shared" si="129"/>
        <v>154.15384615384616</v>
      </c>
      <c r="D173" s="225">
        <f ca="1">IFERROR(OFFSET(extrapolation!P182,0,OS_dist_choice-1,1,1),0)</f>
        <v>7.706608006481204E-2</v>
      </c>
      <c r="E173" s="225">
        <f ca="1">IFERROR(OFFSET(extrapolation!D182,0,PFS_dist_choice-1,1,1),0)</f>
        <v>1.6157686875487576E-2</v>
      </c>
      <c r="F173" s="214"/>
      <c r="G173" s="226">
        <f t="shared" ca="1" si="130"/>
        <v>16.157686875487578</v>
      </c>
      <c r="H173" s="224">
        <f t="shared" ca="1" si="131"/>
        <v>60.908393189324556</v>
      </c>
      <c r="I173" s="224">
        <f t="shared" ca="1" si="108"/>
        <v>922.93391993518787</v>
      </c>
      <c r="J173" s="227">
        <f t="shared" ca="1" si="109"/>
        <v>1000</v>
      </c>
      <c r="K173" s="238">
        <f t="shared" ca="1" si="132"/>
        <v>0.28739297127055963</v>
      </c>
      <c r="L173" s="239">
        <f t="shared" ca="1" si="133"/>
        <v>0.73391209627357057</v>
      </c>
      <c r="M173" s="238">
        <f t="shared" ca="1" si="134"/>
        <v>16.301383361122859</v>
      </c>
      <c r="N173" s="238">
        <f t="shared" ca="1" si="135"/>
        <v>61.131652751826039</v>
      </c>
      <c r="O173" s="239">
        <f t="shared" ca="1" si="136"/>
        <v>922.56696388705109</v>
      </c>
      <c r="P173" s="217"/>
      <c r="Q173" s="217"/>
      <c r="R173" s="224"/>
      <c r="S173" s="230">
        <f t="shared" ca="1" si="137"/>
        <v>245856.61668761307</v>
      </c>
      <c r="T173" s="231">
        <f t="shared" ca="1" si="138"/>
        <v>1530.6577306817801</v>
      </c>
      <c r="U173" s="231">
        <f t="shared" ca="1" si="139"/>
        <v>2511.9671028266803</v>
      </c>
      <c r="V173" s="231"/>
      <c r="W173" s="231">
        <f t="shared" ca="1" si="140"/>
        <v>6138.8401516650911</v>
      </c>
      <c r="X173" s="231">
        <f t="shared" ca="1" si="141"/>
        <v>767.35501895813638</v>
      </c>
      <c r="Y173" s="231"/>
      <c r="Z173" s="232">
        <f t="shared" ca="1" si="110"/>
        <v>256805.43669174478</v>
      </c>
      <c r="AA173" s="231">
        <f t="shared" ca="1" si="111"/>
        <v>196.4511659838891</v>
      </c>
      <c r="AB173" s="231">
        <f t="shared" ca="1" si="142"/>
        <v>15404.241831244022</v>
      </c>
      <c r="AC173" s="231">
        <f t="shared" ca="1" si="143"/>
        <v>82876.32835161718</v>
      </c>
      <c r="AD173" s="231">
        <f t="shared" ca="1" si="144"/>
        <v>2877.6502899867073</v>
      </c>
      <c r="AE173" s="231">
        <f t="shared" ca="1" si="112"/>
        <v>21026.963119136653</v>
      </c>
      <c r="AF173" s="231">
        <f t="shared" ca="1" si="113"/>
        <v>122381.63475796845</v>
      </c>
      <c r="AG173" s="232">
        <f t="shared" ca="1" si="114"/>
        <v>379187.0714497132</v>
      </c>
      <c r="AH173" s="244">
        <f t="shared" ca="1" si="145"/>
        <v>1.249661147464586</v>
      </c>
      <c r="AI173" s="243">
        <f t="shared" ca="1" si="146"/>
        <v>4.6863416209476494</v>
      </c>
      <c r="AJ173" s="242">
        <f t="shared" ca="1" si="147"/>
        <v>5.9360027684122354</v>
      </c>
      <c r="AK173" s="241">
        <f t="shared" ca="1" si="148"/>
        <v>0.8997560261745019</v>
      </c>
      <c r="AL173" s="243">
        <f t="shared" ca="1" si="149"/>
        <v>2.0760493380798088</v>
      </c>
      <c r="AM173" s="243"/>
      <c r="AN173" s="242">
        <f t="shared" ca="1" si="115"/>
        <v>2.9758053642543105</v>
      </c>
      <c r="AO173" s="224"/>
      <c r="AP173" s="235">
        <f t="shared" si="150"/>
        <v>12.846153846153847</v>
      </c>
      <c r="AQ173" s="235">
        <f t="shared" si="116"/>
        <v>0.68405502334857859</v>
      </c>
      <c r="AR173" s="235">
        <f t="shared" si="117"/>
        <v>0.82591665982224649</v>
      </c>
      <c r="AT173" s="230">
        <f t="shared" ca="1" si="118"/>
        <v>168179.45366864771</v>
      </c>
      <c r="AU173" s="231">
        <f t="shared" ca="1" si="119"/>
        <v>1047.0541097002074</v>
      </c>
      <c r="AV173" s="231">
        <f t="shared" ca="1" si="151"/>
        <v>1718.3237151749661</v>
      </c>
      <c r="AW173" s="231"/>
      <c r="AX173" s="231">
        <f t="shared" ca="1" si="152"/>
        <v>4199.3044432804554</v>
      </c>
      <c r="AY173" s="231">
        <f t="shared" ca="1" si="153"/>
        <v>524.91305541005693</v>
      </c>
      <c r="AZ173" s="231"/>
      <c r="BA173" s="232">
        <f t="shared" ca="1" si="120"/>
        <v>175669.04899221339</v>
      </c>
      <c r="BB173" s="231">
        <f t="shared" ca="1" si="121"/>
        <v>134.38340693396475</v>
      </c>
      <c r="BC173" s="231">
        <f t="shared" ca="1" si="154"/>
        <v>10537.349005538781</v>
      </c>
      <c r="BD173" s="231">
        <f t="shared" ca="1" si="155"/>
        <v>56691.968725609957</v>
      </c>
      <c r="BE173" s="231">
        <f t="shared" ca="1" si="156"/>
        <v>1968.4711363059009</v>
      </c>
      <c r="BF173" s="231">
        <f t="shared" ca="1" si="122"/>
        <v>14383.599747410724</v>
      </c>
      <c r="BG173" s="231">
        <f t="shared" ca="1" si="123"/>
        <v>83715.772021799334</v>
      </c>
      <c r="BH173" s="232">
        <f t="shared" ca="1" si="124"/>
        <v>259384.8210140127</v>
      </c>
      <c r="BI173" s="244">
        <f t="shared" ca="1" si="157"/>
        <v>1.0321159608235866</v>
      </c>
      <c r="BJ173" s="243">
        <f t="shared" ca="1" si="158"/>
        <v>3.8705276183590551</v>
      </c>
      <c r="BK173" s="242">
        <f t="shared" ca="1" si="159"/>
        <v>4.9026435791826417</v>
      </c>
      <c r="BL173" s="241">
        <f t="shared" ca="1" si="160"/>
        <v>0.74312349179298243</v>
      </c>
      <c r="BM173" s="243">
        <f t="shared" ca="1" si="161"/>
        <v>1.7146437349330614</v>
      </c>
      <c r="BN173" s="243">
        <f t="shared" si="125"/>
        <v>0</v>
      </c>
      <c r="BO173" s="242">
        <f t="shared" ca="1" si="126"/>
        <v>2.4577672267260438</v>
      </c>
      <c r="BP173" s="67"/>
      <c r="BQ173" s="67"/>
      <c r="BR173" s="67"/>
      <c r="BS173" s="67"/>
      <c r="BT173" s="67"/>
      <c r="BU173" s="67"/>
      <c r="BV173" s="67"/>
      <c r="BW173" s="67"/>
      <c r="BX173" s="67"/>
      <c r="BY173" s="67"/>
      <c r="BZ173" s="67"/>
      <c r="CA173" s="67"/>
      <c r="CB173" s="67"/>
    </row>
    <row r="174" spans="1:80" ht="12" customHeight="1" x14ac:dyDescent="0.15">
      <c r="A174" s="213">
        <f t="shared" si="127"/>
        <v>168</v>
      </c>
      <c r="B174" s="67">
        <f t="shared" si="128"/>
        <v>672</v>
      </c>
      <c r="C174" s="224">
        <f t="shared" si="129"/>
        <v>155.07692307692309</v>
      </c>
      <c r="D174" s="225">
        <f ca="1">IFERROR(OFFSET(extrapolation!P183,0,OS_dist_choice-1,1,1),0)</f>
        <v>7.6342843023315829E-2</v>
      </c>
      <c r="E174" s="225">
        <f ca="1">IFERROR(OFFSET(extrapolation!D183,0,PFS_dist_choice-1,1,1),0)</f>
        <v>1.587602544424338E-2</v>
      </c>
      <c r="F174" s="214"/>
      <c r="G174" s="226">
        <f t="shared" ca="1" si="130"/>
        <v>15.87602544424338</v>
      </c>
      <c r="H174" s="224">
        <f t="shared" ca="1" si="131"/>
        <v>60.466817579072426</v>
      </c>
      <c r="I174" s="224">
        <f t="shared" ca="1" si="108"/>
        <v>923.65715697668418</v>
      </c>
      <c r="J174" s="227">
        <f t="shared" ca="1" si="109"/>
        <v>1000</v>
      </c>
      <c r="K174" s="238">
        <f t="shared" ca="1" si="132"/>
        <v>0.2816614312441974</v>
      </c>
      <c r="L174" s="239">
        <f t="shared" ca="1" si="133"/>
        <v>0.7232370414963043</v>
      </c>
      <c r="M174" s="238">
        <f t="shared" ca="1" si="134"/>
        <v>16.01685615986548</v>
      </c>
      <c r="N174" s="238">
        <f t="shared" ca="1" si="135"/>
        <v>60.687605384198491</v>
      </c>
      <c r="O174" s="239">
        <f t="shared" ca="1" si="136"/>
        <v>923.29553845593603</v>
      </c>
      <c r="P174" s="217"/>
      <c r="Q174" s="217"/>
      <c r="R174" s="224"/>
      <c r="S174" s="230">
        <f t="shared" ca="1" si="137"/>
        <v>241570.83450414074</v>
      </c>
      <c r="T174" s="231">
        <f t="shared" ca="1" si="138"/>
        <v>1503.9752450951287</v>
      </c>
      <c r="U174" s="231">
        <f t="shared" ca="1" si="139"/>
        <v>2468.122788906524</v>
      </c>
      <c r="V174" s="231"/>
      <c r="W174" s="231">
        <f t="shared" ca="1" si="140"/>
        <v>6031.6917601067817</v>
      </c>
      <c r="X174" s="231">
        <f t="shared" ca="1" si="141"/>
        <v>753.96147001334771</v>
      </c>
      <c r="Y174" s="231"/>
      <c r="Z174" s="232">
        <f t="shared" ca="1" si="110"/>
        <v>252328.58576826251</v>
      </c>
      <c r="AA174" s="231">
        <f t="shared" ca="1" si="111"/>
        <v>192.53329799955984</v>
      </c>
      <c r="AB174" s="231">
        <f t="shared" ca="1" si="142"/>
        <v>15292.3486837901</v>
      </c>
      <c r="AC174" s="231">
        <f t="shared" ca="1" si="143"/>
        <v>82274.332269610823</v>
      </c>
      <c r="AD174" s="231">
        <f t="shared" ca="1" si="144"/>
        <v>2856.7476482503757</v>
      </c>
      <c r="AE174" s="231">
        <f t="shared" ca="1" si="112"/>
        <v>20721.117249806994</v>
      </c>
      <c r="AF174" s="231">
        <f t="shared" ca="1" si="113"/>
        <v>121337.07914945784</v>
      </c>
      <c r="AG174" s="232">
        <f t="shared" ca="1" si="114"/>
        <v>373665.66491772037</v>
      </c>
      <c r="AH174" s="244">
        <f t="shared" ca="1" si="145"/>
        <v>1.2278493428507418</v>
      </c>
      <c r="AI174" s="243">
        <f t="shared" ca="1" si="146"/>
        <v>4.6523010287681252</v>
      </c>
      <c r="AJ174" s="242">
        <f t="shared" ca="1" si="147"/>
        <v>5.8801503716188668</v>
      </c>
      <c r="AK174" s="241">
        <f t="shared" ca="1" si="148"/>
        <v>0.88405152685253408</v>
      </c>
      <c r="AL174" s="243">
        <f t="shared" ca="1" si="149"/>
        <v>2.0609693557442794</v>
      </c>
      <c r="AM174" s="243"/>
      <c r="AN174" s="242">
        <f t="shared" ca="1" si="115"/>
        <v>2.9450208825968134</v>
      </c>
      <c r="AO174" s="224"/>
      <c r="AP174" s="235">
        <f t="shared" si="150"/>
        <v>12.923076923076923</v>
      </c>
      <c r="AQ174" s="235">
        <f t="shared" si="116"/>
        <v>0.68250141741851267</v>
      </c>
      <c r="AR174" s="235">
        <f t="shared" si="117"/>
        <v>0.82497129719240292</v>
      </c>
      <c r="AT174" s="230">
        <f t="shared" ca="1" si="118"/>
        <v>164872.436956049</v>
      </c>
      <c r="AU174" s="231">
        <f t="shared" ca="1" si="119"/>
        <v>1026.4652365397803</v>
      </c>
      <c r="AV174" s="231">
        <f t="shared" ca="1" si="151"/>
        <v>1684.4973017916352</v>
      </c>
      <c r="AW174" s="231"/>
      <c r="AX174" s="231">
        <f t="shared" ca="1" si="152"/>
        <v>4116.6381757044419</v>
      </c>
      <c r="AY174" s="231">
        <f t="shared" ca="1" si="153"/>
        <v>514.57977196305524</v>
      </c>
      <c r="AZ174" s="231"/>
      <c r="BA174" s="232">
        <f t="shared" ca="1" si="120"/>
        <v>172214.61744204789</v>
      </c>
      <c r="BB174" s="231">
        <f t="shared" ca="1" si="121"/>
        <v>131.40424878496049</v>
      </c>
      <c r="BC174" s="231">
        <f t="shared" ca="1" si="154"/>
        <v>10437.049652344869</v>
      </c>
      <c r="BD174" s="231">
        <f t="shared" ca="1" si="155"/>
        <v>56152.348391171065</v>
      </c>
      <c r="BE174" s="231">
        <f t="shared" ca="1" si="156"/>
        <v>1949.7343191378841</v>
      </c>
      <c r="BF174" s="231">
        <f t="shared" ca="1" si="122"/>
        <v>14142.191893488467</v>
      </c>
      <c r="BG174" s="231">
        <f t="shared" ca="1" si="123"/>
        <v>82812.728504927232</v>
      </c>
      <c r="BH174" s="232">
        <f t="shared" ca="1" si="124"/>
        <v>255027.34594697514</v>
      </c>
      <c r="BI174" s="244">
        <f t="shared" ca="1" si="157"/>
        <v>1.012940465128416</v>
      </c>
      <c r="BJ174" s="243">
        <f t="shared" ca="1" si="158"/>
        <v>3.8380148146323907</v>
      </c>
      <c r="BK174" s="242">
        <f t="shared" ca="1" si="159"/>
        <v>4.8509552797608064</v>
      </c>
      <c r="BL174" s="241">
        <f t="shared" ca="1" si="160"/>
        <v>0.72931713489245942</v>
      </c>
      <c r="BM174" s="243">
        <f t="shared" ca="1" si="161"/>
        <v>1.7002405628821491</v>
      </c>
      <c r="BN174" s="243">
        <f t="shared" si="125"/>
        <v>0</v>
      </c>
      <c r="BO174" s="242">
        <f t="shared" ca="1" si="126"/>
        <v>2.4295576977746083</v>
      </c>
      <c r="BP174" s="67"/>
      <c r="BQ174" s="67"/>
      <c r="BR174" s="67"/>
      <c r="BS174" s="67"/>
      <c r="BT174" s="67"/>
      <c r="BU174" s="67"/>
      <c r="BV174" s="67"/>
      <c r="BW174" s="67"/>
      <c r="BX174" s="67"/>
      <c r="BY174" s="67"/>
      <c r="BZ174" s="67"/>
      <c r="CA174" s="67"/>
      <c r="CB174" s="67"/>
    </row>
    <row r="175" spans="1:80" ht="12" customHeight="1" x14ac:dyDescent="0.15">
      <c r="A175" s="213">
        <f t="shared" si="127"/>
        <v>169</v>
      </c>
      <c r="B175" s="67">
        <f t="shared" si="128"/>
        <v>676</v>
      </c>
      <c r="C175" s="224">
        <f t="shared" si="129"/>
        <v>156</v>
      </c>
      <c r="D175" s="225">
        <f ca="1">IFERROR(OFFSET(extrapolation!P184,0,OS_dist_choice-1,1,1),0)</f>
        <v>7.563007409754903E-2</v>
      </c>
      <c r="E175" s="225">
        <f ca="1">IFERROR(OFFSET(extrapolation!D184,0,PFS_dist_choice-1,1,1),0)</f>
        <v>1.5599965512140823E-2</v>
      </c>
      <c r="F175" s="214"/>
      <c r="G175" s="226">
        <f t="shared" ca="1" si="130"/>
        <v>15.599965512140823</v>
      </c>
      <c r="H175" s="224">
        <f t="shared" ca="1" si="131"/>
        <v>60.030108585408243</v>
      </c>
      <c r="I175" s="224">
        <f t="shared" ca="1" si="108"/>
        <v>924.36992590245097</v>
      </c>
      <c r="J175" s="227">
        <f t="shared" ca="1" si="109"/>
        <v>1000</v>
      </c>
      <c r="K175" s="238">
        <f t="shared" ca="1" si="132"/>
        <v>0.27605993210255697</v>
      </c>
      <c r="L175" s="239">
        <f t="shared" ca="1" si="133"/>
        <v>0.71276892576679529</v>
      </c>
      <c r="M175" s="238">
        <f t="shared" ca="1" si="134"/>
        <v>15.737995478192101</v>
      </c>
      <c r="N175" s="238">
        <f t="shared" ca="1" si="135"/>
        <v>60.248463082240335</v>
      </c>
      <c r="O175" s="239">
        <f t="shared" ca="1" si="136"/>
        <v>924.01354143956758</v>
      </c>
      <c r="P175" s="217"/>
      <c r="Q175" s="217"/>
      <c r="R175" s="224"/>
      <c r="S175" s="230">
        <f t="shared" ca="1" si="137"/>
        <v>237370.28516605991</v>
      </c>
      <c r="T175" s="231">
        <f t="shared" ca="1" si="138"/>
        <v>1477.823403407609</v>
      </c>
      <c r="U175" s="231">
        <f t="shared" ca="1" si="139"/>
        <v>2425.151659210504</v>
      </c>
      <c r="V175" s="231"/>
      <c r="W175" s="231">
        <f t="shared" ca="1" si="140"/>
        <v>5926.6772891594937</v>
      </c>
      <c r="X175" s="231">
        <f t="shared" ca="1" si="141"/>
        <v>740.83466114493672</v>
      </c>
      <c r="Y175" s="231"/>
      <c r="Z175" s="232">
        <f t="shared" ca="1" si="110"/>
        <v>247940.77217898247</v>
      </c>
      <c r="AA175" s="231">
        <f t="shared" ca="1" si="111"/>
        <v>188.70432113638856</v>
      </c>
      <c r="AB175" s="231">
        <f t="shared" ca="1" si="142"/>
        <v>15181.691537889679</v>
      </c>
      <c r="AC175" s="231">
        <f t="shared" ca="1" si="143"/>
        <v>81678.985996904623</v>
      </c>
      <c r="AD175" s="231">
        <f t="shared" ca="1" si="144"/>
        <v>2836.0759026702995</v>
      </c>
      <c r="AE175" s="231">
        <f t="shared" ca="1" si="112"/>
        <v>20421.200291783192</v>
      </c>
      <c r="AF175" s="231">
        <f t="shared" ca="1" si="113"/>
        <v>120306.6580503842</v>
      </c>
      <c r="AG175" s="232">
        <f t="shared" ca="1" si="114"/>
        <v>368247.43022936664</v>
      </c>
      <c r="AH175" s="244">
        <f t="shared" ca="1" si="145"/>
        <v>1.2064719326197915</v>
      </c>
      <c r="AI175" s="243">
        <f t="shared" ca="1" si="146"/>
        <v>4.6186364580499095</v>
      </c>
      <c r="AJ175" s="242">
        <f t="shared" ca="1" si="147"/>
        <v>5.8251083906697012</v>
      </c>
      <c r="AK175" s="241">
        <f t="shared" ca="1" si="148"/>
        <v>0.86865979148624983</v>
      </c>
      <c r="AL175" s="243">
        <f t="shared" ca="1" si="149"/>
        <v>2.0460559509161098</v>
      </c>
      <c r="AM175" s="243"/>
      <c r="AN175" s="242">
        <f t="shared" ca="1" si="115"/>
        <v>2.9147157424023598</v>
      </c>
      <c r="AO175" s="224"/>
      <c r="AP175" s="235">
        <f t="shared" si="150"/>
        <v>13</v>
      </c>
      <c r="AQ175" s="235">
        <f t="shared" si="116"/>
        <v>0.68095133999317792</v>
      </c>
      <c r="AR175" s="235">
        <f t="shared" si="117"/>
        <v>0.82402701664571099</v>
      </c>
      <c r="AT175" s="230">
        <f t="shared" ca="1" si="118"/>
        <v>161637.61375839126</v>
      </c>
      <c r="AU175" s="231">
        <f t="shared" ca="1" si="119"/>
        <v>1006.3258268236901</v>
      </c>
      <c r="AV175" s="231">
        <f t="shared" ca="1" si="151"/>
        <v>1651.4102720260714</v>
      </c>
      <c r="AW175" s="231"/>
      <c r="AX175" s="231">
        <f t="shared" ca="1" si="152"/>
        <v>4035.7788417602924</v>
      </c>
      <c r="AY175" s="231">
        <f t="shared" ca="1" si="153"/>
        <v>504.47235522003655</v>
      </c>
      <c r="AZ175" s="231"/>
      <c r="BA175" s="232">
        <f t="shared" ca="1" si="120"/>
        <v>168835.60105422136</v>
      </c>
      <c r="BB175" s="231">
        <f t="shared" ca="1" si="121"/>
        <v>128.49846034032674</v>
      </c>
      <c r="BC175" s="231">
        <f t="shared" ca="1" si="154"/>
        <v>10337.993196089066</v>
      </c>
      <c r="BD175" s="231">
        <f t="shared" ca="1" si="155"/>
        <v>55619.414963876217</v>
      </c>
      <c r="BE175" s="231">
        <f t="shared" ca="1" si="156"/>
        <v>1931.2296862457019</v>
      </c>
      <c r="BF175" s="231">
        <f t="shared" ca="1" si="122"/>
        <v>13905.84370295884</v>
      </c>
      <c r="BG175" s="231">
        <f t="shared" ca="1" si="123"/>
        <v>81922.980009510167</v>
      </c>
      <c r="BH175" s="232">
        <f t="shared" ca="1" si="124"/>
        <v>250758.58106373152</v>
      </c>
      <c r="BI175" s="244">
        <f t="shared" ca="1" si="157"/>
        <v>0.99416546730347199</v>
      </c>
      <c r="BJ175" s="243">
        <f t="shared" ca="1" si="158"/>
        <v>3.8058812214979802</v>
      </c>
      <c r="BK175" s="242">
        <f t="shared" ca="1" si="159"/>
        <v>4.8000466888014524</v>
      </c>
      <c r="BL175" s="241">
        <f t="shared" ca="1" si="160"/>
        <v>0.7157991364584998</v>
      </c>
      <c r="BM175" s="243">
        <f t="shared" ca="1" si="161"/>
        <v>1.6860053811236053</v>
      </c>
      <c r="BN175" s="243">
        <f t="shared" si="125"/>
        <v>0</v>
      </c>
      <c r="BO175" s="242">
        <f t="shared" ca="1" si="126"/>
        <v>2.401804517582105</v>
      </c>
      <c r="BP175" s="67"/>
      <c r="BQ175" s="67"/>
      <c r="BR175" s="67"/>
      <c r="BS175" s="67"/>
      <c r="BT175" s="67"/>
      <c r="BU175" s="67"/>
      <c r="BV175" s="67"/>
      <c r="BW175" s="67"/>
      <c r="BX175" s="67"/>
      <c r="BY175" s="67"/>
      <c r="BZ175" s="67"/>
      <c r="CA175" s="67"/>
      <c r="CB175" s="67"/>
    </row>
    <row r="176" spans="1:80" ht="12" customHeight="1" x14ac:dyDescent="0.15">
      <c r="A176" s="213">
        <f t="shared" si="127"/>
        <v>170</v>
      </c>
      <c r="B176" s="67">
        <f t="shared" si="128"/>
        <v>680</v>
      </c>
      <c r="C176" s="224">
        <f t="shared" si="129"/>
        <v>156.92307692307691</v>
      </c>
      <c r="D176" s="225">
        <f ca="1">IFERROR(OFFSET(extrapolation!P185,0,OS_dist_choice-1,1,1),0)</f>
        <v>7.4927571304195237E-2</v>
      </c>
      <c r="E176" s="225">
        <f ca="1">IFERROR(OFFSET(extrapolation!D185,0,PFS_dist_choice-1,1,1),0)</f>
        <v>1.532938038017484E-2</v>
      </c>
      <c r="F176" s="214"/>
      <c r="G176" s="226">
        <f t="shared" ca="1" si="130"/>
        <v>15.32938038017484</v>
      </c>
      <c r="H176" s="224">
        <f t="shared" ca="1" si="131"/>
        <v>59.5981909240204</v>
      </c>
      <c r="I176" s="224">
        <f t="shared" ca="1" si="108"/>
        <v>925.07242869580477</v>
      </c>
      <c r="J176" s="227">
        <f t="shared" ca="1" si="109"/>
        <v>1000</v>
      </c>
      <c r="K176" s="238">
        <f t="shared" ca="1" si="132"/>
        <v>0.27058513196598355</v>
      </c>
      <c r="L176" s="239">
        <f t="shared" ca="1" si="133"/>
        <v>0.70250279335380128</v>
      </c>
      <c r="M176" s="238">
        <f t="shared" ca="1" si="134"/>
        <v>15.464672946157831</v>
      </c>
      <c r="N176" s="238">
        <f t="shared" ca="1" si="135"/>
        <v>59.814149754714322</v>
      </c>
      <c r="O176" s="239">
        <f t="shared" ca="1" si="136"/>
        <v>924.72117729912793</v>
      </c>
      <c r="P176" s="217"/>
      <c r="Q176" s="217"/>
      <c r="R176" s="224"/>
      <c r="S176" s="230">
        <f t="shared" ca="1" si="137"/>
        <v>233253.04081148267</v>
      </c>
      <c r="T176" s="231">
        <f t="shared" ca="1" si="138"/>
        <v>1452.1902031083994</v>
      </c>
      <c r="U176" s="231">
        <f t="shared" ca="1" si="139"/>
        <v>2383.0339325291729</v>
      </c>
      <c r="V176" s="231"/>
      <c r="W176" s="231">
        <f t="shared" ca="1" si="140"/>
        <v>5823.748396755901</v>
      </c>
      <c r="X176" s="231">
        <f t="shared" ca="1" si="141"/>
        <v>727.96854959448763</v>
      </c>
      <c r="Y176" s="231"/>
      <c r="Z176" s="232">
        <f t="shared" ca="1" si="110"/>
        <v>243639.98189347063</v>
      </c>
      <c r="AA176" s="231">
        <f t="shared" ca="1" si="111"/>
        <v>184.96195100950723</v>
      </c>
      <c r="AB176" s="231">
        <f t="shared" ca="1" si="142"/>
        <v>15072.251219714359</v>
      </c>
      <c r="AC176" s="231">
        <f t="shared" ca="1" si="143"/>
        <v>81090.186376425627</v>
      </c>
      <c r="AD176" s="231">
        <f t="shared" ca="1" si="144"/>
        <v>2815.6314714036671</v>
      </c>
      <c r="AE176" s="231">
        <f t="shared" ca="1" si="112"/>
        <v>20127.070260788674</v>
      </c>
      <c r="AF176" s="231">
        <f t="shared" ca="1" si="113"/>
        <v>119290.10127934183</v>
      </c>
      <c r="AG176" s="232">
        <f t="shared" ca="1" si="114"/>
        <v>362930.08317281248</v>
      </c>
      <c r="AH176" s="244">
        <f t="shared" ca="1" si="145"/>
        <v>1.1855190759546044</v>
      </c>
      <c r="AI176" s="243">
        <f t="shared" ca="1" si="146"/>
        <v>4.5853420756522958</v>
      </c>
      <c r="AJ176" s="242">
        <f t="shared" ca="1" si="147"/>
        <v>5.7708611516069004</v>
      </c>
      <c r="AK176" s="241">
        <f t="shared" ca="1" si="148"/>
        <v>0.85357373468731512</v>
      </c>
      <c r="AL176" s="243">
        <f t="shared" ca="1" si="149"/>
        <v>2.0313065395139671</v>
      </c>
      <c r="AM176" s="243"/>
      <c r="AN176" s="242">
        <f t="shared" ca="1" si="115"/>
        <v>2.884880274201282</v>
      </c>
      <c r="AO176" s="224"/>
      <c r="AP176" s="235">
        <f t="shared" si="150"/>
        <v>13.076923076923077</v>
      </c>
      <c r="AQ176" s="235">
        <f t="shared" si="116"/>
        <v>0.67940478305873542</v>
      </c>
      <c r="AR176" s="235">
        <f t="shared" si="117"/>
        <v>0.82308381694359289</v>
      </c>
      <c r="AT176" s="230">
        <f t="shared" ca="1" si="118"/>
        <v>158473.23159031573</v>
      </c>
      <c r="AU176" s="231">
        <f t="shared" ca="1" si="119"/>
        <v>986.62496990288298</v>
      </c>
      <c r="AV176" s="231">
        <f t="shared" ca="1" si="151"/>
        <v>1619.0446519515879</v>
      </c>
      <c r="AW176" s="231"/>
      <c r="AX176" s="231">
        <f t="shared" ca="1" si="152"/>
        <v>3956.682516086601</v>
      </c>
      <c r="AY176" s="231">
        <f t="shared" ca="1" si="153"/>
        <v>494.58531451082513</v>
      </c>
      <c r="AZ176" s="231"/>
      <c r="BA176" s="232">
        <f t="shared" ca="1" si="120"/>
        <v>165530.16904276764</v>
      </c>
      <c r="BB176" s="231">
        <f t="shared" ca="1" si="121"/>
        <v>125.66403419973472</v>
      </c>
      <c r="BC176" s="231">
        <f t="shared" ca="1" si="154"/>
        <v>10240.159570136795</v>
      </c>
      <c r="BD176" s="231">
        <f t="shared" ca="1" si="155"/>
        <v>55093.060483267873</v>
      </c>
      <c r="BE176" s="231">
        <f t="shared" ca="1" si="156"/>
        <v>1912.9534890023565</v>
      </c>
      <c r="BF176" s="231">
        <f t="shared" ca="1" si="122"/>
        <v>13674.427804139055</v>
      </c>
      <c r="BG176" s="231">
        <f t="shared" ca="1" si="123"/>
        <v>81046.265380745812</v>
      </c>
      <c r="BH176" s="232">
        <f t="shared" ca="1" si="124"/>
        <v>246576.43442351345</v>
      </c>
      <c r="BI176" s="244">
        <f t="shared" ca="1" si="157"/>
        <v>0.97578156609615696</v>
      </c>
      <c r="BJ176" s="243">
        <f t="shared" ca="1" si="158"/>
        <v>3.7741208576199483</v>
      </c>
      <c r="BK176" s="242">
        <f t="shared" ca="1" si="159"/>
        <v>4.7499024237161054</v>
      </c>
      <c r="BL176" s="241">
        <f t="shared" ca="1" si="160"/>
        <v>0.70256272758923299</v>
      </c>
      <c r="BM176" s="243">
        <f t="shared" ca="1" si="161"/>
        <v>1.6719355399256373</v>
      </c>
      <c r="BN176" s="243">
        <f t="shared" si="125"/>
        <v>0</v>
      </c>
      <c r="BO176" s="242">
        <f t="shared" ca="1" si="126"/>
        <v>2.3744982675148703</v>
      </c>
      <c r="BP176" s="67"/>
      <c r="BQ176" s="67"/>
      <c r="BR176" s="67"/>
      <c r="BS176" s="67"/>
      <c r="BT176" s="67"/>
      <c r="BU176" s="67"/>
      <c r="BV176" s="67"/>
      <c r="BW176" s="67"/>
      <c r="BX176" s="67"/>
      <c r="BY176" s="67"/>
      <c r="BZ176" s="67"/>
      <c r="CA176" s="67"/>
      <c r="CB176" s="67"/>
    </row>
    <row r="177" spans="1:80" ht="12" customHeight="1" x14ac:dyDescent="0.15">
      <c r="A177" s="213">
        <f t="shared" si="127"/>
        <v>171</v>
      </c>
      <c r="B177" s="67">
        <f t="shared" si="128"/>
        <v>684</v>
      </c>
      <c r="C177" s="224">
        <f t="shared" si="129"/>
        <v>157.84615384615384</v>
      </c>
      <c r="D177" s="225">
        <f ca="1">IFERROR(OFFSET(extrapolation!P186,0,OS_dist_choice-1,1,1),0)</f>
        <v>7.4235137475867755E-2</v>
      </c>
      <c r="E177" s="225">
        <f ca="1">IFERROR(OFFSET(extrapolation!D186,0,PFS_dist_choice-1,1,1),0)</f>
        <v>1.5064146594469863E-2</v>
      </c>
      <c r="F177" s="214"/>
      <c r="G177" s="226">
        <f t="shared" ca="1" si="130"/>
        <v>15.064146594469863</v>
      </c>
      <c r="H177" s="224">
        <f t="shared" ca="1" si="131"/>
        <v>59.17099088139787</v>
      </c>
      <c r="I177" s="224">
        <f t="shared" ca="1" si="108"/>
        <v>925.76486252413224</v>
      </c>
      <c r="J177" s="227">
        <f t="shared" ca="1" si="109"/>
        <v>1000</v>
      </c>
      <c r="K177" s="238">
        <f t="shared" ca="1" si="132"/>
        <v>0.26523378570497691</v>
      </c>
      <c r="L177" s="239">
        <f t="shared" ca="1" si="133"/>
        <v>0.69243382832746647</v>
      </c>
      <c r="M177" s="238">
        <f t="shared" ca="1" si="134"/>
        <v>15.19676348732235</v>
      </c>
      <c r="N177" s="238">
        <f t="shared" ca="1" si="135"/>
        <v>59.384590902709135</v>
      </c>
      <c r="O177" s="239">
        <f t="shared" ca="1" si="136"/>
        <v>925.41864560996851</v>
      </c>
      <c r="P177" s="217"/>
      <c r="Q177" s="217"/>
      <c r="R177" s="224"/>
      <c r="S177" s="230">
        <f t="shared" ca="1" si="137"/>
        <v>229217.22295666332</v>
      </c>
      <c r="T177" s="231">
        <f t="shared" ca="1" si="138"/>
        <v>1427.0639491058403</v>
      </c>
      <c r="U177" s="231">
        <f t="shared" ca="1" si="139"/>
        <v>2341.7503351667665</v>
      </c>
      <c r="V177" s="231"/>
      <c r="W177" s="231">
        <f t="shared" ca="1" si="140"/>
        <v>5722.8579811097998</v>
      </c>
      <c r="X177" s="231">
        <f t="shared" ca="1" si="141"/>
        <v>715.35724763872497</v>
      </c>
      <c r="Y177" s="231"/>
      <c r="Z177" s="232">
        <f t="shared" ca="1" si="110"/>
        <v>239424.25246968443</v>
      </c>
      <c r="AA177" s="231">
        <f t="shared" ca="1" si="111"/>
        <v>181.30396936886169</v>
      </c>
      <c r="AB177" s="231">
        <f t="shared" ca="1" si="142"/>
        <v>14964.008956677528</v>
      </c>
      <c r="AC177" s="231">
        <f t="shared" ca="1" si="143"/>
        <v>80507.832409820941</v>
      </c>
      <c r="AD177" s="231">
        <f t="shared" ca="1" si="144"/>
        <v>2795.410847563227</v>
      </c>
      <c r="AE177" s="231">
        <f t="shared" ca="1" si="112"/>
        <v>19838.589177929265</v>
      </c>
      <c r="AF177" s="231">
        <f t="shared" ca="1" si="113"/>
        <v>118287.14536135981</v>
      </c>
      <c r="AG177" s="232">
        <f t="shared" ca="1" si="114"/>
        <v>357711.39783104428</v>
      </c>
      <c r="AH177" s="244">
        <f t="shared" ca="1" si="145"/>
        <v>1.1649811845175244</v>
      </c>
      <c r="AI177" s="243">
        <f t="shared" ca="1" si="146"/>
        <v>4.5524121705020004</v>
      </c>
      <c r="AJ177" s="242">
        <f t="shared" ca="1" si="147"/>
        <v>5.7173933550195244</v>
      </c>
      <c r="AK177" s="241">
        <f t="shared" ca="1" si="148"/>
        <v>0.83878645285261755</v>
      </c>
      <c r="AL177" s="243">
        <f t="shared" ca="1" si="149"/>
        <v>2.0167185915323862</v>
      </c>
      <c r="AM177" s="243"/>
      <c r="AN177" s="242">
        <f t="shared" ca="1" si="115"/>
        <v>2.8555050443850036</v>
      </c>
      <c r="AO177" s="224"/>
      <c r="AP177" s="235">
        <f t="shared" si="150"/>
        <v>13.153846153846153</v>
      </c>
      <c r="AQ177" s="235">
        <f t="shared" si="116"/>
        <v>0.67786173861954957</v>
      </c>
      <c r="AR177" s="235">
        <f t="shared" si="117"/>
        <v>0.82214169684889105</v>
      </c>
      <c r="AT177" s="230">
        <f t="shared" ca="1" si="118"/>
        <v>155377.58527494874</v>
      </c>
      <c r="AU177" s="231">
        <f t="shared" ca="1" si="119"/>
        <v>967.35204966216531</v>
      </c>
      <c r="AV177" s="231">
        <f t="shared" ca="1" si="151"/>
        <v>1587.3829536090573</v>
      </c>
      <c r="AW177" s="231"/>
      <c r="AX177" s="231">
        <f t="shared" ca="1" si="152"/>
        <v>3879.3064609478542</v>
      </c>
      <c r="AY177" s="231">
        <f t="shared" ca="1" si="153"/>
        <v>484.91330761848178</v>
      </c>
      <c r="AZ177" s="231"/>
      <c r="BA177" s="232">
        <f t="shared" ca="1" si="120"/>
        <v>162296.54004678628</v>
      </c>
      <c r="BB177" s="231">
        <f t="shared" ca="1" si="121"/>
        <v>122.89902389500214</v>
      </c>
      <c r="BC177" s="231">
        <f t="shared" ca="1" si="154"/>
        <v>10143.529128091941</v>
      </c>
      <c r="BD177" s="231">
        <f t="shared" ca="1" si="155"/>
        <v>54573.179249812543</v>
      </c>
      <c r="BE177" s="231">
        <f t="shared" ca="1" si="156"/>
        <v>1894.9020572851578</v>
      </c>
      <c r="BF177" s="231">
        <f t="shared" ca="1" si="122"/>
        <v>13447.820551910112</v>
      </c>
      <c r="BG177" s="231">
        <f t="shared" ca="1" si="123"/>
        <v>80182.330010994745</v>
      </c>
      <c r="BH177" s="232">
        <f t="shared" ca="1" si="124"/>
        <v>242478.87005778105</v>
      </c>
      <c r="BI177" s="244">
        <f t="shared" ca="1" si="157"/>
        <v>0.95777960783626859</v>
      </c>
      <c r="BJ177" s="243">
        <f t="shared" ca="1" si="158"/>
        <v>3.7427278666120576</v>
      </c>
      <c r="BK177" s="242">
        <f t="shared" ca="1" si="159"/>
        <v>4.700507474448326</v>
      </c>
      <c r="BL177" s="241">
        <f t="shared" ca="1" si="160"/>
        <v>0.6896013176421133</v>
      </c>
      <c r="BM177" s="243">
        <f t="shared" ca="1" si="161"/>
        <v>1.6580284449091416</v>
      </c>
      <c r="BN177" s="243">
        <f t="shared" si="125"/>
        <v>0</v>
      </c>
      <c r="BO177" s="242">
        <f t="shared" ca="1" si="126"/>
        <v>2.347629762551255</v>
      </c>
      <c r="BP177" s="67"/>
      <c r="BQ177" s="67"/>
      <c r="BR177" s="67"/>
      <c r="BS177" s="67"/>
      <c r="BT177" s="67"/>
      <c r="BU177" s="67"/>
      <c r="BV177" s="67"/>
      <c r="BW177" s="67"/>
      <c r="BX177" s="67"/>
      <c r="BY177" s="67"/>
      <c r="BZ177" s="67"/>
      <c r="CA177" s="67"/>
      <c r="CB177" s="67"/>
    </row>
    <row r="178" spans="1:80" ht="12" customHeight="1" x14ac:dyDescent="0.15">
      <c r="A178" s="213">
        <f t="shared" si="127"/>
        <v>172</v>
      </c>
      <c r="B178" s="67">
        <f t="shared" si="128"/>
        <v>688</v>
      </c>
      <c r="C178" s="224">
        <f t="shared" si="129"/>
        <v>158.76923076923077</v>
      </c>
      <c r="D178" s="225">
        <f ca="1">IFERROR(OFFSET(extrapolation!P187,0,OS_dist_choice-1,1,1),0)</f>
        <v>7.3552580125799877E-2</v>
      </c>
      <c r="E178" s="225">
        <f ca="1">IFERROR(OFFSET(extrapolation!D187,0,PFS_dist_choice-1,1,1),0)</f>
        <v>1.4804143852665819E-2</v>
      </c>
      <c r="F178" s="214"/>
      <c r="G178" s="226">
        <f t="shared" ca="1" si="130"/>
        <v>14.804143852665819</v>
      </c>
      <c r="H178" s="224">
        <f t="shared" ca="1" si="131"/>
        <v>58.748436273134075</v>
      </c>
      <c r="I178" s="224">
        <f t="shared" ca="1" si="108"/>
        <v>926.44741987420014</v>
      </c>
      <c r="J178" s="227">
        <f t="shared" ca="1" si="109"/>
        <v>1000</v>
      </c>
      <c r="K178" s="238">
        <f t="shared" ca="1" si="132"/>
        <v>0.26000274180404404</v>
      </c>
      <c r="L178" s="239">
        <f t="shared" ca="1" si="133"/>
        <v>0.68255735006789564</v>
      </c>
      <c r="M178" s="238">
        <f t="shared" ca="1" si="134"/>
        <v>14.934145223567841</v>
      </c>
      <c r="N178" s="238">
        <f t="shared" ca="1" si="135"/>
        <v>58.959713577265973</v>
      </c>
      <c r="O178" s="239">
        <f t="shared" ca="1" si="136"/>
        <v>926.10614119916613</v>
      </c>
      <c r="P178" s="217"/>
      <c r="Q178" s="217"/>
      <c r="R178" s="224"/>
      <c r="S178" s="230">
        <f t="shared" ca="1" si="137"/>
        <v>225261.00107156034</v>
      </c>
      <c r="T178" s="231">
        <f t="shared" ca="1" si="138"/>
        <v>1402.4332448591465</v>
      </c>
      <c r="U178" s="231">
        <f t="shared" ca="1" si="139"/>
        <v>2301.2820862740941</v>
      </c>
      <c r="V178" s="231"/>
      <c r="W178" s="231">
        <f t="shared" ca="1" si="140"/>
        <v>5623.9601448720714</v>
      </c>
      <c r="X178" s="231">
        <f t="shared" ca="1" si="141"/>
        <v>702.99501810900892</v>
      </c>
      <c r="Y178" s="231"/>
      <c r="Z178" s="232">
        <f t="shared" ca="1" si="110"/>
        <v>235291.67156567468</v>
      </c>
      <c r="AA178" s="231">
        <f t="shared" ca="1" si="111"/>
        <v>177.72822195545777</v>
      </c>
      <c r="AB178" s="231">
        <f t="shared" ca="1" si="142"/>
        <v>14856.946366756905</v>
      </c>
      <c r="AC178" s="231">
        <f t="shared" ca="1" si="143"/>
        <v>79931.82520001207</v>
      </c>
      <c r="AD178" s="231">
        <f t="shared" ca="1" si="144"/>
        <v>2775.4105972226412</v>
      </c>
      <c r="AE178" s="231">
        <f t="shared" ca="1" si="112"/>
        <v>19555.622941011512</v>
      </c>
      <c r="AF178" s="231">
        <f t="shared" ca="1" si="113"/>
        <v>117297.5333269586</v>
      </c>
      <c r="AG178" s="232">
        <f t="shared" ca="1" si="114"/>
        <v>352589.20489263325</v>
      </c>
      <c r="AH178" s="244">
        <f t="shared" ca="1" si="145"/>
        <v>1.1448489151537291</v>
      </c>
      <c r="AI178" s="243">
        <f t="shared" ca="1" si="146"/>
        <v>4.519841150344825</v>
      </c>
      <c r="AJ178" s="242">
        <f t="shared" ca="1" si="147"/>
        <v>5.6646900654985544</v>
      </c>
      <c r="AK178" s="241">
        <f t="shared" ca="1" si="148"/>
        <v>0.82429121891068491</v>
      </c>
      <c r="AL178" s="243">
        <f t="shared" ca="1" si="149"/>
        <v>2.0022896296027577</v>
      </c>
      <c r="AM178" s="243"/>
      <c r="AN178" s="242">
        <f t="shared" ca="1" si="115"/>
        <v>2.8265808485134425</v>
      </c>
      <c r="AO178" s="224"/>
      <c r="AP178" s="235">
        <f t="shared" si="150"/>
        <v>13.23076923076923</v>
      </c>
      <c r="AQ178" s="235">
        <f t="shared" si="116"/>
        <v>0.67632219869814258</v>
      </c>
      <c r="AR178" s="235">
        <f t="shared" si="117"/>
        <v>0.8212006551258626</v>
      </c>
      <c r="AT178" s="230">
        <f t="shared" ca="1" si="118"/>
        <v>152349.01552566234</v>
      </c>
      <c r="AU178" s="231">
        <f t="shared" ca="1" si="119"/>
        <v>948.49673569050856</v>
      </c>
      <c r="AV178" s="231">
        <f t="shared" ca="1" si="151"/>
        <v>1556.408160413544</v>
      </c>
      <c r="AW178" s="231"/>
      <c r="AX178" s="231">
        <f t="shared" ca="1" si="152"/>
        <v>3803.6090905706037</v>
      </c>
      <c r="AY178" s="231">
        <f t="shared" ca="1" si="153"/>
        <v>475.45113632132546</v>
      </c>
      <c r="AZ178" s="231"/>
      <c r="BA178" s="232">
        <f t="shared" ca="1" si="120"/>
        <v>159132.98064865833</v>
      </c>
      <c r="BB178" s="231">
        <f t="shared" ca="1" si="121"/>
        <v>120.2015418436267</v>
      </c>
      <c r="BC178" s="231">
        <f t="shared" ca="1" si="154"/>
        <v>10048.082632705411</v>
      </c>
      <c r="BD178" s="231">
        <f t="shared" ca="1" si="155"/>
        <v>54059.667765227765</v>
      </c>
      <c r="BE178" s="231">
        <f t="shared" ca="1" si="156"/>
        <v>1877.0717974037418</v>
      </c>
      <c r="BF178" s="231">
        <f t="shared" ca="1" si="122"/>
        <v>13225.901904376744</v>
      </c>
      <c r="BG178" s="231">
        <f t="shared" ca="1" si="123"/>
        <v>79330.925641557289</v>
      </c>
      <c r="BH178" s="232">
        <f t="shared" ca="1" si="124"/>
        <v>238463.90629021561</v>
      </c>
      <c r="BI178" s="244">
        <f t="shared" ca="1" si="157"/>
        <v>0.94015067914437545</v>
      </c>
      <c r="BJ178" s="243">
        <f t="shared" ca="1" si="158"/>
        <v>3.7116965137280027</v>
      </c>
      <c r="BK178" s="242">
        <f t="shared" ca="1" si="159"/>
        <v>4.6518471928723786</v>
      </c>
      <c r="BL178" s="241">
        <f t="shared" ca="1" si="160"/>
        <v>0.67690848898395028</v>
      </c>
      <c r="BM178" s="243">
        <f t="shared" ca="1" si="161"/>
        <v>1.6442815555815053</v>
      </c>
      <c r="BN178" s="243">
        <f t="shared" si="125"/>
        <v>0</v>
      </c>
      <c r="BO178" s="242">
        <f t="shared" ca="1" si="126"/>
        <v>2.3211900445654554</v>
      </c>
      <c r="BP178" s="67"/>
      <c r="BQ178" s="67"/>
      <c r="BR178" s="67"/>
      <c r="BS178" s="67"/>
      <c r="BT178" s="67"/>
      <c r="BU178" s="67"/>
      <c r="BV178" s="67"/>
      <c r="BW178" s="67"/>
      <c r="BX178" s="67"/>
      <c r="BY178" s="67"/>
      <c r="BZ178" s="67"/>
      <c r="CA178" s="67"/>
      <c r="CB178" s="67"/>
    </row>
    <row r="179" spans="1:80" ht="12" customHeight="1" x14ac:dyDescent="0.15">
      <c r="A179" s="213">
        <f t="shared" si="127"/>
        <v>173</v>
      </c>
      <c r="B179" s="67">
        <f t="shared" si="128"/>
        <v>692</v>
      </c>
      <c r="C179" s="224">
        <f t="shared" si="129"/>
        <v>159.69230769230771</v>
      </c>
      <c r="D179" s="225">
        <f ca="1">IFERROR(OFFSET(extrapolation!P188,0,OS_dist_choice-1,1,1),0)</f>
        <v>7.2879711316867046E-2</v>
      </c>
      <c r="E179" s="225">
        <f ca="1">IFERROR(OFFSET(extrapolation!D188,0,PFS_dist_choice-1,1,1),0)</f>
        <v>1.4549254913328147E-2</v>
      </c>
      <c r="F179" s="214"/>
      <c r="G179" s="226">
        <f t="shared" ca="1" si="130"/>
        <v>14.549254913328147</v>
      </c>
      <c r="H179" s="224">
        <f t="shared" ca="1" si="131"/>
        <v>58.33045640353896</v>
      </c>
      <c r="I179" s="224">
        <f t="shared" ca="1" si="108"/>
        <v>927.12028868313291</v>
      </c>
      <c r="J179" s="227">
        <f t="shared" ca="1" si="109"/>
        <v>1000</v>
      </c>
      <c r="K179" s="238">
        <f t="shared" ca="1" si="132"/>
        <v>0.25488893933767187</v>
      </c>
      <c r="L179" s="239">
        <f t="shared" ca="1" si="133"/>
        <v>0.67286880893277612</v>
      </c>
      <c r="M179" s="238">
        <f t="shared" ca="1" si="134"/>
        <v>14.676699382996983</v>
      </c>
      <c r="N179" s="238">
        <f t="shared" ca="1" si="135"/>
        <v>58.539446338336518</v>
      </c>
      <c r="O179" s="239">
        <f t="shared" ca="1" si="136"/>
        <v>926.78385427866647</v>
      </c>
      <c r="P179" s="217"/>
      <c r="Q179" s="217"/>
      <c r="R179" s="224"/>
      <c r="S179" s="230">
        <f t="shared" ca="1" si="137"/>
        <v>221382.59120141217</v>
      </c>
      <c r="T179" s="231">
        <f t="shared" ca="1" si="138"/>
        <v>1378.286983796595</v>
      </c>
      <c r="U179" s="231">
        <f t="shared" ca="1" si="139"/>
        <v>2261.6108836560475</v>
      </c>
      <c r="V179" s="231"/>
      <c r="W179" s="231">
        <f t="shared" ca="1" si="140"/>
        <v>5527.0101604465362</v>
      </c>
      <c r="X179" s="231">
        <f t="shared" ca="1" si="141"/>
        <v>690.87627005581703</v>
      </c>
      <c r="Y179" s="231"/>
      <c r="Z179" s="232">
        <f t="shared" ca="1" si="110"/>
        <v>231240.37549936719</v>
      </c>
      <c r="AA179" s="231">
        <f t="shared" ca="1" si="111"/>
        <v>174.23261643424851</v>
      </c>
      <c r="AB179" s="231">
        <f t="shared" ca="1" si="142"/>
        <v>14751.045448152587</v>
      </c>
      <c r="AC179" s="231">
        <f t="shared" ca="1" si="143"/>
        <v>79362.067895554035</v>
      </c>
      <c r="AD179" s="231">
        <f t="shared" ca="1" si="144"/>
        <v>2755.627357484515</v>
      </c>
      <c r="AE179" s="231">
        <f t="shared" ca="1" si="112"/>
        <v>19278.041200417803</v>
      </c>
      <c r="AF179" s="231">
        <f t="shared" ca="1" si="113"/>
        <v>116321.01451804319</v>
      </c>
      <c r="AG179" s="232">
        <f t="shared" ca="1" si="114"/>
        <v>347561.39001741039</v>
      </c>
      <c r="AH179" s="244">
        <f t="shared" ca="1" si="145"/>
        <v>1.1251131628307063</v>
      </c>
      <c r="AI179" s="243">
        <f t="shared" ca="1" si="146"/>
        <v>4.4876235385993768</v>
      </c>
      <c r="AJ179" s="242">
        <f t="shared" ca="1" si="147"/>
        <v>5.6127367014300829</v>
      </c>
      <c r="AK179" s="241">
        <f t="shared" ca="1" si="148"/>
        <v>0.81008147723810853</v>
      </c>
      <c r="AL179" s="243">
        <f t="shared" ca="1" si="149"/>
        <v>1.988017227599524</v>
      </c>
      <c r="AM179" s="243"/>
      <c r="AN179" s="242">
        <f t="shared" ca="1" si="115"/>
        <v>2.7980987048376327</v>
      </c>
      <c r="AO179" s="224"/>
      <c r="AP179" s="235">
        <f t="shared" si="150"/>
        <v>13.307692307692308</v>
      </c>
      <c r="AQ179" s="235">
        <f t="shared" si="116"/>
        <v>0.6747861553351554</v>
      </c>
      <c r="AR179" s="235">
        <f t="shared" si="117"/>
        <v>0.82026069054017881</v>
      </c>
      <c r="AT179" s="230">
        <f t="shared" ca="1" si="118"/>
        <v>149385.90757493532</v>
      </c>
      <c r="AU179" s="231">
        <f t="shared" ca="1" si="119"/>
        <v>930.04897474459199</v>
      </c>
      <c r="AV179" s="231">
        <f t="shared" ca="1" si="151"/>
        <v>1526.1037130464076</v>
      </c>
      <c r="AW179" s="231"/>
      <c r="AX179" s="231">
        <f t="shared" ca="1" si="152"/>
        <v>3729.5499366660588</v>
      </c>
      <c r="AY179" s="231">
        <f t="shared" ca="1" si="153"/>
        <v>466.19374208325735</v>
      </c>
      <c r="AZ179" s="231"/>
      <c r="BA179" s="232">
        <f t="shared" ca="1" si="120"/>
        <v>156037.80394147566</v>
      </c>
      <c r="BB179" s="231">
        <f t="shared" ca="1" si="121"/>
        <v>117.56975737765137</v>
      </c>
      <c r="BC179" s="231">
        <f t="shared" ca="1" si="154"/>
        <v>9953.8012451330287</v>
      </c>
      <c r="BD179" s="231">
        <f t="shared" ca="1" si="155"/>
        <v>53552.424674688475</v>
      </c>
      <c r="BE179" s="231">
        <f t="shared" ca="1" si="156"/>
        <v>1859.4591900933497</v>
      </c>
      <c r="BF179" s="231">
        <f t="shared" ca="1" si="122"/>
        <v>13008.555304022653</v>
      </c>
      <c r="BG179" s="231">
        <f t="shared" ca="1" si="123"/>
        <v>78491.810171315155</v>
      </c>
      <c r="BH179" s="232">
        <f t="shared" ca="1" si="124"/>
        <v>234529.61411279082</v>
      </c>
      <c r="BI179" s="244">
        <f t="shared" ca="1" si="157"/>
        <v>0.92288609987935977</v>
      </c>
      <c r="BJ179" s="243">
        <f t="shared" ca="1" si="158"/>
        <v>3.6810211826558854</v>
      </c>
      <c r="BK179" s="242">
        <f t="shared" ca="1" si="159"/>
        <v>4.6039072825352454</v>
      </c>
      <c r="BL179" s="241">
        <f t="shared" ca="1" si="160"/>
        <v>0.66447799191313905</v>
      </c>
      <c r="BM179" s="243">
        <f t="shared" ca="1" si="161"/>
        <v>1.6306923839165575</v>
      </c>
      <c r="BN179" s="243">
        <f t="shared" si="125"/>
        <v>0</v>
      </c>
      <c r="BO179" s="242">
        <f t="shared" ca="1" si="126"/>
        <v>2.2951703758296964</v>
      </c>
      <c r="BP179" s="67"/>
      <c r="BQ179" s="67"/>
      <c r="BR179" s="67"/>
      <c r="BS179" s="67"/>
      <c r="BT179" s="67"/>
      <c r="BU179" s="67"/>
      <c r="BV179" s="67"/>
      <c r="BW179" s="67"/>
      <c r="BX179" s="67"/>
      <c r="BY179" s="67"/>
      <c r="BZ179" s="67"/>
      <c r="CA179" s="67"/>
      <c r="CB179" s="67"/>
    </row>
    <row r="180" spans="1:80" ht="12" customHeight="1" x14ac:dyDescent="0.15">
      <c r="A180" s="213">
        <f t="shared" si="127"/>
        <v>174</v>
      </c>
      <c r="B180" s="67">
        <f t="shared" si="128"/>
        <v>696</v>
      </c>
      <c r="C180" s="224">
        <f t="shared" si="129"/>
        <v>160.61538461538461</v>
      </c>
      <c r="D180" s="225">
        <f ca="1">IFERROR(OFFSET(extrapolation!P189,0,OS_dist_choice-1,1,1),0)</f>
        <v>7.2216347534785272E-2</v>
      </c>
      <c r="E180" s="225">
        <f ca="1">IFERROR(OFFSET(extrapolation!D189,0,PFS_dist_choice-1,1,1),0)</f>
        <v>1.4299365508270823E-2</v>
      </c>
      <c r="F180" s="214"/>
      <c r="G180" s="226">
        <f t="shared" ca="1" si="130"/>
        <v>14.299365508270823</v>
      </c>
      <c r="H180" s="224">
        <f t="shared" ca="1" si="131"/>
        <v>57.916982026514347</v>
      </c>
      <c r="I180" s="224">
        <f t="shared" ca="1" si="108"/>
        <v>927.7836524652148</v>
      </c>
      <c r="J180" s="227">
        <f t="shared" ca="1" si="109"/>
        <v>1000</v>
      </c>
      <c r="K180" s="238">
        <f t="shared" ca="1" si="132"/>
        <v>0.24988940505732415</v>
      </c>
      <c r="L180" s="239">
        <f t="shared" ca="1" si="133"/>
        <v>0.66336378208188762</v>
      </c>
      <c r="M180" s="238">
        <f t="shared" ca="1" si="134"/>
        <v>14.424310210799485</v>
      </c>
      <c r="N180" s="238">
        <f t="shared" ca="1" si="135"/>
        <v>58.123719215026654</v>
      </c>
      <c r="O180" s="239">
        <f t="shared" ca="1" si="136"/>
        <v>927.45197057417386</v>
      </c>
      <c r="P180" s="217"/>
      <c r="Q180" s="217"/>
      <c r="R180" s="224"/>
      <c r="S180" s="230">
        <f t="shared" ca="1" si="137"/>
        <v>217580.25463263769</v>
      </c>
      <c r="T180" s="231">
        <f t="shared" ca="1" si="138"/>
        <v>1354.6143410096663</v>
      </c>
      <c r="U180" s="231">
        <f t="shared" ca="1" si="139"/>
        <v>2222.71889003655</v>
      </c>
      <c r="V180" s="231"/>
      <c r="W180" s="231">
        <f t="shared" ca="1" si="140"/>
        <v>5431.9644364237129</v>
      </c>
      <c r="X180" s="231">
        <f t="shared" ca="1" si="141"/>
        <v>678.99555455296411</v>
      </c>
      <c r="Y180" s="231"/>
      <c r="Z180" s="232">
        <f t="shared" ca="1" si="110"/>
        <v>227268.54785466057</v>
      </c>
      <c r="AA180" s="231">
        <f t="shared" ca="1" si="111"/>
        <v>170.81512040291344</v>
      </c>
      <c r="AB180" s="231">
        <f t="shared" ca="1" si="142"/>
        <v>14646.288569269065</v>
      </c>
      <c r="AC180" s="231">
        <f t="shared" ca="1" si="143"/>
        <v>78798.465636737761</v>
      </c>
      <c r="AD180" s="231">
        <f t="shared" ca="1" si="144"/>
        <v>2736.0578346089496</v>
      </c>
      <c r="AE180" s="231">
        <f t="shared" ca="1" si="112"/>
        <v>19005.717239476387</v>
      </c>
      <c r="AF180" s="231">
        <f t="shared" ca="1" si="113"/>
        <v>115357.34440049507</v>
      </c>
      <c r="AG180" s="232">
        <f t="shared" ca="1" si="114"/>
        <v>342625.89225515566</v>
      </c>
      <c r="AH180" s="244">
        <f t="shared" ca="1" si="145"/>
        <v>1.1057650538052992</v>
      </c>
      <c r="AI180" s="243">
        <f t="shared" ca="1" si="146"/>
        <v>4.4557539713093668</v>
      </c>
      <c r="AJ180" s="242">
        <f t="shared" ca="1" si="147"/>
        <v>5.5615190251146664</v>
      </c>
      <c r="AK180" s="241">
        <f t="shared" ca="1" si="148"/>
        <v>0.7961508387398154</v>
      </c>
      <c r="AL180" s="243">
        <f t="shared" ca="1" si="149"/>
        <v>1.9738990092900495</v>
      </c>
      <c r="AM180" s="243"/>
      <c r="AN180" s="242">
        <f t="shared" ca="1" si="115"/>
        <v>2.7700498480298648</v>
      </c>
      <c r="AO180" s="224"/>
      <c r="AP180" s="235">
        <f t="shared" si="150"/>
        <v>13.384615384615385</v>
      </c>
      <c r="AQ180" s="235">
        <f t="shared" si="116"/>
        <v>0.67325360058930594</v>
      </c>
      <c r="AR180" s="235">
        <f t="shared" si="117"/>
        <v>0.81932180185892467</v>
      </c>
      <c r="AT180" s="230">
        <f t="shared" ca="1" si="118"/>
        <v>146486.68984856133</v>
      </c>
      <c r="AU180" s="231">
        <f t="shared" ca="1" si="119"/>
        <v>911.99898249466776</v>
      </c>
      <c r="AV180" s="231">
        <f t="shared" ca="1" si="151"/>
        <v>1496.4534958149729</v>
      </c>
      <c r="AW180" s="231"/>
      <c r="AX180" s="231">
        <f t="shared" ca="1" si="152"/>
        <v>3657.0896150953249</v>
      </c>
      <c r="AY180" s="231">
        <f t="shared" ca="1" si="153"/>
        <v>457.13620188691561</v>
      </c>
      <c r="AZ180" s="231"/>
      <c r="BA180" s="232">
        <f t="shared" ca="1" si="120"/>
        <v>153009.36814385321</v>
      </c>
      <c r="BB180" s="231">
        <f t="shared" ca="1" si="121"/>
        <v>115.00189484635729</v>
      </c>
      <c r="BC180" s="231">
        <f t="shared" ca="1" si="154"/>
        <v>9860.6665145303923</v>
      </c>
      <c r="BD180" s="231">
        <f t="shared" ca="1" si="155"/>
        <v>53051.350710846396</v>
      </c>
      <c r="BE180" s="231">
        <f t="shared" ca="1" si="156"/>
        <v>1842.0607885710551</v>
      </c>
      <c r="BF180" s="231">
        <f t="shared" ca="1" si="122"/>
        <v>12795.667563259722</v>
      </c>
      <c r="BG180" s="231">
        <f t="shared" ca="1" si="123"/>
        <v>77664.747472053918</v>
      </c>
      <c r="BH180" s="232">
        <f t="shared" ca="1" si="124"/>
        <v>230674.11561590715</v>
      </c>
      <c r="BI180" s="244">
        <f t="shared" ca="1" si="157"/>
        <v>0.90597741631638851</v>
      </c>
      <c r="BJ180" s="243">
        <f t="shared" ca="1" si="158"/>
        <v>3.65069637241325</v>
      </c>
      <c r="BK180" s="242">
        <f t="shared" ca="1" si="159"/>
        <v>4.5566737887296389</v>
      </c>
      <c r="BL180" s="241">
        <f t="shared" ca="1" si="160"/>
        <v>0.65230373974779976</v>
      </c>
      <c r="BM180" s="243">
        <f t="shared" ca="1" si="161"/>
        <v>1.6172584929790697</v>
      </c>
      <c r="BN180" s="243">
        <f t="shared" si="125"/>
        <v>0</v>
      </c>
      <c r="BO180" s="242">
        <f t="shared" ca="1" si="126"/>
        <v>2.2695622327268694</v>
      </c>
      <c r="BP180" s="67"/>
      <c r="BQ180" s="67"/>
      <c r="BR180" s="67"/>
      <c r="BS180" s="67"/>
      <c r="BT180" s="67"/>
      <c r="BU180" s="67"/>
      <c r="BV180" s="67"/>
      <c r="BW180" s="67"/>
      <c r="BX180" s="67"/>
      <c r="BY180" s="67"/>
      <c r="BZ180" s="67"/>
      <c r="CA180" s="67"/>
      <c r="CB180" s="67"/>
    </row>
    <row r="181" spans="1:80" ht="12" customHeight="1" x14ac:dyDescent="0.15">
      <c r="A181" s="213">
        <f t="shared" si="127"/>
        <v>175</v>
      </c>
      <c r="B181" s="67">
        <f t="shared" si="128"/>
        <v>700</v>
      </c>
      <c r="C181" s="224">
        <f t="shared" si="129"/>
        <v>161.53846153846155</v>
      </c>
      <c r="D181" s="225">
        <f ca="1">IFERROR(OFFSET(extrapolation!P190,0,OS_dist_choice-1,1,1),0)</f>
        <v>7.156230956534082E-2</v>
      </c>
      <c r="E181" s="225">
        <f ca="1">IFERROR(OFFSET(extrapolation!D190,0,PFS_dist_choice-1,1,1),0)</f>
        <v>1.4054364257691243E-2</v>
      </c>
      <c r="F181" s="214"/>
      <c r="G181" s="226">
        <f t="shared" ca="1" si="130"/>
        <v>14.054364257691244</v>
      </c>
      <c r="H181" s="224">
        <f t="shared" ca="1" si="131"/>
        <v>57.507945307649607</v>
      </c>
      <c r="I181" s="224">
        <f t="shared" ca="1" si="108"/>
        <v>928.4376904346592</v>
      </c>
      <c r="J181" s="227">
        <f t="shared" ca="1" si="109"/>
        <v>1000</v>
      </c>
      <c r="K181" s="238">
        <f t="shared" ca="1" si="132"/>
        <v>0.24500125057957867</v>
      </c>
      <c r="L181" s="239">
        <f t="shared" ca="1" si="133"/>
        <v>0.65403796944440273</v>
      </c>
      <c r="M181" s="238">
        <f t="shared" ca="1" si="134"/>
        <v>14.176864882981032</v>
      </c>
      <c r="N181" s="238">
        <f t="shared" ca="1" si="135"/>
        <v>57.712463667081977</v>
      </c>
      <c r="O181" s="239">
        <f t="shared" ca="1" si="136"/>
        <v>928.11067144993694</v>
      </c>
      <c r="P181" s="217"/>
      <c r="Q181" s="217"/>
      <c r="R181" s="224"/>
      <c r="S181" s="230">
        <f t="shared" ca="1" si="137"/>
        <v>213852.29660152181</v>
      </c>
      <c r="T181" s="231">
        <f t="shared" ca="1" si="138"/>
        <v>1331.4047652135628</v>
      </c>
      <c r="U181" s="231">
        <f t="shared" ca="1" si="139"/>
        <v>2184.5887197645898</v>
      </c>
      <c r="V181" s="231"/>
      <c r="W181" s="231">
        <f t="shared" ca="1" si="140"/>
        <v>5338.7804850925295</v>
      </c>
      <c r="X181" s="231">
        <f t="shared" ca="1" si="141"/>
        <v>667.34756063656619</v>
      </c>
      <c r="Y181" s="231"/>
      <c r="Z181" s="232">
        <f t="shared" ca="1" si="110"/>
        <v>223374.41813222901</v>
      </c>
      <c r="AA181" s="231">
        <f t="shared" ca="1" si="111"/>
        <v>167.47375946977346</v>
      </c>
      <c r="AB181" s="231">
        <f t="shared" ca="1" si="142"/>
        <v>14542.658459010165</v>
      </c>
      <c r="AC181" s="231">
        <f t="shared" ca="1" si="143"/>
        <v>78240.925503375838</v>
      </c>
      <c r="AD181" s="231">
        <f t="shared" ca="1" si="144"/>
        <v>2716.6988022005498</v>
      </c>
      <c r="AE181" s="231">
        <f t="shared" ca="1" si="112"/>
        <v>18738.527858922454</v>
      </c>
      <c r="AF181" s="231">
        <f t="shared" ca="1" si="113"/>
        <v>114406.28438297877</v>
      </c>
      <c r="AG181" s="232">
        <f t="shared" ca="1" si="114"/>
        <v>337780.70251520781</v>
      </c>
      <c r="AH181" s="244">
        <f t="shared" ca="1" si="145"/>
        <v>1.0867959390101818</v>
      </c>
      <c r="AI181" s="243">
        <f t="shared" ca="1" si="146"/>
        <v>4.4242271941910891</v>
      </c>
      <c r="AJ181" s="242">
        <f t="shared" ca="1" si="147"/>
        <v>5.5110231332012711</v>
      </c>
      <c r="AK181" s="241">
        <f t="shared" ca="1" si="148"/>
        <v>0.78249307608733087</v>
      </c>
      <c r="AL181" s="243">
        <f t="shared" ca="1" si="149"/>
        <v>1.9599326470266525</v>
      </c>
      <c r="AM181" s="243"/>
      <c r="AN181" s="242">
        <f t="shared" ca="1" si="115"/>
        <v>2.7424257231139832</v>
      </c>
      <c r="AO181" s="224"/>
      <c r="AP181" s="235">
        <f t="shared" si="150"/>
        <v>13.461538461538462</v>
      </c>
      <c r="AQ181" s="235">
        <f t="shared" si="116"/>
        <v>0.67172452653734804</v>
      </c>
      <c r="AR181" s="235">
        <f t="shared" si="117"/>
        <v>0.81838398785059574</v>
      </c>
      <c r="AT181" s="230">
        <f t="shared" ca="1" si="118"/>
        <v>143649.83268358177</v>
      </c>
      <c r="AU181" s="231">
        <f t="shared" ca="1" si="119"/>
        <v>894.33723554264952</v>
      </c>
      <c r="AV181" s="231">
        <f t="shared" ca="1" si="151"/>
        <v>1467.4418234627003</v>
      </c>
      <c r="AW181" s="231"/>
      <c r="AX181" s="231">
        <f t="shared" ca="1" si="152"/>
        <v>3586.1897936356127</v>
      </c>
      <c r="AY181" s="231">
        <f t="shared" ca="1" si="153"/>
        <v>448.27372420445158</v>
      </c>
      <c r="AZ181" s="231"/>
      <c r="BA181" s="232">
        <f t="shared" ca="1" si="120"/>
        <v>150046.07526042714</v>
      </c>
      <c r="BB181" s="231">
        <f t="shared" ca="1" si="121"/>
        <v>112.49623178726328</v>
      </c>
      <c r="BC181" s="231">
        <f t="shared" ca="1" si="154"/>
        <v>9768.6603679729633</v>
      </c>
      <c r="BD181" s="231">
        <f t="shared" ca="1" si="155"/>
        <v>52556.348639599055</v>
      </c>
      <c r="BE181" s="231">
        <f t="shared" ca="1" si="156"/>
        <v>1824.873216652745</v>
      </c>
      <c r="BF181" s="231">
        <f t="shared" ca="1" si="122"/>
        <v>12587.128754041592</v>
      </c>
      <c r="BG181" s="231">
        <f t="shared" ca="1" si="123"/>
        <v>76849.50721005362</v>
      </c>
      <c r="BH181" s="232">
        <f t="shared" ca="1" si="124"/>
        <v>226895.58247048079</v>
      </c>
      <c r="BI181" s="244">
        <f t="shared" ca="1" si="157"/>
        <v>0.8894163945469854</v>
      </c>
      <c r="BJ181" s="243">
        <f t="shared" ca="1" si="158"/>
        <v>3.6207166943391558</v>
      </c>
      <c r="BK181" s="242">
        <f t="shared" ca="1" si="159"/>
        <v>4.5101330888861408</v>
      </c>
      <c r="BL181" s="241">
        <f t="shared" ca="1" si="160"/>
        <v>0.64037980407382944</v>
      </c>
      <c r="BM181" s="243">
        <f t="shared" ca="1" si="161"/>
        <v>1.6039774955922459</v>
      </c>
      <c r="BN181" s="243">
        <f t="shared" si="125"/>
        <v>0</v>
      </c>
      <c r="BO181" s="242">
        <f t="shared" ca="1" si="126"/>
        <v>2.2443572996660754</v>
      </c>
      <c r="BP181" s="67"/>
      <c r="BQ181" s="67"/>
      <c r="BR181" s="67"/>
      <c r="BS181" s="67"/>
      <c r="BT181" s="67"/>
      <c r="BU181" s="67"/>
      <c r="BV181" s="67"/>
      <c r="BW181" s="67"/>
      <c r="BX181" s="67"/>
      <c r="BY181" s="67"/>
      <c r="BZ181" s="67"/>
      <c r="CA181" s="67"/>
      <c r="CB181" s="67"/>
    </row>
    <row r="182" spans="1:80" ht="12" customHeight="1" x14ac:dyDescent="0.15">
      <c r="A182" s="213">
        <f t="shared" si="127"/>
        <v>176</v>
      </c>
      <c r="B182" s="67">
        <f t="shared" si="128"/>
        <v>704</v>
      </c>
      <c r="C182" s="224">
        <f t="shared" si="129"/>
        <v>162.46153846153845</v>
      </c>
      <c r="D182" s="225">
        <f ca="1">IFERROR(OFFSET(extrapolation!P191,0,OS_dist_choice-1,1,1),0)</f>
        <v>7.0917422375505926E-2</v>
      </c>
      <c r="E182" s="225">
        <f ca="1">IFERROR(OFFSET(extrapolation!D191,0,PFS_dist_choice-1,1,1),0)</f>
        <v>1.3814142588014278E-2</v>
      </c>
      <c r="F182" s="214"/>
      <c r="G182" s="226">
        <f t="shared" ca="1" si="130"/>
        <v>13.814142588014278</v>
      </c>
      <c r="H182" s="224">
        <f t="shared" ca="1" si="131"/>
        <v>57.103279787491601</v>
      </c>
      <c r="I182" s="224">
        <f t="shared" ca="1" si="108"/>
        <v>929.08257762449409</v>
      </c>
      <c r="J182" s="227">
        <f t="shared" ca="1" si="109"/>
        <v>1000</v>
      </c>
      <c r="K182" s="238">
        <f t="shared" ca="1" si="132"/>
        <v>0.24022166967696634</v>
      </c>
      <c r="L182" s="239">
        <f t="shared" ca="1" si="133"/>
        <v>0.6448871898348898</v>
      </c>
      <c r="M182" s="238">
        <f t="shared" ca="1" si="134"/>
        <v>13.934253422852761</v>
      </c>
      <c r="N182" s="238">
        <f t="shared" ca="1" si="135"/>
        <v>57.305612547570604</v>
      </c>
      <c r="O182" s="239">
        <f t="shared" ca="1" si="136"/>
        <v>928.76013402957665</v>
      </c>
      <c r="P182" s="217"/>
      <c r="Q182" s="217"/>
      <c r="R182" s="224"/>
      <c r="S182" s="230">
        <f t="shared" ca="1" si="137"/>
        <v>210197.06504412441</v>
      </c>
      <c r="T182" s="231">
        <f t="shared" ca="1" si="138"/>
        <v>1308.6479709643711</v>
      </c>
      <c r="U182" s="231">
        <f t="shared" ca="1" si="139"/>
        <v>2147.2034259456368</v>
      </c>
      <c r="V182" s="231"/>
      <c r="W182" s="231">
        <f t="shared" ca="1" si="140"/>
        <v>5247.4168909915843</v>
      </c>
      <c r="X182" s="231">
        <f t="shared" ca="1" si="141"/>
        <v>655.92711137394804</v>
      </c>
      <c r="Y182" s="231"/>
      <c r="Z182" s="232">
        <f t="shared" ca="1" si="110"/>
        <v>219556.26044339995</v>
      </c>
      <c r="AA182" s="231">
        <f t="shared" ca="1" si="111"/>
        <v>164.20661540190909</v>
      </c>
      <c r="AB182" s="231">
        <f t="shared" ca="1" si="142"/>
        <v>14440.138197375682</v>
      </c>
      <c r="AC182" s="231">
        <f t="shared" ca="1" si="143"/>
        <v>77689.356464211596</v>
      </c>
      <c r="AD182" s="231">
        <f t="shared" ca="1" si="144"/>
        <v>2697.5470994517909</v>
      </c>
      <c r="AE182" s="231">
        <f t="shared" ca="1" si="112"/>
        <v>18476.353265619589</v>
      </c>
      <c r="AF182" s="231">
        <f t="shared" ca="1" si="113"/>
        <v>113467.60164206057</v>
      </c>
      <c r="AG182" s="232">
        <f t="shared" ca="1" si="114"/>
        <v>333023.86208546051</v>
      </c>
      <c r="AH182" s="244">
        <f t="shared" ca="1" si="145"/>
        <v>1.068197387651957</v>
      </c>
      <c r="AI182" s="243">
        <f t="shared" ca="1" si="146"/>
        <v>4.393038059772695</v>
      </c>
      <c r="AJ182" s="242">
        <f t="shared" ca="1" si="147"/>
        <v>5.4612354474246523</v>
      </c>
      <c r="AK182" s="241">
        <f t="shared" ca="1" si="148"/>
        <v>0.76910211910940907</v>
      </c>
      <c r="AL182" s="243">
        <f t="shared" ca="1" si="149"/>
        <v>1.9461158604793038</v>
      </c>
      <c r="AM182" s="243"/>
      <c r="AN182" s="242">
        <f t="shared" ca="1" si="115"/>
        <v>2.7152179795887128</v>
      </c>
      <c r="AO182" s="224"/>
      <c r="AP182" s="235">
        <f t="shared" si="150"/>
        <v>13.538461538461538</v>
      </c>
      <c r="AQ182" s="235">
        <f t="shared" si="116"/>
        <v>0.6701989252740308</v>
      </c>
      <c r="AR182" s="235">
        <f t="shared" si="117"/>
        <v>0.81744724728509743</v>
      </c>
      <c r="AT182" s="230">
        <f t="shared" ca="1" si="118"/>
        <v>140873.84708832772</v>
      </c>
      <c r="AU182" s="231">
        <f t="shared" ca="1" si="119"/>
        <v>877.05446370236257</v>
      </c>
      <c r="AV182" s="231">
        <f t="shared" ca="1" si="151"/>
        <v>1439.0534284134828</v>
      </c>
      <c r="AW182" s="231"/>
      <c r="AX182" s="231">
        <f t="shared" ca="1" si="152"/>
        <v>3516.8131608073559</v>
      </c>
      <c r="AY182" s="231">
        <f t="shared" ca="1" si="153"/>
        <v>439.60164510091948</v>
      </c>
      <c r="AZ182" s="231"/>
      <c r="BA182" s="232">
        <f t="shared" ca="1" si="120"/>
        <v>147146.36978635186</v>
      </c>
      <c r="BB182" s="231">
        <f t="shared" ca="1" si="121"/>
        <v>110.05109716524558</v>
      </c>
      <c r="BC182" s="231">
        <f t="shared" ca="1" si="154"/>
        <v>9677.7651006896631</v>
      </c>
      <c r="BD182" s="231">
        <f t="shared" ca="1" si="155"/>
        <v>52067.323207545691</v>
      </c>
      <c r="BE182" s="231">
        <f t="shared" ca="1" si="156"/>
        <v>1807.8931669286694</v>
      </c>
      <c r="BF182" s="231">
        <f t="shared" ca="1" si="122"/>
        <v>12382.832101601578</v>
      </c>
      <c r="BG182" s="231">
        <f t="shared" ca="1" si="123"/>
        <v>76045.864673930846</v>
      </c>
      <c r="BH182" s="232">
        <f t="shared" ca="1" si="124"/>
        <v>223192.23446028269</v>
      </c>
      <c r="BI182" s="244">
        <f t="shared" ca="1" si="157"/>
        <v>0.87319501409322442</v>
      </c>
      <c r="BJ182" s="243">
        <f t="shared" ca="1" si="158"/>
        <v>3.5910768691798549</v>
      </c>
      <c r="BK182" s="242">
        <f t="shared" ca="1" si="159"/>
        <v>4.4642718832730797</v>
      </c>
      <c r="BL182" s="241">
        <f t="shared" ca="1" si="160"/>
        <v>0.62870041014712152</v>
      </c>
      <c r="BM182" s="243">
        <f t="shared" ca="1" si="161"/>
        <v>1.5908470530466756</v>
      </c>
      <c r="BN182" s="243">
        <f t="shared" si="125"/>
        <v>0</v>
      </c>
      <c r="BO182" s="242">
        <f t="shared" ca="1" si="126"/>
        <v>2.219547463193797</v>
      </c>
      <c r="BP182" s="67"/>
      <c r="BQ182" s="67"/>
      <c r="BR182" s="67"/>
      <c r="BS182" s="67"/>
      <c r="BT182" s="67"/>
      <c r="BU182" s="67"/>
      <c r="BV182" s="67"/>
      <c r="BW182" s="67"/>
      <c r="BX182" s="67"/>
      <c r="BY182" s="67"/>
      <c r="BZ182" s="67"/>
      <c r="CA182" s="67"/>
      <c r="CB182" s="67"/>
    </row>
    <row r="183" spans="1:80" ht="12" customHeight="1" x14ac:dyDescent="0.15">
      <c r="A183" s="213">
        <f t="shared" si="127"/>
        <v>177</v>
      </c>
      <c r="B183" s="67">
        <f t="shared" si="128"/>
        <v>708</v>
      </c>
      <c r="C183" s="224">
        <f t="shared" si="129"/>
        <v>163.38461538461539</v>
      </c>
      <c r="D183" s="225">
        <f ca="1">IFERROR(OFFSET(extrapolation!P192,0,OS_dist_choice-1,1,1),0)</f>
        <v>7.0281514998305664E-2</v>
      </c>
      <c r="E183" s="225">
        <f ca="1">IFERROR(OFFSET(extrapolation!D192,0,PFS_dist_choice-1,1,1),0)</f>
        <v>1.3578594652350007E-2</v>
      </c>
      <c r="F183" s="214"/>
      <c r="G183" s="226">
        <f t="shared" ca="1" si="130"/>
        <v>13.578594652350006</v>
      </c>
      <c r="H183" s="224">
        <f t="shared" ca="1" si="131"/>
        <v>56.702920345955704</v>
      </c>
      <c r="I183" s="224">
        <f t="shared" ca="1" si="108"/>
        <v>929.71848500169426</v>
      </c>
      <c r="J183" s="227">
        <f t="shared" ca="1" si="109"/>
        <v>1000</v>
      </c>
      <c r="K183" s="238">
        <f t="shared" ca="1" si="132"/>
        <v>0.23554793566427179</v>
      </c>
      <c r="L183" s="239">
        <f t="shared" ca="1" si="133"/>
        <v>0.63590737720016932</v>
      </c>
      <c r="M183" s="238">
        <f t="shared" ca="1" si="134"/>
        <v>13.696368620182142</v>
      </c>
      <c r="N183" s="238">
        <f t="shared" ca="1" si="135"/>
        <v>56.903100066723653</v>
      </c>
      <c r="O183" s="239">
        <f t="shared" ca="1" si="136"/>
        <v>929.40053131309423</v>
      </c>
      <c r="P183" s="217"/>
      <c r="Q183" s="217"/>
      <c r="R183" s="224"/>
      <c r="S183" s="230">
        <f t="shared" ca="1" si="137"/>
        <v>206612.94938595896</v>
      </c>
      <c r="T183" s="231">
        <f t="shared" ca="1" si="138"/>
        <v>1286.3339311238278</v>
      </c>
      <c r="U183" s="231">
        <f t="shared" ca="1" si="139"/>
        <v>2110.5464879831734</v>
      </c>
      <c r="V183" s="231"/>
      <c r="W183" s="231">
        <f t="shared" ca="1" si="140"/>
        <v>5157.8332804626716</v>
      </c>
      <c r="X183" s="231">
        <f t="shared" ca="1" si="141"/>
        <v>644.72916005783395</v>
      </c>
      <c r="Y183" s="231"/>
      <c r="Z183" s="232">
        <f t="shared" ca="1" si="110"/>
        <v>215812.3922455865</v>
      </c>
      <c r="AA183" s="231">
        <f t="shared" ca="1" si="111"/>
        <v>161.01182433853259</v>
      </c>
      <c r="AB183" s="231">
        <f t="shared" ca="1" si="142"/>
        <v>14338.711206349741</v>
      </c>
      <c r="AC183" s="231">
        <f t="shared" ca="1" si="143"/>
        <v>77143.669327897427</v>
      </c>
      <c r="AD183" s="231">
        <f t="shared" ca="1" si="144"/>
        <v>2678.5996294408824</v>
      </c>
      <c r="AE183" s="231">
        <f t="shared" ca="1" si="112"/>
        <v>18219.076965030261</v>
      </c>
      <c r="AF183" s="231">
        <f t="shared" ca="1" si="113"/>
        <v>112541.06895305685</v>
      </c>
      <c r="AG183" s="232">
        <f t="shared" ca="1" si="114"/>
        <v>328353.46119864332</v>
      </c>
      <c r="AH183" s="244">
        <f t="shared" ca="1" si="145"/>
        <v>1.0499611810132785</v>
      </c>
      <c r="AI183" s="243">
        <f t="shared" ca="1" si="146"/>
        <v>4.3621815246222102</v>
      </c>
      <c r="AJ183" s="242">
        <f t="shared" ca="1" si="147"/>
        <v>5.4121427056354889</v>
      </c>
      <c r="AK183" s="241">
        <f t="shared" ca="1" si="148"/>
        <v>0.7559720503295605</v>
      </c>
      <c r="AL183" s="243">
        <f t="shared" ca="1" si="149"/>
        <v>1.9324464154076391</v>
      </c>
      <c r="AM183" s="243"/>
      <c r="AN183" s="242">
        <f t="shared" ca="1" si="115"/>
        <v>2.6884184657371994</v>
      </c>
      <c r="AO183" s="224"/>
      <c r="AP183" s="235">
        <f t="shared" si="150"/>
        <v>13.615384615384615</v>
      </c>
      <c r="AQ183" s="235">
        <f t="shared" si="116"/>
        <v>0.66867678891205728</v>
      </c>
      <c r="AR183" s="235">
        <f t="shared" si="117"/>
        <v>0.81651157893374327</v>
      </c>
      <c r="AT183" s="230">
        <f t="shared" ca="1" si="118"/>
        <v>138157.28354305244</v>
      </c>
      <c r="AU183" s="231">
        <f t="shared" ca="1" si="119"/>
        <v>860.14164253250465</v>
      </c>
      <c r="AV183" s="231">
        <f t="shared" ca="1" si="151"/>
        <v>1411.2734484342084</v>
      </c>
      <c r="AW183" s="231"/>
      <c r="AX183" s="231">
        <f t="shared" ca="1" si="152"/>
        <v>3448.9233957235219</v>
      </c>
      <c r="AY183" s="231">
        <f t="shared" ca="1" si="153"/>
        <v>431.11542446544024</v>
      </c>
      <c r="AZ183" s="231"/>
      <c r="BA183" s="232">
        <f t="shared" ca="1" si="120"/>
        <v>144308.73745420814</v>
      </c>
      <c r="BB183" s="231">
        <f t="shared" ca="1" si="121"/>
        <v>107.6648696755622</v>
      </c>
      <c r="BC183" s="231">
        <f t="shared" ca="1" si="154"/>
        <v>9587.9633665992751</v>
      </c>
      <c r="BD183" s="231">
        <f t="shared" ca="1" si="155"/>
        <v>51584.181091072016</v>
      </c>
      <c r="BE183" s="231">
        <f t="shared" ca="1" si="156"/>
        <v>1791.1173989955557</v>
      </c>
      <c r="BF183" s="231">
        <f t="shared" ca="1" si="122"/>
        <v>12182.673881918065</v>
      </c>
      <c r="BG183" s="231">
        <f t="shared" ca="1" si="123"/>
        <v>75253.600608260473</v>
      </c>
      <c r="BH183" s="232">
        <f t="shared" ca="1" si="124"/>
        <v>219562.3380624686</v>
      </c>
      <c r="BI183" s="244">
        <f t="shared" ca="1" si="157"/>
        <v>0.85730546172828981</v>
      </c>
      <c r="BJ183" s="243">
        <f t="shared" ca="1" si="158"/>
        <v>3.5617717242648843</v>
      </c>
      <c r="BK183" s="242">
        <f t="shared" ca="1" si="159"/>
        <v>4.4190771859931743</v>
      </c>
      <c r="BL183" s="241">
        <f t="shared" ca="1" si="160"/>
        <v>0.61725993244436872</v>
      </c>
      <c r="BM183" s="243">
        <f t="shared" ca="1" si="161"/>
        <v>1.5778648738493437</v>
      </c>
      <c r="BN183" s="243">
        <f t="shared" si="125"/>
        <v>0</v>
      </c>
      <c r="BO183" s="242">
        <f t="shared" ca="1" si="126"/>
        <v>2.1951248062937121</v>
      </c>
      <c r="BP183" s="67"/>
      <c r="BQ183" s="67"/>
      <c r="BR183" s="67"/>
      <c r="BS183" s="67"/>
      <c r="BT183" s="67"/>
      <c r="BU183" s="67"/>
      <c r="BV183" s="67"/>
      <c r="BW183" s="67"/>
      <c r="BX183" s="67"/>
      <c r="BY183" s="67"/>
      <c r="BZ183" s="67"/>
      <c r="CA183" s="67"/>
      <c r="CB183" s="67"/>
    </row>
    <row r="184" spans="1:80" ht="12" customHeight="1" x14ac:dyDescent="0.15">
      <c r="A184" s="213">
        <f t="shared" si="127"/>
        <v>178</v>
      </c>
      <c r="B184" s="67">
        <f t="shared" si="128"/>
        <v>712</v>
      </c>
      <c r="C184" s="224">
        <f t="shared" si="129"/>
        <v>164.30769230769229</v>
      </c>
      <c r="D184" s="225">
        <f ca="1">IFERROR(OFFSET(extrapolation!P193,0,OS_dist_choice-1,1,1),0)</f>
        <v>6.9654420421304597E-2</v>
      </c>
      <c r="E184" s="225">
        <f ca="1">IFERROR(OFFSET(extrapolation!D193,0,PFS_dist_choice-1,1,1),0)</f>
        <v>1.3347617253474331E-2</v>
      </c>
      <c r="F184" s="214"/>
      <c r="G184" s="226">
        <f t="shared" ca="1" si="130"/>
        <v>13.347617253474331</v>
      </c>
      <c r="H184" s="224">
        <f t="shared" ca="1" si="131"/>
        <v>56.30680316783014</v>
      </c>
      <c r="I184" s="224">
        <f t="shared" ca="1" si="108"/>
        <v>930.34557957869549</v>
      </c>
      <c r="J184" s="227">
        <f t="shared" ca="1" si="109"/>
        <v>1000</v>
      </c>
      <c r="K184" s="238">
        <f t="shared" ca="1" si="132"/>
        <v>0.23097739887567492</v>
      </c>
      <c r="L184" s="239">
        <f t="shared" ca="1" si="133"/>
        <v>0.62709457700123039</v>
      </c>
      <c r="M184" s="238">
        <f t="shared" ca="1" si="134"/>
        <v>13.463105952912169</v>
      </c>
      <c r="N184" s="238">
        <f t="shared" ca="1" si="135"/>
        <v>56.504861756892922</v>
      </c>
      <c r="O184" s="239">
        <f t="shared" ca="1" si="136"/>
        <v>930.03203229019482</v>
      </c>
      <c r="P184" s="217"/>
      <c r="Q184" s="217"/>
      <c r="R184" s="224"/>
      <c r="S184" s="230">
        <f t="shared" ca="1" si="137"/>
        <v>203098.37937005961</v>
      </c>
      <c r="T184" s="231">
        <f t="shared" ca="1" si="138"/>
        <v>1264.4528695630806</v>
      </c>
      <c r="U184" s="231">
        <f t="shared" ca="1" si="139"/>
        <v>2074.6017995159846</v>
      </c>
      <c r="V184" s="231"/>
      <c r="W184" s="231">
        <f t="shared" ca="1" si="140"/>
        <v>5069.9902921714765</v>
      </c>
      <c r="X184" s="231">
        <f t="shared" ca="1" si="141"/>
        <v>633.74878652143457</v>
      </c>
      <c r="Y184" s="231"/>
      <c r="Z184" s="232">
        <f t="shared" ca="1" si="110"/>
        <v>212141.17311783158</v>
      </c>
      <c r="AA184" s="231">
        <f t="shared" ca="1" si="111"/>
        <v>157.8875750664555</v>
      </c>
      <c r="AB184" s="231">
        <f t="shared" ca="1" si="142"/>
        <v>14238.361241070661</v>
      </c>
      <c r="AC184" s="231">
        <f t="shared" ca="1" si="143"/>
        <v>76603.776695487963</v>
      </c>
      <c r="AD184" s="231">
        <f t="shared" ca="1" si="144"/>
        <v>2659.8533574822204</v>
      </c>
      <c r="AE184" s="231">
        <f t="shared" ca="1" si="112"/>
        <v>17966.585657555835</v>
      </c>
      <c r="AF184" s="231">
        <f t="shared" ca="1" si="113"/>
        <v>111626.46452666313</v>
      </c>
      <c r="AG184" s="232">
        <f t="shared" ca="1" si="114"/>
        <v>323767.63764449471</v>
      </c>
      <c r="AH184" s="244">
        <f t="shared" ca="1" si="145"/>
        <v>1.032079306451857</v>
      </c>
      <c r="AI184" s="243">
        <f t="shared" ca="1" si="146"/>
        <v>4.3316526466611958</v>
      </c>
      <c r="AJ184" s="242">
        <f t="shared" ca="1" si="147"/>
        <v>5.363731953113053</v>
      </c>
      <c r="AK184" s="241">
        <f t="shared" ca="1" si="148"/>
        <v>0.74309710064533696</v>
      </c>
      <c r="AL184" s="243">
        <f t="shared" ca="1" si="149"/>
        <v>1.9189221224709097</v>
      </c>
      <c r="AM184" s="243"/>
      <c r="AN184" s="242">
        <f t="shared" ca="1" si="115"/>
        <v>2.6620192231162467</v>
      </c>
      <c r="AO184" s="224"/>
      <c r="AP184" s="235">
        <f t="shared" si="150"/>
        <v>13.692307692307692</v>
      </c>
      <c r="AQ184" s="235">
        <f t="shared" si="116"/>
        <v>0.66715810958204413</v>
      </c>
      <c r="AR184" s="235">
        <f t="shared" si="117"/>
        <v>0.81557698156925285</v>
      </c>
      <c r="AT184" s="230">
        <f t="shared" ca="1" si="118"/>
        <v>135498.73083970579</v>
      </c>
      <c r="AU184" s="231">
        <f t="shared" ca="1" si="119"/>
        <v>843.58998611329594</v>
      </c>
      <c r="AV184" s="231">
        <f t="shared" ca="1" si="151"/>
        <v>1384.0874147005911</v>
      </c>
      <c r="AW184" s="231"/>
      <c r="AX184" s="231">
        <f t="shared" ca="1" si="152"/>
        <v>3382.4851389244377</v>
      </c>
      <c r="AY184" s="231">
        <f t="shared" ca="1" si="153"/>
        <v>422.81064236555471</v>
      </c>
      <c r="AZ184" s="231"/>
      <c r="BA184" s="232">
        <f t="shared" ca="1" si="120"/>
        <v>141531.70402180968</v>
      </c>
      <c r="BB184" s="231">
        <f t="shared" ca="1" si="121"/>
        <v>105.33597610782954</v>
      </c>
      <c r="BC184" s="231">
        <f t="shared" ca="1" si="154"/>
        <v>9499.2381691389492</v>
      </c>
      <c r="BD184" s="231">
        <f t="shared" ca="1" si="155"/>
        <v>51106.830847006793</v>
      </c>
      <c r="BE184" s="231">
        <f t="shared" ca="1" si="156"/>
        <v>1774.5427377432911</v>
      </c>
      <c r="BF184" s="231">
        <f t="shared" ca="1" si="122"/>
        <v>11986.553322938818</v>
      </c>
      <c r="BG184" s="231">
        <f t="shared" ca="1" si="123"/>
        <v>74472.50105293568</v>
      </c>
      <c r="BH184" s="232">
        <f t="shared" ca="1" si="124"/>
        <v>216004.20507474535</v>
      </c>
      <c r="BI184" s="244">
        <f t="shared" ca="1" si="157"/>
        <v>0.84174012549609345</v>
      </c>
      <c r="BJ184" s="243">
        <f t="shared" ca="1" si="158"/>
        <v>3.5327961907704033</v>
      </c>
      <c r="BK184" s="242">
        <f t="shared" ca="1" si="159"/>
        <v>4.3745363162664965</v>
      </c>
      <c r="BL184" s="241">
        <f t="shared" ca="1" si="160"/>
        <v>0.60605289035718724</v>
      </c>
      <c r="BM184" s="243">
        <f t="shared" ca="1" si="161"/>
        <v>1.5650287125112887</v>
      </c>
      <c r="BN184" s="243">
        <f t="shared" si="125"/>
        <v>0</v>
      </c>
      <c r="BO184" s="242">
        <f t="shared" ca="1" si="126"/>
        <v>2.1710816028684761</v>
      </c>
      <c r="BP184" s="67"/>
      <c r="BQ184" s="67"/>
      <c r="BR184" s="67"/>
      <c r="BS184" s="67"/>
      <c r="BT184" s="67"/>
      <c r="BU184" s="67"/>
      <c r="BV184" s="67"/>
      <c r="BW184" s="67"/>
      <c r="BX184" s="67"/>
      <c r="BY184" s="67"/>
      <c r="BZ184" s="67"/>
      <c r="CA184" s="67"/>
      <c r="CB184" s="67"/>
    </row>
    <row r="185" spans="1:80" ht="12" customHeight="1" x14ac:dyDescent="0.15">
      <c r="A185" s="213">
        <f t="shared" si="127"/>
        <v>179</v>
      </c>
      <c r="B185" s="67">
        <f t="shared" si="128"/>
        <v>716</v>
      </c>
      <c r="C185" s="224">
        <f t="shared" si="129"/>
        <v>165.23076923076923</v>
      </c>
      <c r="D185" s="225">
        <f ca="1">IFERROR(OFFSET(extrapolation!P194,0,OS_dist_choice-1,1,1),0)</f>
        <v>6.9035975478585448E-2</v>
      </c>
      <c r="E185" s="225">
        <f ca="1">IFERROR(OFFSET(extrapolation!D194,0,PFS_dist_choice-1,1,1),0)</f>
        <v>1.3121109769240302E-2</v>
      </c>
      <c r="F185" s="214"/>
      <c r="G185" s="226">
        <f t="shared" ca="1" si="130"/>
        <v>13.121109769240302</v>
      </c>
      <c r="H185" s="224">
        <f t="shared" ca="1" si="131"/>
        <v>55.914865709345122</v>
      </c>
      <c r="I185" s="224">
        <f t="shared" ca="1" si="108"/>
        <v>930.96402452141456</v>
      </c>
      <c r="J185" s="227">
        <f t="shared" ca="1" si="109"/>
        <v>1000</v>
      </c>
      <c r="K185" s="238">
        <f t="shared" ca="1" si="132"/>
        <v>0.22650748423402867</v>
      </c>
      <c r="L185" s="239">
        <f t="shared" ca="1" si="133"/>
        <v>0.61844494271906569</v>
      </c>
      <c r="M185" s="238">
        <f t="shared" ca="1" si="134"/>
        <v>13.234363511357316</v>
      </c>
      <c r="N185" s="238">
        <f t="shared" ca="1" si="135"/>
        <v>56.110834438587631</v>
      </c>
      <c r="O185" s="239">
        <f t="shared" ca="1" si="136"/>
        <v>930.65480205005497</v>
      </c>
      <c r="P185" s="217"/>
      <c r="Q185" s="217"/>
      <c r="R185" s="224"/>
      <c r="S185" s="230">
        <f t="shared" ca="1" si="137"/>
        <v>199651.82392203415</v>
      </c>
      <c r="T185" s="231">
        <f t="shared" ca="1" si="138"/>
        <v>1242.9952540967186</v>
      </c>
      <c r="U185" s="231">
        <f t="shared" ca="1" si="139"/>
        <v>2039.3536567371091</v>
      </c>
      <c r="V185" s="231"/>
      <c r="W185" s="231">
        <f t="shared" ca="1" si="140"/>
        <v>4983.8495485609837</v>
      </c>
      <c r="X185" s="231">
        <f t="shared" ca="1" si="141"/>
        <v>622.98119357012297</v>
      </c>
      <c r="Y185" s="231"/>
      <c r="Z185" s="232">
        <f t="shared" ca="1" si="110"/>
        <v>208541.00357499908</v>
      </c>
      <c r="AA185" s="231">
        <f t="shared" ca="1" si="111"/>
        <v>154.83210735853729</v>
      </c>
      <c r="AB185" s="231">
        <f t="shared" ca="1" si="142"/>
        <v>14139.072381272741</v>
      </c>
      <c r="AC185" s="231">
        <f t="shared" ca="1" si="143"/>
        <v>76069.592914395907</v>
      </c>
      <c r="AD185" s="231">
        <f t="shared" ca="1" si="144"/>
        <v>2641.3053095276355</v>
      </c>
      <c r="AE185" s="231">
        <f t="shared" ca="1" si="112"/>
        <v>17718.769138426953</v>
      </c>
      <c r="AF185" s="231">
        <f t="shared" ca="1" si="113"/>
        <v>110723.57185098178</v>
      </c>
      <c r="AG185" s="232">
        <f t="shared" ca="1" si="114"/>
        <v>319264.57542598085</v>
      </c>
      <c r="AH185" s="244">
        <f t="shared" ca="1" si="145"/>
        <v>1.0145439515893355</v>
      </c>
      <c r="AI185" s="243">
        <f t="shared" ca="1" si="146"/>
        <v>4.3014465825611321</v>
      </c>
      <c r="AJ185" s="242">
        <f t="shared" ca="1" si="147"/>
        <v>5.3159905341504672</v>
      </c>
      <c r="AK185" s="241">
        <f t="shared" ca="1" si="148"/>
        <v>0.7304716451443215</v>
      </c>
      <c r="AL185" s="243">
        <f t="shared" ca="1" si="149"/>
        <v>1.9055408360745816</v>
      </c>
      <c r="AM185" s="243"/>
      <c r="AN185" s="242">
        <f t="shared" ca="1" si="115"/>
        <v>2.636012481218903</v>
      </c>
      <c r="AO185" s="224"/>
      <c r="AP185" s="235">
        <f t="shared" si="150"/>
        <v>13.76923076923077</v>
      </c>
      <c r="AQ185" s="235">
        <f t="shared" si="116"/>
        <v>0.66564287943248057</v>
      </c>
      <c r="AR185" s="235">
        <f t="shared" si="117"/>
        <v>0.81464345396575089</v>
      </c>
      <c r="AT185" s="230">
        <f t="shared" ca="1" si="118"/>
        <v>132896.81495940941</v>
      </c>
      <c r="AU185" s="231">
        <f t="shared" ca="1" si="119"/>
        <v>827.39094005784762</v>
      </c>
      <c r="AV185" s="231">
        <f t="shared" ca="1" si="151"/>
        <v>1357.4812402516479</v>
      </c>
      <c r="AW185" s="231"/>
      <c r="AX185" s="231">
        <f t="shared" ca="1" si="152"/>
        <v>3317.4639641624017</v>
      </c>
      <c r="AY185" s="231">
        <f t="shared" ca="1" si="153"/>
        <v>414.68299552030021</v>
      </c>
      <c r="AZ185" s="231"/>
      <c r="BA185" s="232">
        <f t="shared" ca="1" si="120"/>
        <v>138813.8340994016</v>
      </c>
      <c r="BB185" s="231">
        <f t="shared" ca="1" si="121"/>
        <v>103.06288977073572</v>
      </c>
      <c r="BC185" s="231">
        <f t="shared" ca="1" si="154"/>
        <v>9411.5728523746475</v>
      </c>
      <c r="BD185" s="231">
        <f t="shared" ca="1" si="155"/>
        <v>50635.182864795112</v>
      </c>
      <c r="BE185" s="231">
        <f t="shared" ca="1" si="156"/>
        <v>1758.1660716942747</v>
      </c>
      <c r="BF185" s="231">
        <f t="shared" ca="1" si="122"/>
        <v>11794.372509301889</v>
      </c>
      <c r="BG185" s="231">
        <f t="shared" ca="1" si="123"/>
        <v>73702.357187936665</v>
      </c>
      <c r="BH185" s="232">
        <f t="shared" ca="1" si="124"/>
        <v>212516.19128733827</v>
      </c>
      <c r="BI185" s="244">
        <f t="shared" ca="1" si="157"/>
        <v>0.82649158892279784</v>
      </c>
      <c r="BJ185" s="243">
        <f t="shared" ca="1" si="158"/>
        <v>3.5041453010667762</v>
      </c>
      <c r="BK185" s="242">
        <f t="shared" ca="1" si="159"/>
        <v>4.3306368899895737</v>
      </c>
      <c r="BL185" s="241">
        <f t="shared" ca="1" si="160"/>
        <v>0.59507394402441438</v>
      </c>
      <c r="BM185" s="243">
        <f t="shared" ca="1" si="161"/>
        <v>1.5523363683725819</v>
      </c>
      <c r="BN185" s="243">
        <f t="shared" si="125"/>
        <v>0</v>
      </c>
      <c r="BO185" s="242">
        <f t="shared" ca="1" si="126"/>
        <v>2.1474103123969961</v>
      </c>
      <c r="BP185" s="67"/>
      <c r="BQ185" s="67"/>
      <c r="BR185" s="67"/>
      <c r="BS185" s="67"/>
      <c r="BT185" s="67"/>
      <c r="BU185" s="67"/>
      <c r="BV185" s="67"/>
      <c r="BW185" s="67"/>
      <c r="BX185" s="67"/>
      <c r="BY185" s="67"/>
      <c r="BZ185" s="67"/>
      <c r="CA185" s="67"/>
      <c r="CB185" s="67"/>
    </row>
    <row r="186" spans="1:80" ht="12" customHeight="1" x14ac:dyDescent="0.15">
      <c r="A186" s="213">
        <f t="shared" si="127"/>
        <v>180</v>
      </c>
      <c r="B186" s="67">
        <f t="shared" si="128"/>
        <v>720</v>
      </c>
      <c r="C186" s="224">
        <f t="shared" si="129"/>
        <v>166.15384615384616</v>
      </c>
      <c r="D186" s="225">
        <f ca="1">IFERROR(OFFSET(extrapolation!P195,0,OS_dist_choice-1,1,1),0)</f>
        <v>6.8426020746098479E-2</v>
      </c>
      <c r="E186" s="225">
        <f ca="1">IFERROR(OFFSET(extrapolation!D195,0,PFS_dist_choice-1,1,1),0)</f>
        <v>1.2898974080338244E-2</v>
      </c>
      <c r="F186" s="214"/>
      <c r="G186" s="226">
        <f t="shared" ca="1" si="130"/>
        <v>12.898974080338244</v>
      </c>
      <c r="H186" s="224">
        <f t="shared" ca="1" si="131"/>
        <v>55.527046665760281</v>
      </c>
      <c r="I186" s="224">
        <f t="shared" ca="1" si="108"/>
        <v>931.57397925390148</v>
      </c>
      <c r="J186" s="227">
        <f t="shared" ca="1" si="109"/>
        <v>1000</v>
      </c>
      <c r="K186" s="238">
        <f t="shared" ca="1" si="132"/>
        <v>0.2221356889020587</v>
      </c>
      <c r="L186" s="239">
        <f t="shared" ca="1" si="133"/>
        <v>0.60995473248692633</v>
      </c>
      <c r="M186" s="238">
        <f t="shared" ca="1" si="134"/>
        <v>13.010041924789274</v>
      </c>
      <c r="N186" s="238">
        <f t="shared" ca="1" si="135"/>
        <v>55.720956187552702</v>
      </c>
      <c r="O186" s="239">
        <f t="shared" ca="1" si="136"/>
        <v>931.26900188765808</v>
      </c>
      <c r="P186" s="217"/>
      <c r="Q186" s="217"/>
      <c r="R186" s="224"/>
      <c r="S186" s="230">
        <f t="shared" ca="1" si="137"/>
        <v>196271.79005085639</v>
      </c>
      <c r="T186" s="231">
        <f t="shared" ca="1" si="138"/>
        <v>1221.9517896393102</v>
      </c>
      <c r="U186" s="231">
        <f t="shared" ca="1" si="139"/>
        <v>2004.7867470810445</v>
      </c>
      <c r="V186" s="231"/>
      <c r="W186" s="231">
        <f t="shared" ca="1" si="140"/>
        <v>4899.373628204844</v>
      </c>
      <c r="X186" s="231">
        <f t="shared" ca="1" si="141"/>
        <v>612.42170352560549</v>
      </c>
      <c r="Y186" s="231"/>
      <c r="Z186" s="232">
        <f t="shared" ca="1" si="110"/>
        <v>205010.32391930718</v>
      </c>
      <c r="AA186" s="231">
        <f t="shared" ca="1" si="111"/>
        <v>151.84371036813252</v>
      </c>
      <c r="AB186" s="231">
        <f t="shared" ca="1" si="142"/>
        <v>14040.829022990478</v>
      </c>
      <c r="AC186" s="231">
        <f t="shared" ca="1" si="143"/>
        <v>75541.03403376005</v>
      </c>
      <c r="AD186" s="231">
        <f t="shared" ca="1" si="144"/>
        <v>2622.9525706166683</v>
      </c>
      <c r="AE186" s="231">
        <f t="shared" ca="1" si="112"/>
        <v>17475.520201215862</v>
      </c>
      <c r="AF186" s="231">
        <f t="shared" ca="1" si="113"/>
        <v>109832.1795389512</v>
      </c>
      <c r="AG186" s="232">
        <f t="shared" ca="1" si="114"/>
        <v>314842.50345825835</v>
      </c>
      <c r="AH186" s="244">
        <f t="shared" ca="1" si="145"/>
        <v>0.99734749868336658</v>
      </c>
      <c r="AI186" s="243">
        <f t="shared" ca="1" si="146"/>
        <v>4.2715585852196458</v>
      </c>
      <c r="AJ186" s="242">
        <f t="shared" ca="1" si="147"/>
        <v>5.268906083903012</v>
      </c>
      <c r="AK186" s="241">
        <f t="shared" ca="1" si="148"/>
        <v>0.71809019905202387</v>
      </c>
      <c r="AL186" s="243">
        <f t="shared" ca="1" si="149"/>
        <v>1.8923004532523031</v>
      </c>
      <c r="AM186" s="243"/>
      <c r="AN186" s="242">
        <f t="shared" ca="1" si="115"/>
        <v>2.6103906523043268</v>
      </c>
      <c r="AO186" s="224"/>
      <c r="AP186" s="235">
        <f t="shared" si="150"/>
        <v>13.846153846153847</v>
      </c>
      <c r="AQ186" s="235">
        <f t="shared" si="116"/>
        <v>0.66413109062968789</v>
      </c>
      <c r="AR186" s="235">
        <f t="shared" si="117"/>
        <v>0.81371099489876508</v>
      </c>
      <c r="AT186" s="230">
        <f t="shared" ca="1" si="118"/>
        <v>130350.19798631639</v>
      </c>
      <c r="AU186" s="231">
        <f t="shared" ca="1" si="119"/>
        <v>811.53617475005399</v>
      </c>
      <c r="AV186" s="231">
        <f t="shared" ca="1" si="151"/>
        <v>1331.4412088188783</v>
      </c>
      <c r="AW186" s="231"/>
      <c r="AX186" s="231">
        <f t="shared" ca="1" si="152"/>
        <v>3253.8263511020141</v>
      </c>
      <c r="AY186" s="231">
        <f t="shared" ca="1" si="153"/>
        <v>406.72829388775176</v>
      </c>
      <c r="AZ186" s="231"/>
      <c r="BA186" s="232">
        <f t="shared" ca="1" si="120"/>
        <v>136153.73001487507</v>
      </c>
      <c r="BB186" s="231">
        <f t="shared" ca="1" si="121"/>
        <v>100.84412897204629</v>
      </c>
      <c r="BC186" s="231">
        <f t="shared" ca="1" si="154"/>
        <v>9324.9510923836406</v>
      </c>
      <c r="BD186" s="231">
        <f t="shared" ca="1" si="155"/>
        <v>50169.149320135431</v>
      </c>
      <c r="BE186" s="231">
        <f t="shared" ca="1" si="156"/>
        <v>1741.9843513935914</v>
      </c>
      <c r="BF186" s="231">
        <f t="shared" ca="1" si="122"/>
        <v>11606.036290554634</v>
      </c>
      <c r="BG186" s="231">
        <f t="shared" ca="1" si="123"/>
        <v>72942.965183439344</v>
      </c>
      <c r="BH186" s="232">
        <f t="shared" ca="1" si="124"/>
        <v>209096.69519831441</v>
      </c>
      <c r="BI186" s="244">
        <f t="shared" ca="1" si="157"/>
        <v>0.81155262541343698</v>
      </c>
      <c r="BJ186" s="243">
        <f t="shared" ca="1" si="158"/>
        <v>3.4758141861474394</v>
      </c>
      <c r="BK186" s="242">
        <f t="shared" ca="1" si="159"/>
        <v>4.2873668115608758</v>
      </c>
      <c r="BL186" s="241">
        <f t="shared" ca="1" si="160"/>
        <v>0.58431789029767456</v>
      </c>
      <c r="BM186" s="243">
        <f t="shared" ca="1" si="161"/>
        <v>1.5397856844633158</v>
      </c>
      <c r="BN186" s="243">
        <f t="shared" si="125"/>
        <v>0</v>
      </c>
      <c r="BO186" s="242">
        <f t="shared" ca="1" si="126"/>
        <v>2.1241035747609902</v>
      </c>
      <c r="BP186" s="67"/>
      <c r="BQ186" s="67"/>
      <c r="BR186" s="67"/>
      <c r="BS186" s="67"/>
      <c r="BT186" s="67"/>
      <c r="BU186" s="67"/>
      <c r="BV186" s="67"/>
      <c r="BW186" s="67"/>
      <c r="BX186" s="67"/>
      <c r="BY186" s="67"/>
      <c r="BZ186" s="67"/>
      <c r="CA186" s="67"/>
      <c r="CB186" s="67"/>
    </row>
    <row r="187" spans="1:80" ht="12" customHeight="1" x14ac:dyDescent="0.15">
      <c r="A187" s="213">
        <f t="shared" si="127"/>
        <v>181</v>
      </c>
      <c r="B187" s="67">
        <f t="shared" si="128"/>
        <v>724</v>
      </c>
      <c r="C187" s="224">
        <f t="shared" si="129"/>
        <v>167.07692307692309</v>
      </c>
      <c r="D187" s="225">
        <f ca="1">IFERROR(OFFSET(extrapolation!P196,0,OS_dist_choice-1,1,1),0)</f>
        <v>6.7824400440264845E-2</v>
      </c>
      <c r="E187" s="225">
        <f ca="1">IFERROR(OFFSET(extrapolation!D196,0,PFS_dist_choice-1,1,1),0)</f>
        <v>1.2681114500320056E-2</v>
      </c>
      <c r="F187" s="214"/>
      <c r="G187" s="226">
        <f t="shared" ca="1" si="130"/>
        <v>12.681114500320056</v>
      </c>
      <c r="H187" s="224">
        <f t="shared" ca="1" si="131"/>
        <v>55.143285939944803</v>
      </c>
      <c r="I187" s="224">
        <f t="shared" ca="1" si="108"/>
        <v>932.17559955973513</v>
      </c>
      <c r="J187" s="227">
        <f t="shared" ca="1" si="109"/>
        <v>1000</v>
      </c>
      <c r="K187" s="238">
        <f t="shared" ca="1" si="132"/>
        <v>0.21785958001818706</v>
      </c>
      <c r="L187" s="239">
        <f t="shared" ca="1" si="133"/>
        <v>0.60162030583364867</v>
      </c>
      <c r="M187" s="238">
        <f t="shared" ca="1" si="134"/>
        <v>12.790044290329149</v>
      </c>
      <c r="N187" s="238">
        <f t="shared" ca="1" si="135"/>
        <v>55.335166302852542</v>
      </c>
      <c r="O187" s="239">
        <f t="shared" ca="1" si="136"/>
        <v>931.87478940681831</v>
      </c>
      <c r="P187" s="217"/>
      <c r="Q187" s="217"/>
      <c r="R187" s="224"/>
      <c r="S187" s="230">
        <f t="shared" ca="1" si="137"/>
        <v>192956.82178411065</v>
      </c>
      <c r="T187" s="231">
        <f t="shared" ca="1" si="138"/>
        <v>1201.3134115764315</v>
      </c>
      <c r="U187" s="231">
        <f t="shared" ca="1" si="139"/>
        <v>1970.8861382663667</v>
      </c>
      <c r="V187" s="231"/>
      <c r="W187" s="231">
        <f t="shared" ca="1" si="140"/>
        <v>4816.5260390293124</v>
      </c>
      <c r="X187" s="231">
        <f t="shared" ca="1" si="141"/>
        <v>602.06575487866405</v>
      </c>
      <c r="Y187" s="231"/>
      <c r="Z187" s="232">
        <f t="shared" ca="1" si="110"/>
        <v>201547.61312786143</v>
      </c>
      <c r="AA187" s="231">
        <f t="shared" ca="1" si="111"/>
        <v>148.92072108138407</v>
      </c>
      <c r="AB187" s="231">
        <f t="shared" ca="1" si="142"/>
        <v>13943.615870516182</v>
      </c>
      <c r="AC187" s="231">
        <f t="shared" ca="1" si="143"/>
        <v>75018.017761176321</v>
      </c>
      <c r="AD187" s="231">
        <f t="shared" ca="1" si="144"/>
        <v>2604.7922833741777</v>
      </c>
      <c r="AE187" s="231">
        <f t="shared" ca="1" si="112"/>
        <v>17236.734544531038</v>
      </c>
      <c r="AF187" s="231">
        <f t="shared" ca="1" si="113"/>
        <v>108952.0811806791</v>
      </c>
      <c r="AG187" s="232">
        <f t="shared" ca="1" si="114"/>
        <v>310499.69430854055</v>
      </c>
      <c r="AH187" s="244">
        <f t="shared" ca="1" si="145"/>
        <v>0.98048251917649876</v>
      </c>
      <c r="AI187" s="243">
        <f t="shared" ca="1" si="146"/>
        <v>4.2419840013138153</v>
      </c>
      <c r="AJ187" s="242">
        <f t="shared" ca="1" si="147"/>
        <v>5.2224665204903138</v>
      </c>
      <c r="AK187" s="241">
        <f t="shared" ca="1" si="148"/>
        <v>0.70594741380707904</v>
      </c>
      <c r="AL187" s="243">
        <f t="shared" ca="1" si="149"/>
        <v>1.8791989125820201</v>
      </c>
      <c r="AM187" s="243"/>
      <c r="AN187" s="242">
        <f t="shared" ca="1" si="115"/>
        <v>2.5851463263890992</v>
      </c>
      <c r="AO187" s="224"/>
      <c r="AP187" s="235">
        <f t="shared" si="150"/>
        <v>13.923076923076923</v>
      </c>
      <c r="AQ187" s="235">
        <f t="shared" si="116"/>
        <v>0.66262273535777927</v>
      </c>
      <c r="AR187" s="235">
        <f t="shared" si="117"/>
        <v>0.81277960314522468</v>
      </c>
      <c r="AT187" s="230">
        <f t="shared" ca="1" si="118"/>
        <v>127857.57705653094</v>
      </c>
      <c r="AU187" s="231">
        <f t="shared" ca="1" si="119"/>
        <v>796.0175788007607</v>
      </c>
      <c r="AV187" s="231">
        <f t="shared" ca="1" si="151"/>
        <v>1305.9539640167902</v>
      </c>
      <c r="AW187" s="231"/>
      <c r="AX187" s="231">
        <f t="shared" ca="1" si="152"/>
        <v>3191.5396589035731</v>
      </c>
      <c r="AY187" s="231">
        <f t="shared" ca="1" si="153"/>
        <v>398.94245736294664</v>
      </c>
      <c r="AZ187" s="231"/>
      <c r="BA187" s="232">
        <f t="shared" ca="1" si="120"/>
        <v>133550.03071561499</v>
      </c>
      <c r="BB187" s="231">
        <f t="shared" ca="1" si="121"/>
        <v>98.678255554399612</v>
      </c>
      <c r="BC187" s="231">
        <f t="shared" ca="1" si="154"/>
        <v>9239.3568888995742</v>
      </c>
      <c r="BD187" s="231">
        <f t="shared" ca="1" si="155"/>
        <v>49708.644130029119</v>
      </c>
      <c r="BE187" s="231">
        <f t="shared" ca="1" si="156"/>
        <v>1725.9945878482333</v>
      </c>
      <c r="BF187" s="231">
        <f t="shared" ca="1" si="122"/>
        <v>11421.452192533083</v>
      </c>
      <c r="BG187" s="231">
        <f t="shared" ca="1" si="123"/>
        <v>72194.126054864406</v>
      </c>
      <c r="BH187" s="232">
        <f t="shared" ca="1" si="124"/>
        <v>205744.15677047943</v>
      </c>
      <c r="BI187" s="244">
        <f t="shared" ca="1" si="157"/>
        <v>0.7969161928271048</v>
      </c>
      <c r="BJ187" s="243">
        <f t="shared" ca="1" si="158"/>
        <v>3.447798073136235</v>
      </c>
      <c r="BK187" s="242">
        <f t="shared" ca="1" si="159"/>
        <v>4.2447142659633395</v>
      </c>
      <c r="BL187" s="241">
        <f t="shared" ca="1" si="160"/>
        <v>0.5737796588355154</v>
      </c>
      <c r="BM187" s="243">
        <f t="shared" ca="1" si="161"/>
        <v>1.527374546399352</v>
      </c>
      <c r="BN187" s="243">
        <f t="shared" si="125"/>
        <v>0</v>
      </c>
      <c r="BO187" s="242">
        <f t="shared" ca="1" si="126"/>
        <v>2.1011542052348675</v>
      </c>
      <c r="BP187" s="67"/>
      <c r="BQ187" s="67"/>
      <c r="BR187" s="67"/>
      <c r="BS187" s="67"/>
      <c r="BT187" s="67"/>
      <c r="BU187" s="67"/>
      <c r="BV187" s="67"/>
      <c r="BW187" s="67"/>
      <c r="BX187" s="67"/>
      <c r="BY187" s="67"/>
      <c r="BZ187" s="67"/>
      <c r="CA187" s="67"/>
      <c r="CB187" s="67"/>
    </row>
    <row r="188" spans="1:80" ht="12" customHeight="1" x14ac:dyDescent="0.15">
      <c r="A188" s="213">
        <f t="shared" si="127"/>
        <v>182</v>
      </c>
      <c r="B188" s="67">
        <f t="shared" si="128"/>
        <v>728</v>
      </c>
      <c r="C188" s="224">
        <f t="shared" si="129"/>
        <v>168</v>
      </c>
      <c r="D188" s="225">
        <f ca="1">IFERROR(OFFSET(extrapolation!P197,0,OS_dist_choice-1,1,1),0)</f>
        <v>6.7230962319721463E-2</v>
      </c>
      <c r="E188" s="225">
        <f ca="1">IFERROR(OFFSET(extrapolation!D197,0,PFS_dist_choice-1,1,1),0)</f>
        <v>1.2467437707810891E-2</v>
      </c>
      <c r="F188" s="214"/>
      <c r="G188" s="226">
        <f t="shared" ca="1" si="130"/>
        <v>12.467437707810891</v>
      </c>
      <c r="H188" s="224">
        <f t="shared" ca="1" si="131"/>
        <v>54.763524611910611</v>
      </c>
      <c r="I188" s="224">
        <f t="shared" ca="1" si="108"/>
        <v>932.76903768027853</v>
      </c>
      <c r="J188" s="227">
        <f t="shared" ca="1" si="109"/>
        <v>1000</v>
      </c>
      <c r="K188" s="238">
        <f t="shared" ca="1" si="132"/>
        <v>0.21367679250916538</v>
      </c>
      <c r="L188" s="239">
        <f t="shared" ca="1" si="133"/>
        <v>0.59343812054339651</v>
      </c>
      <c r="M188" s="238">
        <f t="shared" ca="1" si="134"/>
        <v>12.574276104065474</v>
      </c>
      <c r="N188" s="238">
        <f t="shared" ca="1" si="135"/>
        <v>54.953405275927707</v>
      </c>
      <c r="O188" s="239">
        <f t="shared" ca="1" si="136"/>
        <v>932.47231862000683</v>
      </c>
      <c r="P188" s="217"/>
      <c r="Q188" s="217"/>
      <c r="R188" s="224"/>
      <c r="S188" s="230">
        <f t="shared" ca="1" si="137"/>
        <v>189705.49913651915</v>
      </c>
      <c r="T188" s="231">
        <f t="shared" ca="1" si="138"/>
        <v>1181.0712793429109</v>
      </c>
      <c r="U188" s="231">
        <f t="shared" ca="1" si="139"/>
        <v>1937.6372676813369</v>
      </c>
      <c r="V188" s="231"/>
      <c r="W188" s="231">
        <f t="shared" ca="1" si="140"/>
        <v>4735.2711923733923</v>
      </c>
      <c r="X188" s="231">
        <f t="shared" ca="1" si="141"/>
        <v>591.90889904667404</v>
      </c>
      <c r="Y188" s="231"/>
      <c r="Z188" s="232">
        <f t="shared" ca="1" si="110"/>
        <v>198151.38777496346</v>
      </c>
      <c r="AA188" s="231">
        <f t="shared" ca="1" si="111"/>
        <v>146.06152282202032</v>
      </c>
      <c r="AB188" s="231">
        <f t="shared" ca="1" si="142"/>
        <v>13847.417928602717</v>
      </c>
      <c r="AC188" s="231">
        <f t="shared" ca="1" si="143"/>
        <v>74500.463420747867</v>
      </c>
      <c r="AD188" s="231">
        <f t="shared" ca="1" si="144"/>
        <v>2586.8216465537448</v>
      </c>
      <c r="AE188" s="231">
        <f t="shared" ca="1" si="112"/>
        <v>17002.310682047184</v>
      </c>
      <c r="AF188" s="231">
        <f t="shared" ca="1" si="113"/>
        <v>108083.07520077353</v>
      </c>
      <c r="AG188" s="232">
        <f t="shared" ca="1" si="114"/>
        <v>306234.462975737</v>
      </c>
      <c r="AH188" s="244">
        <f t="shared" ca="1" si="145"/>
        <v>0.96394176841569679</v>
      </c>
      <c r="AI188" s="243">
        <f t="shared" ca="1" si="146"/>
        <v>4.2127182689280653</v>
      </c>
      <c r="AJ188" s="242">
        <f t="shared" ca="1" si="147"/>
        <v>5.1766600373437619</v>
      </c>
      <c r="AK188" s="241">
        <f t="shared" ca="1" si="148"/>
        <v>0.69403807325930167</v>
      </c>
      <c r="AL188" s="243">
        <f t="shared" ca="1" si="149"/>
        <v>1.8662341931351329</v>
      </c>
      <c r="AM188" s="243"/>
      <c r="AN188" s="242">
        <f t="shared" ca="1" si="115"/>
        <v>2.5602722663944348</v>
      </c>
      <c r="AO188" s="224"/>
      <c r="AP188" s="235">
        <f t="shared" si="150"/>
        <v>14</v>
      </c>
      <c r="AQ188" s="235">
        <f t="shared" si="116"/>
        <v>0.66111780581861923</v>
      </c>
      <c r="AR188" s="235">
        <f t="shared" si="117"/>
        <v>0.81184927748345925</v>
      </c>
      <c r="AT188" s="230">
        <f t="shared" ca="1" si="118"/>
        <v>125417.68334086151</v>
      </c>
      <c r="AU188" s="231">
        <f t="shared" ca="1" si="119"/>
        <v>780.8272527145748</v>
      </c>
      <c r="AV188" s="231">
        <f t="shared" ca="1" si="151"/>
        <v>1281.0064988818699</v>
      </c>
      <c r="AW188" s="231"/>
      <c r="AX188" s="231">
        <f t="shared" ca="1" si="152"/>
        <v>3130.5721006580138</v>
      </c>
      <c r="AY188" s="231">
        <f t="shared" ca="1" si="153"/>
        <v>391.32151258225173</v>
      </c>
      <c r="AZ188" s="231"/>
      <c r="BA188" s="232">
        <f t="shared" ca="1" si="120"/>
        <v>131001.41070569822</v>
      </c>
      <c r="BB188" s="231">
        <f t="shared" ca="1" si="121"/>
        <v>96.563873482620252</v>
      </c>
      <c r="BC188" s="231">
        <f t="shared" ca="1" si="154"/>
        <v>9154.7745572112381</v>
      </c>
      <c r="BD188" s="231">
        <f t="shared" ca="1" si="155"/>
        <v>49253.582909195131</v>
      </c>
      <c r="BE188" s="231">
        <f t="shared" ca="1" si="156"/>
        <v>1710.1938510137195</v>
      </c>
      <c r="BF188" s="231">
        <f t="shared" ca="1" si="122"/>
        <v>11240.530331961505</v>
      </c>
      <c r="BG188" s="231">
        <f t="shared" ca="1" si="123"/>
        <v>71455.645522864215</v>
      </c>
      <c r="BH188" s="232">
        <f t="shared" ca="1" si="124"/>
        <v>202457.05622856243</v>
      </c>
      <c r="BI188" s="244">
        <f t="shared" ca="1" si="157"/>
        <v>0.7825754282244114</v>
      </c>
      <c r="BJ188" s="243">
        <f t="shared" ca="1" si="158"/>
        <v>3.4200922828706188</v>
      </c>
      <c r="BK188" s="242">
        <f t="shared" ca="1" si="159"/>
        <v>4.2026677110950299</v>
      </c>
      <c r="BL188" s="241">
        <f t="shared" ca="1" si="160"/>
        <v>0.56345430832157617</v>
      </c>
      <c r="BM188" s="243">
        <f t="shared" ca="1" si="161"/>
        <v>1.5151008813116842</v>
      </c>
      <c r="BN188" s="243">
        <f t="shared" si="125"/>
        <v>0</v>
      </c>
      <c r="BO188" s="242">
        <f t="shared" ca="1" si="126"/>
        <v>2.0785551896332608</v>
      </c>
      <c r="BP188" s="67"/>
      <c r="BQ188" s="67"/>
      <c r="BR188" s="67"/>
      <c r="BS188" s="67"/>
      <c r="BT188" s="67"/>
      <c r="BU188" s="67"/>
      <c r="BV188" s="67"/>
      <c r="BW188" s="67"/>
      <c r="BX188" s="67"/>
      <c r="BY188" s="67"/>
      <c r="BZ188" s="67"/>
      <c r="CA188" s="67"/>
      <c r="CB188" s="67"/>
    </row>
    <row r="189" spans="1:80" ht="12" customHeight="1" x14ac:dyDescent="0.15">
      <c r="A189" s="213">
        <f t="shared" si="127"/>
        <v>183</v>
      </c>
      <c r="B189" s="67">
        <f t="shared" si="128"/>
        <v>732</v>
      </c>
      <c r="C189" s="224">
        <f t="shared" si="129"/>
        <v>168.92307692307691</v>
      </c>
      <c r="D189" s="225">
        <f ca="1">IFERROR(OFFSET(extrapolation!P198,0,OS_dist_choice-1,1,1),0)</f>
        <v>6.6645557590097756E-2</v>
      </c>
      <c r="E189" s="225">
        <f ca="1">IFERROR(OFFSET(extrapolation!D198,0,PFS_dist_choice-1,1,1),0)</f>
        <v>1.2257852680829684E-2</v>
      </c>
      <c r="F189" s="214"/>
      <c r="G189" s="226">
        <f t="shared" ca="1" si="130"/>
        <v>12.257852680829684</v>
      </c>
      <c r="H189" s="224">
        <f t="shared" ca="1" si="131"/>
        <v>54.387704909267995</v>
      </c>
      <c r="I189" s="224">
        <f t="shared" ca="1" si="108"/>
        <v>933.35444240990228</v>
      </c>
      <c r="J189" s="227">
        <f t="shared" ca="1" si="109"/>
        <v>1000</v>
      </c>
      <c r="K189" s="238">
        <f t="shared" ca="1" si="132"/>
        <v>0.20958502698120718</v>
      </c>
      <c r="L189" s="239">
        <f t="shared" ca="1" si="133"/>
        <v>0.58540472962374679</v>
      </c>
      <c r="M189" s="238">
        <f t="shared" ca="1" si="134"/>
        <v>12.362645194320287</v>
      </c>
      <c r="N189" s="238">
        <f t="shared" ca="1" si="135"/>
        <v>54.575614760589303</v>
      </c>
      <c r="O189" s="239">
        <f t="shared" ca="1" si="136"/>
        <v>933.06174004509035</v>
      </c>
      <c r="P189" s="217"/>
      <c r="Q189" s="217"/>
      <c r="R189" s="224"/>
      <c r="S189" s="230">
        <f t="shared" ca="1" si="137"/>
        <v>186516.43711055841</v>
      </c>
      <c r="T189" s="231">
        <f t="shared" ca="1" si="138"/>
        <v>1161.2167702008494</v>
      </c>
      <c r="U189" s="231">
        <f t="shared" ca="1" si="139"/>
        <v>1905.0259321005158</v>
      </c>
      <c r="V189" s="231"/>
      <c r="W189" s="231">
        <f t="shared" ca="1" si="140"/>
        <v>4655.5743778579108</v>
      </c>
      <c r="X189" s="231">
        <f t="shared" ca="1" si="141"/>
        <v>581.94679723223885</v>
      </c>
      <c r="Y189" s="231"/>
      <c r="Z189" s="232">
        <f t="shared" ca="1" si="110"/>
        <v>194820.20098794991</v>
      </c>
      <c r="AA189" s="231">
        <f t="shared" ca="1" si="111"/>
        <v>143.26454380981156</v>
      </c>
      <c r="AB189" s="231">
        <f t="shared" ca="1" si="142"/>
        <v>13752.220494902558</v>
      </c>
      <c r="AC189" s="231">
        <f t="shared" ca="1" si="143"/>
        <v>73988.291912406348</v>
      </c>
      <c r="AD189" s="231">
        <f t="shared" ca="1" si="144"/>
        <v>2569.0379136252204</v>
      </c>
      <c r="AE189" s="231">
        <f t="shared" ca="1" si="112"/>
        <v>16772.14985563928</v>
      </c>
      <c r="AF189" s="231">
        <f t="shared" ca="1" si="113"/>
        <v>107224.96472038321</v>
      </c>
      <c r="AG189" s="232">
        <f t="shared" ca="1" si="114"/>
        <v>302045.16570833314</v>
      </c>
      <c r="AH189" s="244">
        <f t="shared" ca="1" si="145"/>
        <v>0.94771818053653112</v>
      </c>
      <c r="AI189" s="243">
        <f t="shared" ca="1" si="146"/>
        <v>4.1837569152539373</v>
      </c>
      <c r="AJ189" s="242">
        <f t="shared" ca="1" si="147"/>
        <v>5.1314750957904689</v>
      </c>
      <c r="AK189" s="241">
        <f t="shared" ca="1" si="148"/>
        <v>0.6823570899863024</v>
      </c>
      <c r="AL189" s="243">
        <f t="shared" ca="1" si="149"/>
        <v>1.8534043134574942</v>
      </c>
      <c r="AM189" s="243"/>
      <c r="AN189" s="242">
        <f t="shared" ca="1" si="115"/>
        <v>2.5357614034437965</v>
      </c>
      <c r="AO189" s="224"/>
      <c r="AP189" s="235">
        <f t="shared" si="150"/>
        <v>14.076923076923077</v>
      </c>
      <c r="AQ189" s="235">
        <f t="shared" si="116"/>
        <v>0.65961629423178192</v>
      </c>
      <c r="AR189" s="235">
        <f t="shared" si="117"/>
        <v>0.81092001669319502</v>
      </c>
      <c r="AT189" s="230">
        <f t="shared" ca="1" si="118"/>
        <v>123029.28106018175</v>
      </c>
      <c r="AU189" s="231">
        <f t="shared" ca="1" si="119"/>
        <v>765.95750275968294</v>
      </c>
      <c r="AV189" s="231">
        <f t="shared" ca="1" si="151"/>
        <v>1256.5861457475885</v>
      </c>
      <c r="AW189" s="231"/>
      <c r="AX189" s="231">
        <f t="shared" ca="1" si="152"/>
        <v>3070.8927186430687</v>
      </c>
      <c r="AY189" s="231">
        <f t="shared" ca="1" si="153"/>
        <v>383.86158983038359</v>
      </c>
      <c r="AZ189" s="231"/>
      <c r="BA189" s="232">
        <f t="shared" ca="1" si="120"/>
        <v>128506.57901716245</v>
      </c>
      <c r="BB189" s="231">
        <f t="shared" ca="1" si="121"/>
        <v>94.499627482634665</v>
      </c>
      <c r="BC189" s="231">
        <f t="shared" ca="1" si="154"/>
        <v>9071.1887203059869</v>
      </c>
      <c r="BD189" s="231">
        <f t="shared" ca="1" si="155"/>
        <v>48803.882927800798</v>
      </c>
      <c r="BE189" s="231">
        <f t="shared" ca="1" si="156"/>
        <v>1694.5792683264165</v>
      </c>
      <c r="BF189" s="231">
        <f t="shared" ca="1" si="122"/>
        <v>11063.183334076897</v>
      </c>
      <c r="BG189" s="231">
        <f t="shared" ca="1" si="123"/>
        <v>70727.333877992729</v>
      </c>
      <c r="BH189" s="232">
        <f t="shared" ca="1" si="124"/>
        <v>199233.9128951552</v>
      </c>
      <c r="BI189" s="244">
        <f t="shared" ca="1" si="157"/>
        <v>0.76852364278112828</v>
      </c>
      <c r="BJ189" s="243">
        <f t="shared" ca="1" si="158"/>
        <v>3.3926922275579932</v>
      </c>
      <c r="BK189" s="242">
        <f t="shared" ca="1" si="159"/>
        <v>4.161215870339122</v>
      </c>
      <c r="BL189" s="241">
        <f t="shared" ca="1" si="160"/>
        <v>0.55333702280241237</v>
      </c>
      <c r="BM189" s="243">
        <f t="shared" ca="1" si="161"/>
        <v>1.5029626568081909</v>
      </c>
      <c r="BN189" s="243">
        <f t="shared" si="125"/>
        <v>0</v>
      </c>
      <c r="BO189" s="242">
        <f t="shared" ca="1" si="126"/>
        <v>2.056299679610603</v>
      </c>
      <c r="BP189" s="67"/>
      <c r="BQ189" s="67"/>
      <c r="BR189" s="67"/>
      <c r="BS189" s="67"/>
      <c r="BT189" s="67"/>
      <c r="BU189" s="67"/>
      <c r="BV189" s="67"/>
      <c r="BW189" s="67"/>
      <c r="BX189" s="67"/>
      <c r="BY189" s="67"/>
      <c r="BZ189" s="67"/>
      <c r="CA189" s="67"/>
      <c r="CB189" s="67"/>
    </row>
    <row r="190" spans="1:80" ht="12" customHeight="1" x14ac:dyDescent="0.15">
      <c r="A190" s="213">
        <f t="shared" si="127"/>
        <v>184</v>
      </c>
      <c r="B190" s="67">
        <f t="shared" si="128"/>
        <v>736</v>
      </c>
      <c r="C190" s="224">
        <f t="shared" si="129"/>
        <v>169.84615384615384</v>
      </c>
      <c r="D190" s="225">
        <f ca="1">IFERROR(OFFSET(extrapolation!P199,0,OS_dist_choice-1,1,1),0)</f>
        <v>6.6068040811721102E-2</v>
      </c>
      <c r="E190" s="225">
        <f ca="1">IFERROR(OFFSET(extrapolation!D199,0,PFS_dist_choice-1,1,1),0)</f>
        <v>1.2052270633149287E-2</v>
      </c>
      <c r="F190" s="214"/>
      <c r="G190" s="226">
        <f t="shared" ca="1" si="130"/>
        <v>12.052270633149288</v>
      </c>
      <c r="H190" s="224">
        <f t="shared" ca="1" si="131"/>
        <v>54.01577017857187</v>
      </c>
      <c r="I190" s="224">
        <f t="shared" ca="1" si="108"/>
        <v>933.93195918827882</v>
      </c>
      <c r="J190" s="227">
        <f t="shared" ca="1" si="109"/>
        <v>1000</v>
      </c>
      <c r="K190" s="238">
        <f t="shared" ca="1" si="132"/>
        <v>0.20558204768039623</v>
      </c>
      <c r="L190" s="239">
        <f t="shared" ca="1" si="133"/>
        <v>0.57751677837654825</v>
      </c>
      <c r="M190" s="238">
        <f t="shared" ca="1" si="134"/>
        <v>12.155061656989485</v>
      </c>
      <c r="N190" s="238">
        <f t="shared" ca="1" si="135"/>
        <v>54.201737543919933</v>
      </c>
      <c r="O190" s="239">
        <f t="shared" ca="1" si="136"/>
        <v>933.64320079909055</v>
      </c>
      <c r="P190" s="217"/>
      <c r="Q190" s="217"/>
      <c r="R190" s="224"/>
      <c r="S190" s="230">
        <f t="shared" ca="1" si="137"/>
        <v>183388.28472810989</v>
      </c>
      <c r="T190" s="231">
        <f t="shared" ca="1" si="138"/>
        <v>1141.7414732108591</v>
      </c>
      <c r="U190" s="231">
        <f t="shared" ca="1" si="139"/>
        <v>1873.0382777210134</v>
      </c>
      <c r="V190" s="231"/>
      <c r="W190" s="231">
        <f t="shared" ca="1" si="140"/>
        <v>4577.4017390357285</v>
      </c>
      <c r="X190" s="231">
        <f t="shared" ca="1" si="141"/>
        <v>572.17521737946606</v>
      </c>
      <c r="Y190" s="231"/>
      <c r="Z190" s="232">
        <f t="shared" ca="1" si="110"/>
        <v>191552.64143545696</v>
      </c>
      <c r="AA190" s="231">
        <f t="shared" ca="1" si="111"/>
        <v>140.52825576638077</v>
      </c>
      <c r="AB190" s="231">
        <f t="shared" ca="1" si="142"/>
        <v>13658.009152635268</v>
      </c>
      <c r="AC190" s="231">
        <f t="shared" ca="1" si="143"/>
        <v>73481.42567246237</v>
      </c>
      <c r="AD190" s="231">
        <f t="shared" ca="1" si="144"/>
        <v>2551.4383914049431</v>
      </c>
      <c r="AE190" s="231">
        <f t="shared" ca="1" si="112"/>
        <v>16546.155951461187</v>
      </c>
      <c r="AF190" s="231">
        <f t="shared" ca="1" si="113"/>
        <v>106377.55742373015</v>
      </c>
      <c r="AG190" s="232">
        <f t="shared" ca="1" si="114"/>
        <v>297930.19885918708</v>
      </c>
      <c r="AH190" s="244">
        <f t="shared" ca="1" si="145"/>
        <v>0.9318048635063807</v>
      </c>
      <c r="AI190" s="243">
        <f t="shared" ca="1" si="146"/>
        <v>4.1550955543593648</v>
      </c>
      <c r="AJ190" s="242">
        <f t="shared" ca="1" si="147"/>
        <v>5.0869004178657455</v>
      </c>
      <c r="AK190" s="241">
        <f t="shared" ca="1" si="148"/>
        <v>0.67089950172459412</v>
      </c>
      <c r="AL190" s="243">
        <f t="shared" ca="1" si="149"/>
        <v>1.8407073305811987</v>
      </c>
      <c r="AM190" s="243"/>
      <c r="AN190" s="242">
        <f t="shared" ca="1" si="115"/>
        <v>2.5116068323057927</v>
      </c>
      <c r="AO190" s="224"/>
      <c r="AP190" s="235">
        <f t="shared" si="150"/>
        <v>14.153846153846153</v>
      </c>
      <c r="AQ190" s="235">
        <f t="shared" si="116"/>
        <v>0.65811819283451412</v>
      </c>
      <c r="AR190" s="235">
        <f t="shared" si="117"/>
        <v>0.80999181955555777</v>
      </c>
      <c r="AT190" s="230">
        <f t="shared" ca="1" si="118"/>
        <v>120691.166532285</v>
      </c>
      <c r="AU190" s="231">
        <f t="shared" ca="1" si="119"/>
        <v>751.40083503374638</v>
      </c>
      <c r="AV190" s="231">
        <f t="shared" ca="1" si="151"/>
        <v>1232.680566443624</v>
      </c>
      <c r="AW190" s="231"/>
      <c r="AX190" s="231">
        <f t="shared" ca="1" si="152"/>
        <v>3012.471360371756</v>
      </c>
      <c r="AY190" s="231">
        <f t="shared" ca="1" si="153"/>
        <v>376.5589200464695</v>
      </c>
      <c r="AZ190" s="231"/>
      <c r="BA190" s="232">
        <f t="shared" ca="1" si="120"/>
        <v>126064.27821418059</v>
      </c>
      <c r="BB190" s="231">
        <f t="shared" ca="1" si="121"/>
        <v>92.484201727156901</v>
      </c>
      <c r="BC190" s="231">
        <f t="shared" ca="1" si="154"/>
        <v>8988.5843012495752</v>
      </c>
      <c r="BD190" s="231">
        <f t="shared" ca="1" si="155"/>
        <v>48359.463070464604</v>
      </c>
      <c r="BE190" s="231">
        <f t="shared" ca="1" si="156"/>
        <v>1679.1480232800209</v>
      </c>
      <c r="BF190" s="231">
        <f t="shared" ca="1" si="122"/>
        <v>10889.326253133677</v>
      </c>
      <c r="BG190" s="231">
        <f t="shared" ca="1" si="123"/>
        <v>70009.005849855035</v>
      </c>
      <c r="BH190" s="232">
        <f t="shared" ca="1" si="124"/>
        <v>196073.28406403563</v>
      </c>
      <c r="BI190" s="244">
        <f t="shared" ca="1" si="157"/>
        <v>0.75475431686225147</v>
      </c>
      <c r="BJ190" s="243">
        <f t="shared" ca="1" si="158"/>
        <v>3.3655934085027508</v>
      </c>
      <c r="BK190" s="242">
        <f t="shared" ca="1" si="159"/>
        <v>4.1203477253650025</v>
      </c>
      <c r="BL190" s="241">
        <f t="shared" ca="1" si="160"/>
        <v>0.54342310814082107</v>
      </c>
      <c r="BM190" s="243">
        <f t="shared" ca="1" si="161"/>
        <v>1.4909578799667187</v>
      </c>
      <c r="BN190" s="243">
        <f t="shared" si="125"/>
        <v>0</v>
      </c>
      <c r="BO190" s="242">
        <f t="shared" ca="1" si="126"/>
        <v>2.0343809881075399</v>
      </c>
      <c r="BP190" s="67"/>
      <c r="BQ190" s="67"/>
      <c r="BR190" s="67"/>
      <c r="BS190" s="67"/>
      <c r="BT190" s="67"/>
      <c r="BU190" s="67"/>
      <c r="BV190" s="67"/>
      <c r="BW190" s="67"/>
      <c r="BX190" s="67"/>
      <c r="BY190" s="67"/>
      <c r="BZ190" s="67"/>
      <c r="CA190" s="67"/>
      <c r="CB190" s="67"/>
    </row>
    <row r="191" spans="1:80" ht="12" customHeight="1" x14ac:dyDescent="0.15">
      <c r="A191" s="213">
        <f t="shared" si="127"/>
        <v>185</v>
      </c>
      <c r="B191" s="67">
        <f t="shared" si="128"/>
        <v>740</v>
      </c>
      <c r="C191" s="224">
        <f t="shared" si="129"/>
        <v>170.76923076923077</v>
      </c>
      <c r="D191" s="225">
        <f ca="1">IFERROR(OFFSET(extrapolation!P200,0,OS_dist_choice-1,1,1),0)</f>
        <v>6.5498269810150375E-2</v>
      </c>
      <c r="E191" s="225">
        <f ca="1">IFERROR(OFFSET(extrapolation!D200,0,PFS_dist_choice-1,1,1),0)</f>
        <v>1.1850604952621246E-2</v>
      </c>
      <c r="F191" s="214"/>
      <c r="G191" s="226">
        <f t="shared" ca="1" si="130"/>
        <v>11.850604952621246</v>
      </c>
      <c r="H191" s="224">
        <f t="shared" ca="1" si="131"/>
        <v>53.647664857529207</v>
      </c>
      <c r="I191" s="224">
        <f t="shared" ca="1" si="108"/>
        <v>934.50173018984958</v>
      </c>
      <c r="J191" s="227">
        <f t="shared" ca="1" si="109"/>
        <v>1000</v>
      </c>
      <c r="K191" s="238">
        <f t="shared" ca="1" si="132"/>
        <v>0.20166568052804124</v>
      </c>
      <c r="L191" s="239">
        <f t="shared" ca="1" si="133"/>
        <v>0.56977100157075711</v>
      </c>
      <c r="M191" s="238">
        <f t="shared" ca="1" si="134"/>
        <v>11.951437792885267</v>
      </c>
      <c r="N191" s="238">
        <f t="shared" ca="1" si="135"/>
        <v>53.831717518050539</v>
      </c>
      <c r="O191" s="239">
        <f t="shared" ca="1" si="136"/>
        <v>934.21684468906415</v>
      </c>
      <c r="P191" s="217"/>
      <c r="Q191" s="217"/>
      <c r="R191" s="224"/>
      <c r="S191" s="230">
        <f t="shared" ca="1" si="137"/>
        <v>180319.72409200502</v>
      </c>
      <c r="T191" s="231">
        <f t="shared" ca="1" si="138"/>
        <v>1122.6371833894157</v>
      </c>
      <c r="U191" s="231">
        <f t="shared" ca="1" si="139"/>
        <v>1841.6607905072526</v>
      </c>
      <c r="V191" s="231"/>
      <c r="W191" s="231">
        <f t="shared" ca="1" si="140"/>
        <v>4500.7202497959051</v>
      </c>
      <c r="X191" s="231">
        <f t="shared" ca="1" si="141"/>
        <v>562.59003122448814</v>
      </c>
      <c r="Y191" s="231"/>
      <c r="Z191" s="232">
        <f t="shared" ca="1" si="110"/>
        <v>188347.33234692208</v>
      </c>
      <c r="AA191" s="231">
        <f t="shared" ca="1" si="111"/>
        <v>137.85117257224505</v>
      </c>
      <c r="AB191" s="231">
        <f t="shared" ca="1" si="142"/>
        <v>13564.769763475697</v>
      </c>
      <c r="AC191" s="231">
        <f t="shared" ca="1" si="143"/>
        <v>72979.788635343168</v>
      </c>
      <c r="AD191" s="231">
        <f t="shared" ca="1" si="144"/>
        <v>2534.0204387271929</v>
      </c>
      <c r="AE191" s="231">
        <f t="shared" ca="1" si="112"/>
        <v>16324.235418945909</v>
      </c>
      <c r="AF191" s="231">
        <f t="shared" ca="1" si="113"/>
        <v>105540.66542906422</v>
      </c>
      <c r="AG191" s="232">
        <f t="shared" ca="1" si="114"/>
        <v>293887.99777598632</v>
      </c>
      <c r="AH191" s="244">
        <f t="shared" ca="1" si="145"/>
        <v>0.91619509432111557</v>
      </c>
      <c r="AI191" s="243">
        <f t="shared" ca="1" si="146"/>
        <v>4.1267298850250924</v>
      </c>
      <c r="AJ191" s="242">
        <f t="shared" ca="1" si="147"/>
        <v>5.0429249793462079</v>
      </c>
      <c r="AK191" s="241">
        <f t="shared" ca="1" si="148"/>
        <v>0.65966046791120314</v>
      </c>
      <c r="AL191" s="243">
        <f t="shared" ca="1" si="149"/>
        <v>1.8281413390661159</v>
      </c>
      <c r="AM191" s="243"/>
      <c r="AN191" s="242">
        <f t="shared" ca="1" si="115"/>
        <v>2.4878018069773189</v>
      </c>
      <c r="AO191" s="224"/>
      <c r="AP191" s="235">
        <f t="shared" si="150"/>
        <v>14.23076923076923</v>
      </c>
      <c r="AQ191" s="235">
        <f t="shared" si="116"/>
        <v>0.65662349388169183</v>
      </c>
      <c r="AR191" s="235">
        <f t="shared" si="117"/>
        <v>0.8090646848530666</v>
      </c>
      <c r="AT191" s="230">
        <f t="shared" ca="1" si="118"/>
        <v>118402.16724907502</v>
      </c>
      <c r="AU191" s="231">
        <f t="shared" ca="1" si="119"/>
        <v>737.14994971865974</v>
      </c>
      <c r="AV191" s="231">
        <f t="shared" ca="1" si="151"/>
        <v>1209.2777428077907</v>
      </c>
      <c r="AW191" s="231"/>
      <c r="AX191" s="231">
        <f t="shared" ca="1" si="152"/>
        <v>2955.2786554050681</v>
      </c>
      <c r="AY191" s="231">
        <f t="shared" ca="1" si="153"/>
        <v>369.40983192563351</v>
      </c>
      <c r="AZ191" s="231"/>
      <c r="BA191" s="232">
        <f t="shared" ca="1" si="120"/>
        <v>123673.28342893216</v>
      </c>
      <c r="BB191" s="231">
        <f t="shared" ca="1" si="121"/>
        <v>90.516318570075597</v>
      </c>
      <c r="BC191" s="231">
        <f t="shared" ca="1" si="154"/>
        <v>8906.9465157941431</v>
      </c>
      <c r="BD191" s="231">
        <f t="shared" ca="1" si="155"/>
        <v>47920.243796486415</v>
      </c>
      <c r="BE191" s="231">
        <f t="shared" ca="1" si="156"/>
        <v>1663.8973540446671</v>
      </c>
      <c r="BF191" s="231">
        <f t="shared" ca="1" si="122"/>
        <v>10718.876495735527</v>
      </c>
      <c r="BG191" s="231">
        <f t="shared" ca="1" si="123"/>
        <v>69300.480480630838</v>
      </c>
      <c r="BH191" s="232">
        <f t="shared" ca="1" si="124"/>
        <v>192973.76390956301</v>
      </c>
      <c r="BI191" s="244">
        <f t="shared" ca="1" si="157"/>
        <v>0.74126109525083894</v>
      </c>
      <c r="BJ191" s="243">
        <f t="shared" ca="1" si="158"/>
        <v>3.338791413901558</v>
      </c>
      <c r="BK191" s="242">
        <f t="shared" ca="1" si="159"/>
        <v>4.0800525091523969</v>
      </c>
      <c r="BL191" s="241">
        <f t="shared" ca="1" si="160"/>
        <v>0.53370798858060398</v>
      </c>
      <c r="BM191" s="243">
        <f t="shared" ca="1" si="161"/>
        <v>1.4790845963583903</v>
      </c>
      <c r="BN191" s="243">
        <f t="shared" si="125"/>
        <v>0</v>
      </c>
      <c r="BO191" s="242">
        <f t="shared" ca="1" si="126"/>
        <v>2.0127925849389943</v>
      </c>
      <c r="BP191" s="67"/>
      <c r="BQ191" s="67"/>
      <c r="BR191" s="67"/>
      <c r="BS191" s="67"/>
      <c r="BT191" s="67"/>
      <c r="BU191" s="67"/>
      <c r="BV191" s="67"/>
      <c r="BW191" s="67"/>
      <c r="BX191" s="67"/>
      <c r="BY191" s="67"/>
      <c r="BZ191" s="67"/>
      <c r="CA191" s="67"/>
      <c r="CB191" s="67"/>
    </row>
    <row r="192" spans="1:80" ht="12" customHeight="1" x14ac:dyDescent="0.15">
      <c r="A192" s="213">
        <f t="shared" si="127"/>
        <v>186</v>
      </c>
      <c r="B192" s="67">
        <f t="shared" si="128"/>
        <v>744</v>
      </c>
      <c r="C192" s="224">
        <f t="shared" si="129"/>
        <v>171.69230769230771</v>
      </c>
      <c r="D192" s="225">
        <f ca="1">IFERROR(OFFSET(extrapolation!P201,0,OS_dist_choice-1,1,1),0)</f>
        <v>6.493610558944006E-2</v>
      </c>
      <c r="E192" s="225">
        <f ca="1">IFERROR(OFFSET(extrapolation!D201,0,PFS_dist_choice-1,1,1),0)</f>
        <v>1.1652771141402729E-2</v>
      </c>
      <c r="F192" s="214"/>
      <c r="G192" s="226">
        <f t="shared" ca="1" si="130"/>
        <v>11.652771141402729</v>
      </c>
      <c r="H192" s="224">
        <f t="shared" ca="1" si="131"/>
        <v>53.283334448037408</v>
      </c>
      <c r="I192" s="224">
        <f t="shared" ca="1" si="108"/>
        <v>935.0638944105599</v>
      </c>
      <c r="J192" s="227">
        <f t="shared" ca="1" si="109"/>
        <v>1000</v>
      </c>
      <c r="K192" s="238">
        <f t="shared" ca="1" si="132"/>
        <v>0.1978338112185174</v>
      </c>
      <c r="L192" s="239">
        <f t="shared" ca="1" si="133"/>
        <v>0.56216422071031502</v>
      </c>
      <c r="M192" s="238">
        <f t="shared" ca="1" si="134"/>
        <v>11.751688047011989</v>
      </c>
      <c r="N192" s="238">
        <f t="shared" ca="1" si="135"/>
        <v>53.465499652783308</v>
      </c>
      <c r="O192" s="239">
        <f t="shared" ca="1" si="136"/>
        <v>934.7828123002048</v>
      </c>
      <c r="P192" s="217"/>
      <c r="Q192" s="217"/>
      <c r="R192" s="224"/>
      <c r="S192" s="230">
        <f t="shared" ca="1" si="137"/>
        <v>177309.46947651368</v>
      </c>
      <c r="T192" s="231">
        <f t="shared" ca="1" si="138"/>
        <v>1103.8958960464076</v>
      </c>
      <c r="U192" s="231">
        <f t="shared" ca="1" si="139"/>
        <v>1810.8802868336611</v>
      </c>
      <c r="V192" s="231"/>
      <c r="W192" s="231">
        <f t="shared" ca="1" si="140"/>
        <v>4425.4976914959625</v>
      </c>
      <c r="X192" s="231">
        <f t="shared" ca="1" si="141"/>
        <v>553.18721143699531</v>
      </c>
      <c r="Y192" s="231"/>
      <c r="Z192" s="232">
        <f t="shared" ca="1" si="110"/>
        <v>185202.93056232668</v>
      </c>
      <c r="AA192" s="231">
        <f t="shared" ca="1" si="111"/>
        <v>135.23184896657079</v>
      </c>
      <c r="AB192" s="231">
        <f t="shared" ca="1" si="142"/>
        <v>13472.48846065537</v>
      </c>
      <c r="AC192" s="231">
        <f t="shared" ca="1" si="143"/>
        <v>72483.306196477497</v>
      </c>
      <c r="AD192" s="231">
        <f t="shared" ca="1" si="144"/>
        <v>2516.7814651554686</v>
      </c>
      <c r="AE192" s="231">
        <f t="shared" ca="1" si="112"/>
        <v>16106.297192528875</v>
      </c>
      <c r="AF192" s="231">
        <f t="shared" ca="1" si="113"/>
        <v>104714.10516378378</v>
      </c>
      <c r="AG192" s="232">
        <f t="shared" ca="1" si="114"/>
        <v>289917.03572611045</v>
      </c>
      <c r="AH192" s="244">
        <f t="shared" ca="1" si="145"/>
        <v>0.90088231434999511</v>
      </c>
      <c r="AI192" s="243">
        <f t="shared" ca="1" si="146"/>
        <v>4.0986556886459482</v>
      </c>
      <c r="AJ192" s="242">
        <f t="shared" ca="1" si="147"/>
        <v>4.9995380029959433</v>
      </c>
      <c r="AK192" s="241">
        <f t="shared" ca="1" si="148"/>
        <v>0.64863526633199642</v>
      </c>
      <c r="AL192" s="243">
        <f t="shared" ca="1" si="149"/>
        <v>1.815704470070155</v>
      </c>
      <c r="AM192" s="243"/>
      <c r="AN192" s="242">
        <f t="shared" ca="1" si="115"/>
        <v>2.4643397364021515</v>
      </c>
      <c r="AO192" s="224"/>
      <c r="AP192" s="235">
        <f t="shared" si="150"/>
        <v>14.307692307692308</v>
      </c>
      <c r="AQ192" s="235">
        <f t="shared" si="116"/>
        <v>0.65513218964578201</v>
      </c>
      <c r="AR192" s="235">
        <f t="shared" si="117"/>
        <v>0.80813861136963439</v>
      </c>
      <c r="AT192" s="230">
        <f t="shared" ca="1" si="118"/>
        <v>116161.14098308036</v>
      </c>
      <c r="AU192" s="231">
        <f t="shared" ca="1" si="119"/>
        <v>723.19773551787557</v>
      </c>
      <c r="AV192" s="231">
        <f t="shared" ca="1" si="151"/>
        <v>1186.3659674997182</v>
      </c>
      <c r="AW192" s="231"/>
      <c r="AX192" s="231">
        <f t="shared" ca="1" si="152"/>
        <v>2899.2859929021033</v>
      </c>
      <c r="AY192" s="231">
        <f t="shared" ca="1" si="153"/>
        <v>362.41074911276291</v>
      </c>
      <c r="AZ192" s="231"/>
      <c r="BA192" s="232">
        <f t="shared" ca="1" si="120"/>
        <v>121332.4014281128</v>
      </c>
      <c r="BB192" s="231">
        <f t="shared" ca="1" si="121"/>
        <v>88.594737323317204</v>
      </c>
      <c r="BC192" s="231">
        <f t="shared" ca="1" si="154"/>
        <v>8826.2608652066829</v>
      </c>
      <c r="BD192" s="231">
        <f t="shared" ca="1" si="155"/>
        <v>47486.147101263981</v>
      </c>
      <c r="BE192" s="231">
        <f t="shared" ca="1" si="156"/>
        <v>1648.8245521272215</v>
      </c>
      <c r="BF192" s="231">
        <f t="shared" ca="1" si="122"/>
        <v>10551.753746827153</v>
      </c>
      <c r="BG192" s="231">
        <f t="shared" ca="1" si="123"/>
        <v>68601.581002748353</v>
      </c>
      <c r="BH192" s="232">
        <f t="shared" ca="1" si="124"/>
        <v>189933.98243086116</v>
      </c>
      <c r="BI192" s="244">
        <f t="shared" ca="1" si="157"/>
        <v>0.7280377825262675</v>
      </c>
      <c r="BJ192" s="243">
        <f t="shared" ca="1" si="158"/>
        <v>3.3122819167045892</v>
      </c>
      <c r="BK192" s="242">
        <f t="shared" ca="1" si="159"/>
        <v>4.0403196992308565</v>
      </c>
      <c r="BL192" s="241">
        <f t="shared" ca="1" si="160"/>
        <v>0.52418720341891256</v>
      </c>
      <c r="BM192" s="243">
        <f t="shared" ca="1" si="161"/>
        <v>1.4673408891001329</v>
      </c>
      <c r="BN192" s="243">
        <f t="shared" si="125"/>
        <v>0</v>
      </c>
      <c r="BO192" s="242">
        <f t="shared" ca="1" si="126"/>
        <v>1.9915280925190455</v>
      </c>
      <c r="BP192" s="67"/>
      <c r="BQ192" s="67"/>
      <c r="BR192" s="67"/>
      <c r="BS192" s="67"/>
      <c r="BT192" s="67"/>
      <c r="BU192" s="67"/>
      <c r="BV192" s="67"/>
      <c r="BW192" s="67"/>
      <c r="BX192" s="67"/>
      <c r="BY192" s="67"/>
      <c r="BZ192" s="67"/>
      <c r="CA192" s="67"/>
      <c r="CB192" s="67"/>
    </row>
    <row r="193" spans="1:80" ht="12" customHeight="1" x14ac:dyDescent="0.15">
      <c r="A193" s="213">
        <f t="shared" si="127"/>
        <v>187</v>
      </c>
      <c r="B193" s="67">
        <f t="shared" si="128"/>
        <v>748</v>
      </c>
      <c r="C193" s="224">
        <f t="shared" si="129"/>
        <v>172.61538461538461</v>
      </c>
      <c r="D193" s="225">
        <f ca="1">IFERROR(OFFSET(extrapolation!P202,0,OS_dist_choice-1,1,1),0)</f>
        <v>6.438141224804339E-2</v>
      </c>
      <c r="E193" s="225">
        <f ca="1">IFERROR(OFFSET(extrapolation!D202,0,PFS_dist_choice-1,1,1),0)</f>
        <v>1.1458686758017311E-2</v>
      </c>
      <c r="F193" s="214"/>
      <c r="G193" s="226">
        <f t="shared" ca="1" si="130"/>
        <v>11.458686758017311</v>
      </c>
      <c r="H193" s="224">
        <f t="shared" ca="1" si="131"/>
        <v>52.922725490026096</v>
      </c>
      <c r="I193" s="224">
        <f t="shared" ca="1" si="108"/>
        <v>935.61858775195662</v>
      </c>
      <c r="J193" s="227">
        <f t="shared" ca="1" si="109"/>
        <v>1000</v>
      </c>
      <c r="K193" s="238">
        <f t="shared" ca="1" si="132"/>
        <v>0.19408438338541778</v>
      </c>
      <c r="L193" s="239">
        <f t="shared" ca="1" si="133"/>
        <v>0.5546933413967281</v>
      </c>
      <c r="M193" s="238">
        <f t="shared" ca="1" si="134"/>
        <v>11.555728949710019</v>
      </c>
      <c r="N193" s="238">
        <f t="shared" ca="1" si="135"/>
        <v>53.103029969031752</v>
      </c>
      <c r="O193" s="239">
        <f t="shared" ca="1" si="136"/>
        <v>935.3412410812582</v>
      </c>
      <c r="P193" s="217"/>
      <c r="Q193" s="217"/>
      <c r="R193" s="224"/>
      <c r="S193" s="230">
        <f t="shared" ca="1" si="137"/>
        <v>174356.26644573637</v>
      </c>
      <c r="T193" s="231">
        <f t="shared" ca="1" si="138"/>
        <v>1085.5098012964106</v>
      </c>
      <c r="U193" s="231">
        <f t="shared" ca="1" si="139"/>
        <v>1780.683904415215</v>
      </c>
      <c r="V193" s="231"/>
      <c r="W193" s="231">
        <f t="shared" ca="1" si="140"/>
        <v>4351.7026307975975</v>
      </c>
      <c r="X193" s="231">
        <f t="shared" ca="1" si="141"/>
        <v>543.96282884969969</v>
      </c>
      <c r="Y193" s="231"/>
      <c r="Z193" s="232">
        <f t="shared" ca="1" si="110"/>
        <v>182118.12561109531</v>
      </c>
      <c r="AA193" s="231">
        <f t="shared" ca="1" si="111"/>
        <v>132.66887929362278</v>
      </c>
      <c r="AB193" s="231">
        <f t="shared" ca="1" si="142"/>
        <v>13381.151642269795</v>
      </c>
      <c r="AC193" s="231">
        <f t="shared" ca="1" si="143"/>
        <v>71991.905176288274</v>
      </c>
      <c r="AD193" s="231">
        <f t="shared" ca="1" si="144"/>
        <v>2499.7189297322316</v>
      </c>
      <c r="AE193" s="231">
        <f t="shared" ca="1" si="112"/>
        <v>15892.252616084454</v>
      </c>
      <c r="AF193" s="231">
        <f t="shared" ca="1" si="113"/>
        <v>103897.69724366839</v>
      </c>
      <c r="AG193" s="232">
        <f t="shared" ca="1" si="114"/>
        <v>286015.82285476371</v>
      </c>
      <c r="AH193" s="244">
        <f t="shared" ca="1" si="145"/>
        <v>0.88586012482376608</v>
      </c>
      <c r="AI193" s="243">
        <f t="shared" ca="1" si="146"/>
        <v>4.0708688271947677</v>
      </c>
      <c r="AJ193" s="242">
        <f t="shared" ca="1" si="147"/>
        <v>4.9567289520185334</v>
      </c>
      <c r="AK193" s="241">
        <f t="shared" ca="1" si="148"/>
        <v>0.63781928987311154</v>
      </c>
      <c r="AL193" s="243">
        <f t="shared" ca="1" si="149"/>
        <v>1.8033948904472821</v>
      </c>
      <c r="AM193" s="243"/>
      <c r="AN193" s="242">
        <f t="shared" ca="1" si="115"/>
        <v>2.4412141803203937</v>
      </c>
      <c r="AO193" s="224"/>
      <c r="AP193" s="235">
        <f t="shared" si="150"/>
        <v>14.384615384615385</v>
      </c>
      <c r="AQ193" s="235">
        <f t="shared" si="116"/>
        <v>0.6536442724168019</v>
      </c>
      <c r="AR193" s="235">
        <f t="shared" si="117"/>
        <v>0.80721359789056624</v>
      </c>
      <c r="AT193" s="230">
        <f t="shared" ca="1" si="118"/>
        <v>113966.97492223341</v>
      </c>
      <c r="AU193" s="231">
        <f t="shared" ca="1" si="119"/>
        <v>709.53726426969956</v>
      </c>
      <c r="AV193" s="231">
        <f t="shared" ca="1" si="151"/>
        <v>1163.9338351057932</v>
      </c>
      <c r="AW193" s="231"/>
      <c r="AX193" s="231">
        <f t="shared" ca="1" si="152"/>
        <v>2844.4654998819783</v>
      </c>
      <c r="AY193" s="231">
        <f t="shared" ca="1" si="153"/>
        <v>355.55818748524729</v>
      </c>
      <c r="AZ193" s="231"/>
      <c r="BA193" s="232">
        <f t="shared" ca="1" si="120"/>
        <v>119040.46970897613</v>
      </c>
      <c r="BB193" s="231">
        <f t="shared" ca="1" si="121"/>
        <v>86.718253078232578</v>
      </c>
      <c r="BC193" s="231">
        <f t="shared" ca="1" si="154"/>
        <v>8746.5131293103332</v>
      </c>
      <c r="BD193" s="231">
        <f t="shared" ca="1" si="155"/>
        <v>47057.096478854342</v>
      </c>
      <c r="BE193" s="231">
        <f t="shared" ca="1" si="156"/>
        <v>1633.9269610713313</v>
      </c>
      <c r="BF193" s="231">
        <f t="shared" ca="1" si="122"/>
        <v>10387.87989830454</v>
      </c>
      <c r="BG193" s="231">
        <f t="shared" ca="1" si="123"/>
        <v>67912.134720618793</v>
      </c>
      <c r="BH193" s="232">
        <f t="shared" ca="1" si="124"/>
        <v>186952.60442959494</v>
      </c>
      <c r="BI193" s="244">
        <f t="shared" ca="1" si="157"/>
        <v>0.71507833858677827</v>
      </c>
      <c r="BJ193" s="243">
        <f t="shared" ca="1" si="158"/>
        <v>3.286060672540438</v>
      </c>
      <c r="BK193" s="242">
        <f t="shared" ca="1" si="159"/>
        <v>4.0011390111272158</v>
      </c>
      <c r="BL193" s="241">
        <f t="shared" ca="1" si="160"/>
        <v>0.51485640378248032</v>
      </c>
      <c r="BM193" s="243">
        <f t="shared" ca="1" si="161"/>
        <v>1.4557248779354142</v>
      </c>
      <c r="BN193" s="243">
        <f t="shared" si="125"/>
        <v>0</v>
      </c>
      <c r="BO193" s="242">
        <f t="shared" ca="1" si="126"/>
        <v>1.9705812817178945</v>
      </c>
      <c r="BP193" s="67"/>
      <c r="BQ193" s="67"/>
      <c r="BR193" s="67"/>
      <c r="BS193" s="67"/>
      <c r="BT193" s="67"/>
      <c r="BU193" s="67"/>
      <c r="BV193" s="67"/>
      <c r="BW193" s="67"/>
      <c r="BX193" s="67"/>
      <c r="BY193" s="67"/>
      <c r="BZ193" s="67"/>
      <c r="CA193" s="67"/>
      <c r="CB193" s="67"/>
    </row>
    <row r="194" spans="1:80" ht="12" customHeight="1" x14ac:dyDescent="0.15">
      <c r="A194" s="213">
        <f t="shared" si="127"/>
        <v>188</v>
      </c>
      <c r="B194" s="67">
        <f t="shared" si="128"/>
        <v>752</v>
      </c>
      <c r="C194" s="224">
        <f t="shared" si="129"/>
        <v>173.53846153846155</v>
      </c>
      <c r="D194" s="225">
        <f ca="1">IFERROR(OFFSET(extrapolation!P203,0,OS_dist_choice-1,1,1),0)</f>
        <v>6.3834056897263056E-2</v>
      </c>
      <c r="E194" s="225">
        <f ca="1">IFERROR(OFFSET(extrapolation!D203,0,PFS_dist_choice-1,1,1),0)</f>
        <v>1.1268271361187798E-2</v>
      </c>
      <c r="F194" s="214"/>
      <c r="G194" s="226">
        <f t="shared" ca="1" si="130"/>
        <v>11.268271361187798</v>
      </c>
      <c r="H194" s="224">
        <f t="shared" ca="1" si="131"/>
        <v>52.565785536075282</v>
      </c>
      <c r="I194" s="224">
        <f t="shared" ca="1" si="108"/>
        <v>936.16594310273695</v>
      </c>
      <c r="J194" s="227">
        <f t="shared" ca="1" si="109"/>
        <v>1000</v>
      </c>
      <c r="K194" s="238">
        <f t="shared" ca="1" si="132"/>
        <v>0.19041539682951303</v>
      </c>
      <c r="L194" s="239">
        <f t="shared" ca="1" si="133"/>
        <v>0.54735535078032171</v>
      </c>
      <c r="M194" s="238">
        <f t="shared" ca="1" si="134"/>
        <v>11.363479059602554</v>
      </c>
      <c r="N194" s="238">
        <f t="shared" ca="1" si="135"/>
        <v>52.744255513050689</v>
      </c>
      <c r="O194" s="239">
        <f t="shared" ca="1" si="136"/>
        <v>935.89226542734673</v>
      </c>
      <c r="P194" s="217"/>
      <c r="Q194" s="217"/>
      <c r="R194" s="224"/>
      <c r="S194" s="230">
        <f t="shared" ca="1" si="137"/>
        <v>171458.89099896033</v>
      </c>
      <c r="T194" s="231">
        <f t="shared" ca="1" si="138"/>
        <v>1067.4712787378319</v>
      </c>
      <c r="U194" s="231">
        <f t="shared" ca="1" si="139"/>
        <v>1751.0590935158086</v>
      </c>
      <c r="V194" s="231"/>
      <c r="W194" s="231">
        <f t="shared" ca="1" si="140"/>
        <v>4279.304398181368</v>
      </c>
      <c r="X194" s="231">
        <f t="shared" ca="1" si="141"/>
        <v>534.913049772671</v>
      </c>
      <c r="Y194" s="231"/>
      <c r="Z194" s="232">
        <f t="shared" ca="1" si="110"/>
        <v>179091.63881916797</v>
      </c>
      <c r="AA194" s="231">
        <f t="shared" ca="1" si="111"/>
        <v>130.16089629146319</v>
      </c>
      <c r="AB194" s="231">
        <f t="shared" ca="1" si="142"/>
        <v>13290.745964784815</v>
      </c>
      <c r="AC194" s="231">
        <f t="shared" ca="1" si="143"/>
        <v>71505.513785256058</v>
      </c>
      <c r="AD194" s="231">
        <f t="shared" ca="1" si="144"/>
        <v>2482.8303397658351</v>
      </c>
      <c r="AE194" s="231">
        <f t="shared" ca="1" si="112"/>
        <v>15682.015369903089</v>
      </c>
      <c r="AF194" s="231">
        <f t="shared" ca="1" si="113"/>
        <v>103091.26635600126</v>
      </c>
      <c r="AG194" s="232">
        <f t="shared" ca="1" si="114"/>
        <v>282182.90517516923</v>
      </c>
      <c r="AH194" s="244">
        <f t="shared" ca="1" si="145"/>
        <v>0.87112228246097612</v>
      </c>
      <c r="AI194" s="243">
        <f t="shared" ca="1" si="146"/>
        <v>4.0433652412468701</v>
      </c>
      <c r="AJ194" s="242">
        <f t="shared" ca="1" si="147"/>
        <v>4.9144875237078463</v>
      </c>
      <c r="AK194" s="241">
        <f t="shared" ca="1" si="148"/>
        <v>0.62720804337190283</v>
      </c>
      <c r="AL194" s="243">
        <f t="shared" ca="1" si="149"/>
        <v>1.7912108018723636</v>
      </c>
      <c r="AM194" s="243"/>
      <c r="AN194" s="242">
        <f t="shared" ca="1" si="115"/>
        <v>2.4184188452442665</v>
      </c>
      <c r="AO194" s="224"/>
      <c r="AP194" s="235">
        <f t="shared" si="150"/>
        <v>14.461538461538462</v>
      </c>
      <c r="AQ194" s="235">
        <f t="shared" si="116"/>
        <v>0.6521597345022796</v>
      </c>
      <c r="AR194" s="235">
        <f t="shared" si="117"/>
        <v>0.80628964320255747</v>
      </c>
      <c r="AT194" s="230">
        <f t="shared" ca="1" si="118"/>
        <v>111818.58483193726</v>
      </c>
      <c r="AU194" s="231">
        <f t="shared" ca="1" si="119"/>
        <v>696.1617857304733</v>
      </c>
      <c r="AV194" s="231">
        <f t="shared" ca="1" si="151"/>
        <v>1141.9702335250722</v>
      </c>
      <c r="AW194" s="231"/>
      <c r="AX194" s="231">
        <f t="shared" ca="1" si="152"/>
        <v>2790.7900201723983</v>
      </c>
      <c r="AY194" s="231">
        <f t="shared" ca="1" si="153"/>
        <v>348.84875252154978</v>
      </c>
      <c r="AZ194" s="231"/>
      <c r="BA194" s="232">
        <f t="shared" ca="1" si="120"/>
        <v>116796.35562388673</v>
      </c>
      <c r="BB194" s="231">
        <f t="shared" ca="1" si="121"/>
        <v>84.885695568019386</v>
      </c>
      <c r="BC194" s="231">
        <f t="shared" ca="1" si="154"/>
        <v>8667.6893597313083</v>
      </c>
      <c r="BD194" s="231">
        <f t="shared" ca="1" si="155"/>
        <v>46633.016885641686</v>
      </c>
      <c r="BE194" s="231">
        <f t="shared" ca="1" si="156"/>
        <v>1619.2019751958917</v>
      </c>
      <c r="BF194" s="231">
        <f t="shared" ca="1" si="122"/>
        <v>10227.178980096667</v>
      </c>
      <c r="BG194" s="231">
        <f t="shared" ca="1" si="123"/>
        <v>67231.972896233565</v>
      </c>
      <c r="BH194" s="232">
        <f t="shared" ca="1" si="124"/>
        <v>184028.3285201203</v>
      </c>
      <c r="BI194" s="244">
        <f t="shared" ca="1" si="157"/>
        <v>0.70237687431125795</v>
      </c>
      <c r="BJ194" s="243">
        <f t="shared" ca="1" si="158"/>
        <v>3.2601235177025618</v>
      </c>
      <c r="BK194" s="242">
        <f t="shared" ca="1" si="159"/>
        <v>3.9625003920138195</v>
      </c>
      <c r="BL194" s="241">
        <f t="shared" ca="1" si="160"/>
        <v>0.50571134950410568</v>
      </c>
      <c r="BM194" s="243">
        <f t="shared" ca="1" si="161"/>
        <v>1.4442347183422348</v>
      </c>
      <c r="BN194" s="243">
        <f t="shared" si="125"/>
        <v>0</v>
      </c>
      <c r="BO194" s="242">
        <f t="shared" ca="1" si="126"/>
        <v>1.9499460678463407</v>
      </c>
      <c r="BP194" s="67"/>
      <c r="BQ194" s="67"/>
      <c r="BR194" s="67"/>
      <c r="BS194" s="67"/>
      <c r="BT194" s="67"/>
      <c r="BU194" s="67"/>
      <c r="BV194" s="67"/>
      <c r="BW194" s="67"/>
      <c r="BX194" s="67"/>
      <c r="BY194" s="67"/>
      <c r="BZ194" s="67"/>
      <c r="CA194" s="67"/>
      <c r="CB194" s="67"/>
    </row>
    <row r="195" spans="1:80" ht="12" customHeight="1" x14ac:dyDescent="0.15">
      <c r="A195" s="213">
        <f t="shared" si="127"/>
        <v>189</v>
      </c>
      <c r="B195" s="67">
        <f t="shared" si="128"/>
        <v>756</v>
      </c>
      <c r="C195" s="224">
        <f t="shared" si="129"/>
        <v>174.46153846153845</v>
      </c>
      <c r="D195" s="225">
        <f ca="1">IFERROR(OFFSET(extrapolation!P204,0,OS_dist_choice-1,1,1),0)</f>
        <v>6.3293909582164923E-2</v>
      </c>
      <c r="E195" s="225">
        <f ca="1">IFERROR(OFFSET(extrapolation!D204,0,PFS_dist_choice-1,1,1),0)</f>
        <v>1.1081446455381228E-2</v>
      </c>
      <c r="F195" s="214"/>
      <c r="G195" s="226">
        <f t="shared" ca="1" si="130"/>
        <v>11.081446455381228</v>
      </c>
      <c r="H195" s="224">
        <f t="shared" ca="1" si="131"/>
        <v>52.212463126783746</v>
      </c>
      <c r="I195" s="224">
        <f t="shared" ca="1" si="108"/>
        <v>936.70609041783507</v>
      </c>
      <c r="J195" s="227">
        <f t="shared" ca="1" si="109"/>
        <v>1000</v>
      </c>
      <c r="K195" s="238">
        <f t="shared" ca="1" si="132"/>
        <v>0.18682490580657074</v>
      </c>
      <c r="L195" s="239">
        <f t="shared" ca="1" si="133"/>
        <v>0.54014731509812464</v>
      </c>
      <c r="M195" s="238">
        <f t="shared" ca="1" si="134"/>
        <v>11.174858908284513</v>
      </c>
      <c r="N195" s="238">
        <f t="shared" ca="1" si="135"/>
        <v>52.389124331429514</v>
      </c>
      <c r="O195" s="239">
        <f t="shared" ca="1" si="136"/>
        <v>936.43601676028607</v>
      </c>
      <c r="P195" s="217"/>
      <c r="Q195" s="217"/>
      <c r="R195" s="224"/>
      <c r="S195" s="230">
        <f t="shared" ca="1" si="137"/>
        <v>168616.14874206786</v>
      </c>
      <c r="T195" s="231">
        <f t="shared" ca="1" si="138"/>
        <v>1049.7728922942531</v>
      </c>
      <c r="U195" s="231">
        <f t="shared" ca="1" si="139"/>
        <v>1721.9936084250712</v>
      </c>
      <c r="V195" s="231"/>
      <c r="W195" s="231">
        <f t="shared" ca="1" si="140"/>
        <v>4208.2730671174149</v>
      </c>
      <c r="X195" s="231">
        <f t="shared" ca="1" si="141"/>
        <v>526.03413338967687</v>
      </c>
      <c r="Y195" s="231"/>
      <c r="Z195" s="232">
        <f t="shared" ca="1" si="110"/>
        <v>176122.22244329427</v>
      </c>
      <c r="AA195" s="231">
        <f t="shared" ca="1" si="111"/>
        <v>127.70656992156859</v>
      </c>
      <c r="AB195" s="231">
        <f t="shared" ca="1" si="142"/>
        <v>13201.258336735293</v>
      </c>
      <c r="AC195" s="231">
        <f t="shared" ca="1" si="143"/>
        <v>71024.061590017387</v>
      </c>
      <c r="AD195" s="231">
        <f t="shared" ca="1" si="144"/>
        <v>2466.1132496533814</v>
      </c>
      <c r="AE195" s="231">
        <f t="shared" ca="1" si="112"/>
        <v>15475.501400150391</v>
      </c>
      <c r="AF195" s="231">
        <f t="shared" ca="1" si="113"/>
        <v>102294.64114647802</v>
      </c>
      <c r="AG195" s="232">
        <f t="shared" ca="1" si="114"/>
        <v>278416.86358977231</v>
      </c>
      <c r="AH195" s="244">
        <f t="shared" ca="1" si="145"/>
        <v>0.856662695227834</v>
      </c>
      <c r="AI195" s="243">
        <f t="shared" ca="1" si="146"/>
        <v>4.0161409480630432</v>
      </c>
      <c r="AJ195" s="242">
        <f t="shared" ca="1" si="147"/>
        <v>4.8728036432908777</v>
      </c>
      <c r="AK195" s="241">
        <f t="shared" ca="1" si="148"/>
        <v>0.61679714056404045</v>
      </c>
      <c r="AL195" s="243">
        <f t="shared" ca="1" si="149"/>
        <v>1.7791504399919282</v>
      </c>
      <c r="AM195" s="243"/>
      <c r="AN195" s="242">
        <f t="shared" ca="1" si="115"/>
        <v>2.3959475805559687</v>
      </c>
      <c r="AO195" s="224"/>
      <c r="AP195" s="235">
        <f t="shared" si="150"/>
        <v>14.538461538461538</v>
      </c>
      <c r="AQ195" s="235">
        <f t="shared" si="116"/>
        <v>0.65067856822721437</v>
      </c>
      <c r="AR195" s="235">
        <f t="shared" si="117"/>
        <v>0.80536674609369219</v>
      </c>
      <c r="AT195" s="230">
        <f t="shared" ca="1" si="118"/>
        <v>109714.91424347572</v>
      </c>
      <c r="AU195" s="231">
        <f t="shared" ca="1" si="119"/>
        <v>683.06472252176627</v>
      </c>
      <c r="AV195" s="231">
        <f t="shared" ca="1" si="151"/>
        <v>1120.4643356264398</v>
      </c>
      <c r="AW195" s="231"/>
      <c r="AX195" s="231">
        <f t="shared" ca="1" si="152"/>
        <v>2738.2330940211077</v>
      </c>
      <c r="AY195" s="231">
        <f t="shared" ca="1" si="153"/>
        <v>342.27913675263846</v>
      </c>
      <c r="AZ195" s="231"/>
      <c r="BA195" s="232">
        <f t="shared" ca="1" si="120"/>
        <v>114598.95553239768</v>
      </c>
      <c r="BB195" s="231">
        <f t="shared" ca="1" si="121"/>
        <v>83.095928069774885</v>
      </c>
      <c r="BC195" s="231">
        <f t="shared" ca="1" si="154"/>
        <v>8589.7758733444971</v>
      </c>
      <c r="BD195" s="231">
        <f t="shared" ca="1" si="155"/>
        <v>46213.834705074005</v>
      </c>
      <c r="BE195" s="231">
        <f t="shared" ca="1" si="156"/>
        <v>1604.6470383706251</v>
      </c>
      <c r="BF195" s="231">
        <f t="shared" ca="1" si="122"/>
        <v>10069.577093648108</v>
      </c>
      <c r="BG195" s="231">
        <f t="shared" ca="1" si="123"/>
        <v>66560.930638507009</v>
      </c>
      <c r="BH195" s="232">
        <f t="shared" ca="1" si="124"/>
        <v>181159.88617090471</v>
      </c>
      <c r="BI195" s="244">
        <f t="shared" ca="1" si="157"/>
        <v>0.68992764735549306</v>
      </c>
      <c r="BJ195" s="243">
        <f t="shared" ca="1" si="158"/>
        <v>3.2344663671951692</v>
      </c>
      <c r="BK195" s="242">
        <f t="shared" ca="1" si="159"/>
        <v>3.9243940145506624</v>
      </c>
      <c r="BL195" s="241">
        <f t="shared" ca="1" si="160"/>
        <v>0.49674790609595493</v>
      </c>
      <c r="BM195" s="243">
        <f t="shared" ca="1" si="161"/>
        <v>1.43286860066746</v>
      </c>
      <c r="BN195" s="243">
        <f t="shared" si="125"/>
        <v>0</v>
      </c>
      <c r="BO195" s="242">
        <f t="shared" ca="1" si="126"/>
        <v>1.929616506763415</v>
      </c>
      <c r="BP195" s="67"/>
      <c r="BQ195" s="67"/>
      <c r="BR195" s="67"/>
      <c r="BS195" s="67"/>
      <c r="BT195" s="67"/>
      <c r="BU195" s="67"/>
      <c r="BV195" s="67"/>
      <c r="BW195" s="67"/>
      <c r="BX195" s="67"/>
      <c r="BY195" s="67"/>
      <c r="BZ195" s="67"/>
      <c r="CA195" s="67"/>
      <c r="CB195" s="67"/>
    </row>
    <row r="196" spans="1:80" ht="12" customHeight="1" x14ac:dyDescent="0.15">
      <c r="A196" s="213">
        <f t="shared" si="127"/>
        <v>190</v>
      </c>
      <c r="B196" s="67">
        <f t="shared" si="128"/>
        <v>760</v>
      </c>
      <c r="C196" s="224">
        <f t="shared" si="129"/>
        <v>175.38461538461539</v>
      </c>
      <c r="D196" s="225">
        <f ca="1">IFERROR(OFFSET(extrapolation!P205,0,OS_dist_choice-1,1,1),0)</f>
        <v>6.2760843204870437E-2</v>
      </c>
      <c r="E196" s="225">
        <f ca="1">IFERROR(OFFSET(extrapolation!D205,0,PFS_dist_choice-1,1,1),0)</f>
        <v>1.0898135438009215E-2</v>
      </c>
      <c r="F196" s="214"/>
      <c r="G196" s="226">
        <f t="shared" ca="1" si="130"/>
        <v>10.898135438009216</v>
      </c>
      <c r="H196" s="224">
        <f t="shared" ca="1" si="131"/>
        <v>51.862707766861149</v>
      </c>
      <c r="I196" s="224">
        <f t="shared" ca="1" si="108"/>
        <v>937.23915679512959</v>
      </c>
      <c r="J196" s="227">
        <f t="shared" ca="1" si="109"/>
        <v>1000</v>
      </c>
      <c r="K196" s="238">
        <f t="shared" ca="1" si="132"/>
        <v>0.18331101737201116</v>
      </c>
      <c r="L196" s="239">
        <f t="shared" ca="1" si="133"/>
        <v>0.53306637729451722</v>
      </c>
      <c r="M196" s="238">
        <f t="shared" ca="1" si="134"/>
        <v>10.989790946695223</v>
      </c>
      <c r="N196" s="238">
        <f t="shared" ca="1" si="135"/>
        <v>52.037585446822447</v>
      </c>
      <c r="O196" s="239">
        <f t="shared" ca="1" si="136"/>
        <v>936.97262360648233</v>
      </c>
      <c r="P196" s="217"/>
      <c r="Q196" s="217"/>
      <c r="R196" s="224"/>
      <c r="S196" s="230">
        <f t="shared" ca="1" si="137"/>
        <v>165826.87408413281</v>
      </c>
      <c r="T196" s="231">
        <f t="shared" ca="1" si="138"/>
        <v>1032.4073852125878</v>
      </c>
      <c r="U196" s="231">
        <f t="shared" ca="1" si="139"/>
        <v>1693.475499194649</v>
      </c>
      <c r="V196" s="231"/>
      <c r="W196" s="231">
        <f t="shared" ca="1" si="140"/>
        <v>4138.5794338702735</v>
      </c>
      <c r="X196" s="231">
        <f t="shared" ca="1" si="141"/>
        <v>517.32242923378419</v>
      </c>
      <c r="Y196" s="231"/>
      <c r="Z196" s="232">
        <f t="shared" ca="1" si="110"/>
        <v>173208.6588316441</v>
      </c>
      <c r="AA196" s="231">
        <f t="shared" ca="1" si="111"/>
        <v>125.3046062372979</v>
      </c>
      <c r="AB196" s="231">
        <f t="shared" ca="1" si="142"/>
        <v>13112.675912609498</v>
      </c>
      <c r="AC196" s="231">
        <f t="shared" ca="1" si="143"/>
        <v>70547.479480462265</v>
      </c>
      <c r="AD196" s="231">
        <f t="shared" ca="1" si="144"/>
        <v>2449.5652597382732</v>
      </c>
      <c r="AE196" s="231">
        <f t="shared" ca="1" si="112"/>
        <v>15272.628850697476</v>
      </c>
      <c r="AF196" s="231">
        <f t="shared" ca="1" si="113"/>
        <v>101507.65410974482</v>
      </c>
      <c r="AG196" s="232">
        <f t="shared" ca="1" si="114"/>
        <v>274716.31294138893</v>
      </c>
      <c r="AH196" s="244">
        <f t="shared" ca="1" si="145"/>
        <v>0.84247541822714922</v>
      </c>
      <c r="AI196" s="243">
        <f t="shared" ca="1" si="146"/>
        <v>3.9891920397290308</v>
      </c>
      <c r="AJ196" s="242">
        <f t="shared" ca="1" si="147"/>
        <v>4.83166745795618</v>
      </c>
      <c r="AK196" s="241">
        <f t="shared" ca="1" si="148"/>
        <v>0.60658230112354738</v>
      </c>
      <c r="AL196" s="243">
        <f t="shared" ca="1" si="149"/>
        <v>1.7672120735999606</v>
      </c>
      <c r="AM196" s="243"/>
      <c r="AN196" s="242">
        <f t="shared" ca="1" si="115"/>
        <v>2.373794374723508</v>
      </c>
      <c r="AO196" s="224"/>
      <c r="AP196" s="235">
        <f t="shared" si="150"/>
        <v>14.615384615384615</v>
      </c>
      <c r="AQ196" s="235">
        <f t="shared" si="116"/>
        <v>0.64920076593403619</v>
      </c>
      <c r="AR196" s="235">
        <f t="shared" si="117"/>
        <v>0.80444490535344171</v>
      </c>
      <c r="AT196" s="230">
        <f t="shared" ca="1" si="118"/>
        <v>107654.933667866</v>
      </c>
      <c r="AU196" s="231">
        <f t="shared" ca="1" si="119"/>
        <v>670.23966523596755</v>
      </c>
      <c r="AV196" s="231">
        <f t="shared" ca="1" si="151"/>
        <v>1099.4055911676905</v>
      </c>
      <c r="AW196" s="231"/>
      <c r="AX196" s="231">
        <f t="shared" ca="1" si="152"/>
        <v>2686.7689383474317</v>
      </c>
      <c r="AY196" s="231">
        <f t="shared" ca="1" si="153"/>
        <v>335.84611729342896</v>
      </c>
      <c r="AZ196" s="231"/>
      <c r="BA196" s="232">
        <f t="shared" ca="1" si="120"/>
        <v>112447.19397991052</v>
      </c>
      <c r="BB196" s="231">
        <f t="shared" ca="1" si="121"/>
        <v>81.347846344316608</v>
      </c>
      <c r="BC196" s="231">
        <f t="shared" ca="1" si="154"/>
        <v>8512.7592459108728</v>
      </c>
      <c r="BD196" s="231">
        <f t="shared" ca="1" si="155"/>
        <v>45799.477713431806</v>
      </c>
      <c r="BE196" s="231">
        <f t="shared" ca="1" si="156"/>
        <v>1590.2596428274933</v>
      </c>
      <c r="BF196" s="231">
        <f t="shared" ca="1" si="122"/>
        <v>9915.0023476990609</v>
      </c>
      <c r="BG196" s="231">
        <f t="shared" ca="1" si="123"/>
        <v>65898.846796213547</v>
      </c>
      <c r="BH196" s="232">
        <f t="shared" ca="1" si="124"/>
        <v>178346.04077612408</v>
      </c>
      <c r="BI196" s="244">
        <f t="shared" ca="1" si="157"/>
        <v>0.67772505807834027</v>
      </c>
      <c r="BJ196" s="243">
        <f t="shared" ca="1" si="158"/>
        <v>3.209085212836523</v>
      </c>
      <c r="BK196" s="242">
        <f t="shared" ca="1" si="159"/>
        <v>3.8868102709148635</v>
      </c>
      <c r="BL196" s="241">
        <f t="shared" ca="1" si="160"/>
        <v>0.48796204181640496</v>
      </c>
      <c r="BM196" s="243">
        <f t="shared" ca="1" si="161"/>
        <v>1.4216247492865797</v>
      </c>
      <c r="BN196" s="243">
        <f t="shared" si="125"/>
        <v>0</v>
      </c>
      <c r="BO196" s="242">
        <f t="shared" ca="1" si="126"/>
        <v>1.9095867911029847</v>
      </c>
      <c r="BP196" s="67"/>
      <c r="BQ196" s="67"/>
      <c r="BR196" s="67"/>
      <c r="BS196" s="67"/>
      <c r="BT196" s="67"/>
      <c r="BU196" s="67"/>
      <c r="BV196" s="67"/>
      <c r="BW196" s="67"/>
      <c r="BX196" s="67"/>
      <c r="BY196" s="67"/>
      <c r="BZ196" s="67"/>
      <c r="CA196" s="67"/>
      <c r="CB196" s="67"/>
    </row>
    <row r="197" spans="1:80" ht="12" customHeight="1" x14ac:dyDescent="0.15">
      <c r="A197" s="213">
        <f t="shared" si="127"/>
        <v>191</v>
      </c>
      <c r="B197" s="67">
        <f t="shared" si="128"/>
        <v>764</v>
      </c>
      <c r="C197" s="224">
        <f t="shared" si="129"/>
        <v>176.30769230769229</v>
      </c>
      <c r="D197" s="225">
        <f ca="1">IFERROR(OFFSET(extrapolation!P206,0,OS_dist_choice-1,1,1),0)</f>
        <v>6.2234733450148669E-2</v>
      </c>
      <c r="E197" s="225">
        <f ca="1">IFERROR(OFFSET(extrapolation!D206,0,PFS_dist_choice-1,1,1),0)</f>
        <v>1.0718263548225471E-2</v>
      </c>
      <c r="F197" s="214"/>
      <c r="G197" s="226">
        <f t="shared" ca="1" si="130"/>
        <v>10.718263548225471</v>
      </c>
      <c r="H197" s="224">
        <f t="shared" ca="1" si="131"/>
        <v>51.516469901923188</v>
      </c>
      <c r="I197" s="224">
        <f t="shared" ca="1" si="108"/>
        <v>937.76526654985139</v>
      </c>
      <c r="J197" s="227">
        <f t="shared" ca="1" si="109"/>
        <v>1000</v>
      </c>
      <c r="K197" s="238">
        <f t="shared" ca="1" si="132"/>
        <v>0.17987188978374569</v>
      </c>
      <c r="L197" s="239">
        <f t="shared" ca="1" si="133"/>
        <v>0.52610975472180144</v>
      </c>
      <c r="M197" s="238">
        <f t="shared" ca="1" si="134"/>
        <v>10.808199493117343</v>
      </c>
      <c r="N197" s="238">
        <f t="shared" ca="1" si="135"/>
        <v>51.689588834392168</v>
      </c>
      <c r="O197" s="239">
        <f t="shared" ca="1" si="136"/>
        <v>937.50221167249049</v>
      </c>
      <c r="P197" s="217"/>
      <c r="Q197" s="217"/>
      <c r="R197" s="224"/>
      <c r="S197" s="230">
        <f t="shared" ca="1" si="137"/>
        <v>163089.92945831959</v>
      </c>
      <c r="T197" s="231">
        <f t="shared" ca="1" si="138"/>
        <v>1015.3676752125433</v>
      </c>
      <c r="U197" s="231">
        <f t="shared" ca="1" si="139"/>
        <v>1665.4931036250812</v>
      </c>
      <c r="V197" s="231"/>
      <c r="W197" s="231">
        <f t="shared" ca="1" si="140"/>
        <v>4070.1949979161013</v>
      </c>
      <c r="X197" s="231">
        <f t="shared" ca="1" si="141"/>
        <v>508.77437473951267</v>
      </c>
      <c r="Y197" s="231"/>
      <c r="Z197" s="232">
        <f t="shared" ca="1" si="110"/>
        <v>170349.75960981281</v>
      </c>
      <c r="AA197" s="231">
        <f t="shared" ca="1" si="111"/>
        <v>122.95374629213221</v>
      </c>
      <c r="AB197" s="231">
        <f t="shared" ca="1" si="142"/>
        <v>13024.986086913275</v>
      </c>
      <c r="AC197" s="231">
        <f t="shared" ca="1" si="143"/>
        <v>70075.699637798665</v>
      </c>
      <c r="AD197" s="231">
        <f t="shared" ca="1" si="144"/>
        <v>2433.1840152013424</v>
      </c>
      <c r="AE197" s="231">
        <f t="shared" ca="1" si="112"/>
        <v>15073.317997241093</v>
      </c>
      <c r="AF197" s="231">
        <f t="shared" ca="1" si="113"/>
        <v>100730.14148344651</v>
      </c>
      <c r="AG197" s="232">
        <f t="shared" ca="1" si="114"/>
        <v>271079.90109325934</v>
      </c>
      <c r="AH197" s="244">
        <f t="shared" ca="1" si="145"/>
        <v>0.82855464971193871</v>
      </c>
      <c r="AI197" s="243">
        <f t="shared" ca="1" si="146"/>
        <v>3.9625146813497074</v>
      </c>
      <c r="AJ197" s="242">
        <f t="shared" ca="1" si="147"/>
        <v>4.7910693310616459</v>
      </c>
      <c r="AK197" s="241">
        <f t="shared" ca="1" si="148"/>
        <v>0.5965593477925959</v>
      </c>
      <c r="AL197" s="243">
        <f t="shared" ca="1" si="149"/>
        <v>1.7553940038379203</v>
      </c>
      <c r="AM197" s="243"/>
      <c r="AN197" s="242">
        <f t="shared" ca="1" si="115"/>
        <v>2.3519533516305162</v>
      </c>
      <c r="AO197" s="224"/>
      <c r="AP197" s="235">
        <f t="shared" si="150"/>
        <v>14.692307692307692</v>
      </c>
      <c r="AQ197" s="235">
        <f t="shared" si="116"/>
        <v>0.64772631998256702</v>
      </c>
      <c r="AR197" s="235">
        <f t="shared" si="117"/>
        <v>0.80352411977266303</v>
      </c>
      <c r="AT197" s="230">
        <f t="shared" ca="1" si="118"/>
        <v>105637.6398342538</v>
      </c>
      <c r="AU197" s="231">
        <f t="shared" ca="1" si="119"/>
        <v>657.68036769467506</v>
      </c>
      <c r="AV197" s="231">
        <f t="shared" ca="1" si="151"/>
        <v>1078.7837189674181</v>
      </c>
      <c r="AW197" s="231"/>
      <c r="AX197" s="231">
        <f t="shared" ca="1" si="152"/>
        <v>2636.3724276116482</v>
      </c>
      <c r="AY197" s="231">
        <f t="shared" ca="1" si="153"/>
        <v>329.54655345145602</v>
      </c>
      <c r="AZ197" s="231"/>
      <c r="BA197" s="232">
        <f t="shared" ca="1" si="120"/>
        <v>110340.02290197898</v>
      </c>
      <c r="BB197" s="231">
        <f t="shared" ca="1" si="121"/>
        <v>79.640377613872985</v>
      </c>
      <c r="BC197" s="231">
        <f t="shared" ca="1" si="154"/>
        <v>8436.6263059004723</v>
      </c>
      <c r="BD197" s="231">
        <f t="shared" ca="1" si="155"/>
        <v>45389.875046595036</v>
      </c>
      <c r="BE197" s="231">
        <f t="shared" ca="1" si="156"/>
        <v>1576.037328006772</v>
      </c>
      <c r="BF197" s="231">
        <f t="shared" ca="1" si="122"/>
        <v>9763.38479627997</v>
      </c>
      <c r="BG197" s="231">
        <f t="shared" ca="1" si="123"/>
        <v>65245.563854396125</v>
      </c>
      <c r="BH197" s="232">
        <f t="shared" ca="1" si="124"/>
        <v>175585.58675637512</v>
      </c>
      <c r="BI197" s="244">
        <f t="shared" ca="1" si="157"/>
        <v>0.66576364559333268</v>
      </c>
      <c r="BJ197" s="243">
        <f t="shared" ca="1" si="158"/>
        <v>3.183976121417778</v>
      </c>
      <c r="BK197" s="242">
        <f t="shared" ca="1" si="159"/>
        <v>3.8497397670111106</v>
      </c>
      <c r="BL197" s="241">
        <f t="shared" ca="1" si="160"/>
        <v>0.47934982482719957</v>
      </c>
      <c r="BM197" s="243">
        <f t="shared" ca="1" si="161"/>
        <v>1.4105014217880756</v>
      </c>
      <c r="BN197" s="243">
        <f t="shared" si="125"/>
        <v>0</v>
      </c>
      <c r="BO197" s="242">
        <f t="shared" ca="1" si="126"/>
        <v>1.8898512466152753</v>
      </c>
      <c r="BP197" s="67"/>
      <c r="BQ197" s="67"/>
      <c r="BR197" s="67"/>
      <c r="BS197" s="67"/>
      <c r="BT197" s="67"/>
      <c r="BU197" s="67"/>
      <c r="BV197" s="67"/>
      <c r="BW197" s="67"/>
      <c r="BX197" s="67"/>
      <c r="BY197" s="67"/>
      <c r="BZ197" s="67"/>
      <c r="CA197" s="67"/>
      <c r="CB197" s="67"/>
    </row>
    <row r="198" spans="1:80" ht="12" customHeight="1" x14ac:dyDescent="0.15">
      <c r="A198" s="213">
        <f t="shared" si="127"/>
        <v>192</v>
      </c>
      <c r="B198" s="67">
        <f t="shared" si="128"/>
        <v>768</v>
      </c>
      <c r="C198" s="224">
        <f t="shared" si="129"/>
        <v>177.23076923076923</v>
      </c>
      <c r="D198" s="225">
        <f ca="1">IFERROR(OFFSET(extrapolation!P207,0,OS_dist_choice-1,1,1),0)</f>
        <v>6.1715458713229775E-2</v>
      </c>
      <c r="E198" s="225">
        <f ca="1">IFERROR(OFFSET(extrapolation!D207,0,PFS_dist_choice-1,1,1),0)</f>
        <v>1.0541757817269071E-2</v>
      </c>
      <c r="F198" s="214"/>
      <c r="G198" s="226">
        <f t="shared" ca="1" si="130"/>
        <v>10.541757817269071</v>
      </c>
      <c r="H198" s="224">
        <f t="shared" ca="1" si="131"/>
        <v>51.173700895960792</v>
      </c>
      <c r="I198" s="224">
        <f t="shared" ref="I198:I266" ca="1" si="162">cohort_size*(1-D198)</f>
        <v>938.28454128677015</v>
      </c>
      <c r="J198" s="227">
        <f t="shared" ref="J198:J261" ca="1" si="163">G198+H198+I198</f>
        <v>1000</v>
      </c>
      <c r="K198" s="238">
        <f t="shared" ca="1" si="132"/>
        <v>0.17650573095639999</v>
      </c>
      <c r="L198" s="239">
        <f t="shared" ca="1" si="133"/>
        <v>0.51927473691876003</v>
      </c>
      <c r="M198" s="238">
        <f t="shared" ca="1" si="134"/>
        <v>10.630010682747271</v>
      </c>
      <c r="N198" s="238">
        <f t="shared" ca="1" si="135"/>
        <v>51.34508539894199</v>
      </c>
      <c r="O198" s="239">
        <f t="shared" ca="1" si="136"/>
        <v>938.02490391831077</v>
      </c>
      <c r="P198" s="217"/>
      <c r="Q198" s="217"/>
      <c r="R198" s="224"/>
      <c r="S198" s="230">
        <f t="shared" ca="1" si="137"/>
        <v>160404.20456630251</v>
      </c>
      <c r="T198" s="231">
        <f t="shared" ca="1" si="138"/>
        <v>998.64684978251717</v>
      </c>
      <c r="U198" s="231">
        <f t="shared" ca="1" si="139"/>
        <v>1638.0350394948348</v>
      </c>
      <c r="V198" s="231"/>
      <c r="W198" s="231">
        <f t="shared" ca="1" si="140"/>
        <v>4003.091942951698</v>
      </c>
      <c r="X198" s="231">
        <f t="shared" ca="1" si="141"/>
        <v>500.38649286896225</v>
      </c>
      <c r="Y198" s="231"/>
      <c r="Z198" s="232">
        <f t="shared" ref="Z198:Z261" ca="1" si="164">SUM(S198:Y198)</f>
        <v>167544.36489140053</v>
      </c>
      <c r="AA198" s="231">
        <f t="shared" ref="AA198:AA266" ca="1" si="165">PD_lumpsum_inavo*K198</f>
        <v>120.652765083039</v>
      </c>
      <c r="AB198" s="231">
        <f t="shared" ca="1" si="142"/>
        <v>12938.176488407689</v>
      </c>
      <c r="AC198" s="231">
        <f t="shared" ca="1" si="143"/>
        <v>69608.655503550617</v>
      </c>
      <c r="AD198" s="231">
        <f t="shared" ca="1" si="144"/>
        <v>2416.9672049843962</v>
      </c>
      <c r="AE198" s="231">
        <f t="shared" ref="AE198:AE266" ca="1" si="166">End_of_life_costs_per_patient*L198</f>
        <v>14877.4911836582</v>
      </c>
      <c r="AF198" s="231">
        <f t="shared" ref="AF198:AF261" ca="1" si="167">SUM(AA198:AE198)</f>
        <v>99961.943145683937</v>
      </c>
      <c r="AG198" s="232">
        <f t="shared" ref="AG198:AG261" ca="1" si="168">Z198+AF198</f>
        <v>267506.30803708447</v>
      </c>
      <c r="AH198" s="244">
        <f t="shared" ca="1" si="145"/>
        <v>0.81489472721950329</v>
      </c>
      <c r="AI198" s="243">
        <f t="shared" ca="1" si="146"/>
        <v>3.9361051092960322</v>
      </c>
      <c r="AJ198" s="242">
        <f t="shared" ca="1" si="147"/>
        <v>4.7509998365155353</v>
      </c>
      <c r="AK198" s="241">
        <f t="shared" ca="1" si="148"/>
        <v>0.58672420359804234</v>
      </c>
      <c r="AL198" s="243">
        <f t="shared" ca="1" si="149"/>
        <v>1.7436945634181422</v>
      </c>
      <c r="AM198" s="243"/>
      <c r="AN198" s="242">
        <f t="shared" ref="AN198:AN261" ca="1" si="169">AK198+AL198-AM198</f>
        <v>2.3304187670161847</v>
      </c>
      <c r="AO198" s="224"/>
      <c r="AP198" s="235">
        <f t="shared" si="150"/>
        <v>14.76923076923077</v>
      </c>
      <c r="AQ198" s="235">
        <f t="shared" ref="AQ198:AQ261" si="170">1/(1+cDR)^AP198</f>
        <v>0.64625522274998104</v>
      </c>
      <c r="AR198" s="235">
        <f t="shared" ref="AR198:AR266" si="171">1/(1+oDR)^AP198</f>
        <v>0.80260438814359714</v>
      </c>
      <c r="AT198" s="230">
        <f t="shared" ref="AT198:AT266" ca="1" si="172">S198*AQ198</f>
        <v>103662.05495202936</v>
      </c>
      <c r="AU198" s="231">
        <f t="shared" ref="AU198:AU266" ca="1" si="173">T198*AQ198</f>
        <v>645.38074235476745</v>
      </c>
      <c r="AV198" s="231">
        <f t="shared" ca="1" si="151"/>
        <v>1058.5886993210083</v>
      </c>
      <c r="AW198" s="231"/>
      <c r="AX198" s="231">
        <f t="shared" ca="1" si="152"/>
        <v>2587.019075280904</v>
      </c>
      <c r="AY198" s="231">
        <f t="shared" ca="1" si="153"/>
        <v>323.377384410113</v>
      </c>
      <c r="AZ198" s="231"/>
      <c r="BA198" s="232">
        <f t="shared" ref="BA198:BA266" ca="1" si="174">Z198*AQ198</f>
        <v>108276.42085339615</v>
      </c>
      <c r="BB198" s="231">
        <f t="shared" ref="BB198:BB266" ca="1" si="175">AA198*AQ198</f>
        <v>77.972479574140507</v>
      </c>
      <c r="BC198" s="231">
        <f t="shared" ca="1" si="154"/>
        <v>8361.3641284944788</v>
      </c>
      <c r="BD198" s="231">
        <f t="shared" ca="1" si="155"/>
        <v>44984.957167773799</v>
      </c>
      <c r="BE198" s="231">
        <f t="shared" ca="1" si="156"/>
        <v>1561.9776794365901</v>
      </c>
      <c r="BF198" s="231">
        <f t="shared" ref="BF198:BF266" ca="1" si="176">AE198*AQ198</f>
        <v>9614.6563788559088</v>
      </c>
      <c r="BG198" s="231">
        <f t="shared" ref="BG198:BG266" ca="1" si="177">AF198*AQ198</f>
        <v>64600.927834134913</v>
      </c>
      <c r="BH198" s="232">
        <f t="shared" ref="BH198:BH266" ca="1" si="178">AG198*AQ198</f>
        <v>172877.34868753108</v>
      </c>
      <c r="BI198" s="244">
        <f t="shared" ca="1" si="157"/>
        <v>0.65403808394145291</v>
      </c>
      <c r="BJ198" s="243">
        <f t="shared" ca="1" si="158"/>
        <v>3.1591352329154283</v>
      </c>
      <c r="BK198" s="242">
        <f t="shared" ca="1" si="159"/>
        <v>3.8131733168568811</v>
      </c>
      <c r="BL198" s="241">
        <f t="shared" ca="1" si="160"/>
        <v>0.47090742043784606</v>
      </c>
      <c r="BM198" s="243">
        <f t="shared" ca="1" si="161"/>
        <v>1.3994969081815347</v>
      </c>
      <c r="BN198" s="243">
        <f t="shared" ref="BN198:BN266" si="179">AM198*AR198</f>
        <v>0</v>
      </c>
      <c r="BO198" s="242">
        <f t="shared" ref="BO198:BO266" ca="1" si="180">AN198*AR198</f>
        <v>1.870404328619381</v>
      </c>
      <c r="BP198" s="67"/>
      <c r="BQ198" s="67"/>
      <c r="BR198" s="67"/>
      <c r="BS198" s="67"/>
      <c r="BT198" s="67"/>
      <c r="BU198" s="67"/>
      <c r="BV198" s="67"/>
      <c r="BW198" s="67"/>
      <c r="BX198" s="67"/>
      <c r="BY198" s="67"/>
      <c r="BZ198" s="67"/>
      <c r="CA198" s="67"/>
      <c r="CB198" s="67"/>
    </row>
    <row r="199" spans="1:80" ht="12" customHeight="1" x14ac:dyDescent="0.15">
      <c r="A199" s="213">
        <f t="shared" ref="A199:A266" si="181">A198+1</f>
        <v>193</v>
      </c>
      <c r="B199" s="67">
        <f t="shared" ref="B199:B262" si="182">A199*cycle_length_days/7</f>
        <v>772</v>
      </c>
      <c r="C199" s="224">
        <f t="shared" ref="C199:C262" si="183">B199/52*12</f>
        <v>178.15384615384616</v>
      </c>
      <c r="D199" s="225">
        <f ca="1">IFERROR(OFFSET(extrapolation!P208,0,OS_dist_choice-1,1,1),0)</f>
        <v>6.1202900029767318E-2</v>
      </c>
      <c r="E199" s="225">
        <f ca="1">IFERROR(OFFSET(extrapolation!D208,0,PFS_dist_choice-1,1,1),0)</f>
        <v>1.0368547020299768E-2</v>
      </c>
      <c r="F199" s="214"/>
      <c r="G199" s="226">
        <f t="shared" ref="G199:G266" ca="1" si="184">cohort_size*IF(E199&gt;D199,D199,E199)</f>
        <v>10.368547020299768</v>
      </c>
      <c r="H199" s="224">
        <f t="shared" ref="H199:H262" ca="1" si="185">cohort_size-G199-I199</f>
        <v>50.834353009467577</v>
      </c>
      <c r="I199" s="224">
        <f t="shared" ca="1" si="162"/>
        <v>938.79709997023269</v>
      </c>
      <c r="J199" s="227">
        <f t="shared" ca="1" si="163"/>
        <v>1000</v>
      </c>
      <c r="K199" s="238">
        <f t="shared" ref="K199:K266" ca="1" si="186">MAX(0,G198-G199)</f>
        <v>0.17321079696930219</v>
      </c>
      <c r="L199" s="239">
        <f t="shared" ref="L199:L266" ca="1" si="187">I199-I198</f>
        <v>0.51255868346254374</v>
      </c>
      <c r="M199" s="238">
        <f t="shared" ref="M199:M266" ca="1" si="188">(G199+G198)/2</f>
        <v>10.455152418784419</v>
      </c>
      <c r="N199" s="238">
        <f t="shared" ref="N199:N266" ca="1" si="189">(H199+H198)/2</f>
        <v>51.004026952714185</v>
      </c>
      <c r="O199" s="239">
        <f t="shared" ref="O199:O266" ca="1" si="190">(I199+I198)/2</f>
        <v>938.54082062850148</v>
      </c>
      <c r="P199" s="217"/>
      <c r="Q199" s="217"/>
      <c r="R199" s="224"/>
      <c r="S199" s="230">
        <f t="shared" ref="S199:S266" ca="1" si="191">SD_drugacq_c2_inavo*G199</f>
        <v>157768.6156453882</v>
      </c>
      <c r="T199" s="231">
        <f t="shared" ref="T199:T266" ca="1" si="192">SD_admin_c2_inavo*G199</f>
        <v>982.23816161683476</v>
      </c>
      <c r="U199" s="231">
        <f t="shared" ref="U199:U266" ca="1" si="193">SD_hcru_c2_inavo*M199</f>
        <v>1611.0901970233911</v>
      </c>
      <c r="V199" s="231"/>
      <c r="W199" s="231">
        <f t="shared" ref="W199:W266" ca="1" si="194">Societal_informal_PFS_per_cycle*M199</f>
        <v>3937.2431184755114</v>
      </c>
      <c r="X199" s="231">
        <f t="shared" ref="X199:X266" ca="1" si="195">Patient_time_c2plus*M199</f>
        <v>492.15538980943893</v>
      </c>
      <c r="Y199" s="231"/>
      <c r="Z199" s="232">
        <f t="shared" ca="1" si="164"/>
        <v>164791.34251231336</v>
      </c>
      <c r="AA199" s="231">
        <f t="shared" ca="1" si="165"/>
        <v>118.40047053058828</v>
      </c>
      <c r="AB199" s="231">
        <f t="shared" ref="AB199:AB266" ca="1" si="196">PD_ongoing_inavo*N199</f>
        <v>12852.234974514553</v>
      </c>
      <c r="AC199" s="231">
        <f t="shared" ref="AC199:AC266" ca="1" si="197">Societal_informal_PD_per_cycle*N199</f>
        <v>69146.281749459318</v>
      </c>
      <c r="AD199" s="231">
        <f t="shared" ref="AD199:AD266" ca="1" si="198">Patient_time_PD_per_cycle*N199</f>
        <v>2400.9125607451147</v>
      </c>
      <c r="AE199" s="231">
        <f t="shared" ca="1" si="166"/>
        <v>14685.072760461411</v>
      </c>
      <c r="AF199" s="231">
        <f t="shared" ca="1" si="167"/>
        <v>99202.902515710986</v>
      </c>
      <c r="AG199" s="232">
        <f t="shared" ca="1" si="168"/>
        <v>263994.24502802436</v>
      </c>
      <c r="AH199" s="244">
        <f t="shared" ref="AH199:AH266" ca="1" si="199">M199*cycle_length_days/365.25</f>
        <v>0.80149012382194029</v>
      </c>
      <c r="AI199" s="243">
        <f t="shared" ref="AI199:AI266" ca="1" si="200">N199*cycle_length_days/365.25</f>
        <v>3.9099596295030725</v>
      </c>
      <c r="AJ199" s="242">
        <f t="shared" ref="AJ199:AJ262" ca="1" si="201">AH199+AI199</f>
        <v>4.711449753325013</v>
      </c>
      <c r="AK199" s="241">
        <f t="shared" ref="AK199:AK266" ca="1" si="202">AH199*utility_pfs</f>
        <v>0.577072889151797</v>
      </c>
      <c r="AL199" s="243">
        <f t="shared" ref="AL199:AL266" ca="1" si="203">AI199*utility_pd</f>
        <v>1.7321121158698611</v>
      </c>
      <c r="AM199" s="243"/>
      <c r="AN199" s="242">
        <f t="shared" ca="1" si="169"/>
        <v>2.309185005021658</v>
      </c>
      <c r="AO199" s="224"/>
      <c r="AP199" s="235">
        <f t="shared" ref="AP199:AP266" si="204">B199/52</f>
        <v>14.846153846153847</v>
      </c>
      <c r="AQ199" s="235">
        <f t="shared" si="170"/>
        <v>0.64478746663076492</v>
      </c>
      <c r="AR199" s="235">
        <f t="shared" si="171"/>
        <v>0.80168570925986715</v>
      </c>
      <c r="AT199" s="230">
        <f t="shared" ca="1" si="172"/>
        <v>101727.22599583272</v>
      </c>
      <c r="AU199" s="231">
        <f t="shared" ca="1" si="173"/>
        <v>633.33485585697872</v>
      </c>
      <c r="AV199" s="231">
        <f t="shared" ref="AV199:AV266" ca="1" si="205">U199*AQ199</f>
        <v>1038.8107666523722</v>
      </c>
      <c r="AW199" s="231"/>
      <c r="AX199" s="231">
        <f t="shared" ref="AX199:AX266" ca="1" si="206">W199*AQ199</f>
        <v>2538.6850158712377</v>
      </c>
      <c r="AY199" s="231">
        <f t="shared" ref="AY199:AY266" ca="1" si="207">X199*AQ199</f>
        <v>317.33562698390472</v>
      </c>
      <c r="AZ199" s="231"/>
      <c r="BA199" s="232">
        <f t="shared" ca="1" si="174"/>
        <v>106255.39226119721</v>
      </c>
      <c r="BB199" s="231">
        <f t="shared" ca="1" si="175"/>
        <v>76.343139441308551</v>
      </c>
      <c r="BC199" s="231">
        <f t="shared" ref="BC199:BC266" ca="1" si="208">AB199*AQ199</f>
        <v>8286.9600297605521</v>
      </c>
      <c r="BD199" s="231">
        <f t="shared" ref="BD199:BD266" ca="1" si="209">AC199*AQ199</f>
        <v>44584.655836170969</v>
      </c>
      <c r="BE199" s="231">
        <f t="shared" ref="BE199:BE266" ca="1" si="210">AD199*AQ199</f>
        <v>1548.0783276448249</v>
      </c>
      <c r="BF199" s="231">
        <f t="shared" ca="1" si="176"/>
        <v>9468.7508625063674</v>
      </c>
      <c r="BG199" s="231">
        <f t="shared" ca="1" si="177"/>
        <v>63964.788195524023</v>
      </c>
      <c r="BH199" s="232">
        <f t="shared" ca="1" si="178"/>
        <v>170220.18045672122</v>
      </c>
      <c r="BI199" s="244">
        <f t="shared" ref="BI199:BI266" ca="1" si="211">AH199*AR199</f>
        <v>0.64254317838097097</v>
      </c>
      <c r="BJ199" s="243">
        <f t="shared" ref="BJ199:BJ266" ca="1" si="212">AI199*AR199</f>
        <v>3.1345587587556181</v>
      </c>
      <c r="BK199" s="242">
        <f t="shared" ref="BK199:BK266" ca="1" si="213">AJ199*AR199</f>
        <v>3.7771019371365893</v>
      </c>
      <c r="BL199" s="241">
        <f t="shared" ref="BL199:BL266" ca="1" si="214">AK199*AR199</f>
        <v>0.46263108843429906</v>
      </c>
      <c r="BM199" s="243">
        <f t="shared" ref="BM199:BM266" ca="1" si="215">AL199*AR199</f>
        <v>1.3886095301287389</v>
      </c>
      <c r="BN199" s="243">
        <f t="shared" si="179"/>
        <v>0</v>
      </c>
      <c r="BO199" s="242">
        <f t="shared" ca="1" si="180"/>
        <v>1.8512406185630379</v>
      </c>
      <c r="BP199" s="67"/>
      <c r="BQ199" s="67"/>
      <c r="BR199" s="67"/>
      <c r="BS199" s="67"/>
      <c r="BT199" s="67"/>
      <c r="BU199" s="67"/>
      <c r="BV199" s="67"/>
      <c r="BW199" s="67"/>
      <c r="BX199" s="67"/>
      <c r="BY199" s="67"/>
      <c r="BZ199" s="67"/>
      <c r="CA199" s="67"/>
      <c r="CB199" s="67"/>
    </row>
    <row r="200" spans="1:80" ht="12" customHeight="1" x14ac:dyDescent="0.15">
      <c r="A200" s="213">
        <f t="shared" si="181"/>
        <v>194</v>
      </c>
      <c r="B200" s="67">
        <f t="shared" si="182"/>
        <v>776</v>
      </c>
      <c r="C200" s="224">
        <f t="shared" si="183"/>
        <v>179.07692307692309</v>
      </c>
      <c r="D200" s="225">
        <f ca="1">IFERROR(OFFSET(extrapolation!P209,0,OS_dist_choice-1,1,1),0)</f>
        <v>6.069694100787619E-2</v>
      </c>
      <c r="E200" s="225">
        <f ca="1">IFERROR(OFFSET(extrapolation!D209,0,PFS_dist_choice-1,1,1),0)</f>
        <v>1.0198561629678582E-2</v>
      </c>
      <c r="F200" s="214"/>
      <c r="G200" s="226">
        <f t="shared" ca="1" si="184"/>
        <v>10.198561629678583</v>
      </c>
      <c r="H200" s="224">
        <f t="shared" ca="1" si="185"/>
        <v>50.498379378197569</v>
      </c>
      <c r="I200" s="224">
        <f t="shared" ca="1" si="162"/>
        <v>939.30305899212385</v>
      </c>
      <c r="J200" s="227">
        <f t="shared" ca="1" si="163"/>
        <v>1000</v>
      </c>
      <c r="K200" s="238">
        <f t="shared" ca="1" si="186"/>
        <v>0.16998539062118567</v>
      </c>
      <c r="L200" s="239">
        <f t="shared" ca="1" si="187"/>
        <v>0.50595902189115805</v>
      </c>
      <c r="M200" s="238">
        <f t="shared" ca="1" si="188"/>
        <v>10.283554324989176</v>
      </c>
      <c r="N200" s="238">
        <f t="shared" ca="1" si="189"/>
        <v>50.666366193832573</v>
      </c>
      <c r="O200" s="239">
        <f t="shared" ca="1" si="190"/>
        <v>939.05007948117827</v>
      </c>
      <c r="P200" s="217"/>
      <c r="Q200" s="217"/>
      <c r="R200" s="224"/>
      <c r="S200" s="230">
        <f t="shared" ca="1" si="191"/>
        <v>155182.10475762933</v>
      </c>
      <c r="T200" s="231">
        <f t="shared" ca="1" si="192"/>
        <v>966.1350241899047</v>
      </c>
      <c r="U200" s="231">
        <f t="shared" ca="1" si="193"/>
        <v>1584.6477315606485</v>
      </c>
      <c r="V200" s="231"/>
      <c r="W200" s="231">
        <f t="shared" ca="1" si="194"/>
        <v>3872.6220219217239</v>
      </c>
      <c r="X200" s="231">
        <f t="shared" ca="1" si="195"/>
        <v>484.07775274021549</v>
      </c>
      <c r="Y200" s="231"/>
      <c r="Z200" s="232">
        <f t="shared" ca="1" si="164"/>
        <v>162089.58728804183</v>
      </c>
      <c r="AA200" s="231">
        <f t="shared" ca="1" si="165"/>
        <v>116.1957024910011</v>
      </c>
      <c r="AB200" s="231">
        <f t="shared" ca="1" si="196"/>
        <v>12767.149625884282</v>
      </c>
      <c r="AC200" s="231">
        <f t="shared" ca="1" si="197"/>
        <v>68688.514248257692</v>
      </c>
      <c r="AD200" s="231">
        <f t="shared" ca="1" si="198"/>
        <v>2385.0178558422808</v>
      </c>
      <c r="AE200" s="231">
        <f t="shared" ca="1" si="166"/>
        <v>14495.98902527716</v>
      </c>
      <c r="AF200" s="231">
        <f t="shared" ca="1" si="167"/>
        <v>98452.866457752403</v>
      </c>
      <c r="AG200" s="232">
        <f t="shared" ca="1" si="168"/>
        <v>260542.45374579425</v>
      </c>
      <c r="AH200" s="244">
        <f t="shared" ca="1" si="199"/>
        <v>0.78833544448924542</v>
      </c>
      <c r="AI200" s="243">
        <f t="shared" ca="1" si="200"/>
        <v>3.8840746158174184</v>
      </c>
      <c r="AJ200" s="242">
        <f t="shared" ca="1" si="201"/>
        <v>4.6724100603066638</v>
      </c>
      <c r="AK200" s="241">
        <f t="shared" ca="1" si="202"/>
        <v>0.56760152003225672</v>
      </c>
      <c r="AL200" s="243">
        <f t="shared" ca="1" si="203"/>
        <v>1.7206450548071164</v>
      </c>
      <c r="AM200" s="243"/>
      <c r="AN200" s="242">
        <f t="shared" ca="1" si="169"/>
        <v>2.288246574839373</v>
      </c>
      <c r="AO200" s="224"/>
      <c r="AP200" s="235">
        <f t="shared" si="204"/>
        <v>14.923076923076923</v>
      </c>
      <c r="AQ200" s="235">
        <f t="shared" si="170"/>
        <v>0.64332304403667895</v>
      </c>
      <c r="AR200" s="235">
        <f t="shared" si="171"/>
        <v>0.80076808191647753</v>
      </c>
      <c r="AT200" s="230">
        <f t="shared" ca="1" si="172"/>
        <v>99832.224012696897</v>
      </c>
      <c r="AU200" s="231">
        <f t="shared" ca="1" si="173"/>
        <v>621.53692471229999</v>
      </c>
      <c r="AV200" s="231">
        <f t="shared" ca="1" si="205"/>
        <v>1019.4404023934145</v>
      </c>
      <c r="AW200" s="231"/>
      <c r="AX200" s="231">
        <f t="shared" ca="1" si="206"/>
        <v>2491.3469875461619</v>
      </c>
      <c r="AY200" s="231">
        <f t="shared" ca="1" si="207"/>
        <v>311.41837344327024</v>
      </c>
      <c r="AZ200" s="231"/>
      <c r="BA200" s="232">
        <f t="shared" ca="1" si="174"/>
        <v>104275.96670079205</v>
      </c>
      <c r="BB200" s="231">
        <f t="shared" ca="1" si="175"/>
        <v>74.751373030491152</v>
      </c>
      <c r="BC200" s="231">
        <f t="shared" ca="1" si="208"/>
        <v>8213.4015609956223</v>
      </c>
      <c r="BD200" s="231">
        <f t="shared" ca="1" si="209"/>
        <v>44188.904076545936</v>
      </c>
      <c r="BE200" s="231">
        <f t="shared" ca="1" si="210"/>
        <v>1534.3369471022893</v>
      </c>
      <c r="BF200" s="231">
        <f t="shared" ca="1" si="176"/>
        <v>9325.6037860635934</v>
      </c>
      <c r="BG200" s="231">
        <f t="shared" ca="1" si="177"/>
        <v>63336.99774373792</v>
      </c>
      <c r="BH200" s="232">
        <f t="shared" ca="1" si="178"/>
        <v>167612.96444452999</v>
      </c>
      <c r="BI200" s="244">
        <f t="shared" ca="1" si="211"/>
        <v>0.63127386179042677</v>
      </c>
      <c r="BJ200" s="243">
        <f t="shared" ca="1" si="212"/>
        <v>3.1102429801285933</v>
      </c>
      <c r="BK200" s="242">
        <f t="shared" ca="1" si="213"/>
        <v>3.7415168419190201</v>
      </c>
      <c r="BL200" s="241">
        <f t="shared" ca="1" si="214"/>
        <v>0.45451718048910733</v>
      </c>
      <c r="BM200" s="243">
        <f t="shared" ca="1" si="215"/>
        <v>1.377837640196967</v>
      </c>
      <c r="BN200" s="243">
        <f t="shared" si="179"/>
        <v>0</v>
      </c>
      <c r="BO200" s="242">
        <f t="shared" ca="1" si="180"/>
        <v>1.8323548206860742</v>
      </c>
      <c r="BP200" s="67"/>
      <c r="BQ200" s="67"/>
      <c r="BR200" s="67"/>
      <c r="BS200" s="67"/>
      <c r="BT200" s="67"/>
      <c r="BU200" s="67"/>
      <c r="BV200" s="67"/>
      <c r="BW200" s="67"/>
      <c r="BX200" s="67"/>
      <c r="BY200" s="67"/>
      <c r="BZ200" s="67"/>
      <c r="CA200" s="67"/>
      <c r="CB200" s="67"/>
    </row>
    <row r="201" spans="1:80" ht="12" customHeight="1" x14ac:dyDescent="0.15">
      <c r="A201" s="213">
        <f t="shared" si="181"/>
        <v>195</v>
      </c>
      <c r="B201" s="67">
        <f t="shared" si="182"/>
        <v>780</v>
      </c>
      <c r="C201" s="224">
        <f t="shared" si="183"/>
        <v>180</v>
      </c>
      <c r="D201" s="225">
        <f ca="1">IFERROR(OFFSET(extrapolation!P210,0,OS_dist_choice-1,1,1),0)</f>
        <v>6.0197467762177985E-2</v>
      </c>
      <c r="E201" s="225">
        <f ca="1">IFERROR(OFFSET(extrapolation!D210,0,PFS_dist_choice-1,1,1),0)</f>
        <v>1.0031733769641726E-2</v>
      </c>
      <c r="F201" s="214"/>
      <c r="G201" s="226">
        <f t="shared" ca="1" si="184"/>
        <v>10.031733769641725</v>
      </c>
      <c r="H201" s="224">
        <f t="shared" ca="1" si="185"/>
        <v>50.165733992536161</v>
      </c>
      <c r="I201" s="224">
        <f t="shared" ca="1" si="162"/>
        <v>939.80253223782211</v>
      </c>
      <c r="J201" s="227">
        <f t="shared" ca="1" si="163"/>
        <v>1000</v>
      </c>
      <c r="K201" s="238">
        <f t="shared" ca="1" si="186"/>
        <v>0.16682786003685734</v>
      </c>
      <c r="L201" s="239">
        <f t="shared" ca="1" si="187"/>
        <v>0.49947324569825469</v>
      </c>
      <c r="M201" s="238">
        <f t="shared" ca="1" si="188"/>
        <v>10.115147699660154</v>
      </c>
      <c r="N201" s="238">
        <f t="shared" ca="1" si="189"/>
        <v>50.332056685366865</v>
      </c>
      <c r="O201" s="239">
        <f t="shared" ca="1" si="190"/>
        <v>939.55279561497298</v>
      </c>
      <c r="P201" s="217"/>
      <c r="Q201" s="217"/>
      <c r="R201" s="224"/>
      <c r="S201" s="230">
        <f t="shared" ca="1" si="191"/>
        <v>152643.63910013967</v>
      </c>
      <c r="T201" s="231">
        <f t="shared" ca="1" si="192"/>
        <v>950.33100746236755</v>
      </c>
      <c r="U201" s="231">
        <f t="shared" ca="1" si="193"/>
        <v>1558.6970564950311</v>
      </c>
      <c r="V201" s="231"/>
      <c r="W201" s="231">
        <f t="shared" ca="1" si="194"/>
        <v>3809.2027813288196</v>
      </c>
      <c r="X201" s="231">
        <f t="shared" ca="1" si="195"/>
        <v>476.15034766610245</v>
      </c>
      <c r="Y201" s="231"/>
      <c r="Z201" s="232">
        <f t="shared" ca="1" si="164"/>
        <v>159438.02029309201</v>
      </c>
      <c r="AA201" s="231">
        <f t="shared" ca="1" si="165"/>
        <v>114.03733180371967</v>
      </c>
      <c r="AB201" s="231">
        <f t="shared" ca="1" si="196"/>
        <v>12682.908741120436</v>
      </c>
      <c r="AC201" s="231">
        <f t="shared" ca="1" si="197"/>
        <v>68235.290045287911</v>
      </c>
      <c r="AD201" s="231">
        <f t="shared" ca="1" si="198"/>
        <v>2369.2809043502743</v>
      </c>
      <c r="AE201" s="231">
        <f t="shared" ca="1" si="166"/>
        <v>14310.168165395437</v>
      </c>
      <c r="AF201" s="231">
        <f t="shared" ca="1" si="167"/>
        <v>97711.685187957773</v>
      </c>
      <c r="AG201" s="232">
        <f t="shared" ca="1" si="168"/>
        <v>257149.70548104978</v>
      </c>
      <c r="AH201" s="244">
        <f t="shared" ca="1" si="199"/>
        <v>0.77542542256121649</v>
      </c>
      <c r="AI201" s="243">
        <f t="shared" ca="1" si="200"/>
        <v>3.8584465083922579</v>
      </c>
      <c r="AJ201" s="242">
        <f t="shared" ca="1" si="201"/>
        <v>4.6338719309534744</v>
      </c>
      <c r="AK201" s="241">
        <f t="shared" ca="1" si="202"/>
        <v>0.5583063042440759</v>
      </c>
      <c r="AL201" s="243">
        <f t="shared" ca="1" si="203"/>
        <v>1.7092918032177702</v>
      </c>
      <c r="AM201" s="243"/>
      <c r="AN201" s="242">
        <f t="shared" ca="1" si="169"/>
        <v>2.2675981074618461</v>
      </c>
      <c r="AO201" s="224"/>
      <c r="AP201" s="235">
        <f t="shared" si="204"/>
        <v>15</v>
      </c>
      <c r="AQ201" s="235">
        <f t="shared" si="170"/>
        <v>0.64186194739671765</v>
      </c>
      <c r="AR201" s="235">
        <f t="shared" si="171"/>
        <v>0.79985150490981216</v>
      </c>
      <c r="AT201" s="230">
        <f t="shared" ca="1" si="172"/>
        <v>97976.143450537405</v>
      </c>
      <c r="AU201" s="231">
        <f t="shared" ca="1" si="173"/>
        <v>609.98131112127987</v>
      </c>
      <c r="AV201" s="231">
        <f t="shared" ca="1" si="205"/>
        <v>1000.4683280834323</v>
      </c>
      <c r="AW201" s="231"/>
      <c r="AX201" s="231">
        <f t="shared" ca="1" si="206"/>
        <v>2444.9823152527092</v>
      </c>
      <c r="AY201" s="231">
        <f t="shared" ca="1" si="207"/>
        <v>305.62278940658865</v>
      </c>
      <c r="AZ201" s="231"/>
      <c r="BA201" s="232">
        <f t="shared" ca="1" si="174"/>
        <v>102337.19819440143</v>
      </c>
      <c r="BB201" s="231">
        <f t="shared" ca="1" si="175"/>
        <v>73.196223867461143</v>
      </c>
      <c r="BC201" s="231">
        <f t="shared" ca="1" si="208"/>
        <v>8140.6765032304156</v>
      </c>
      <c r="BD201" s="231">
        <f t="shared" ca="1" si="209"/>
        <v>43797.636149648359</v>
      </c>
      <c r="BE201" s="231">
        <f t="shared" ca="1" si="210"/>
        <v>1520.7512551961233</v>
      </c>
      <c r="BF201" s="231">
        <f t="shared" ca="1" si="176"/>
        <v>9185.1524062152293</v>
      </c>
      <c r="BG201" s="231">
        <f t="shared" ca="1" si="177"/>
        <v>62717.412538157587</v>
      </c>
      <c r="BH201" s="232">
        <f t="shared" ca="1" si="178"/>
        <v>165054.610732559</v>
      </c>
      <c r="BI201" s="244">
        <f t="shared" ca="1" si="211"/>
        <v>0.62022519118091601</v>
      </c>
      <c r="BJ201" s="243">
        <f t="shared" ca="1" si="212"/>
        <v>3.0861842463515576</v>
      </c>
      <c r="BK201" s="242">
        <f t="shared" ca="1" si="213"/>
        <v>3.7064094375324736</v>
      </c>
      <c r="BL201" s="241">
        <f t="shared" ca="1" si="214"/>
        <v>0.44656213765025954</v>
      </c>
      <c r="BM201" s="243">
        <f t="shared" ca="1" si="215"/>
        <v>1.3671796211337399</v>
      </c>
      <c r="BN201" s="243">
        <f t="shared" si="179"/>
        <v>0</v>
      </c>
      <c r="BO201" s="242">
        <f t="shared" ca="1" si="180"/>
        <v>1.8137417587839995</v>
      </c>
      <c r="BP201" s="67"/>
      <c r="BQ201" s="67"/>
      <c r="BR201" s="67"/>
      <c r="BS201" s="67"/>
      <c r="BT201" s="67"/>
      <c r="BU201" s="67"/>
      <c r="BV201" s="67"/>
      <c r="BW201" s="67"/>
      <c r="BX201" s="67"/>
      <c r="BY201" s="67"/>
      <c r="BZ201" s="67"/>
      <c r="CA201" s="67"/>
      <c r="CB201" s="67"/>
    </row>
    <row r="202" spans="1:80" ht="12" customHeight="1" x14ac:dyDescent="0.15">
      <c r="A202" s="213">
        <f t="shared" si="181"/>
        <v>196</v>
      </c>
      <c r="B202" s="67">
        <f t="shared" si="182"/>
        <v>784</v>
      </c>
      <c r="C202" s="224">
        <f t="shared" si="183"/>
        <v>180.92307692307691</v>
      </c>
      <c r="D202" s="225">
        <f ca="1">IFERROR(OFFSET(extrapolation!P211,0,OS_dist_choice-1,1,1),0)</f>
        <v>5.9704368849788095E-2</v>
      </c>
      <c r="E202" s="225">
        <f ca="1">IFERROR(OFFSET(extrapolation!D211,0,PFS_dist_choice-1,1,1),0)</f>
        <v>9.8679971723252269E-3</v>
      </c>
      <c r="F202" s="214"/>
      <c r="G202" s="226">
        <f t="shared" ca="1" si="184"/>
        <v>9.8679971723252269</v>
      </c>
      <c r="H202" s="224">
        <f t="shared" ca="1" si="185"/>
        <v>49.836371677462921</v>
      </c>
      <c r="I202" s="224">
        <f t="shared" ca="1" si="162"/>
        <v>940.29563115021188</v>
      </c>
      <c r="J202" s="227">
        <f t="shared" ca="1" si="163"/>
        <v>1000</v>
      </c>
      <c r="K202" s="238">
        <f t="shared" ca="1" si="186"/>
        <v>0.16373659731649859</v>
      </c>
      <c r="L202" s="239">
        <f t="shared" ca="1" si="187"/>
        <v>0.49309891238976888</v>
      </c>
      <c r="M202" s="238">
        <f t="shared" ca="1" si="188"/>
        <v>9.9498654709834753</v>
      </c>
      <c r="N202" s="238">
        <f t="shared" ca="1" si="189"/>
        <v>50.001052834999541</v>
      </c>
      <c r="O202" s="239">
        <f t="shared" ca="1" si="190"/>
        <v>940.04908169401699</v>
      </c>
      <c r="P202" s="217"/>
      <c r="Q202" s="217"/>
      <c r="R202" s="224"/>
      <c r="S202" s="230">
        <f t="shared" ca="1" si="191"/>
        <v>150152.21033596134</v>
      </c>
      <c r="T202" s="231">
        <f t="shared" ca="1" si="192"/>
        <v>934.81983371519925</v>
      </c>
      <c r="U202" s="231">
        <f t="shared" ca="1" si="193"/>
        <v>1533.227836373022</v>
      </c>
      <c r="V202" s="231"/>
      <c r="W202" s="231">
        <f t="shared" ca="1" si="194"/>
        <v>3746.9601385248411</v>
      </c>
      <c r="X202" s="231">
        <f t="shared" ca="1" si="195"/>
        <v>468.37001731560514</v>
      </c>
      <c r="Y202" s="231"/>
      <c r="Z202" s="232">
        <f t="shared" ca="1" si="164"/>
        <v>156835.58816189005</v>
      </c>
      <c r="AA202" s="231">
        <f t="shared" ca="1" si="165"/>
        <v>111.92425936811965</v>
      </c>
      <c r="AB202" s="231">
        <f t="shared" ca="1" si="196"/>
        <v>12599.500831656072</v>
      </c>
      <c r="AC202" s="231">
        <f t="shared" ca="1" si="197"/>
        <v>67786.547330935689</v>
      </c>
      <c r="AD202" s="231">
        <f t="shared" ca="1" si="198"/>
        <v>2353.6995601019335</v>
      </c>
      <c r="AE202" s="231">
        <f t="shared" ca="1" si="166"/>
        <v>14127.540202091432</v>
      </c>
      <c r="AF202" s="231">
        <f t="shared" ca="1" si="167"/>
        <v>96979.21218415325</v>
      </c>
      <c r="AG202" s="232">
        <f t="shared" ca="1" si="168"/>
        <v>253814.80034604331</v>
      </c>
      <c r="AH202" s="244">
        <f t="shared" ca="1" si="199"/>
        <v>0.76275491632453751</v>
      </c>
      <c r="AI202" s="243">
        <f t="shared" ca="1" si="200"/>
        <v>3.8330718121286438</v>
      </c>
      <c r="AJ202" s="242">
        <f t="shared" ca="1" si="201"/>
        <v>4.5958267284531811</v>
      </c>
      <c r="AK202" s="241">
        <f t="shared" ca="1" si="202"/>
        <v>0.54918353975366696</v>
      </c>
      <c r="AL202" s="243">
        <f t="shared" ca="1" si="203"/>
        <v>1.6980508127729892</v>
      </c>
      <c r="AM202" s="243"/>
      <c r="AN202" s="242">
        <f t="shared" ca="1" si="169"/>
        <v>2.247234352526656</v>
      </c>
      <c r="AO202" s="224"/>
      <c r="AP202" s="235">
        <f t="shared" si="204"/>
        <v>15.076923076923077</v>
      </c>
      <c r="AQ202" s="235">
        <f t="shared" si="170"/>
        <v>0.64040416915706977</v>
      </c>
      <c r="AR202" s="235">
        <f t="shared" si="171"/>
        <v>0.79893597703763075</v>
      </c>
      <c r="AT202" s="230">
        <f t="shared" ca="1" si="172"/>
        <v>96158.10150729891</v>
      </c>
      <c r="AU202" s="231">
        <f t="shared" ca="1" si="173"/>
        <v>598.66251892193225</v>
      </c>
      <c r="AV202" s="231">
        <f t="shared" ca="1" si="205"/>
        <v>981.88549868095686</v>
      </c>
      <c r="AW202" s="231"/>
      <c r="AX202" s="231">
        <f t="shared" ca="1" si="206"/>
        <v>2399.56889437666</v>
      </c>
      <c r="AY202" s="231">
        <f t="shared" ca="1" si="207"/>
        <v>299.94611179708249</v>
      </c>
      <c r="AZ202" s="231"/>
      <c r="BA202" s="232">
        <f t="shared" ca="1" si="174"/>
        <v>100438.16453107556</v>
      </c>
      <c r="BB202" s="231">
        <f t="shared" ca="1" si="175"/>
        <v>71.676762329161051</v>
      </c>
      <c r="BC202" s="231">
        <f t="shared" ca="1" si="208"/>
        <v>8068.7728618905167</v>
      </c>
      <c r="BD202" s="231">
        <f t="shared" ca="1" si="209"/>
        <v>43410.787523494255</v>
      </c>
      <c r="BE202" s="231">
        <f t="shared" ca="1" si="210"/>
        <v>1507.3190112324394</v>
      </c>
      <c r="BF202" s="231">
        <f t="shared" ca="1" si="176"/>
        <v>9047.3356453534652</v>
      </c>
      <c r="BG202" s="231">
        <f t="shared" ca="1" si="177"/>
        <v>62105.891804299841</v>
      </c>
      <c r="BH202" s="232">
        <f t="shared" ca="1" si="178"/>
        <v>162544.05633537541</v>
      </c>
      <c r="BI202" s="244">
        <f t="shared" ca="1" si="211"/>
        <v>0.60939234431400069</v>
      </c>
      <c r="BJ202" s="243">
        <f t="shared" ca="1" si="212"/>
        <v>3.0623789732783999</v>
      </c>
      <c r="BK202" s="242">
        <f t="shared" ca="1" si="213"/>
        <v>3.6717713175924005</v>
      </c>
      <c r="BL202" s="241">
        <f t="shared" ca="1" si="214"/>
        <v>0.43876248790608047</v>
      </c>
      <c r="BM202" s="243">
        <f t="shared" ca="1" si="215"/>
        <v>1.3566338851623312</v>
      </c>
      <c r="BN202" s="243">
        <f t="shared" si="179"/>
        <v>0</v>
      </c>
      <c r="BO202" s="242">
        <f t="shared" ca="1" si="180"/>
        <v>1.7953963730684115</v>
      </c>
      <c r="BP202" s="67"/>
      <c r="BQ202" s="67"/>
      <c r="BR202" s="67"/>
      <c r="BS202" s="67"/>
      <c r="BT202" s="67"/>
      <c r="BU202" s="67"/>
      <c r="BV202" s="67"/>
      <c r="BW202" s="67"/>
      <c r="BX202" s="67"/>
      <c r="BY202" s="67"/>
      <c r="BZ202" s="67"/>
      <c r="CA202" s="67"/>
      <c r="CB202" s="67"/>
    </row>
    <row r="203" spans="1:80" ht="12" customHeight="1" x14ac:dyDescent="0.15">
      <c r="A203" s="213">
        <f t="shared" si="181"/>
        <v>197</v>
      </c>
      <c r="B203" s="67">
        <f t="shared" si="182"/>
        <v>788</v>
      </c>
      <c r="C203" s="224">
        <f t="shared" si="183"/>
        <v>181.84615384615384</v>
      </c>
      <c r="D203" s="225">
        <f ca="1">IFERROR(OFFSET(extrapolation!P212,0,OS_dist_choice-1,1,1),0)</f>
        <v>5.9217535208178664E-2</v>
      </c>
      <c r="E203" s="225">
        <f ca="1">IFERROR(OFFSET(extrapolation!D212,0,PFS_dist_choice-1,1,1),0)</f>
        <v>9.7072871350935008E-3</v>
      </c>
      <c r="F203" s="214"/>
      <c r="G203" s="226">
        <f t="shared" ca="1" si="184"/>
        <v>9.7072871350935017</v>
      </c>
      <c r="H203" s="224">
        <f t="shared" ca="1" si="185"/>
        <v>49.510248073085222</v>
      </c>
      <c r="I203" s="224">
        <f t="shared" ca="1" si="162"/>
        <v>940.78246479182133</v>
      </c>
      <c r="J203" s="227">
        <f t="shared" ca="1" si="163"/>
        <v>1000</v>
      </c>
      <c r="K203" s="238">
        <f t="shared" ca="1" si="186"/>
        <v>0.16071003723172517</v>
      </c>
      <c r="L203" s="239">
        <f t="shared" ca="1" si="187"/>
        <v>0.48683364160945075</v>
      </c>
      <c r="M203" s="238">
        <f t="shared" ca="1" si="188"/>
        <v>9.7876421537093634</v>
      </c>
      <c r="N203" s="238">
        <f t="shared" ca="1" si="189"/>
        <v>49.673309875274072</v>
      </c>
      <c r="O203" s="239">
        <f t="shared" ca="1" si="190"/>
        <v>940.53904797101654</v>
      </c>
      <c r="P203" s="217"/>
      <c r="Q203" s="217"/>
      <c r="R203" s="224"/>
      <c r="S203" s="230">
        <f t="shared" ca="1" si="191"/>
        <v>147706.83394477292</v>
      </c>
      <c r="T203" s="231">
        <f t="shared" ca="1" si="192"/>
        <v>919.59537350734092</v>
      </c>
      <c r="U203" s="231">
        <f t="shared" ca="1" si="193"/>
        <v>1508.2299802232287</v>
      </c>
      <c r="V203" s="231"/>
      <c r="W203" s="231">
        <f t="shared" ca="1" si="194"/>
        <v>3685.869432812487</v>
      </c>
      <c r="X203" s="231">
        <f t="shared" ca="1" si="195"/>
        <v>460.73367910156088</v>
      </c>
      <c r="Y203" s="231"/>
      <c r="Z203" s="232">
        <f t="shared" ca="1" si="164"/>
        <v>154281.26241041755</v>
      </c>
      <c r="AA203" s="231">
        <f t="shared" ca="1" si="165"/>
        <v>109.85541525218513</v>
      </c>
      <c r="AB203" s="231">
        <f t="shared" ca="1" si="196"/>
        <v>12516.914616776614</v>
      </c>
      <c r="AC203" s="231">
        <f t="shared" ca="1" si="197"/>
        <v>67342.225413852764</v>
      </c>
      <c r="AD203" s="231">
        <f t="shared" ca="1" si="198"/>
        <v>2338.2717157587763</v>
      </c>
      <c r="AE203" s="231">
        <f t="shared" ca="1" si="166"/>
        <v>13948.036936921038</v>
      </c>
      <c r="AF203" s="231">
        <f t="shared" ca="1" si="167"/>
        <v>96255.304098561377</v>
      </c>
      <c r="AG203" s="232">
        <f t="shared" ca="1" si="168"/>
        <v>250536.56650897893</v>
      </c>
      <c r="AH203" s="244">
        <f t="shared" ca="1" si="199"/>
        <v>0.75031890569161452</v>
      </c>
      <c r="AI203" s="243">
        <f t="shared" ca="1" si="200"/>
        <v>3.807947095161325</v>
      </c>
      <c r="AJ203" s="242">
        <f t="shared" ca="1" si="201"/>
        <v>4.5582660008529396</v>
      </c>
      <c r="AK203" s="241">
        <f t="shared" ca="1" si="202"/>
        <v>0.54022961209796239</v>
      </c>
      <c r="AL203" s="243">
        <f t="shared" ca="1" si="203"/>
        <v>1.686920563156467</v>
      </c>
      <c r="AM203" s="243"/>
      <c r="AN203" s="242">
        <f t="shared" ca="1" si="169"/>
        <v>2.2271501752544296</v>
      </c>
      <c r="AO203" s="224"/>
      <c r="AP203" s="235">
        <f t="shared" si="204"/>
        <v>15.153846153846153</v>
      </c>
      <c r="AQ203" s="235">
        <f t="shared" si="170"/>
        <v>0.63894970178108168</v>
      </c>
      <c r="AR203" s="235">
        <f t="shared" si="171"/>
        <v>0.79802149709907177</v>
      </c>
      <c r="AT203" s="230">
        <f t="shared" ca="1" si="172"/>
        <v>94377.237500040414</v>
      </c>
      <c r="AU203" s="231">
        <f t="shared" ca="1" si="173"/>
        <v>587.57518966177793</v>
      </c>
      <c r="AV203" s="231">
        <f t="shared" ca="1" si="205"/>
        <v>963.68309608091874</v>
      </c>
      <c r="AW203" s="231"/>
      <c r="AX203" s="231">
        <f t="shared" ca="1" si="206"/>
        <v>2355.0851748995433</v>
      </c>
      <c r="AY203" s="231">
        <f t="shared" ca="1" si="207"/>
        <v>294.38564686244291</v>
      </c>
      <c r="AZ203" s="231"/>
      <c r="BA203" s="232">
        <f t="shared" ca="1" si="174"/>
        <v>98577.966607545095</v>
      </c>
      <c r="BB203" s="231">
        <f t="shared" ca="1" si="175"/>
        <v>70.192084814420582</v>
      </c>
      <c r="BC203" s="231">
        <f t="shared" ca="1" si="208"/>
        <v>7997.6788616086797</v>
      </c>
      <c r="BD203" s="231">
        <f t="shared" ca="1" si="209"/>
        <v>43028.294845455603</v>
      </c>
      <c r="BE203" s="231">
        <f t="shared" ca="1" si="210"/>
        <v>1494.0380154672082</v>
      </c>
      <c r="BF203" s="231">
        <f t="shared" ca="1" si="176"/>
        <v>8912.0940412772088</v>
      </c>
      <c r="BG203" s="231">
        <f t="shared" ca="1" si="177"/>
        <v>61502.297848623122</v>
      </c>
      <c r="BH203" s="232">
        <f t="shared" ca="1" si="178"/>
        <v>160080.26445616822</v>
      </c>
      <c r="BI203" s="244">
        <f t="shared" ca="1" si="211"/>
        <v>0.59877061642175944</v>
      </c>
      <c r="BJ203" s="243">
        <f t="shared" ca="1" si="212"/>
        <v>3.0388236417547021</v>
      </c>
      <c r="BK203" s="242">
        <f t="shared" ca="1" si="213"/>
        <v>3.6375942581764615</v>
      </c>
      <c r="BL203" s="241">
        <f t="shared" ca="1" si="214"/>
        <v>0.43111484382366677</v>
      </c>
      <c r="BM203" s="243">
        <f t="shared" ca="1" si="215"/>
        <v>1.3461988732973331</v>
      </c>
      <c r="BN203" s="243">
        <f t="shared" si="179"/>
        <v>0</v>
      </c>
      <c r="BO203" s="242">
        <f t="shared" ca="1" si="180"/>
        <v>1.7773137171210001</v>
      </c>
      <c r="BP203" s="67"/>
      <c r="BQ203" s="67"/>
      <c r="BR203" s="67"/>
      <c r="BS203" s="67"/>
      <c r="BT203" s="67"/>
      <c r="BU203" s="67"/>
      <c r="BV203" s="67"/>
      <c r="BW203" s="67"/>
      <c r="BX203" s="67"/>
      <c r="BY203" s="67"/>
      <c r="BZ203" s="67"/>
      <c r="CA203" s="67"/>
      <c r="CB203" s="67"/>
    </row>
    <row r="204" spans="1:80" ht="12" customHeight="1" x14ac:dyDescent="0.15">
      <c r="A204" s="213">
        <f t="shared" si="181"/>
        <v>198</v>
      </c>
      <c r="B204" s="67">
        <f t="shared" si="182"/>
        <v>792</v>
      </c>
      <c r="C204" s="224">
        <f t="shared" si="183"/>
        <v>182.76923076923077</v>
      </c>
      <c r="D204" s="225">
        <f ca="1">IFERROR(OFFSET(extrapolation!P213,0,OS_dist_choice-1,1,1),0)</f>
        <v>5.8736860094858838E-2</v>
      </c>
      <c r="E204" s="225">
        <f ca="1">IFERROR(OFFSET(extrapolation!D213,0,PFS_dist_choice-1,1,1),0)</f>
        <v>9.5495404791302585E-3</v>
      </c>
      <c r="F204" s="214"/>
      <c r="G204" s="226">
        <f t="shared" ca="1" si="184"/>
        <v>9.5495404791302576</v>
      </c>
      <c r="H204" s="224">
        <f t="shared" ca="1" si="185"/>
        <v>49.187319615728597</v>
      </c>
      <c r="I204" s="224">
        <f t="shared" ca="1" si="162"/>
        <v>941.2631399051412</v>
      </c>
      <c r="J204" s="227">
        <f t="shared" ca="1" si="163"/>
        <v>1000</v>
      </c>
      <c r="K204" s="238">
        <f t="shared" ca="1" si="186"/>
        <v>0.15774665596324411</v>
      </c>
      <c r="L204" s="239">
        <f t="shared" ca="1" si="187"/>
        <v>0.48067511331987589</v>
      </c>
      <c r="M204" s="238">
        <f t="shared" ca="1" si="188"/>
        <v>9.6284138071118797</v>
      </c>
      <c r="N204" s="238">
        <f t="shared" ca="1" si="189"/>
        <v>49.34878384440691</v>
      </c>
      <c r="O204" s="239">
        <f t="shared" ca="1" si="190"/>
        <v>941.02280234848126</v>
      </c>
      <c r="P204" s="217"/>
      <c r="Q204" s="217"/>
      <c r="R204" s="224"/>
      <c r="S204" s="230">
        <f t="shared" ca="1" si="191"/>
        <v>145306.54859280557</v>
      </c>
      <c r="T204" s="231">
        <f t="shared" ca="1" si="192"/>
        <v>904.65164175291227</v>
      </c>
      <c r="U204" s="231">
        <f t="shared" ca="1" si="193"/>
        <v>1483.6936350781739</v>
      </c>
      <c r="V204" s="231"/>
      <c r="W204" s="231">
        <f t="shared" ca="1" si="194"/>
        <v>3625.9065851374203</v>
      </c>
      <c r="X204" s="231">
        <f t="shared" ca="1" si="195"/>
        <v>453.23832314217753</v>
      </c>
      <c r="Y204" s="231"/>
      <c r="Z204" s="232">
        <f t="shared" ca="1" si="164"/>
        <v>151774.03877791626</v>
      </c>
      <c r="AA204" s="231">
        <f t="shared" ca="1" si="165"/>
        <v>107.82975782961769</v>
      </c>
      <c r="AB204" s="231">
        <f t="shared" ca="1" si="196"/>
        <v>12435.13901878475</v>
      </c>
      <c r="AC204" s="231">
        <f t="shared" ca="1" si="197"/>
        <v>66902.264694943675</v>
      </c>
      <c r="AD204" s="231">
        <f t="shared" ca="1" si="198"/>
        <v>2322.9953019077666</v>
      </c>
      <c r="AE204" s="231">
        <f t="shared" ca="1" si="166"/>
        <v>13771.591899605861</v>
      </c>
      <c r="AF204" s="231">
        <f t="shared" ca="1" si="167"/>
        <v>95539.820673071663</v>
      </c>
      <c r="AG204" s="232">
        <f t="shared" ca="1" si="168"/>
        <v>247313.85945098792</v>
      </c>
      <c r="AH204" s="244">
        <f t="shared" ca="1" si="199"/>
        <v>0.73811248897777582</v>
      </c>
      <c r="AI204" s="243">
        <f t="shared" ca="1" si="200"/>
        <v>3.7830689873877987</v>
      </c>
      <c r="AJ204" s="242">
        <f t="shared" ca="1" si="201"/>
        <v>4.5211814763655749</v>
      </c>
      <c r="AK204" s="241">
        <f t="shared" ca="1" si="202"/>
        <v>0.53144099206399853</v>
      </c>
      <c r="AL204" s="243">
        <f t="shared" ca="1" si="203"/>
        <v>1.6758995614127949</v>
      </c>
      <c r="AM204" s="243"/>
      <c r="AN204" s="242">
        <f t="shared" ca="1" si="169"/>
        <v>2.2073405534767936</v>
      </c>
      <c r="AO204" s="224"/>
      <c r="AP204" s="235">
        <f t="shared" si="204"/>
        <v>15.23076923076923</v>
      </c>
      <c r="AQ204" s="235">
        <f t="shared" si="170"/>
        <v>0.63749853774921539</v>
      </c>
      <c r="AR204" s="235">
        <f t="shared" si="171"/>
        <v>0.79710806389464695</v>
      </c>
      <c r="AT204" s="230">
        <f t="shared" ca="1" si="172"/>
        <v>92632.712253298858</v>
      </c>
      <c r="AU204" s="231">
        <f t="shared" ca="1" si="173"/>
        <v>576.71409878990858</v>
      </c>
      <c r="AV204" s="231">
        <f t="shared" ca="1" si="205"/>
        <v>945.85252283015382</v>
      </c>
      <c r="AW204" s="231"/>
      <c r="AX204" s="231">
        <f t="shared" ca="1" si="206"/>
        <v>2311.5101460403562</v>
      </c>
      <c r="AY204" s="231">
        <f t="shared" ca="1" si="207"/>
        <v>288.93876825504452</v>
      </c>
      <c r="AZ204" s="231"/>
      <c r="BA204" s="232">
        <f t="shared" ca="1" si="174"/>
        <v>96755.727789214332</v>
      </c>
      <c r="BB204" s="231">
        <f t="shared" ca="1" si="175"/>
        <v>68.741312942233293</v>
      </c>
      <c r="BC204" s="231">
        <f t="shared" ca="1" si="208"/>
        <v>7927.3829411834913</v>
      </c>
      <c r="BD204" s="231">
        <f t="shared" ca="1" si="209"/>
        <v>42650.09591513755</v>
      </c>
      <c r="BE204" s="231">
        <f t="shared" ca="1" si="210"/>
        <v>1480.9061081644984</v>
      </c>
      <c r="BF204" s="231">
        <f t="shared" ca="1" si="176"/>
        <v>8779.3696984776761</v>
      </c>
      <c r="BG204" s="231">
        <f t="shared" ca="1" si="177"/>
        <v>60906.495975905447</v>
      </c>
      <c r="BH204" s="232">
        <f t="shared" ca="1" si="178"/>
        <v>157662.22376511976</v>
      </c>
      <c r="BI204" s="244">
        <f t="shared" ca="1" si="211"/>
        <v>0.58835541702553384</v>
      </c>
      <c r="BJ204" s="243">
        <f t="shared" ca="1" si="212"/>
        <v>3.0155147961165709</v>
      </c>
      <c r="BK204" s="242">
        <f t="shared" ca="1" si="213"/>
        <v>3.603870213142105</v>
      </c>
      <c r="BL204" s="241">
        <f t="shared" ca="1" si="214"/>
        <v>0.4236159002583843</v>
      </c>
      <c r="BM204" s="243">
        <f t="shared" ca="1" si="215"/>
        <v>1.3358730546796409</v>
      </c>
      <c r="BN204" s="243">
        <f t="shared" si="179"/>
        <v>0</v>
      </c>
      <c r="BO204" s="242">
        <f t="shared" ca="1" si="180"/>
        <v>1.7594889549380253</v>
      </c>
      <c r="BP204" s="67"/>
      <c r="BQ204" s="67"/>
      <c r="BR204" s="67"/>
      <c r="BS204" s="67"/>
      <c r="BT204" s="67"/>
      <c r="BU204" s="67"/>
      <c r="BV204" s="67"/>
      <c r="BW204" s="67"/>
      <c r="BX204" s="67"/>
      <c r="BY204" s="67"/>
      <c r="BZ204" s="67"/>
      <c r="CA204" s="67"/>
      <c r="CB204" s="67"/>
    </row>
    <row r="205" spans="1:80" ht="12" customHeight="1" x14ac:dyDescent="0.15">
      <c r="A205" s="213">
        <f t="shared" si="181"/>
        <v>199</v>
      </c>
      <c r="B205" s="67">
        <f t="shared" si="182"/>
        <v>796</v>
      </c>
      <c r="C205" s="224">
        <f t="shared" si="183"/>
        <v>183.69230769230771</v>
      </c>
      <c r="D205" s="225">
        <f ca="1">IFERROR(OFFSET(extrapolation!P214,0,OS_dist_choice-1,1,1),0)</f>
        <v>5.8262239028808664E-2</v>
      </c>
      <c r="E205" s="225">
        <f ca="1">IFERROR(OFFSET(extrapolation!D214,0,PFS_dist_choice-1,1,1),0)</f>
        <v>9.3946955092493178E-3</v>
      </c>
      <c r="F205" s="214"/>
      <c r="G205" s="226">
        <f t="shared" ca="1" si="184"/>
        <v>9.394695509249317</v>
      </c>
      <c r="H205" s="224">
        <f t="shared" ca="1" si="185"/>
        <v>48.867543519559376</v>
      </c>
      <c r="I205" s="224">
        <f t="shared" ca="1" si="162"/>
        <v>941.73776097119128</v>
      </c>
      <c r="J205" s="227">
        <f t="shared" ca="1" si="163"/>
        <v>1000</v>
      </c>
      <c r="K205" s="238">
        <f t="shared" ca="1" si="186"/>
        <v>0.15484496988094065</v>
      </c>
      <c r="L205" s="239">
        <f t="shared" ca="1" si="187"/>
        <v>0.47462106605007648</v>
      </c>
      <c r="M205" s="238">
        <f t="shared" ca="1" si="188"/>
        <v>9.4721179941897873</v>
      </c>
      <c r="N205" s="238">
        <f t="shared" ca="1" si="189"/>
        <v>49.027431567643987</v>
      </c>
      <c r="O205" s="239">
        <f t="shared" ca="1" si="190"/>
        <v>941.50045043816624</v>
      </c>
      <c r="P205" s="217"/>
      <c r="Q205" s="217"/>
      <c r="R205" s="224"/>
      <c r="S205" s="230">
        <f t="shared" ca="1" si="191"/>
        <v>142950.41552132132</v>
      </c>
      <c r="T205" s="231">
        <f t="shared" ca="1" si="192"/>
        <v>889.98279391399183</v>
      </c>
      <c r="U205" s="231">
        <f t="shared" ca="1" si="193"/>
        <v>1459.6091796873397</v>
      </c>
      <c r="V205" s="231"/>
      <c r="W205" s="231">
        <f t="shared" ca="1" si="194"/>
        <v>3567.0480827239667</v>
      </c>
      <c r="X205" s="231">
        <f t="shared" ca="1" si="195"/>
        <v>445.88101034049583</v>
      </c>
      <c r="Y205" s="231"/>
      <c r="Z205" s="232">
        <f t="shared" ca="1" si="164"/>
        <v>149312.93658798712</v>
      </c>
      <c r="AA205" s="231">
        <f t="shared" ca="1" si="165"/>
        <v>105.84627294594917</v>
      </c>
      <c r="AB205" s="231">
        <f t="shared" ca="1" si="196"/>
        <v>12354.16315830257</v>
      </c>
      <c r="AC205" s="231">
        <f t="shared" ca="1" si="197"/>
        <v>66466.606642090715</v>
      </c>
      <c r="AD205" s="231">
        <f t="shared" ca="1" si="198"/>
        <v>2307.8682861837055</v>
      </c>
      <c r="AE205" s="231">
        <f t="shared" ca="1" si="166"/>
        <v>13598.140297826933</v>
      </c>
      <c r="AF205" s="231">
        <f t="shared" ca="1" si="167"/>
        <v>94832.624657349865</v>
      </c>
      <c r="AG205" s="232">
        <f t="shared" ca="1" si="168"/>
        <v>244145.56124533698</v>
      </c>
      <c r="AH205" s="244">
        <f t="shared" ca="1" si="199"/>
        <v>0.72613087977361823</v>
      </c>
      <c r="AI205" s="243">
        <f t="shared" ca="1" si="200"/>
        <v>3.7584341790391012</v>
      </c>
      <c r="AJ205" s="242">
        <f t="shared" ca="1" si="201"/>
        <v>4.4845650588127191</v>
      </c>
      <c r="AK205" s="241">
        <f t="shared" ca="1" si="202"/>
        <v>0.52281423343700506</v>
      </c>
      <c r="AL205" s="243">
        <f t="shared" ca="1" si="203"/>
        <v>1.6649863413143218</v>
      </c>
      <c r="AM205" s="243"/>
      <c r="AN205" s="242">
        <f t="shared" ca="1" si="169"/>
        <v>2.1878005747513267</v>
      </c>
      <c r="AO205" s="224"/>
      <c r="AP205" s="235">
        <f t="shared" si="204"/>
        <v>15.307692307692308</v>
      </c>
      <c r="AQ205" s="235">
        <f t="shared" si="170"/>
        <v>0.63605066955901157</v>
      </c>
      <c r="AR205" s="235">
        <f t="shared" si="171"/>
        <v>0.79619567622624099</v>
      </c>
      <c r="AT205" s="230">
        <f t="shared" ca="1" si="172"/>
        <v>90923.707506075341</v>
      </c>
      <c r="AU205" s="231">
        <f t="shared" ca="1" si="173"/>
        <v>566.07415196499426</v>
      </c>
      <c r="AV205" s="231">
        <f t="shared" ca="1" si="205"/>
        <v>928.38539603461209</v>
      </c>
      <c r="AW205" s="231"/>
      <c r="AX205" s="231">
        <f t="shared" ca="1" si="206"/>
        <v>2268.8233213657677</v>
      </c>
      <c r="AY205" s="231">
        <f t="shared" ca="1" si="207"/>
        <v>283.60291517072096</v>
      </c>
      <c r="AZ205" s="231"/>
      <c r="BA205" s="232">
        <f t="shared" ca="1" si="174"/>
        <v>94970.593290611447</v>
      </c>
      <c r="BB205" s="231">
        <f t="shared" ca="1" si="175"/>
        <v>67.323592777596858</v>
      </c>
      <c r="BC205" s="231">
        <f t="shared" ca="1" si="208"/>
        <v>7857.8737486796226</v>
      </c>
      <c r="BD205" s="231">
        <f t="shared" ca="1" si="209"/>
        <v>42276.129658017242</v>
      </c>
      <c r="BE205" s="231">
        <f t="shared" ca="1" si="210"/>
        <v>1467.9211686811545</v>
      </c>
      <c r="BF205" s="231">
        <f t="shared" ca="1" si="176"/>
        <v>8649.1062411901967</v>
      </c>
      <c r="BG205" s="231">
        <f t="shared" ca="1" si="177"/>
        <v>60318.354409345811</v>
      </c>
      <c r="BH205" s="232">
        <f t="shared" ca="1" si="178"/>
        <v>155288.94769995727</v>
      </c>
      <c r="BI205" s="244">
        <f t="shared" ca="1" si="211"/>
        <v>0.57814226685011127</v>
      </c>
      <c r="BJ205" s="243">
        <f t="shared" ca="1" si="212"/>
        <v>2.9924490427318542</v>
      </c>
      <c r="BK205" s="242">
        <f t="shared" ca="1" si="213"/>
        <v>3.5705913095819652</v>
      </c>
      <c r="BL205" s="241">
        <f t="shared" ca="1" si="214"/>
        <v>0.41626243213208003</v>
      </c>
      <c r="BM205" s="243">
        <f t="shared" ca="1" si="215"/>
        <v>1.3256549259302113</v>
      </c>
      <c r="BN205" s="243">
        <f t="shared" si="179"/>
        <v>0</v>
      </c>
      <c r="BO205" s="242">
        <f t="shared" ca="1" si="180"/>
        <v>1.7419173580622913</v>
      </c>
      <c r="BP205" s="67"/>
      <c r="BQ205" s="67"/>
      <c r="BR205" s="67"/>
      <c r="BS205" s="67"/>
      <c r="BT205" s="67"/>
      <c r="BU205" s="67"/>
      <c r="BV205" s="67"/>
      <c r="BW205" s="67"/>
      <c r="BX205" s="67"/>
      <c r="BY205" s="67"/>
      <c r="BZ205" s="67"/>
      <c r="CA205" s="67"/>
      <c r="CB205" s="67"/>
    </row>
    <row r="206" spans="1:80" ht="12" customHeight="1" x14ac:dyDescent="0.15">
      <c r="A206" s="213">
        <f t="shared" si="181"/>
        <v>200</v>
      </c>
      <c r="B206" s="67">
        <f t="shared" si="182"/>
        <v>800</v>
      </c>
      <c r="C206" s="224">
        <f t="shared" si="183"/>
        <v>184.61538461538461</v>
      </c>
      <c r="D206" s="225">
        <f ca="1">IFERROR(OFFSET(extrapolation!P215,0,OS_dist_choice-1,1,1),0)</f>
        <v>5.7793569733613576E-2</v>
      </c>
      <c r="E206" s="225">
        <f ca="1">IFERROR(OFFSET(extrapolation!D215,0,PFS_dist_choice-1,1,1),0)</f>
        <v>9.2426919748866965E-3</v>
      </c>
      <c r="F206" s="214"/>
      <c r="G206" s="226">
        <f t="shared" ca="1" si="184"/>
        <v>9.2426919748866965</v>
      </c>
      <c r="H206" s="224">
        <f t="shared" ca="1" si="185"/>
        <v>48.55087775872687</v>
      </c>
      <c r="I206" s="224">
        <f t="shared" ca="1" si="162"/>
        <v>942.20643026638641</v>
      </c>
      <c r="J206" s="227">
        <f t="shared" ca="1" si="163"/>
        <v>1000</v>
      </c>
      <c r="K206" s="238">
        <f t="shared" ca="1" si="186"/>
        <v>0.15200353436262048</v>
      </c>
      <c r="L206" s="239">
        <f t="shared" ca="1" si="187"/>
        <v>0.46866929519512723</v>
      </c>
      <c r="M206" s="238">
        <f t="shared" ca="1" si="188"/>
        <v>9.3186937420680067</v>
      </c>
      <c r="N206" s="238">
        <f t="shared" ca="1" si="189"/>
        <v>48.709210639143123</v>
      </c>
      <c r="O206" s="239">
        <f t="shared" ca="1" si="190"/>
        <v>941.9720956187889</v>
      </c>
      <c r="P206" s="217"/>
      <c r="Q206" s="217"/>
      <c r="R206" s="224"/>
      <c r="S206" s="230">
        <f t="shared" ca="1" si="191"/>
        <v>140637.51795306557</v>
      </c>
      <c r="T206" s="231">
        <f t="shared" ca="1" si="192"/>
        <v>875.58312230529953</v>
      </c>
      <c r="U206" s="231">
        <f t="shared" ca="1" si="193"/>
        <v>1435.9672184152166</v>
      </c>
      <c r="V206" s="231"/>
      <c r="W206" s="231">
        <f t="shared" ca="1" si="194"/>
        <v>3509.2709641629381</v>
      </c>
      <c r="X206" s="231">
        <f t="shared" ca="1" si="195"/>
        <v>438.65887052036726</v>
      </c>
      <c r="Y206" s="231"/>
      <c r="Z206" s="232">
        <f t="shared" ca="1" si="164"/>
        <v>146896.99812846942</v>
      </c>
      <c r="AA206" s="231">
        <f t="shared" ca="1" si="165"/>
        <v>103.90397311107768</v>
      </c>
      <c r="AB206" s="231">
        <f t="shared" ca="1" si="196"/>
        <v>12273.976349706201</v>
      </c>
      <c r="AC206" s="231">
        <f t="shared" ca="1" si="197"/>
        <v>66035.193765591874</v>
      </c>
      <c r="AD206" s="231">
        <f t="shared" ca="1" si="198"/>
        <v>2292.8886724163845</v>
      </c>
      <c r="AE206" s="231">
        <f t="shared" ca="1" si="166"/>
        <v>13427.618968506969</v>
      </c>
      <c r="AF206" s="231">
        <f t="shared" ca="1" si="167"/>
        <v>94133.581729332509</v>
      </c>
      <c r="AG206" s="232">
        <f t="shared" ca="1" si="168"/>
        <v>241030.57985780193</v>
      </c>
      <c r="AH206" s="244">
        <f t="shared" ca="1" si="199"/>
        <v>0.71436940390938863</v>
      </c>
      <c r="AI206" s="243">
        <f t="shared" ca="1" si="200"/>
        <v>3.7340394192909172</v>
      </c>
      <c r="AJ206" s="242">
        <f t="shared" ca="1" si="201"/>
        <v>4.4484088232003058</v>
      </c>
      <c r="AK206" s="241">
        <f t="shared" ca="1" si="202"/>
        <v>0.51434597081475975</v>
      </c>
      <c r="AL206" s="243">
        <f t="shared" ca="1" si="203"/>
        <v>1.6541794627458764</v>
      </c>
      <c r="AM206" s="243"/>
      <c r="AN206" s="242">
        <f t="shared" ca="1" si="169"/>
        <v>2.1685254335606361</v>
      </c>
      <c r="AO206" s="224"/>
      <c r="AP206" s="235">
        <f t="shared" si="204"/>
        <v>15.384615384615385</v>
      </c>
      <c r="AQ206" s="235">
        <f t="shared" si="170"/>
        <v>0.63460608972505039</v>
      </c>
      <c r="AR206" s="235">
        <f t="shared" si="171"/>
        <v>0.79528433289710965</v>
      </c>
      <c r="AT206" s="230">
        <f t="shared" ca="1" si="172"/>
        <v>89249.425336831511</v>
      </c>
      <c r="AU206" s="231">
        <f t="shared" ca="1" si="173"/>
        <v>555.65038147541668</v>
      </c>
      <c r="AV206" s="231">
        <f t="shared" ca="1" si="205"/>
        <v>911.27354145183801</v>
      </c>
      <c r="AW206" s="231"/>
      <c r="AX206" s="231">
        <f t="shared" ca="1" si="206"/>
        <v>2227.0047243530994</v>
      </c>
      <c r="AY206" s="231">
        <f t="shared" ca="1" si="207"/>
        <v>278.37559054413742</v>
      </c>
      <c r="AZ206" s="231"/>
      <c r="BA206" s="232">
        <f t="shared" ca="1" si="174"/>
        <v>93221.729574656027</v>
      </c>
      <c r="BB206" s="231">
        <f t="shared" ca="1" si="175"/>
        <v>65.938094082917786</v>
      </c>
      <c r="BC206" s="231">
        <f t="shared" ca="1" si="208"/>
        <v>7789.1401366647997</v>
      </c>
      <c r="BD206" s="231">
        <f t="shared" ca="1" si="209"/>
        <v>41906.336099818283</v>
      </c>
      <c r="BE206" s="231">
        <f t="shared" ca="1" si="210"/>
        <v>1455.0811145770238</v>
      </c>
      <c r="BF206" s="231">
        <f t="shared" ca="1" si="176"/>
        <v>8521.2487679221231</v>
      </c>
      <c r="BG206" s="231">
        <f t="shared" ca="1" si="177"/>
        <v>59737.744213065147</v>
      </c>
      <c r="BH206" s="232">
        <f t="shared" ca="1" si="178"/>
        <v>152959.47378772119</v>
      </c>
      <c r="BI206" s="244">
        <f t="shared" ca="1" si="211"/>
        <v>0.56812679483018402</v>
      </c>
      <c r="BJ206" s="243">
        <f t="shared" ca="1" si="212"/>
        <v>2.9696230485822879</v>
      </c>
      <c r="BK206" s="242">
        <f t="shared" ca="1" si="213"/>
        <v>3.5377498434124717</v>
      </c>
      <c r="BL206" s="241">
        <f t="shared" ca="1" si="214"/>
        <v>0.40905129227773246</v>
      </c>
      <c r="BM206" s="243">
        <f t="shared" ca="1" si="215"/>
        <v>1.3155430105219534</v>
      </c>
      <c r="BN206" s="243">
        <f t="shared" si="179"/>
        <v>0</v>
      </c>
      <c r="BO206" s="242">
        <f t="shared" ca="1" si="180"/>
        <v>1.724594302799686</v>
      </c>
      <c r="BP206" s="67"/>
      <c r="BQ206" s="67"/>
      <c r="BR206" s="67"/>
      <c r="BS206" s="67"/>
      <c r="BT206" s="67"/>
      <c r="BU206" s="67"/>
      <c r="BV206" s="67"/>
      <c r="BW206" s="67"/>
      <c r="BX206" s="67"/>
      <c r="BY206" s="67"/>
      <c r="BZ206" s="67"/>
      <c r="CA206" s="67"/>
      <c r="CB206" s="67"/>
    </row>
    <row r="207" spans="1:80" ht="12" customHeight="1" x14ac:dyDescent="0.15">
      <c r="A207" s="213">
        <f t="shared" si="181"/>
        <v>201</v>
      </c>
      <c r="B207" s="67">
        <f t="shared" si="182"/>
        <v>804</v>
      </c>
      <c r="C207" s="224">
        <f t="shared" si="183"/>
        <v>185.53846153846155</v>
      </c>
      <c r="D207" s="225">
        <f ca="1">IFERROR(OFFSET(extrapolation!P216,0,OS_dist_choice-1,1,1),0)</f>
        <v>5.7330752082241199E-2</v>
      </c>
      <c r="E207" s="225">
        <f ca="1">IFERROR(OFFSET(extrapolation!D216,0,PFS_dist_choice-1,1,1),0)</f>
        <v>9.093471032234568E-3</v>
      </c>
      <c r="F207" s="214"/>
      <c r="G207" s="226">
        <f t="shared" ca="1" si="184"/>
        <v>9.093471032234568</v>
      </c>
      <c r="H207" s="224">
        <f t="shared" ca="1" si="185"/>
        <v>48.237281050006686</v>
      </c>
      <c r="I207" s="224">
        <f t="shared" ca="1" si="162"/>
        <v>942.66924791775875</v>
      </c>
      <c r="J207" s="227">
        <f t="shared" ca="1" si="163"/>
        <v>1000</v>
      </c>
      <c r="K207" s="238">
        <f t="shared" ca="1" si="186"/>
        <v>0.14922094265212849</v>
      </c>
      <c r="L207" s="239">
        <f t="shared" ca="1" si="187"/>
        <v>0.46281765137234743</v>
      </c>
      <c r="M207" s="238">
        <f t="shared" ca="1" si="188"/>
        <v>9.1680815035606322</v>
      </c>
      <c r="N207" s="238">
        <f t="shared" ca="1" si="189"/>
        <v>48.394079404366778</v>
      </c>
      <c r="O207" s="239">
        <f t="shared" ca="1" si="190"/>
        <v>942.43783909207264</v>
      </c>
      <c r="P207" s="217"/>
      <c r="Q207" s="217"/>
      <c r="R207" s="224"/>
      <c r="S207" s="230">
        <f t="shared" ca="1" si="191"/>
        <v>138366.96051609446</v>
      </c>
      <c r="T207" s="231">
        <f t="shared" ca="1" si="192"/>
        <v>861.44705250705306</v>
      </c>
      <c r="U207" s="231">
        <f t="shared" ca="1" si="193"/>
        <v>1412.7585753183432</v>
      </c>
      <c r="V207" s="231"/>
      <c r="W207" s="231">
        <f t="shared" ca="1" si="194"/>
        <v>3452.5528049368772</v>
      </c>
      <c r="X207" s="231">
        <f t="shared" ca="1" si="195"/>
        <v>431.56910061710965</v>
      </c>
      <c r="Y207" s="231"/>
      <c r="Z207" s="232">
        <f t="shared" ca="1" si="164"/>
        <v>144525.28804947386</v>
      </c>
      <c r="AA207" s="231">
        <f t="shared" ca="1" si="165"/>
        <v>102.00189671872</v>
      </c>
      <c r="AB207" s="231">
        <f t="shared" ca="1" si="196"/>
        <v>12194.568096689056</v>
      </c>
      <c r="AC207" s="231">
        <f t="shared" ca="1" si="197"/>
        <v>65607.969594290611</v>
      </c>
      <c r="AD207" s="231">
        <f t="shared" ca="1" si="198"/>
        <v>2278.0544998017572</v>
      </c>
      <c r="AE207" s="231">
        <f t="shared" ca="1" si="166"/>
        <v>13259.966330714704</v>
      </c>
      <c r="AF207" s="231">
        <f t="shared" ca="1" si="167"/>
        <v>93442.560418214838</v>
      </c>
      <c r="AG207" s="232">
        <f t="shared" ca="1" si="168"/>
        <v>237967.84846768872</v>
      </c>
      <c r="AH207" s="244">
        <f t="shared" ca="1" si="199"/>
        <v>0.70282349650841269</v>
      </c>
      <c r="AI207" s="243">
        <f t="shared" ca="1" si="200"/>
        <v>3.7098815149138118</v>
      </c>
      <c r="AJ207" s="242">
        <f t="shared" ca="1" si="201"/>
        <v>4.4127050114222248</v>
      </c>
      <c r="AK207" s="241">
        <f t="shared" ca="1" si="202"/>
        <v>0.50603291748605717</v>
      </c>
      <c r="AL207" s="243">
        <f t="shared" ca="1" si="203"/>
        <v>1.6434775111068187</v>
      </c>
      <c r="AM207" s="243"/>
      <c r="AN207" s="242">
        <f t="shared" ca="1" si="169"/>
        <v>2.1495104285928761</v>
      </c>
      <c r="AO207" s="224"/>
      <c r="AP207" s="235">
        <f t="shared" si="204"/>
        <v>15.461538461538462</v>
      </c>
      <c r="AQ207" s="235">
        <f t="shared" si="170"/>
        <v>0.6331647907789123</v>
      </c>
      <c r="AR207" s="235">
        <f t="shared" si="171"/>
        <v>0.79437403271187934</v>
      </c>
      <c r="AT207" s="230">
        <f t="shared" ca="1" si="172"/>
        <v>87609.087605886976</v>
      </c>
      <c r="AU207" s="231">
        <f t="shared" ca="1" si="173"/>
        <v>545.43794276773895</v>
      </c>
      <c r="AV207" s="231">
        <f t="shared" ca="1" si="205"/>
        <v>894.50898776255303</v>
      </c>
      <c r="AW207" s="231"/>
      <c r="AX207" s="231">
        <f t="shared" ca="1" si="206"/>
        <v>2186.0348743910049</v>
      </c>
      <c r="AY207" s="231">
        <f t="shared" ca="1" si="207"/>
        <v>273.25435929887561</v>
      </c>
      <c r="AZ207" s="231"/>
      <c r="BA207" s="232">
        <f t="shared" ca="1" si="174"/>
        <v>91508.323770107148</v>
      </c>
      <c r="BB207" s="231">
        <f t="shared" ca="1" si="175"/>
        <v>64.584009594960577</v>
      </c>
      <c r="BC207" s="231">
        <f t="shared" ca="1" si="208"/>
        <v>7721.1711575793252</v>
      </c>
      <c r="BD207" s="231">
        <f t="shared" ca="1" si="209"/>
        <v>41540.656341598253</v>
      </c>
      <c r="BE207" s="231">
        <f t="shared" ca="1" si="210"/>
        <v>1442.3839007499394</v>
      </c>
      <c r="BF207" s="231">
        <f t="shared" ca="1" si="176"/>
        <v>8395.7438075223963</v>
      </c>
      <c r="BG207" s="231">
        <f t="shared" ca="1" si="177"/>
        <v>59164.539217044869</v>
      </c>
      <c r="BH207" s="232">
        <f t="shared" ca="1" si="178"/>
        <v>150672.86298715204</v>
      </c>
      <c r="BI207" s="244">
        <f t="shared" ca="1" si="211"/>
        <v>0.55830473520605128</v>
      </c>
      <c r="BJ207" s="243">
        <f t="shared" ca="1" si="212"/>
        <v>2.9470335398853407</v>
      </c>
      <c r="BK207" s="242">
        <f t="shared" ca="1" si="213"/>
        <v>3.5053382750913924</v>
      </c>
      <c r="BL207" s="241">
        <f t="shared" ca="1" si="214"/>
        <v>0.40197940934835691</v>
      </c>
      <c r="BM207" s="243">
        <f t="shared" ca="1" si="215"/>
        <v>1.305535858169206</v>
      </c>
      <c r="BN207" s="243">
        <f t="shared" si="179"/>
        <v>0</v>
      </c>
      <c r="BO207" s="242">
        <f t="shared" ca="1" si="180"/>
        <v>1.7075152675175631</v>
      </c>
      <c r="BP207" s="67"/>
      <c r="BQ207" s="67"/>
      <c r="BR207" s="67"/>
      <c r="BS207" s="67"/>
      <c r="BT207" s="67"/>
      <c r="BU207" s="67"/>
      <c r="BV207" s="67"/>
      <c r="BW207" s="67"/>
      <c r="BX207" s="67"/>
      <c r="BY207" s="67"/>
      <c r="BZ207" s="67"/>
      <c r="CA207" s="67"/>
      <c r="CB207" s="67"/>
    </row>
    <row r="208" spans="1:80" ht="12" customHeight="1" x14ac:dyDescent="0.15">
      <c r="A208" s="213">
        <f t="shared" si="181"/>
        <v>202</v>
      </c>
      <c r="B208" s="67">
        <f t="shared" si="182"/>
        <v>808</v>
      </c>
      <c r="C208" s="224">
        <f t="shared" si="183"/>
        <v>186.46153846153845</v>
      </c>
      <c r="D208" s="225">
        <f ca="1">IFERROR(OFFSET(extrapolation!P217,0,OS_dist_choice-1,1,1),0)</f>
        <v>5.6873688043408352E-2</v>
      </c>
      <c r="E208" s="225">
        <f ca="1">IFERROR(OFFSET(extrapolation!D217,0,PFS_dist_choice-1,1,1),0)</f>
        <v>8.9469752074802233E-3</v>
      </c>
      <c r="F208" s="214"/>
      <c r="G208" s="226">
        <f t="shared" ca="1" si="184"/>
        <v>8.9469752074802233</v>
      </c>
      <c r="H208" s="224">
        <f t="shared" ca="1" si="185"/>
        <v>47.926712835928015</v>
      </c>
      <c r="I208" s="224">
        <f t="shared" ca="1" si="162"/>
        <v>943.12631195659173</v>
      </c>
      <c r="J208" s="227">
        <f t="shared" ca="1" si="163"/>
        <v>1000</v>
      </c>
      <c r="K208" s="238">
        <f t="shared" ca="1" si="186"/>
        <v>0.14649582475434464</v>
      </c>
      <c r="L208" s="239">
        <f t="shared" ca="1" si="187"/>
        <v>0.45706403883298208</v>
      </c>
      <c r="M208" s="238">
        <f t="shared" ca="1" si="188"/>
        <v>9.0202231198573948</v>
      </c>
      <c r="N208" s="238">
        <f t="shared" ca="1" si="189"/>
        <v>48.081996942967351</v>
      </c>
      <c r="O208" s="239">
        <f t="shared" ca="1" si="190"/>
        <v>942.8977799371753</v>
      </c>
      <c r="P208" s="217"/>
      <c r="Q208" s="217"/>
      <c r="R208" s="224"/>
      <c r="S208" s="230">
        <f t="shared" ca="1" si="191"/>
        <v>136137.86868441617</v>
      </c>
      <c r="T208" s="231">
        <f t="shared" ca="1" si="192"/>
        <v>847.56913988250392</v>
      </c>
      <c r="U208" s="231">
        <f t="shared" ca="1" si="193"/>
        <v>1389.974288395465</v>
      </c>
      <c r="V208" s="231"/>
      <c r="W208" s="231">
        <f t="shared" ca="1" si="194"/>
        <v>3396.871703368377</v>
      </c>
      <c r="X208" s="231">
        <f t="shared" ca="1" si="195"/>
        <v>424.60896292104712</v>
      </c>
      <c r="Y208" s="231"/>
      <c r="Z208" s="232">
        <f t="shared" ca="1" si="164"/>
        <v>142196.89277898357</v>
      </c>
      <c r="AA208" s="231">
        <f t="shared" ca="1" si="165"/>
        <v>100.13910729107181</v>
      </c>
      <c r="AB208" s="231">
        <f t="shared" ca="1" si="196"/>
        <v>12115.92808794918</v>
      </c>
      <c r="AC208" s="231">
        <f t="shared" ca="1" si="197"/>
        <v>65184.878652373503</v>
      </c>
      <c r="AD208" s="231">
        <f t="shared" ca="1" si="198"/>
        <v>2263.3638420963021</v>
      </c>
      <c r="AE208" s="231">
        <f t="shared" ca="1" si="166"/>
        <v>13095.122340158727</v>
      </c>
      <c r="AF208" s="231">
        <f t="shared" ca="1" si="167"/>
        <v>92759.432029868767</v>
      </c>
      <c r="AG208" s="232">
        <f t="shared" ca="1" si="168"/>
        <v>234956.32480885234</v>
      </c>
      <c r="AH208" s="244">
        <f t="shared" ca="1" si="199"/>
        <v>0.6914886991266449</v>
      </c>
      <c r="AI208" s="243">
        <f t="shared" ca="1" si="200"/>
        <v>3.6859573289612206</v>
      </c>
      <c r="AJ208" s="242">
        <f t="shared" ca="1" si="201"/>
        <v>4.3774460280878653</v>
      </c>
      <c r="AK208" s="241">
        <f t="shared" ca="1" si="202"/>
        <v>0.49787186337118433</v>
      </c>
      <c r="AL208" s="243">
        <f t="shared" ca="1" si="203"/>
        <v>1.6328790967298208</v>
      </c>
      <c r="AM208" s="243"/>
      <c r="AN208" s="242">
        <f t="shared" ca="1" si="169"/>
        <v>2.1307509601010053</v>
      </c>
      <c r="AO208" s="224"/>
      <c r="AP208" s="235">
        <f t="shared" si="204"/>
        <v>15.538461538461538</v>
      </c>
      <c r="AQ208" s="235">
        <f t="shared" si="170"/>
        <v>0.63172676526914018</v>
      </c>
      <c r="AR208" s="235">
        <f t="shared" si="171"/>
        <v>0.79346477447654407</v>
      </c>
      <c r="AT208" s="230">
        <f t="shared" ca="1" si="172"/>
        <v>86001.935414641208</v>
      </c>
      <c r="AU208" s="231">
        <f t="shared" ca="1" si="173"/>
        <v>535.43211107992158</v>
      </c>
      <c r="AV208" s="231">
        <f t="shared" ca="1" si="205"/>
        <v>878.08396101534208</v>
      </c>
      <c r="AW208" s="231"/>
      <c r="AX208" s="231">
        <f t="shared" ca="1" si="206"/>
        <v>2145.8947732031788</v>
      </c>
      <c r="AY208" s="231">
        <f t="shared" ca="1" si="207"/>
        <v>268.23684665039735</v>
      </c>
      <c r="AZ208" s="231"/>
      <c r="BA208" s="232">
        <f t="shared" ca="1" si="174"/>
        <v>89829.583106590042</v>
      </c>
      <c r="BB208" s="231">
        <f t="shared" ca="1" si="175"/>
        <v>63.260554325928162</v>
      </c>
      <c r="BC208" s="231">
        <f t="shared" ca="1" si="208"/>
        <v>7653.9560592336538</v>
      </c>
      <c r="BD208" s="231">
        <f t="shared" ca="1" si="209"/>
        <v>41179.032535525344</v>
      </c>
      <c r="BE208" s="231">
        <f t="shared" ca="1" si="210"/>
        <v>1429.82751859463</v>
      </c>
      <c r="BF208" s="231">
        <f t="shared" ca="1" si="176"/>
        <v>8272.5392767521262</v>
      </c>
      <c r="BG208" s="231">
        <f t="shared" ca="1" si="177"/>
        <v>58598.615944431673</v>
      </c>
      <c r="BH208" s="232">
        <f t="shared" ca="1" si="178"/>
        <v>148428.19905102171</v>
      </c>
      <c r="BI208" s="244">
        <f t="shared" ca="1" si="211"/>
        <v>0.54867192470560211</v>
      </c>
      <c r="BJ208" s="243">
        <f t="shared" ca="1" si="212"/>
        <v>2.9246773007543796</v>
      </c>
      <c r="BK208" s="242">
        <f t="shared" ca="1" si="213"/>
        <v>3.4733492254599816</v>
      </c>
      <c r="BL208" s="241">
        <f t="shared" ca="1" si="214"/>
        <v>0.39504378578803351</v>
      </c>
      <c r="BM208" s="243">
        <f t="shared" ca="1" si="215"/>
        <v>1.2956320442341902</v>
      </c>
      <c r="BN208" s="243">
        <f t="shared" si="179"/>
        <v>0</v>
      </c>
      <c r="BO208" s="242">
        <f t="shared" ca="1" si="180"/>
        <v>1.690675830022224</v>
      </c>
      <c r="BP208" s="67"/>
      <c r="BQ208" s="67"/>
      <c r="BR208" s="67"/>
      <c r="BS208" s="67"/>
      <c r="BT208" s="67"/>
      <c r="BU208" s="67"/>
      <c r="BV208" s="67"/>
      <c r="BW208" s="67"/>
      <c r="BX208" s="67"/>
      <c r="BY208" s="67"/>
      <c r="BZ208" s="67"/>
      <c r="CA208" s="67"/>
      <c r="CB208" s="67"/>
    </row>
    <row r="209" spans="1:80" ht="12" customHeight="1" x14ac:dyDescent="0.15">
      <c r="A209" s="213">
        <f t="shared" si="181"/>
        <v>203</v>
      </c>
      <c r="B209" s="67">
        <f t="shared" si="182"/>
        <v>812</v>
      </c>
      <c r="C209" s="224">
        <f t="shared" si="183"/>
        <v>187.38461538461539</v>
      </c>
      <c r="D209" s="225">
        <f ca="1">IFERROR(OFFSET(extrapolation!P218,0,OS_dist_choice-1,1,1),0)</f>
        <v>5.6422281629487515E-2</v>
      </c>
      <c r="E209" s="225">
        <f ca="1">IFERROR(OFFSET(extrapolation!D218,0,PFS_dist_choice-1,1,1),0)</f>
        <v>8.8031483611148431E-3</v>
      </c>
      <c r="F209" s="214"/>
      <c r="G209" s="226">
        <f t="shared" ca="1" si="184"/>
        <v>8.8031483611148431</v>
      </c>
      <c r="H209" s="224">
        <f t="shared" ca="1" si="185"/>
        <v>47.619133268372593</v>
      </c>
      <c r="I209" s="224">
        <f t="shared" ca="1" si="162"/>
        <v>943.57771837051257</v>
      </c>
      <c r="J209" s="227">
        <f t="shared" ca="1" si="163"/>
        <v>1000</v>
      </c>
      <c r="K209" s="238">
        <f t="shared" ca="1" si="186"/>
        <v>0.14382684636538023</v>
      </c>
      <c r="L209" s="239">
        <f t="shared" ca="1" si="187"/>
        <v>0.4514064139208358</v>
      </c>
      <c r="M209" s="238">
        <f t="shared" ca="1" si="188"/>
        <v>8.8750617842975323</v>
      </c>
      <c r="N209" s="238">
        <f t="shared" ca="1" si="189"/>
        <v>47.772923052150304</v>
      </c>
      <c r="O209" s="239">
        <f t="shared" ca="1" si="190"/>
        <v>943.3520151635521</v>
      </c>
      <c r="P209" s="217"/>
      <c r="Q209" s="217"/>
      <c r="R209" s="224"/>
      <c r="S209" s="230">
        <f t="shared" ca="1" si="191"/>
        <v>133949.38823491035</v>
      </c>
      <c r="T209" s="231">
        <f t="shared" ca="1" si="192"/>
        <v>833.94406619681854</v>
      </c>
      <c r="U209" s="231">
        <f t="shared" ca="1" si="193"/>
        <v>1367.6056040052563</v>
      </c>
      <c r="V209" s="231"/>
      <c r="W209" s="231">
        <f t="shared" ca="1" si="194"/>
        <v>3342.206266977902</v>
      </c>
      <c r="X209" s="231">
        <f t="shared" ca="1" si="195"/>
        <v>417.77578337223775</v>
      </c>
      <c r="Y209" s="231"/>
      <c r="Z209" s="232">
        <f t="shared" ca="1" si="164"/>
        <v>139910.91995546257</v>
      </c>
      <c r="AA209" s="231">
        <f t="shared" ca="1" si="165"/>
        <v>98.314692747529449</v>
      </c>
      <c r="AB209" s="231">
        <f t="shared" ca="1" si="196"/>
        <v>12038.046192997024</v>
      </c>
      <c r="AC209" s="231">
        <f t="shared" ca="1" si="197"/>
        <v>64765.8664368155</v>
      </c>
      <c r="AD209" s="231">
        <f t="shared" ca="1" si="198"/>
        <v>2248.8148068338714</v>
      </c>
      <c r="AE209" s="231">
        <f t="shared" ca="1" si="166"/>
        <v>12933.028445026544</v>
      </c>
      <c r="AF209" s="231">
        <f t="shared" ca="1" si="167"/>
        <v>92084.070574420475</v>
      </c>
      <c r="AG209" s="232">
        <f t="shared" ca="1" si="168"/>
        <v>231994.99052988304</v>
      </c>
      <c r="AH209" s="244">
        <f t="shared" ca="1" si="199"/>
        <v>0.6803606569755809</v>
      </c>
      <c r="AI209" s="243">
        <f t="shared" ca="1" si="200"/>
        <v>3.6622637794940687</v>
      </c>
      <c r="AJ209" s="242">
        <f t="shared" ca="1" si="201"/>
        <v>4.3426244364696496</v>
      </c>
      <c r="AK209" s="241">
        <f t="shared" ca="1" si="202"/>
        <v>0.48985967302241823</v>
      </c>
      <c r="AL209" s="243">
        <f t="shared" ca="1" si="203"/>
        <v>1.6223828543158725</v>
      </c>
      <c r="AM209" s="243"/>
      <c r="AN209" s="242">
        <f t="shared" ca="1" si="169"/>
        <v>2.1122425273382905</v>
      </c>
      <c r="AO209" s="224"/>
      <c r="AP209" s="235">
        <f t="shared" si="204"/>
        <v>15.615384615384615</v>
      </c>
      <c r="AQ209" s="235">
        <f t="shared" si="170"/>
        <v>0.63029200576120026</v>
      </c>
      <c r="AR209" s="235">
        <f t="shared" si="171"/>
        <v>0.79255655699846483</v>
      </c>
      <c r="AT209" s="230">
        <f t="shared" ca="1" si="172"/>
        <v>84427.228581067364</v>
      </c>
      <c r="AU209" s="231">
        <f t="shared" ca="1" si="173"/>
        <v>525.62827817584389</v>
      </c>
      <c r="AV209" s="231">
        <f t="shared" ca="1" si="205"/>
        <v>861.99087923873071</v>
      </c>
      <c r="AW209" s="231"/>
      <c r="AX209" s="231">
        <f t="shared" ca="1" si="206"/>
        <v>2106.5658916811553</v>
      </c>
      <c r="AY209" s="231">
        <f t="shared" ca="1" si="207"/>
        <v>263.32073646014442</v>
      </c>
      <c r="AZ209" s="231"/>
      <c r="BA209" s="232">
        <f t="shared" ca="1" si="174"/>
        <v>88184.734366623234</v>
      </c>
      <c r="BB209" s="231">
        <f t="shared" ca="1" si="175"/>
        <v>61.966964887636465</v>
      </c>
      <c r="BC209" s="231">
        <f t="shared" ca="1" si="208"/>
        <v>7587.4842804300752</v>
      </c>
      <c r="BD209" s="231">
        <f t="shared" ca="1" si="209"/>
        <v>40821.407861322441</v>
      </c>
      <c r="BE209" s="231">
        <f t="shared" ca="1" si="210"/>
        <v>1417.409995184807</v>
      </c>
      <c r="BF209" s="231">
        <f t="shared" ca="1" si="176"/>
        <v>8151.5844391824376</v>
      </c>
      <c r="BG209" s="231">
        <f t="shared" ca="1" si="177"/>
        <v>58039.853541007404</v>
      </c>
      <c r="BH209" s="232">
        <f t="shared" ca="1" si="178"/>
        <v>146224.58790763063</v>
      </c>
      <c r="BI209" s="244">
        <f t="shared" ca="1" si="211"/>
        <v>0.53922429980977993</v>
      </c>
      <c r="BJ209" s="243">
        <f t="shared" ca="1" si="212"/>
        <v>2.902551171896004</v>
      </c>
      <c r="BK209" s="242">
        <f t="shared" ca="1" si="213"/>
        <v>3.441775471705784</v>
      </c>
      <c r="BL209" s="241">
        <f t="shared" ca="1" si="214"/>
        <v>0.38824149586304157</v>
      </c>
      <c r="BM209" s="243">
        <f t="shared" ca="1" si="215"/>
        <v>1.2858301691499299</v>
      </c>
      <c r="BN209" s="243">
        <f t="shared" si="179"/>
        <v>0</v>
      </c>
      <c r="BO209" s="242">
        <f t="shared" ca="1" si="180"/>
        <v>1.6740716650129712</v>
      </c>
      <c r="BP209" s="67"/>
      <c r="BQ209" s="67"/>
      <c r="BR209" s="67"/>
      <c r="BS209" s="67"/>
      <c r="BT209" s="67"/>
      <c r="BU209" s="67"/>
      <c r="BV209" s="67"/>
      <c r="BW209" s="67"/>
      <c r="BX209" s="67"/>
      <c r="BY209" s="67"/>
      <c r="BZ209" s="67"/>
      <c r="CA209" s="67"/>
      <c r="CB209" s="67"/>
    </row>
    <row r="210" spans="1:80" ht="12" customHeight="1" x14ac:dyDescent="0.15">
      <c r="A210" s="213">
        <f t="shared" si="181"/>
        <v>204</v>
      </c>
      <c r="B210" s="67">
        <f t="shared" si="182"/>
        <v>816</v>
      </c>
      <c r="C210" s="224">
        <f t="shared" si="183"/>
        <v>188.30769230769229</v>
      </c>
      <c r="D210" s="225">
        <f ca="1">IFERROR(OFFSET(extrapolation!P219,0,OS_dist_choice-1,1,1),0)</f>
        <v>5.5976438845901484E-2</v>
      </c>
      <c r="E210" s="225">
        <f ca="1">IFERROR(OFFSET(extrapolation!D219,0,PFS_dist_choice-1,1,1),0)</f>
        <v>8.6619356532775527E-3</v>
      </c>
      <c r="F210" s="214"/>
      <c r="G210" s="226">
        <f t="shared" ca="1" si="184"/>
        <v>8.6619356532775527</v>
      </c>
      <c r="H210" s="224">
        <f t="shared" ca="1" si="185"/>
        <v>47.314503192623988</v>
      </c>
      <c r="I210" s="224">
        <f t="shared" ca="1" si="162"/>
        <v>944.0235611540985</v>
      </c>
      <c r="J210" s="227">
        <f t="shared" ca="1" si="163"/>
        <v>1000</v>
      </c>
      <c r="K210" s="238">
        <f t="shared" ca="1" si="186"/>
        <v>0.14121270783729045</v>
      </c>
      <c r="L210" s="239">
        <f t="shared" ca="1" si="187"/>
        <v>0.4458427835859311</v>
      </c>
      <c r="M210" s="238">
        <f t="shared" ca="1" si="188"/>
        <v>8.7325420071961979</v>
      </c>
      <c r="N210" s="238">
        <f t="shared" ca="1" si="189"/>
        <v>47.466818230498291</v>
      </c>
      <c r="O210" s="239">
        <f t="shared" ca="1" si="190"/>
        <v>943.80063976230554</v>
      </c>
      <c r="P210" s="217"/>
      <c r="Q210" s="217"/>
      <c r="R210" s="224"/>
      <c r="S210" s="230">
        <f t="shared" ca="1" si="191"/>
        <v>131800.68472000051</v>
      </c>
      <c r="T210" s="231">
        <f t="shared" ca="1" si="192"/>
        <v>820.5666363340348</v>
      </c>
      <c r="U210" s="231">
        <f t="shared" ca="1" si="193"/>
        <v>1345.6439714462338</v>
      </c>
      <c r="V210" s="231"/>
      <c r="W210" s="231">
        <f t="shared" ca="1" si="194"/>
        <v>3288.5355992379732</v>
      </c>
      <c r="X210" s="231">
        <f t="shared" ca="1" si="195"/>
        <v>411.06694990474665</v>
      </c>
      <c r="Y210" s="231"/>
      <c r="Z210" s="232">
        <f t="shared" ca="1" si="164"/>
        <v>137666.4978769235</v>
      </c>
      <c r="AA210" s="231">
        <f t="shared" ca="1" si="165"/>
        <v>96.527764697005992</v>
      </c>
      <c r="AB210" s="231">
        <f t="shared" ca="1" si="196"/>
        <v>11960.91245807937</v>
      </c>
      <c r="AC210" s="231">
        <f t="shared" ca="1" si="197"/>
        <v>64350.879395450291</v>
      </c>
      <c r="AD210" s="231">
        <f t="shared" ca="1" si="198"/>
        <v>2234.405534564246</v>
      </c>
      <c r="AE210" s="231">
        <f t="shared" ca="1" si="166"/>
        <v>12773.627543400115</v>
      </c>
      <c r="AF210" s="231">
        <f t="shared" ca="1" si="167"/>
        <v>91416.352696191025</v>
      </c>
      <c r="AG210" s="232">
        <f t="shared" ca="1" si="168"/>
        <v>229082.85057311453</v>
      </c>
      <c r="AH210" s="244">
        <f t="shared" ca="1" si="199"/>
        <v>0.66943511622585494</v>
      </c>
      <c r="AI210" s="243">
        <f t="shared" ca="1" si="200"/>
        <v>3.6387978383407313</v>
      </c>
      <c r="AJ210" s="242">
        <f t="shared" ca="1" si="201"/>
        <v>4.3082329545665861</v>
      </c>
      <c r="AK210" s="241">
        <f t="shared" ca="1" si="202"/>
        <v>0.48199328368261551</v>
      </c>
      <c r="AL210" s="243">
        <f t="shared" ca="1" si="203"/>
        <v>1.6119874423849441</v>
      </c>
      <c r="AM210" s="243"/>
      <c r="AN210" s="242">
        <f t="shared" ca="1" si="169"/>
        <v>2.0939807260675596</v>
      </c>
      <c r="AO210" s="224"/>
      <c r="AP210" s="235">
        <f t="shared" si="204"/>
        <v>15.692307692307692</v>
      </c>
      <c r="AQ210" s="235">
        <f t="shared" si="170"/>
        <v>0.62886050483744382</v>
      </c>
      <c r="AR210" s="235">
        <f t="shared" si="171"/>
        <v>0.79164937908636768</v>
      </c>
      <c r="AT210" s="230">
        <f t="shared" ca="1" si="172"/>
        <v>82884.245130940297</v>
      </c>
      <c r="AU210" s="231">
        <f t="shared" ca="1" si="173"/>
        <v>516.02194917778434</v>
      </c>
      <c r="AV210" s="231">
        <f t="shared" ca="1" si="205"/>
        <v>846.22234721514144</v>
      </c>
      <c r="AW210" s="231"/>
      <c r="AX210" s="231">
        <f t="shared" ca="1" si="206"/>
        <v>2068.0301571126975</v>
      </c>
      <c r="AY210" s="231">
        <f t="shared" ca="1" si="207"/>
        <v>258.50376963908718</v>
      </c>
      <c r="AZ210" s="231"/>
      <c r="BA210" s="232">
        <f t="shared" ca="1" si="174"/>
        <v>86573.023354085002</v>
      </c>
      <c r="BB210" s="231">
        <f t="shared" ca="1" si="175"/>
        <v>60.702498838189179</v>
      </c>
      <c r="BC210" s="231">
        <f t="shared" ca="1" si="208"/>
        <v>7521.7454467042644</v>
      </c>
      <c r="BD210" s="231">
        <f t="shared" ca="1" si="209"/>
        <v>40467.726503356331</v>
      </c>
      <c r="BE210" s="231">
        <f t="shared" ca="1" si="210"/>
        <v>1405.1293924776503</v>
      </c>
      <c r="BF210" s="231">
        <f t="shared" ca="1" si="176"/>
        <v>8032.829865548073</v>
      </c>
      <c r="BG210" s="231">
        <f t="shared" ca="1" si="177"/>
        <v>57488.133706924506</v>
      </c>
      <c r="BH210" s="232">
        <f t="shared" ca="1" si="178"/>
        <v>144061.15706100952</v>
      </c>
      <c r="BI210" s="244">
        <f t="shared" ca="1" si="211"/>
        <v>0.52995789409880845</v>
      </c>
      <c r="BJ210" s="243">
        <f t="shared" ca="1" si="212"/>
        <v>2.880652049343257</v>
      </c>
      <c r="BK210" s="242">
        <f t="shared" ca="1" si="213"/>
        <v>3.4106099434420654</v>
      </c>
      <c r="BL210" s="241">
        <f t="shared" ca="1" si="214"/>
        <v>0.38156968375114203</v>
      </c>
      <c r="BM210" s="243">
        <f t="shared" ca="1" si="215"/>
        <v>1.2761288578590628</v>
      </c>
      <c r="BN210" s="243">
        <f t="shared" si="179"/>
        <v>0</v>
      </c>
      <c r="BO210" s="242">
        <f t="shared" ca="1" si="180"/>
        <v>1.6576985416102048</v>
      </c>
      <c r="BP210" s="67"/>
      <c r="BQ210" s="67"/>
      <c r="BR210" s="67"/>
      <c r="BS210" s="67"/>
      <c r="BT210" s="67"/>
      <c r="BU210" s="67"/>
      <c r="BV210" s="67"/>
      <c r="BW210" s="67"/>
      <c r="BX210" s="67"/>
      <c r="BY210" s="67"/>
      <c r="BZ210" s="67"/>
      <c r="CA210" s="67"/>
      <c r="CB210" s="67"/>
    </row>
    <row r="211" spans="1:80" ht="12" customHeight="1" x14ac:dyDescent="0.15">
      <c r="A211" s="213">
        <f t="shared" si="181"/>
        <v>205</v>
      </c>
      <c r="B211" s="67">
        <f t="shared" si="182"/>
        <v>820</v>
      </c>
      <c r="C211" s="224">
        <f t="shared" si="183"/>
        <v>189.23076923076923</v>
      </c>
      <c r="D211" s="225">
        <f ca="1">IFERROR(OFFSET(extrapolation!P220,0,OS_dist_choice-1,1,1),0)</f>
        <v>5.5536067641959917E-2</v>
      </c>
      <c r="E211" s="225">
        <f ca="1">IFERROR(OFFSET(extrapolation!D220,0,PFS_dist_choice-1,1,1),0)</f>
        <v>8.5232835101001214E-3</v>
      </c>
      <c r="F211" s="214"/>
      <c r="G211" s="226">
        <f t="shared" ca="1" si="184"/>
        <v>8.5232835101001214</v>
      </c>
      <c r="H211" s="224">
        <f t="shared" ca="1" si="185"/>
        <v>47.012784131859803</v>
      </c>
      <c r="I211" s="224">
        <f t="shared" ca="1" si="162"/>
        <v>944.4639323580401</v>
      </c>
      <c r="J211" s="227">
        <f t="shared" ca="1" si="163"/>
        <v>1000</v>
      </c>
      <c r="K211" s="238">
        <f t="shared" ca="1" si="186"/>
        <v>0.13865214317743124</v>
      </c>
      <c r="L211" s="239">
        <f t="shared" ca="1" si="187"/>
        <v>0.44037120394159501</v>
      </c>
      <c r="M211" s="238">
        <f t="shared" ca="1" si="188"/>
        <v>8.592609581688837</v>
      </c>
      <c r="N211" s="238">
        <f t="shared" ca="1" si="189"/>
        <v>47.163643662241896</v>
      </c>
      <c r="O211" s="239">
        <f t="shared" ca="1" si="190"/>
        <v>944.2437467560693</v>
      </c>
      <c r="P211" s="217"/>
      <c r="Q211" s="217"/>
      <c r="R211" s="224"/>
      <c r="S211" s="230">
        <f t="shared" ca="1" si="191"/>
        <v>129690.9429555525</v>
      </c>
      <c r="T211" s="231">
        <f t="shared" ca="1" si="192"/>
        <v>807.43177510881208</v>
      </c>
      <c r="U211" s="231">
        <f t="shared" ca="1" si="193"/>
        <v>1324.0810376935351</v>
      </c>
      <c r="V211" s="231"/>
      <c r="W211" s="231">
        <f t="shared" ca="1" si="194"/>
        <v>3235.8392867107091</v>
      </c>
      <c r="X211" s="231">
        <f t="shared" ca="1" si="195"/>
        <v>404.47991083883863</v>
      </c>
      <c r="Y211" s="231"/>
      <c r="Z211" s="232">
        <f t="shared" ca="1" si="164"/>
        <v>135462.77496590439</v>
      </c>
      <c r="AA211" s="231">
        <f t="shared" ca="1" si="165"/>
        <v>94.777457753928672</v>
      </c>
      <c r="AB211" s="231">
        <f t="shared" ca="1" si="196"/>
        <v>11884.517102215792</v>
      </c>
      <c r="AC211" s="231">
        <f t="shared" ca="1" si="197"/>
        <v>63939.864905646136</v>
      </c>
      <c r="AD211" s="231">
        <f t="shared" ca="1" si="198"/>
        <v>2220.134198112713</v>
      </c>
      <c r="AE211" s="231">
        <f t="shared" ca="1" si="166"/>
        <v>12616.863941915628</v>
      </c>
      <c r="AF211" s="231">
        <f t="shared" ca="1" si="167"/>
        <v>90756.157605644199</v>
      </c>
      <c r="AG211" s="232">
        <f t="shared" ca="1" si="168"/>
        <v>226218.93257154859</v>
      </c>
      <c r="AH211" s="244">
        <f t="shared" ca="1" si="199"/>
        <v>0.65870792138887735</v>
      </c>
      <c r="AI211" s="243">
        <f t="shared" ca="1" si="200"/>
        <v>3.6155565298912338</v>
      </c>
      <c r="AJ211" s="242">
        <f t="shared" ca="1" si="201"/>
        <v>4.2742644512801107</v>
      </c>
      <c r="AK211" s="241">
        <f t="shared" ca="1" si="202"/>
        <v>0.47426970339999169</v>
      </c>
      <c r="AL211" s="243">
        <f t="shared" ca="1" si="203"/>
        <v>1.6016915427418166</v>
      </c>
      <c r="AM211" s="243"/>
      <c r="AN211" s="242">
        <f t="shared" ca="1" si="169"/>
        <v>2.0759612461418082</v>
      </c>
      <c r="AO211" s="224"/>
      <c r="AP211" s="235">
        <f t="shared" si="204"/>
        <v>15.76923076923077</v>
      </c>
      <c r="AQ211" s="235">
        <f t="shared" si="170"/>
        <v>0.62743225509706901</v>
      </c>
      <c r="AR211" s="235">
        <f t="shared" si="171"/>
        <v>0.79074323955034209</v>
      </c>
      <c r="AT211" s="230">
        <f t="shared" ca="1" si="172"/>
        <v>81372.280804267648</v>
      </c>
      <c r="AU211" s="231">
        <f t="shared" ca="1" si="173"/>
        <v>506.60873949355141</v>
      </c>
      <c r="AV211" s="231">
        <f t="shared" ca="1" si="205"/>
        <v>830.77115141132197</v>
      </c>
      <c r="AW211" s="231"/>
      <c r="AX211" s="231">
        <f t="shared" ca="1" si="206"/>
        <v>2030.2699407925916</v>
      </c>
      <c r="AY211" s="231">
        <f t="shared" ca="1" si="207"/>
        <v>253.78374259907395</v>
      </c>
      <c r="AZ211" s="231"/>
      <c r="BA211" s="232">
        <f t="shared" ca="1" si="174"/>
        <v>84993.714378564182</v>
      </c>
      <c r="BB211" s="231">
        <f t="shared" ca="1" si="175"/>
        <v>59.466434050914657</v>
      </c>
      <c r="BC211" s="231">
        <f t="shared" ca="1" si="208"/>
        <v>7456.7293661829381</v>
      </c>
      <c r="BD211" s="231">
        <f t="shared" ca="1" si="209"/>
        <v>40117.9336283515</v>
      </c>
      <c r="BE211" s="231">
        <f t="shared" ca="1" si="210"/>
        <v>1392.9838065399824</v>
      </c>
      <c r="BF211" s="231">
        <f t="shared" ca="1" si="176"/>
        <v>7916.2273953290178</v>
      </c>
      <c r="BG211" s="231">
        <f t="shared" ca="1" si="177"/>
        <v>56943.340630454353</v>
      </c>
      <c r="BH211" s="232">
        <f t="shared" ca="1" si="178"/>
        <v>141937.05500901854</v>
      </c>
      <c r="BI211" s="244">
        <f t="shared" ca="1" si="211"/>
        <v>0.52086883567651299</v>
      </c>
      <c r="BJ211" s="243">
        <f t="shared" ca="1" si="212"/>
        <v>2.8589768832235873</v>
      </c>
      <c r="BK211" s="242">
        <f t="shared" ca="1" si="213"/>
        <v>3.3798457189000999</v>
      </c>
      <c r="BL211" s="241">
        <f t="shared" ca="1" si="214"/>
        <v>0.37502556168708934</v>
      </c>
      <c r="BM211" s="243">
        <f t="shared" ca="1" si="215"/>
        <v>1.2665267592680494</v>
      </c>
      <c r="BN211" s="243">
        <f t="shared" si="179"/>
        <v>0</v>
      </c>
      <c r="BO211" s="242">
        <f t="shared" ca="1" si="180"/>
        <v>1.6415523209551386</v>
      </c>
      <c r="BP211" s="67"/>
      <c r="BQ211" s="67"/>
      <c r="BR211" s="67"/>
      <c r="BS211" s="67"/>
      <c r="BT211" s="67"/>
      <c r="BU211" s="67"/>
      <c r="BV211" s="67"/>
      <c r="BW211" s="67"/>
      <c r="BX211" s="67"/>
      <c r="BY211" s="67"/>
      <c r="BZ211" s="67"/>
      <c r="CA211" s="67"/>
      <c r="CB211" s="67"/>
    </row>
    <row r="212" spans="1:80" ht="12" customHeight="1" x14ac:dyDescent="0.15">
      <c r="A212" s="213">
        <f t="shared" si="181"/>
        <v>206</v>
      </c>
      <c r="B212" s="67">
        <f t="shared" si="182"/>
        <v>824</v>
      </c>
      <c r="C212" s="224">
        <f t="shared" si="183"/>
        <v>190.15384615384616</v>
      </c>
      <c r="D212" s="225">
        <f ca="1">IFERROR(OFFSET(extrapolation!P221,0,OS_dist_choice-1,1,1),0)</f>
        <v>5.5101077863091492E-2</v>
      </c>
      <c r="E212" s="225">
        <f ca="1">IFERROR(OFFSET(extrapolation!D221,0,PFS_dist_choice-1,1,1),0)</f>
        <v>8.3871395910231072E-3</v>
      </c>
      <c r="F212" s="214"/>
      <c r="G212" s="226">
        <f t="shared" ca="1" si="184"/>
        <v>8.3871395910231072</v>
      </c>
      <c r="H212" s="224">
        <f t="shared" ca="1" si="185"/>
        <v>46.71393827206839</v>
      </c>
      <c r="I212" s="224">
        <f t="shared" ca="1" si="162"/>
        <v>944.89892213690848</v>
      </c>
      <c r="J212" s="227">
        <f t="shared" ca="1" si="163"/>
        <v>1000</v>
      </c>
      <c r="K212" s="238">
        <f t="shared" ca="1" si="186"/>
        <v>0.13614391907701417</v>
      </c>
      <c r="L212" s="239">
        <f t="shared" ca="1" si="187"/>
        <v>0.43498977886838475</v>
      </c>
      <c r="M212" s="238">
        <f t="shared" ca="1" si="188"/>
        <v>8.4552115505616143</v>
      </c>
      <c r="N212" s="238">
        <f t="shared" ca="1" si="189"/>
        <v>46.863361201964096</v>
      </c>
      <c r="O212" s="239">
        <f t="shared" ca="1" si="190"/>
        <v>944.68142724747429</v>
      </c>
      <c r="P212" s="217"/>
      <c r="Q212" s="217"/>
      <c r="R212" s="224"/>
      <c r="S212" s="230">
        <f t="shared" ca="1" si="191"/>
        <v>127619.36652355429</v>
      </c>
      <c r="T212" s="231">
        <f t="shared" ca="1" si="192"/>
        <v>794.53452417020833</v>
      </c>
      <c r="U212" s="231">
        <f t="shared" ca="1" si="193"/>
        <v>1302.9086422876419</v>
      </c>
      <c r="V212" s="231"/>
      <c r="W212" s="231">
        <f t="shared" ca="1" si="194"/>
        <v>3184.0973865566948</v>
      </c>
      <c r="X212" s="231">
        <f t="shared" ca="1" si="195"/>
        <v>398.01217331958685</v>
      </c>
      <c r="Y212" s="231"/>
      <c r="Z212" s="232">
        <f t="shared" ca="1" si="164"/>
        <v>133298.91924988842</v>
      </c>
      <c r="AA212" s="231">
        <f t="shared" ca="1" si="165"/>
        <v>93.062928874195066</v>
      </c>
      <c r="AB212" s="231">
        <f t="shared" ca="1" si="196"/>
        <v>11808.850513344416</v>
      </c>
      <c r="AC212" s="231">
        <f t="shared" ca="1" si="197"/>
        <v>63532.771253569619</v>
      </c>
      <c r="AD212" s="231">
        <f t="shared" ca="1" si="198"/>
        <v>2205.9990018600561</v>
      </c>
      <c r="AE212" s="231">
        <f t="shared" ca="1" si="166"/>
        <v>12462.683315765258</v>
      </c>
      <c r="AF212" s="231">
        <f t="shared" ca="1" si="167"/>
        <v>90103.367013413532</v>
      </c>
      <c r="AG212" s="232">
        <f t="shared" ca="1" si="168"/>
        <v>223402.28626330197</v>
      </c>
      <c r="AH212" s="244">
        <f t="shared" ca="1" si="199"/>
        <v>0.64817501277405942</v>
      </c>
      <c r="AI212" s="243">
        <f t="shared" ca="1" si="200"/>
        <v>3.5925369299246945</v>
      </c>
      <c r="AJ212" s="242">
        <f t="shared" ca="1" si="201"/>
        <v>4.2407119426987538</v>
      </c>
      <c r="AK212" s="241">
        <f t="shared" ca="1" si="202"/>
        <v>0.46668600919732278</v>
      </c>
      <c r="AL212" s="243">
        <f t="shared" ca="1" si="203"/>
        <v>1.5914938599566397</v>
      </c>
      <c r="AM212" s="243"/>
      <c r="AN212" s="242">
        <f t="shared" ca="1" si="169"/>
        <v>2.0581798691539626</v>
      </c>
      <c r="AO212" s="224"/>
      <c r="AP212" s="235">
        <f t="shared" si="204"/>
        <v>15.846153846153847</v>
      </c>
      <c r="AQ212" s="235">
        <f t="shared" si="170"/>
        <v>0.62600724915608241</v>
      </c>
      <c r="AR212" s="235">
        <f t="shared" si="171"/>
        <v>0.7898381372018396</v>
      </c>
      <c r="AT212" s="230">
        <f t="shared" ca="1" si="172"/>
        <v>79890.648576452048</v>
      </c>
      <c r="AU212" s="231">
        <f t="shared" ca="1" si="173"/>
        <v>497.38437183532898</v>
      </c>
      <c r="AV212" s="231">
        <f t="shared" ca="1" si="205"/>
        <v>815.63025506017289</v>
      </c>
      <c r="AW212" s="231"/>
      <c r="AX212" s="231">
        <f t="shared" ca="1" si="206"/>
        <v>1993.2680460034278</v>
      </c>
      <c r="AY212" s="231">
        <f t="shared" ca="1" si="207"/>
        <v>249.15850575042847</v>
      </c>
      <c r="AZ212" s="231"/>
      <c r="BA212" s="232">
        <f t="shared" ca="1" si="174"/>
        <v>83446.089755101406</v>
      </c>
      <c r="BB212" s="231">
        <f t="shared" ca="1" si="175"/>
        <v>58.258068102943007</v>
      </c>
      <c r="BC212" s="231">
        <f t="shared" ca="1" si="208"/>
        <v>7392.4260255541294</v>
      </c>
      <c r="BD212" s="231">
        <f t="shared" ca="1" si="209"/>
        <v>39771.975363709746</v>
      </c>
      <c r="BE212" s="231">
        <f t="shared" ca="1" si="210"/>
        <v>1380.9713667954773</v>
      </c>
      <c r="BF212" s="231">
        <f t="shared" ca="1" si="176"/>
        <v>7801.7300996056128</v>
      </c>
      <c r="BG212" s="231">
        <f t="shared" ca="1" si="177"/>
        <v>56405.360923767905</v>
      </c>
      <c r="BH212" s="232">
        <f t="shared" ca="1" si="178"/>
        <v>139851.45067886933</v>
      </c>
      <c r="BI212" s="244">
        <f t="shared" ca="1" si="211"/>
        <v>0.51195334467024167</v>
      </c>
      <c r="BJ212" s="243">
        <f t="shared" ca="1" si="212"/>
        <v>2.8375226765605364</v>
      </c>
      <c r="BK212" s="242">
        <f t="shared" ca="1" si="213"/>
        <v>3.3494760212307781</v>
      </c>
      <c r="BL212" s="241">
        <f t="shared" ca="1" si="214"/>
        <v>0.36860640816257401</v>
      </c>
      <c r="BM212" s="243">
        <f t="shared" ca="1" si="215"/>
        <v>1.2570225457163178</v>
      </c>
      <c r="BN212" s="243">
        <f t="shared" si="179"/>
        <v>0</v>
      </c>
      <c r="BO212" s="242">
        <f t="shared" ca="1" si="180"/>
        <v>1.6256289538788917</v>
      </c>
      <c r="BP212" s="67"/>
      <c r="BQ212" s="67"/>
      <c r="BR212" s="67"/>
      <c r="BS212" s="67"/>
      <c r="BT212" s="67"/>
      <c r="BU212" s="67"/>
      <c r="BV212" s="67"/>
      <c r="BW212" s="67"/>
      <c r="BX212" s="67"/>
      <c r="BY212" s="67"/>
      <c r="BZ212" s="67"/>
      <c r="CA212" s="67"/>
      <c r="CB212" s="67"/>
    </row>
    <row r="213" spans="1:80" ht="12" customHeight="1" x14ac:dyDescent="0.15">
      <c r="A213" s="213">
        <f t="shared" si="181"/>
        <v>207</v>
      </c>
      <c r="B213" s="67">
        <f t="shared" si="182"/>
        <v>828</v>
      </c>
      <c r="C213" s="224">
        <f t="shared" si="183"/>
        <v>191.07692307692309</v>
      </c>
      <c r="D213" s="225">
        <f ca="1">IFERROR(OFFSET(extrapolation!P222,0,OS_dist_choice-1,1,1),0)</f>
        <v>5.4671381204426252E-2</v>
      </c>
      <c r="E213" s="225">
        <f ca="1">IFERROR(OFFSET(extrapolation!D222,0,PFS_dist_choice-1,1,1),0)</f>
        <v>8.2534527570494731E-3</v>
      </c>
      <c r="F213" s="214"/>
      <c r="G213" s="226">
        <f t="shared" ca="1" si="184"/>
        <v>8.2534527570494731</v>
      </c>
      <c r="H213" s="224">
        <f t="shared" ca="1" si="185"/>
        <v>46.41792844737688</v>
      </c>
      <c r="I213" s="224">
        <f t="shared" ca="1" si="162"/>
        <v>945.32861879557368</v>
      </c>
      <c r="J213" s="227">
        <f t="shared" ca="1" si="163"/>
        <v>1000</v>
      </c>
      <c r="K213" s="238">
        <f t="shared" ca="1" si="186"/>
        <v>0.13368683397363412</v>
      </c>
      <c r="L213" s="239">
        <f t="shared" ca="1" si="187"/>
        <v>0.42969665866519335</v>
      </c>
      <c r="M213" s="238">
        <f t="shared" ca="1" si="188"/>
        <v>8.3202961740362902</v>
      </c>
      <c r="N213" s="238">
        <f t="shared" ca="1" si="189"/>
        <v>46.565933359722635</v>
      </c>
      <c r="O213" s="239">
        <f t="shared" ca="1" si="190"/>
        <v>945.11377046624102</v>
      </c>
      <c r="P213" s="217"/>
      <c r="Q213" s="217"/>
      <c r="R213" s="224"/>
      <c r="S213" s="230">
        <f t="shared" ca="1" si="191"/>
        <v>125585.17728906064</v>
      </c>
      <c r="T213" s="231">
        <f t="shared" ca="1" si="192"/>
        <v>781.87003899426702</v>
      </c>
      <c r="U213" s="231">
        <f t="shared" ca="1" si="193"/>
        <v>1282.11881237018</v>
      </c>
      <c r="V213" s="231"/>
      <c r="W213" s="231">
        <f t="shared" ca="1" si="194"/>
        <v>3133.2904144032823</v>
      </c>
      <c r="X213" s="231">
        <f t="shared" ca="1" si="195"/>
        <v>391.66130180041029</v>
      </c>
      <c r="Y213" s="231"/>
      <c r="Z213" s="232">
        <f t="shared" ca="1" si="164"/>
        <v>131174.11785662879</v>
      </c>
      <c r="AA213" s="231">
        <f t="shared" ca="1" si="165"/>
        <v>91.383356714351848</v>
      </c>
      <c r="AB213" s="231">
        <f t="shared" ca="1" si="196"/>
        <v>11733.90324457299</v>
      </c>
      <c r="AC213" s="231">
        <f t="shared" ca="1" si="197"/>
        <v>63129.547614016046</v>
      </c>
      <c r="AD213" s="231">
        <f t="shared" ca="1" si="198"/>
        <v>2191.9981810422237</v>
      </c>
      <c r="AE213" s="231">
        <f t="shared" ca="1" si="166"/>
        <v>12311.03267005063</v>
      </c>
      <c r="AF213" s="231">
        <f t="shared" ca="1" si="167"/>
        <v>89457.865066396233</v>
      </c>
      <c r="AG213" s="232">
        <f t="shared" ca="1" si="168"/>
        <v>220631.98292302503</v>
      </c>
      <c r="AH213" s="244">
        <f t="shared" ca="1" si="199"/>
        <v>0.63783242401920914</v>
      </c>
      <c r="AI213" s="243">
        <f t="shared" ca="1" si="200"/>
        <v>3.5697361644688126</v>
      </c>
      <c r="AJ213" s="242">
        <f t="shared" ca="1" si="201"/>
        <v>4.2075685884880221</v>
      </c>
      <c r="AK213" s="241">
        <f t="shared" ca="1" si="202"/>
        <v>0.45923934529383059</v>
      </c>
      <c r="AL213" s="243">
        <f t="shared" ca="1" si="203"/>
        <v>1.5813931208596841</v>
      </c>
      <c r="AM213" s="243"/>
      <c r="AN213" s="242">
        <f t="shared" ca="1" si="169"/>
        <v>2.0406324661535145</v>
      </c>
      <c r="AO213" s="224"/>
      <c r="AP213" s="235">
        <f t="shared" si="204"/>
        <v>15.923076923076923</v>
      </c>
      <c r="AQ213" s="235">
        <f t="shared" si="170"/>
        <v>0.62458547964726108</v>
      </c>
      <c r="AR213" s="235">
        <f t="shared" si="171"/>
        <v>0.78893407085367262</v>
      </c>
      <c r="AT213" s="230">
        <f t="shared" ca="1" si="172"/>
        <v>78438.678193674263</v>
      </c>
      <c r="AU213" s="231">
        <f t="shared" ca="1" si="173"/>
        <v>488.34467332705697</v>
      </c>
      <c r="AV213" s="231">
        <f t="shared" ca="1" si="205"/>
        <v>800.79279338900562</v>
      </c>
      <c r="AW213" s="231"/>
      <c r="AX213" s="231">
        <f t="shared" ca="1" si="206"/>
        <v>1957.0076963542394</v>
      </c>
      <c r="AY213" s="231">
        <f t="shared" ca="1" si="207"/>
        <v>244.62596204427993</v>
      </c>
      <c r="AZ213" s="231"/>
      <c r="BA213" s="232">
        <f t="shared" ca="1" si="174"/>
        <v>81929.449318788844</v>
      </c>
      <c r="BB213" s="231">
        <f t="shared" ca="1" si="175"/>
        <v>57.076717685210205</v>
      </c>
      <c r="BC213" s="231">
        <f t="shared" ca="1" si="208"/>
        <v>7328.8255861461739</v>
      </c>
      <c r="BD213" s="231">
        <f t="shared" ca="1" si="209"/>
        <v>39429.79877641482</v>
      </c>
      <c r="BE213" s="231">
        <f t="shared" ca="1" si="210"/>
        <v>1369.0902352921812</v>
      </c>
      <c r="BF213" s="231">
        <f t="shared" ca="1" si="176"/>
        <v>7689.2922451766744</v>
      </c>
      <c r="BG213" s="231">
        <f t="shared" ca="1" si="177"/>
        <v>55874.083560715051</v>
      </c>
      <c r="BH213" s="232">
        <f t="shared" ca="1" si="178"/>
        <v>137803.53287950391</v>
      </c>
      <c r="BI213" s="244">
        <f t="shared" ca="1" si="211"/>
        <v>0.50320773080394054</v>
      </c>
      <c r="BJ213" s="243">
        <f t="shared" ca="1" si="212"/>
        <v>2.8162864841079558</v>
      </c>
      <c r="BK213" s="242">
        <f t="shared" ca="1" si="213"/>
        <v>3.3194942149118964</v>
      </c>
      <c r="BL213" s="241">
        <f t="shared" ca="1" si="214"/>
        <v>0.36230956617883719</v>
      </c>
      <c r="BM213" s="243">
        <f t="shared" ca="1" si="215"/>
        <v>1.2476149124598244</v>
      </c>
      <c r="BN213" s="243">
        <f t="shared" si="179"/>
        <v>0</v>
      </c>
      <c r="BO213" s="242">
        <f t="shared" ca="1" si="180"/>
        <v>1.6099244786386615</v>
      </c>
      <c r="BP213" s="67"/>
      <c r="BQ213" s="67"/>
      <c r="BR213" s="67"/>
      <c r="BS213" s="67"/>
      <c r="BT213" s="67"/>
      <c r="BU213" s="67"/>
      <c r="BV213" s="67"/>
      <c r="BW213" s="67"/>
      <c r="BX213" s="67"/>
      <c r="BY213" s="67"/>
      <c r="BZ213" s="67"/>
      <c r="CA213" s="67"/>
      <c r="CB213" s="67"/>
    </row>
    <row r="214" spans="1:80" ht="12" customHeight="1" x14ac:dyDescent="0.15">
      <c r="A214" s="213">
        <f t="shared" si="181"/>
        <v>208</v>
      </c>
      <c r="B214" s="67">
        <f t="shared" si="182"/>
        <v>832</v>
      </c>
      <c r="C214" s="224">
        <f t="shared" si="183"/>
        <v>192</v>
      </c>
      <c r="D214" s="225">
        <f ca="1">IFERROR(OFFSET(extrapolation!P223,0,OS_dist_choice-1,1,1),0)</f>
        <v>5.4246891165685956E-2</v>
      </c>
      <c r="E214" s="225">
        <f ca="1">IFERROR(OFFSET(extrapolation!D223,0,PFS_dist_choice-1,1,1),0)</f>
        <v>8.1221730399070324E-3</v>
      </c>
      <c r="F214" s="214"/>
      <c r="G214" s="226">
        <f t="shared" ca="1" si="184"/>
        <v>8.1221730399070324</v>
      </c>
      <c r="H214" s="224">
        <f t="shared" ca="1" si="185"/>
        <v>46.124718125778941</v>
      </c>
      <c r="I214" s="224">
        <f t="shared" ca="1" si="162"/>
        <v>945.75310883431405</v>
      </c>
      <c r="J214" s="227">
        <f t="shared" ca="1" si="163"/>
        <v>1000</v>
      </c>
      <c r="K214" s="238">
        <f t="shared" ca="1" si="186"/>
        <v>0.13127971714244069</v>
      </c>
      <c r="L214" s="239">
        <f t="shared" ca="1" si="187"/>
        <v>0.42449003874037317</v>
      </c>
      <c r="M214" s="238">
        <f t="shared" ca="1" si="188"/>
        <v>8.1878128984782528</v>
      </c>
      <c r="N214" s="238">
        <f t="shared" ca="1" si="189"/>
        <v>46.27132328657791</v>
      </c>
      <c r="O214" s="239">
        <f t="shared" ca="1" si="190"/>
        <v>945.5408638149438</v>
      </c>
      <c r="P214" s="217"/>
      <c r="Q214" s="217"/>
      <c r="R214" s="224"/>
      <c r="S214" s="230">
        <f t="shared" ca="1" si="191"/>
        <v>123587.61493096639</v>
      </c>
      <c r="T214" s="231">
        <f t="shared" ca="1" si="192"/>
        <v>769.43358596269832</v>
      </c>
      <c r="U214" s="231">
        <f t="shared" ca="1" si="193"/>
        <v>1261.7037578619725</v>
      </c>
      <c r="V214" s="231"/>
      <c r="W214" s="231">
        <f t="shared" ca="1" si="194"/>
        <v>3083.3993325605343</v>
      </c>
      <c r="X214" s="231">
        <f t="shared" ca="1" si="195"/>
        <v>385.42491657006678</v>
      </c>
      <c r="Y214" s="231"/>
      <c r="Z214" s="232">
        <f t="shared" ca="1" si="164"/>
        <v>129087.57652392167</v>
      </c>
      <c r="AA214" s="231">
        <f t="shared" ca="1" si="165"/>
        <v>89.737941010353254</v>
      </c>
      <c r="AB214" s="231">
        <f t="shared" ca="1" si="196"/>
        <v>11659.666010532132</v>
      </c>
      <c r="AC214" s="231">
        <f t="shared" ca="1" si="197"/>
        <v>62730.144030789568</v>
      </c>
      <c r="AD214" s="231">
        <f t="shared" ca="1" si="198"/>
        <v>2178.130001069082</v>
      </c>
      <c r="AE214" s="231">
        <f t="shared" ca="1" si="166"/>
        <v>12161.860302282834</v>
      </c>
      <c r="AF214" s="231">
        <f t="shared" ca="1" si="167"/>
        <v>88819.538285683957</v>
      </c>
      <c r="AG214" s="232">
        <f t="shared" ca="1" si="168"/>
        <v>217907.11480960564</v>
      </c>
      <c r="AH214" s="244">
        <f t="shared" ca="1" si="199"/>
        <v>0.62767627969169348</v>
      </c>
      <c r="AI214" s="243">
        <f t="shared" ca="1" si="200"/>
        <v>3.5471514086904352</v>
      </c>
      <c r="AJ214" s="242">
        <f t="shared" ca="1" si="201"/>
        <v>4.1748276883821287</v>
      </c>
      <c r="AK214" s="241">
        <f t="shared" ca="1" si="202"/>
        <v>0.45192692137801926</v>
      </c>
      <c r="AL214" s="243">
        <f t="shared" ca="1" si="203"/>
        <v>1.5713880740498629</v>
      </c>
      <c r="AM214" s="243"/>
      <c r="AN214" s="242">
        <f t="shared" ca="1" si="169"/>
        <v>2.0233149954278824</v>
      </c>
      <c r="AO214" s="224"/>
      <c r="AP214" s="235">
        <f t="shared" si="204"/>
        <v>16</v>
      </c>
      <c r="AQ214" s="235">
        <f t="shared" si="170"/>
        <v>0.62316693922011435</v>
      </c>
      <c r="AR214" s="235">
        <f t="shared" si="171"/>
        <v>0.78803103932001206</v>
      </c>
      <c r="AT214" s="230">
        <f t="shared" ca="1" si="172"/>
        <v>77015.715722044435</v>
      </c>
      <c r="AU214" s="231">
        <f t="shared" ca="1" si="173"/>
        <v>479.48557269753144</v>
      </c>
      <c r="AV214" s="231">
        <f t="shared" ca="1" si="205"/>
        <v>786.25206898936165</v>
      </c>
      <c r="AW214" s="231"/>
      <c r="AX214" s="231">
        <f t="shared" ca="1" si="206"/>
        <v>1921.4725244650915</v>
      </c>
      <c r="AY214" s="231">
        <f t="shared" ca="1" si="207"/>
        <v>240.18406555813644</v>
      </c>
      <c r="AZ214" s="231"/>
      <c r="BA214" s="232">
        <f t="shared" ca="1" si="174"/>
        <v>80443.109953754552</v>
      </c>
      <c r="BB214" s="231">
        <f t="shared" ca="1" si="175"/>
        <v>55.921718031337015</v>
      </c>
      <c r="BC214" s="231">
        <f t="shared" ca="1" si="208"/>
        <v>7265.9183801121098</v>
      </c>
      <c r="BD214" s="231">
        <f t="shared" ca="1" si="209"/>
        <v>39091.351852504064</v>
      </c>
      <c r="BE214" s="231">
        <f t="shared" ca="1" si="210"/>
        <v>1357.3386059897243</v>
      </c>
      <c r="BF214" s="231">
        <f t="shared" ca="1" si="176"/>
        <v>7578.8692597962081</v>
      </c>
      <c r="BG214" s="231">
        <f t="shared" ca="1" si="177"/>
        <v>55349.399816433433</v>
      </c>
      <c r="BH214" s="232">
        <f t="shared" ca="1" si="178"/>
        <v>135792.50977018799</v>
      </c>
      <c r="BI214" s="244">
        <f t="shared" ca="1" si="211"/>
        <v>0.49462839104196382</v>
      </c>
      <c r="BJ214" s="243">
        <f t="shared" ca="1" si="212"/>
        <v>2.7952654112157687</v>
      </c>
      <c r="BK214" s="242">
        <f t="shared" ca="1" si="213"/>
        <v>3.2898938022577324</v>
      </c>
      <c r="BL214" s="241">
        <f t="shared" ca="1" si="214"/>
        <v>0.3561324415502139</v>
      </c>
      <c r="BM214" s="243">
        <f t="shared" ca="1" si="215"/>
        <v>1.2383025771685856</v>
      </c>
      <c r="BN214" s="243">
        <f t="shared" si="179"/>
        <v>0</v>
      </c>
      <c r="BO214" s="242">
        <f t="shared" ca="1" si="180"/>
        <v>1.5944350187187997</v>
      </c>
      <c r="BP214" s="67"/>
      <c r="BQ214" s="67"/>
      <c r="BR214" s="67"/>
      <c r="BS214" s="67"/>
      <c r="BT214" s="67"/>
      <c r="BU214" s="67"/>
      <c r="BV214" s="67"/>
      <c r="BW214" s="67"/>
      <c r="BX214" s="67"/>
      <c r="BY214" s="67"/>
      <c r="BZ214" s="67"/>
      <c r="CA214" s="67"/>
      <c r="CB214" s="67"/>
    </row>
    <row r="215" spans="1:80" ht="12" customHeight="1" x14ac:dyDescent="0.15">
      <c r="A215" s="213">
        <f t="shared" si="181"/>
        <v>209</v>
      </c>
      <c r="B215" s="67">
        <f t="shared" si="182"/>
        <v>836</v>
      </c>
      <c r="C215" s="224">
        <f t="shared" si="183"/>
        <v>192.92307692307691</v>
      </c>
      <c r="D215" s="225">
        <f ca="1">IFERROR(OFFSET(extrapolation!P224,0,OS_dist_choice-1,1,1),0)</f>
        <v>5.3827523007341317E-2</v>
      </c>
      <c r="E215" s="225">
        <f ca="1">IFERROR(OFFSET(extrapolation!D224,0,PFS_dist_choice-1,1,1),0)</f>
        <v>7.9932516120932995E-3</v>
      </c>
      <c r="F215" s="214"/>
      <c r="G215" s="226">
        <f t="shared" ca="1" si="184"/>
        <v>7.9932516120932995</v>
      </c>
      <c r="H215" s="224">
        <f t="shared" ca="1" si="185"/>
        <v>45.834271395247924</v>
      </c>
      <c r="I215" s="224">
        <f t="shared" ca="1" si="162"/>
        <v>946.17247699265874</v>
      </c>
      <c r="J215" s="227">
        <f t="shared" ca="1" si="163"/>
        <v>1000</v>
      </c>
      <c r="K215" s="238">
        <f t="shared" ca="1" si="186"/>
        <v>0.12892142781373295</v>
      </c>
      <c r="L215" s="239">
        <f t="shared" ca="1" si="187"/>
        <v>0.41936815834469598</v>
      </c>
      <c r="M215" s="238">
        <f t="shared" ca="1" si="188"/>
        <v>8.057712326000166</v>
      </c>
      <c r="N215" s="238">
        <f t="shared" ca="1" si="189"/>
        <v>45.979494760513433</v>
      </c>
      <c r="O215" s="239">
        <f t="shared" ca="1" si="190"/>
        <v>945.9627929134864</v>
      </c>
      <c r="P215" s="217"/>
      <c r="Q215" s="217"/>
      <c r="R215" s="224"/>
      <c r="S215" s="230">
        <f t="shared" ca="1" si="191"/>
        <v>121625.93648620669</v>
      </c>
      <c r="T215" s="231">
        <f t="shared" ca="1" si="192"/>
        <v>757.22053952515444</v>
      </c>
      <c r="U215" s="231">
        <f t="shared" ca="1" si="193"/>
        <v>1241.6558667791041</v>
      </c>
      <c r="V215" s="231"/>
      <c r="W215" s="231">
        <f t="shared" ca="1" si="194"/>
        <v>3034.4055385744464</v>
      </c>
      <c r="X215" s="231">
        <f t="shared" ca="1" si="195"/>
        <v>379.3006923218058</v>
      </c>
      <c r="Y215" s="231"/>
      <c r="Z215" s="232">
        <f t="shared" ca="1" si="164"/>
        <v>127038.5191234072</v>
      </c>
      <c r="AA215" s="231">
        <f t="shared" ca="1" si="165"/>
        <v>88.125901974381676</v>
      </c>
      <c r="AB215" s="231">
        <f t="shared" ca="1" si="196"/>
        <v>11586.129683827494</v>
      </c>
      <c r="AC215" s="231">
        <f t="shared" ca="1" si="197"/>
        <v>62334.51139761549</v>
      </c>
      <c r="AD215" s="231">
        <f t="shared" ca="1" si="198"/>
        <v>2164.3927568616486</v>
      </c>
      <c r="AE215" s="231">
        <f t="shared" ca="1" si="166"/>
        <v>12015.115766081064</v>
      </c>
      <c r="AF215" s="231">
        <f t="shared" ca="1" si="167"/>
        <v>88188.275506360078</v>
      </c>
      <c r="AG215" s="232">
        <f t="shared" ca="1" si="168"/>
        <v>215226.79462976728</v>
      </c>
      <c r="AH215" s="244">
        <f t="shared" ca="1" si="199"/>
        <v>0.61770279295826047</v>
      </c>
      <c r="AI215" s="243">
        <f t="shared" ca="1" si="200"/>
        <v>3.5247798858162249</v>
      </c>
      <c r="AJ215" s="242">
        <f t="shared" ca="1" si="201"/>
        <v>4.1424826787744857</v>
      </c>
      <c r="AK215" s="241">
        <f t="shared" ca="1" si="202"/>
        <v>0.44474601092994753</v>
      </c>
      <c r="AL215" s="243">
        <f t="shared" ca="1" si="203"/>
        <v>1.5614774894165877</v>
      </c>
      <c r="AM215" s="243"/>
      <c r="AN215" s="242">
        <f t="shared" ca="1" si="169"/>
        <v>2.0062235003465352</v>
      </c>
      <c r="AO215" s="224"/>
      <c r="AP215" s="235">
        <f t="shared" si="204"/>
        <v>16.076923076923077</v>
      </c>
      <c r="AQ215" s="235">
        <f t="shared" si="170"/>
        <v>0.62175162054084443</v>
      </c>
      <c r="AR215" s="235">
        <f t="shared" si="171"/>
        <v>0.78712904141638496</v>
      </c>
      <c r="AT215" s="230">
        <f t="shared" ca="1" si="172"/>
        <v>75621.123110096829</v>
      </c>
      <c r="AU215" s="231">
        <f t="shared" ca="1" si="173"/>
        <v>470.80309755657731</v>
      </c>
      <c r="AV215" s="231">
        <f t="shared" ca="1" si="205"/>
        <v>772.00154732395481</v>
      </c>
      <c r="AW215" s="231"/>
      <c r="AX215" s="231">
        <f t="shared" ca="1" si="206"/>
        <v>1886.646560986776</v>
      </c>
      <c r="AY215" s="231">
        <f t="shared" ca="1" si="207"/>
        <v>235.830820123347</v>
      </c>
      <c r="AZ215" s="231"/>
      <c r="BA215" s="232">
        <f t="shared" ca="1" si="174"/>
        <v>78986.405136087487</v>
      </c>
      <c r="BB215" s="231">
        <f t="shared" ca="1" si="175"/>
        <v>54.79242236419541</v>
      </c>
      <c r="BC215" s="231">
        <f t="shared" ca="1" si="208"/>
        <v>7203.6949067161258</v>
      </c>
      <c r="BD215" s="231">
        <f t="shared" ca="1" si="209"/>
        <v>38756.583477089167</v>
      </c>
      <c r="BE215" s="231">
        <f t="shared" ca="1" si="210"/>
        <v>1345.7147040655959</v>
      </c>
      <c r="BF215" s="231">
        <f t="shared" ca="1" si="176"/>
        <v>7470.4176985467511</v>
      </c>
      <c r="BG215" s="231">
        <f t="shared" ca="1" si="177"/>
        <v>54831.203208781837</v>
      </c>
      <c r="BH215" s="232">
        <f t="shared" ca="1" si="178"/>
        <v>133817.60834486931</v>
      </c>
      <c r="BI215" s="244">
        <f t="shared" ca="1" si="211"/>
        <v>0.48621180730145924</v>
      </c>
      <c r="BJ215" s="243">
        <f t="shared" ca="1" si="212"/>
        <v>2.7744566127262797</v>
      </c>
      <c r="BK215" s="242">
        <f t="shared" ca="1" si="213"/>
        <v>3.2606684200277396</v>
      </c>
      <c r="BL215" s="241">
        <f t="shared" ca="1" si="214"/>
        <v>0.35007250125705069</v>
      </c>
      <c r="BM215" s="243">
        <f t="shared" ca="1" si="215"/>
        <v>1.2290842794377421</v>
      </c>
      <c r="BN215" s="243">
        <f t="shared" si="179"/>
        <v>0</v>
      </c>
      <c r="BO215" s="242">
        <f t="shared" ca="1" si="180"/>
        <v>1.5791567806947926</v>
      </c>
      <c r="BP215" s="67"/>
      <c r="BQ215" s="67"/>
      <c r="BR215" s="67"/>
      <c r="BS215" s="67"/>
      <c r="BT215" s="67"/>
      <c r="BU215" s="67"/>
      <c r="BV215" s="67"/>
      <c r="BW215" s="67"/>
      <c r="BX215" s="67"/>
      <c r="BY215" s="67"/>
      <c r="BZ215" s="67"/>
      <c r="CA215" s="67"/>
      <c r="CB215" s="67"/>
    </row>
    <row r="216" spans="1:80" ht="12" customHeight="1" x14ac:dyDescent="0.15">
      <c r="A216" s="213">
        <f t="shared" si="181"/>
        <v>210</v>
      </c>
      <c r="B216" s="67">
        <f t="shared" si="182"/>
        <v>840</v>
      </c>
      <c r="C216" s="224">
        <f t="shared" si="183"/>
        <v>193.84615384615384</v>
      </c>
      <c r="D216" s="225">
        <f ca="1">IFERROR(OFFSET(extrapolation!P225,0,OS_dist_choice-1,1,1),0)</f>
        <v>5.3413193707995708E-2</v>
      </c>
      <c r="E216" s="225">
        <f ca="1">IFERROR(OFFSET(extrapolation!D225,0,PFS_dist_choice-1,1,1),0)</f>
        <v>7.8666407577692166E-3</v>
      </c>
      <c r="F216" s="214"/>
      <c r="G216" s="226">
        <f t="shared" ca="1" si="184"/>
        <v>7.8666407577692166</v>
      </c>
      <c r="H216" s="224">
        <f t="shared" ca="1" si="185"/>
        <v>45.546552950226442</v>
      </c>
      <c r="I216" s="224">
        <f t="shared" ca="1" si="162"/>
        <v>946.58680629200433</v>
      </c>
      <c r="J216" s="227">
        <f t="shared" ca="1" si="163"/>
        <v>1000</v>
      </c>
      <c r="K216" s="238">
        <f t="shared" ca="1" si="186"/>
        <v>0.12661085432408292</v>
      </c>
      <c r="L216" s="239">
        <f t="shared" ca="1" si="187"/>
        <v>0.4143292993455816</v>
      </c>
      <c r="M216" s="238">
        <f t="shared" ca="1" si="188"/>
        <v>7.929946184931258</v>
      </c>
      <c r="N216" s="238">
        <f t="shared" ca="1" si="189"/>
        <v>45.690412172737183</v>
      </c>
      <c r="O216" s="239">
        <f t="shared" ca="1" si="190"/>
        <v>946.37964164233153</v>
      </c>
      <c r="P216" s="217"/>
      <c r="Q216" s="217"/>
      <c r="R216" s="224"/>
      <c r="S216" s="230">
        <f t="shared" ca="1" si="191"/>
        <v>119699.41590687359</v>
      </c>
      <c r="T216" s="231">
        <f t="shared" ca="1" si="192"/>
        <v>745.22637944191956</v>
      </c>
      <c r="U216" s="231">
        <f t="shared" ca="1" si="193"/>
        <v>1221.967700682377</v>
      </c>
      <c r="V216" s="231"/>
      <c r="W216" s="231">
        <f t="shared" ca="1" si="194"/>
        <v>2986.2908541061529</v>
      </c>
      <c r="X216" s="231">
        <f t="shared" ca="1" si="195"/>
        <v>373.28635676326911</v>
      </c>
      <c r="Y216" s="231"/>
      <c r="Z216" s="232">
        <f t="shared" ca="1" si="164"/>
        <v>125026.1871978673</v>
      </c>
      <c r="AA216" s="231">
        <f t="shared" ca="1" si="165"/>
        <v>86.54647971458715</v>
      </c>
      <c r="AB216" s="231">
        <f t="shared" ca="1" si="196"/>
        <v>11513.285291587925</v>
      </c>
      <c r="AC216" s="231">
        <f t="shared" ca="1" si="197"/>
        <v>61942.601439569022</v>
      </c>
      <c r="AD216" s="231">
        <f t="shared" ca="1" si="198"/>
        <v>2150.7847722072574</v>
      </c>
      <c r="AE216" s="231">
        <f t="shared" ca="1" si="166"/>
        <v>11870.749836053645</v>
      </c>
      <c r="AF216" s="231">
        <f t="shared" ca="1" si="167"/>
        <v>87563.967819132435</v>
      </c>
      <c r="AG216" s="232">
        <f t="shared" ca="1" si="168"/>
        <v>212590.15501699975</v>
      </c>
      <c r="AH216" s="244">
        <f t="shared" ca="1" si="199"/>
        <v>0.60790826332121894</v>
      </c>
      <c r="AI216" s="243">
        <f t="shared" ca="1" si="200"/>
        <v>3.5026188660825217</v>
      </c>
      <c r="AJ216" s="242">
        <f t="shared" ca="1" si="201"/>
        <v>4.1105271294037404</v>
      </c>
      <c r="AK216" s="241">
        <f t="shared" ca="1" si="202"/>
        <v>0.43769394959127761</v>
      </c>
      <c r="AL216" s="243">
        <f t="shared" ca="1" si="203"/>
        <v>1.5516601576745572</v>
      </c>
      <c r="AM216" s="243"/>
      <c r="AN216" s="242">
        <f t="shared" ca="1" si="169"/>
        <v>1.9893541072658349</v>
      </c>
      <c r="AO216" s="224"/>
      <c r="AP216" s="235">
        <f t="shared" si="204"/>
        <v>16.153846153846153</v>
      </c>
      <c r="AQ216" s="235">
        <f t="shared" si="170"/>
        <v>0.62033951629231232</v>
      </c>
      <c r="AR216" s="235">
        <f t="shared" si="171"/>
        <v>0.78622807595967681</v>
      </c>
      <c r="AT216" s="230">
        <f t="shared" ca="1" si="172"/>
        <v>74254.277764142273</v>
      </c>
      <c r="AU216" s="231">
        <f t="shared" ca="1" si="173"/>
        <v>462.29337175127159</v>
      </c>
      <c r="AV216" s="231">
        <f t="shared" ca="1" si="205"/>
        <v>758.03485236613483</v>
      </c>
      <c r="AW216" s="231"/>
      <c r="AX216" s="231">
        <f t="shared" ca="1" si="206"/>
        <v>1852.5142239443671</v>
      </c>
      <c r="AY216" s="231">
        <f t="shared" ca="1" si="207"/>
        <v>231.56427799304589</v>
      </c>
      <c r="AZ216" s="231"/>
      <c r="BA216" s="232">
        <f t="shared" ca="1" si="174"/>
        <v>77558.684490197091</v>
      </c>
      <c r="BB216" s="231">
        <f t="shared" ca="1" si="175"/>
        <v>53.688201362949414</v>
      </c>
      <c r="BC216" s="231">
        <f t="shared" ca="1" si="208"/>
        <v>7142.1458287190471</v>
      </c>
      <c r="BD216" s="231">
        <f t="shared" ca="1" si="209"/>
        <v>38425.443414909736</v>
      </c>
      <c r="BE216" s="231">
        <f t="shared" ca="1" si="210"/>
        <v>1334.2167852399211</v>
      </c>
      <c r="BF216" s="231">
        <f t="shared" ca="1" si="176"/>
        <v>7363.8952113245641</v>
      </c>
      <c r="BG216" s="231">
        <f t="shared" ca="1" si="177"/>
        <v>54319.389441556217</v>
      </c>
      <c r="BH216" s="232">
        <f t="shared" ca="1" si="178"/>
        <v>131878.07393175332</v>
      </c>
      <c r="BI216" s="244">
        <f t="shared" ca="1" si="211"/>
        <v>0.47795454423103056</v>
      </c>
      <c r="BJ216" s="243">
        <f t="shared" ca="1" si="212"/>
        <v>2.7538572919001258</v>
      </c>
      <c r="BK216" s="242">
        <f t="shared" ca="1" si="213"/>
        <v>3.2318118361311563</v>
      </c>
      <c r="BL216" s="241">
        <f t="shared" ca="1" si="214"/>
        <v>0.34412727184634195</v>
      </c>
      <c r="BM216" s="243">
        <f t="shared" ca="1" si="215"/>
        <v>1.219958780311756</v>
      </c>
      <c r="BN216" s="243">
        <f t="shared" si="179"/>
        <v>0</v>
      </c>
      <c r="BO216" s="242">
        <f t="shared" ca="1" si="180"/>
        <v>1.5640860521580979</v>
      </c>
      <c r="BP216" s="67"/>
      <c r="BQ216" s="67"/>
      <c r="BR216" s="67"/>
      <c r="BS216" s="67"/>
      <c r="BT216" s="67"/>
      <c r="BU216" s="67"/>
      <c r="BV216" s="67"/>
      <c r="BW216" s="67"/>
      <c r="BX216" s="67"/>
      <c r="BY216" s="67"/>
      <c r="BZ216" s="67"/>
      <c r="CA216" s="67"/>
      <c r="CB216" s="67"/>
    </row>
    <row r="217" spans="1:80" ht="12" customHeight="1" x14ac:dyDescent="0.15">
      <c r="A217" s="213">
        <f t="shared" si="181"/>
        <v>211</v>
      </c>
      <c r="B217" s="67">
        <f t="shared" si="182"/>
        <v>844</v>
      </c>
      <c r="C217" s="224">
        <f t="shared" si="183"/>
        <v>194.76923076923077</v>
      </c>
      <c r="D217" s="225">
        <f ca="1">IFERROR(OFFSET(extrapolation!P226,0,OS_dist_choice-1,1,1),0)</f>
        <v>5.3003821922955809E-2</v>
      </c>
      <c r="E217" s="225">
        <f ca="1">IFERROR(OFFSET(extrapolation!D226,0,PFS_dist_choice-1,1,1),0)</f>
        <v>7.7422938444819955E-3</v>
      </c>
      <c r="F217" s="214"/>
      <c r="G217" s="226">
        <f t="shared" ca="1" si="184"/>
        <v>7.7422938444819955</v>
      </c>
      <c r="H217" s="224">
        <f t="shared" ca="1" si="185"/>
        <v>45.261528078473816</v>
      </c>
      <c r="I217" s="224">
        <f t="shared" ca="1" si="162"/>
        <v>946.99617807704419</v>
      </c>
      <c r="J217" s="227">
        <f t="shared" ca="1" si="163"/>
        <v>1000</v>
      </c>
      <c r="K217" s="238">
        <f t="shared" ca="1" si="186"/>
        <v>0.12434691328722103</v>
      </c>
      <c r="L217" s="239">
        <f t="shared" ca="1" si="187"/>
        <v>0.40937178503986615</v>
      </c>
      <c r="M217" s="238">
        <f t="shared" ca="1" si="188"/>
        <v>7.804467301125606</v>
      </c>
      <c r="N217" s="238">
        <f t="shared" ca="1" si="189"/>
        <v>45.404040514350129</v>
      </c>
      <c r="O217" s="239">
        <f t="shared" ca="1" si="190"/>
        <v>946.79149218452426</v>
      </c>
      <c r="P217" s="217"/>
      <c r="Q217" s="217"/>
      <c r="R217" s="224"/>
      <c r="S217" s="230">
        <f t="shared" ca="1" si="191"/>
        <v>117807.34362994863</v>
      </c>
      <c r="T217" s="231">
        <f t="shared" ca="1" si="192"/>
        <v>733.44668810514463</v>
      </c>
      <c r="U217" s="231">
        <f t="shared" ca="1" si="193"/>
        <v>1202.6319902560506</v>
      </c>
      <c r="V217" s="231"/>
      <c r="W217" s="231">
        <f t="shared" ca="1" si="194"/>
        <v>2939.0375141270852</v>
      </c>
      <c r="X217" s="231">
        <f t="shared" ca="1" si="195"/>
        <v>367.37968926588564</v>
      </c>
      <c r="Y217" s="231"/>
      <c r="Z217" s="232">
        <f t="shared" ca="1" si="164"/>
        <v>123049.8395117028</v>
      </c>
      <c r="AA217" s="231">
        <f t="shared" ca="1" si="165"/>
        <v>84.998933668335411</v>
      </c>
      <c r="AB217" s="231">
        <f t="shared" ca="1" si="196"/>
        <v>11441.124012106129</v>
      </c>
      <c r="AC217" s="231">
        <f t="shared" ca="1" si="197"/>
        <v>61554.366695001707</v>
      </c>
      <c r="AD217" s="231">
        <f t="shared" ca="1" si="198"/>
        <v>2137.3043991320037</v>
      </c>
      <c r="AE217" s="231">
        <f t="shared" ca="1" si="166"/>
        <v>11728.71447378321</v>
      </c>
      <c r="AF217" s="231">
        <f t="shared" ca="1" si="167"/>
        <v>86946.508513691384</v>
      </c>
      <c r="AG217" s="232">
        <f t="shared" ca="1" si="168"/>
        <v>209996.3480253942</v>
      </c>
      <c r="AH217" s="244">
        <f t="shared" ca="1" si="199"/>
        <v>0.59828907441893764</v>
      </c>
      <c r="AI217" s="243">
        <f t="shared" ca="1" si="200"/>
        <v>3.480665665713357</v>
      </c>
      <c r="AJ217" s="242">
        <f t="shared" ca="1" si="201"/>
        <v>4.0789547401322945</v>
      </c>
      <c r="AK217" s="241">
        <f t="shared" ca="1" si="202"/>
        <v>0.43076813358163507</v>
      </c>
      <c r="AL217" s="243">
        <f t="shared" ca="1" si="203"/>
        <v>1.5419348899110172</v>
      </c>
      <c r="AM217" s="243"/>
      <c r="AN217" s="242">
        <f t="shared" ca="1" si="169"/>
        <v>1.9727030234926524</v>
      </c>
      <c r="AO217" s="224"/>
      <c r="AP217" s="235">
        <f t="shared" si="204"/>
        <v>16.23076923076923</v>
      </c>
      <c r="AQ217" s="235">
        <f t="shared" si="170"/>
        <v>0.6189306191739955</v>
      </c>
      <c r="AR217" s="235">
        <f t="shared" si="171"/>
        <v>0.78532814176812527</v>
      </c>
      <c r="AT217" s="230">
        <f t="shared" ca="1" si="172"/>
        <v>72914.572136127768</v>
      </c>
      <c r="AU217" s="231">
        <f t="shared" ca="1" si="173"/>
        <v>453.95261280003353</v>
      </c>
      <c r="AV217" s="231">
        <f t="shared" ca="1" si="205"/>
        <v>744.34576236763189</v>
      </c>
      <c r="AW217" s="231"/>
      <c r="AX217" s="231">
        <f t="shared" ca="1" si="206"/>
        <v>1819.0603083942774</v>
      </c>
      <c r="AY217" s="231">
        <f t="shared" ca="1" si="207"/>
        <v>227.38253854928467</v>
      </c>
      <c r="AZ217" s="231"/>
      <c r="BA217" s="232">
        <f t="shared" ca="1" si="174"/>
        <v>76159.313358238986</v>
      </c>
      <c r="BB217" s="231">
        <f t="shared" ca="1" si="175"/>
        <v>52.608442644472206</v>
      </c>
      <c r="BC217" s="231">
        <f t="shared" ca="1" si="208"/>
        <v>7081.261968859314</v>
      </c>
      <c r="BD217" s="231">
        <f t="shared" ca="1" si="209"/>
        <v>38097.882291400572</v>
      </c>
      <c r="BE217" s="231">
        <f t="shared" ca="1" si="210"/>
        <v>1322.8431351180755</v>
      </c>
      <c r="BF217" s="231">
        <f t="shared" ca="1" si="176"/>
        <v>7259.2605113736445</v>
      </c>
      <c r="BG217" s="231">
        <f t="shared" ca="1" si="177"/>
        <v>53813.856349396083</v>
      </c>
      <c r="BH217" s="232">
        <f t="shared" ca="1" si="178"/>
        <v>129973.16970763508</v>
      </c>
      <c r="BI217" s="244">
        <f t="shared" ca="1" si="211"/>
        <v>0.46985324705359588</v>
      </c>
      <c r="BJ217" s="243">
        <f t="shared" ca="1" si="212"/>
        <v>2.7334646993707854</v>
      </c>
      <c r="BK217" s="242">
        <f t="shared" ca="1" si="213"/>
        <v>3.2033179464243813</v>
      </c>
      <c r="BL217" s="241">
        <f t="shared" ca="1" si="214"/>
        <v>0.33829433787858904</v>
      </c>
      <c r="BM217" s="243">
        <f t="shared" ca="1" si="215"/>
        <v>1.210924861821258</v>
      </c>
      <c r="BN217" s="243">
        <f t="shared" si="179"/>
        <v>0</v>
      </c>
      <c r="BO217" s="242">
        <f t="shared" ca="1" si="180"/>
        <v>1.549219199699847</v>
      </c>
      <c r="BP217" s="67"/>
      <c r="BQ217" s="67"/>
      <c r="BR217" s="67"/>
      <c r="BS217" s="67"/>
      <c r="BT217" s="67"/>
      <c r="BU217" s="67"/>
      <c r="BV217" s="67"/>
      <c r="BW217" s="67"/>
      <c r="BX217" s="67"/>
      <c r="BY217" s="67"/>
      <c r="BZ217" s="67"/>
      <c r="CA217" s="67"/>
      <c r="CB217" s="67"/>
    </row>
    <row r="218" spans="1:80" ht="12" customHeight="1" x14ac:dyDescent="0.15">
      <c r="A218" s="213">
        <f t="shared" si="181"/>
        <v>212</v>
      </c>
      <c r="B218" s="67">
        <f t="shared" si="182"/>
        <v>848</v>
      </c>
      <c r="C218" s="224">
        <f t="shared" si="183"/>
        <v>195.69230769230768</v>
      </c>
      <c r="D218" s="225">
        <f ca="1">IFERROR(OFFSET(extrapolation!P227,0,OS_dist_choice-1,1,1),0)</f>
        <v>5.259932794395443E-2</v>
      </c>
      <c r="E218" s="225">
        <f ca="1">IFERROR(OFFSET(extrapolation!D227,0,PFS_dist_choice-1,1,1),0)</f>
        <v>7.6201652956853216E-3</v>
      </c>
      <c r="F218" s="214"/>
      <c r="G218" s="226">
        <f t="shared" ca="1" si="184"/>
        <v>7.6201652956853216</v>
      </c>
      <c r="H218" s="224">
        <f t="shared" ca="1" si="185"/>
        <v>44.979162648269039</v>
      </c>
      <c r="I218" s="224">
        <f t="shared" ca="1" si="162"/>
        <v>947.40067205604566</v>
      </c>
      <c r="J218" s="227">
        <f t="shared" ca="1" si="163"/>
        <v>1000</v>
      </c>
      <c r="K218" s="238">
        <f t="shared" ca="1" si="186"/>
        <v>0.1221285487966739</v>
      </c>
      <c r="L218" s="239">
        <f t="shared" ca="1" si="187"/>
        <v>0.40449397900147233</v>
      </c>
      <c r="M218" s="238">
        <f t="shared" ca="1" si="188"/>
        <v>7.6812295700836586</v>
      </c>
      <c r="N218" s="238">
        <f t="shared" ca="1" si="189"/>
        <v>45.120345363371428</v>
      </c>
      <c r="O218" s="239">
        <f t="shared" ca="1" si="190"/>
        <v>947.19842506654493</v>
      </c>
      <c r="P218" s="217"/>
      <c r="Q218" s="217"/>
      <c r="R218" s="224"/>
      <c r="S218" s="230">
        <f t="shared" ca="1" si="191"/>
        <v>115949.02615916819</v>
      </c>
      <c r="T218" s="231">
        <f t="shared" ca="1" si="192"/>
        <v>721.87714793561872</v>
      </c>
      <c r="U218" s="231">
        <f t="shared" ca="1" si="193"/>
        <v>1183.641631011898</v>
      </c>
      <c r="V218" s="231"/>
      <c r="W218" s="231">
        <f t="shared" ca="1" si="194"/>
        <v>2892.6281564203846</v>
      </c>
      <c r="X218" s="231">
        <f t="shared" ca="1" si="195"/>
        <v>361.57851955254807</v>
      </c>
      <c r="Y218" s="231"/>
      <c r="Z218" s="232">
        <f t="shared" ca="1" si="164"/>
        <v>121108.75161408864</v>
      </c>
      <c r="AA218" s="231">
        <f t="shared" ca="1" si="165"/>
        <v>83.482542057160742</v>
      </c>
      <c r="AB218" s="231">
        <f t="shared" ca="1" si="196"/>
        <v>11369.637171569224</v>
      </c>
      <c r="AC218" s="231">
        <f t="shared" ca="1" si="197"/>
        <v>61169.760497951524</v>
      </c>
      <c r="AD218" s="231">
        <f t="shared" ca="1" si="198"/>
        <v>2123.9500172899834</v>
      </c>
      <c r="AE218" s="231">
        <f t="shared" ca="1" si="166"/>
        <v>11588.962794811867</v>
      </c>
      <c r="AF218" s="231">
        <f t="shared" ca="1" si="167"/>
        <v>86335.793023679769</v>
      </c>
      <c r="AG218" s="232">
        <f t="shared" ca="1" si="168"/>
        <v>207444.54463776841</v>
      </c>
      <c r="AH218" s="244">
        <f t="shared" ca="1" si="199"/>
        <v>0.58884169188868563</v>
      </c>
      <c r="AI218" s="243">
        <f t="shared" ca="1" si="200"/>
        <v>3.458917645925804</v>
      </c>
      <c r="AJ218" s="242">
        <f t="shared" ca="1" si="201"/>
        <v>4.0477593378144894</v>
      </c>
      <c r="AK218" s="241">
        <f t="shared" ca="1" si="202"/>
        <v>0.42396601815985363</v>
      </c>
      <c r="AL218" s="243">
        <f t="shared" ca="1" si="203"/>
        <v>1.5323005171451312</v>
      </c>
      <c r="AM218" s="243"/>
      <c r="AN218" s="242">
        <f t="shared" ca="1" si="169"/>
        <v>1.9562665353049848</v>
      </c>
      <c r="AO218" s="224"/>
      <c r="AP218" s="235">
        <f t="shared" si="204"/>
        <v>16.307692307692307</v>
      </c>
      <c r="AQ218" s="235">
        <f t="shared" si="170"/>
        <v>0.61752492190195296</v>
      </c>
      <c r="AR218" s="235">
        <f t="shared" si="171"/>
        <v>0.78442923766132122</v>
      </c>
      <c r="AT218" s="230">
        <f t="shared" ca="1" si="172"/>
        <v>71601.413323547837</v>
      </c>
      <c r="AU218" s="231">
        <f t="shared" ca="1" si="173"/>
        <v>445.77712940174752</v>
      </c>
      <c r="AV218" s="231">
        <f t="shared" ca="1" si="205"/>
        <v>730.92820575052247</v>
      </c>
      <c r="AW218" s="231"/>
      <c r="AX218" s="231">
        <f t="shared" ca="1" si="206"/>
        <v>1786.2699763848882</v>
      </c>
      <c r="AY218" s="231">
        <f t="shared" ca="1" si="207"/>
        <v>223.28374704811102</v>
      </c>
      <c r="AZ218" s="231"/>
      <c r="BA218" s="232">
        <f t="shared" ca="1" si="174"/>
        <v>74787.672382133111</v>
      </c>
      <c r="BB218" s="231">
        <f t="shared" ca="1" si="175"/>
        <v>51.552550264024688</v>
      </c>
      <c r="BC218" s="231">
        <f t="shared" ca="1" si="208"/>
        <v>7021.0343064268263</v>
      </c>
      <c r="BD218" s="231">
        <f t="shared" ca="1" si="209"/>
        <v>37773.851574258682</v>
      </c>
      <c r="BE218" s="231">
        <f t="shared" ca="1" si="210"/>
        <v>1311.5920685506487</v>
      </c>
      <c r="BF218" s="231">
        <f t="shared" ca="1" si="176"/>
        <v>7156.4733447908366</v>
      </c>
      <c r="BG218" s="231">
        <f t="shared" ca="1" si="177"/>
        <v>53314.503844291023</v>
      </c>
      <c r="BH218" s="232">
        <f t="shared" ca="1" si="178"/>
        <v>128102.17622642414</v>
      </c>
      <c r="BI218" s="244">
        <f t="shared" ca="1" si="211"/>
        <v>0.46190463947144428</v>
      </c>
      <c r="BJ218" s="243">
        <f t="shared" ca="1" si="212"/>
        <v>2.7132761321268704</v>
      </c>
      <c r="BK218" s="242">
        <f t="shared" ca="1" si="213"/>
        <v>3.1751807715983142</v>
      </c>
      <c r="BL218" s="241">
        <f t="shared" ca="1" si="214"/>
        <v>0.33257134041943986</v>
      </c>
      <c r="BM218" s="243">
        <f t="shared" ca="1" si="215"/>
        <v>1.2019813265322035</v>
      </c>
      <c r="BN218" s="243">
        <f t="shared" si="179"/>
        <v>0</v>
      </c>
      <c r="BO218" s="242">
        <f t="shared" ca="1" si="180"/>
        <v>1.5345526669516434</v>
      </c>
      <c r="BP218" s="67"/>
      <c r="BQ218" s="67"/>
      <c r="BR218" s="67"/>
      <c r="BS218" s="67"/>
      <c r="BT218" s="67"/>
      <c r="BU218" s="67"/>
      <c r="BV218" s="67"/>
      <c r="BW218" s="67"/>
      <c r="BX218" s="67"/>
      <c r="BY218" s="67"/>
      <c r="BZ218" s="67"/>
      <c r="CA218" s="67"/>
      <c r="CB218" s="67"/>
    </row>
    <row r="219" spans="1:80" ht="12" customHeight="1" x14ac:dyDescent="0.15">
      <c r="A219" s="213">
        <f t="shared" si="181"/>
        <v>213</v>
      </c>
      <c r="B219" s="67">
        <f t="shared" si="182"/>
        <v>852</v>
      </c>
      <c r="C219" s="224">
        <f t="shared" si="183"/>
        <v>196.61538461538458</v>
      </c>
      <c r="D219" s="225">
        <f ca="1">IFERROR(OFFSET(extrapolation!P228,0,OS_dist_choice-1,1,1),0)</f>
        <v>5.2199633659987157E-2</v>
      </c>
      <c r="E219" s="225">
        <f ca="1">IFERROR(OFFSET(extrapolation!D228,0,PFS_dist_choice-1,1,1),0)</f>
        <v>7.5002105640344929E-3</v>
      </c>
      <c r="F219" s="214"/>
      <c r="G219" s="226">
        <f t="shared" ca="1" si="184"/>
        <v>7.5002105640344929</v>
      </c>
      <c r="H219" s="224">
        <f t="shared" ca="1" si="185"/>
        <v>44.699423095952625</v>
      </c>
      <c r="I219" s="224">
        <f t="shared" ca="1" si="162"/>
        <v>947.80036634001283</v>
      </c>
      <c r="J219" s="227">
        <f t="shared" ca="1" si="163"/>
        <v>1000</v>
      </c>
      <c r="K219" s="238">
        <f t="shared" ca="1" si="186"/>
        <v>0.11995473165082871</v>
      </c>
      <c r="L219" s="239">
        <f t="shared" ca="1" si="187"/>
        <v>0.39969428396716467</v>
      </c>
      <c r="M219" s="238">
        <f t="shared" ca="1" si="188"/>
        <v>7.5601879298599073</v>
      </c>
      <c r="N219" s="238">
        <f t="shared" ca="1" si="189"/>
        <v>44.839292872110832</v>
      </c>
      <c r="O219" s="239">
        <f t="shared" ca="1" si="190"/>
        <v>947.60051919802925</v>
      </c>
      <c r="P219" s="217"/>
      <c r="Q219" s="217"/>
      <c r="R219" s="224"/>
      <c r="S219" s="230">
        <f t="shared" ca="1" si="191"/>
        <v>114123.78565868021</v>
      </c>
      <c r="T219" s="231">
        <f t="shared" ca="1" si="192"/>
        <v>710.51353885295055</v>
      </c>
      <c r="U219" s="231">
        <f t="shared" ca="1" si="193"/>
        <v>1164.9896791144056</v>
      </c>
      <c r="V219" s="231"/>
      <c r="W219" s="231">
        <f t="shared" ca="1" si="194"/>
        <v>2847.0458113783634</v>
      </c>
      <c r="X219" s="231">
        <f t="shared" ca="1" si="195"/>
        <v>355.88072642229542</v>
      </c>
      <c r="Y219" s="231"/>
      <c r="Z219" s="232">
        <f t="shared" ca="1" si="164"/>
        <v>119202.21541444823</v>
      </c>
      <c r="AA219" s="231">
        <f t="shared" ca="1" si="165"/>
        <v>81.996601357048689</v>
      </c>
      <c r="AB219" s="231">
        <f t="shared" ca="1" si="196"/>
        <v>11298.816240876777</v>
      </c>
      <c r="AC219" s="231">
        <f t="shared" ca="1" si="197"/>
        <v>60788.736961023555</v>
      </c>
      <c r="AD219" s="231">
        <f t="shared" ca="1" si="198"/>
        <v>2110.7200333688734</v>
      </c>
      <c r="AE219" s="231">
        <f t="shared" ca="1" si="166"/>
        <v>11451.449036717504</v>
      </c>
      <c r="AF219" s="231">
        <f t="shared" ca="1" si="167"/>
        <v>85731.718873343751</v>
      </c>
      <c r="AG219" s="232">
        <f t="shared" ca="1" si="168"/>
        <v>204933.93428779198</v>
      </c>
      <c r="AH219" s="244">
        <f t="shared" ca="1" si="199"/>
        <v>0.57956266128973966</v>
      </c>
      <c r="AI219" s="243">
        <f t="shared" ca="1" si="200"/>
        <v>3.4373722119619528</v>
      </c>
      <c r="AJ219" s="242">
        <f t="shared" ca="1" si="201"/>
        <v>4.0169348732516923</v>
      </c>
      <c r="AK219" s="241">
        <f t="shared" ca="1" si="202"/>
        <v>0.41728511612861252</v>
      </c>
      <c r="AL219" s="243">
        <f t="shared" ca="1" si="203"/>
        <v>1.5227558898991451</v>
      </c>
      <c r="AM219" s="243"/>
      <c r="AN219" s="242">
        <f t="shared" ca="1" si="169"/>
        <v>1.9400410060277578</v>
      </c>
      <c r="AO219" s="224"/>
      <c r="AP219" s="235">
        <f t="shared" si="204"/>
        <v>16.384615384615383</v>
      </c>
      <c r="AQ219" s="235">
        <f t="shared" si="170"/>
        <v>0.61612241720878669</v>
      </c>
      <c r="AR219" s="235">
        <f t="shared" si="171"/>
        <v>0.78353136246020672</v>
      </c>
      <c r="AT219" s="230">
        <f t="shared" ca="1" si="172"/>
        <v>70314.22268104351</v>
      </c>
      <c r="AU219" s="231">
        <f t="shared" ca="1" si="173"/>
        <v>437.76331901764905</v>
      </c>
      <c r="AV219" s="231">
        <f t="shared" ca="1" si="205"/>
        <v>717.77625711925634</v>
      </c>
      <c r="AW219" s="231"/>
      <c r="AX219" s="231">
        <f t="shared" ca="1" si="206"/>
        <v>1754.1287472105887</v>
      </c>
      <c r="AY219" s="231">
        <f t="shared" ca="1" si="207"/>
        <v>219.26609340132359</v>
      </c>
      <c r="AZ219" s="231"/>
      <c r="BA219" s="232">
        <f t="shared" ca="1" si="174"/>
        <v>73443.15709779234</v>
      </c>
      <c r="BB219" s="231">
        <f t="shared" ca="1" si="175"/>
        <v>50.519944231010115</v>
      </c>
      <c r="BC219" s="231">
        <f t="shared" ca="1" si="208"/>
        <v>6961.4539739268967</v>
      </c>
      <c r="BD219" s="231">
        <f t="shared" ca="1" si="209"/>
        <v>37453.303555494946</v>
      </c>
      <c r="BE219" s="231">
        <f t="shared" ca="1" si="210"/>
        <v>1300.4619290102412</v>
      </c>
      <c r="BF219" s="231">
        <f t="shared" ca="1" si="176"/>
        <v>7055.4944610456205</v>
      </c>
      <c r="BG219" s="231">
        <f t="shared" ca="1" si="177"/>
        <v>52821.233863708709</v>
      </c>
      <c r="BH219" s="232">
        <f t="shared" ca="1" si="178"/>
        <v>126264.39096150105</v>
      </c>
      <c r="BI219" s="244">
        <f t="shared" ca="1" si="211"/>
        <v>0.45410552163141304</v>
      </c>
      <c r="BJ219" s="243">
        <f t="shared" ca="1" si="212"/>
        <v>2.6932889325214031</v>
      </c>
      <c r="BK219" s="242">
        <f t="shared" ca="1" si="213"/>
        <v>3.147394454152816</v>
      </c>
      <c r="BL219" s="241">
        <f t="shared" ca="1" si="214"/>
        <v>0.32695597557461736</v>
      </c>
      <c r="BM219" s="243">
        <f t="shared" ca="1" si="215"/>
        <v>1.1931269971069818</v>
      </c>
      <c r="BN219" s="243">
        <f t="shared" si="179"/>
        <v>0</v>
      </c>
      <c r="BO219" s="242">
        <f t="shared" ca="1" si="180"/>
        <v>1.5200829726815992</v>
      </c>
      <c r="BP219" s="67"/>
      <c r="BQ219" s="67"/>
      <c r="BR219" s="67"/>
      <c r="BS219" s="67"/>
      <c r="BT219" s="67"/>
      <c r="BU219" s="67"/>
      <c r="BV219" s="67"/>
      <c r="BW219" s="67"/>
      <c r="BX219" s="67"/>
      <c r="BY219" s="67"/>
      <c r="BZ219" s="67"/>
      <c r="CA219" s="67"/>
      <c r="CB219" s="67"/>
    </row>
    <row r="220" spans="1:80" ht="12" customHeight="1" x14ac:dyDescent="0.15">
      <c r="A220" s="213">
        <f t="shared" si="181"/>
        <v>214</v>
      </c>
      <c r="B220" s="67">
        <f t="shared" si="182"/>
        <v>856</v>
      </c>
      <c r="C220" s="224">
        <f t="shared" si="183"/>
        <v>197.53846153846152</v>
      </c>
      <c r="D220" s="225">
        <f ca="1">IFERROR(OFFSET(extrapolation!P229,0,OS_dist_choice-1,1,1),0)</f>
        <v>5.1804662519228897E-2</v>
      </c>
      <c r="E220" s="225">
        <f ca="1">IFERROR(OFFSET(extrapolation!D229,0,PFS_dist_choice-1,1,1),0)</f>
        <v>7.3823861054338469E-3</v>
      </c>
      <c r="F220" s="214"/>
      <c r="G220" s="226">
        <f t="shared" ca="1" si="184"/>
        <v>7.3823861054338469</v>
      </c>
      <c r="H220" s="224">
        <f t="shared" ca="1" si="185"/>
        <v>44.422276413794975</v>
      </c>
      <c r="I220" s="224">
        <f t="shared" ca="1" si="162"/>
        <v>948.19533748077117</v>
      </c>
      <c r="J220" s="227">
        <f t="shared" ca="1" si="163"/>
        <v>1000</v>
      </c>
      <c r="K220" s="238">
        <f t="shared" ca="1" si="186"/>
        <v>0.11782445860064605</v>
      </c>
      <c r="L220" s="239">
        <f t="shared" ca="1" si="187"/>
        <v>0.39497114075834361</v>
      </c>
      <c r="M220" s="238">
        <f t="shared" ca="1" si="188"/>
        <v>7.4412983347341699</v>
      </c>
      <c r="N220" s="238">
        <f t="shared" ca="1" si="189"/>
        <v>44.5608497548738</v>
      </c>
      <c r="O220" s="239">
        <f t="shared" ca="1" si="190"/>
        <v>947.997851910392</v>
      </c>
      <c r="P220" s="217"/>
      <c r="Q220" s="217"/>
      <c r="R220" s="224"/>
      <c r="S220" s="230">
        <f t="shared" ca="1" si="191"/>
        <v>112330.95955814776</v>
      </c>
      <c r="T220" s="231">
        <f t="shared" ca="1" si="192"/>
        <v>699.35173581701736</v>
      </c>
      <c r="U220" s="231">
        <f t="shared" ca="1" si="193"/>
        <v>1146.6693473236401</v>
      </c>
      <c r="V220" s="231"/>
      <c r="W220" s="231">
        <f t="shared" ca="1" si="194"/>
        <v>2802.2738920875327</v>
      </c>
      <c r="X220" s="231">
        <f t="shared" ca="1" si="195"/>
        <v>350.28423651094158</v>
      </c>
      <c r="Y220" s="231"/>
      <c r="Z220" s="232">
        <f t="shared" ca="1" si="164"/>
        <v>117329.53876988689</v>
      </c>
      <c r="AA220" s="231">
        <f t="shared" ca="1" si="165"/>
        <v>80.540425784200551</v>
      </c>
      <c r="AB220" s="231">
        <f t="shared" ca="1" si="196"/>
        <v>11228.652832542679</v>
      </c>
      <c r="AC220" s="231">
        <f t="shared" ca="1" si="197"/>
        <v>60411.25095872183</v>
      </c>
      <c r="AD220" s="231">
        <f t="shared" ca="1" si="198"/>
        <v>2097.6128805111744</v>
      </c>
      <c r="AE220" s="231">
        <f t="shared" ca="1" si="166"/>
        <v>11316.128528222625</v>
      </c>
      <c r="AF220" s="231">
        <f t="shared" ca="1" si="167"/>
        <v>85134.185625782513</v>
      </c>
      <c r="AG220" s="232">
        <f t="shared" ca="1" si="168"/>
        <v>202463.72439566941</v>
      </c>
      <c r="AH220" s="244">
        <f t="shared" ca="1" si="199"/>
        <v>0.57044860608502879</v>
      </c>
      <c r="AI220" s="243">
        <f t="shared" ca="1" si="200"/>
        <v>3.416026812146383</v>
      </c>
      <c r="AJ220" s="242">
        <f t="shared" ca="1" si="201"/>
        <v>3.9864754182314117</v>
      </c>
      <c r="AK220" s="241">
        <f t="shared" ca="1" si="202"/>
        <v>0.41072299638122073</v>
      </c>
      <c r="AL220" s="243">
        <f t="shared" ca="1" si="203"/>
        <v>1.5132998777808477</v>
      </c>
      <c r="AM220" s="243"/>
      <c r="AN220" s="242">
        <f t="shared" ca="1" si="169"/>
        <v>1.9240228741620684</v>
      </c>
      <c r="AO220" s="224"/>
      <c r="AP220" s="235">
        <f t="shared" si="204"/>
        <v>16.46153846153846</v>
      </c>
      <c r="AQ220" s="235">
        <f t="shared" si="170"/>
        <v>0.61472309784360413</v>
      </c>
      <c r="AR220" s="235">
        <f t="shared" si="171"/>
        <v>0.78263451498707326</v>
      </c>
      <c r="AT220" s="230">
        <f t="shared" ca="1" si="172"/>
        <v>69052.435443329203</v>
      </c>
      <c r="AU220" s="231">
        <f t="shared" ca="1" si="173"/>
        <v>429.90766552373873</v>
      </c>
      <c r="AV220" s="231">
        <f t="shared" ca="1" si="205"/>
        <v>704.88413338909163</v>
      </c>
      <c r="AW220" s="231"/>
      <c r="AX220" s="231">
        <f t="shared" ca="1" si="206"/>
        <v>1722.6224879503018</v>
      </c>
      <c r="AY220" s="231">
        <f t="shared" ca="1" si="207"/>
        <v>215.32781099378772</v>
      </c>
      <c r="AZ220" s="231"/>
      <c r="BA220" s="232">
        <f t="shared" ca="1" si="174"/>
        <v>72125.177541186116</v>
      </c>
      <c r="BB220" s="231">
        <f t="shared" ca="1" si="175"/>
        <v>49.510060039706651</v>
      </c>
      <c r="BC220" s="231">
        <f t="shared" ca="1" si="208"/>
        <v>6902.5122538309961</v>
      </c>
      <c r="BD220" s="231">
        <f t="shared" ca="1" si="209"/>
        <v>37136.191333952884</v>
      </c>
      <c r="BE220" s="231">
        <f t="shared" ca="1" si="210"/>
        <v>1289.451087984475</v>
      </c>
      <c r="BF220" s="231">
        <f t="shared" ca="1" si="176"/>
        <v>6956.2855844653968</v>
      </c>
      <c r="BG220" s="231">
        <f t="shared" ca="1" si="177"/>
        <v>52333.950320273463</v>
      </c>
      <c r="BH220" s="232">
        <f t="shared" ca="1" si="178"/>
        <v>124459.12786145959</v>
      </c>
      <c r="BI220" s="244">
        <f t="shared" ca="1" si="211"/>
        <v>0.44645276814840851</v>
      </c>
      <c r="BJ220" s="243">
        <f t="shared" ca="1" si="212"/>
        <v>2.6735004873070225</v>
      </c>
      <c r="BK220" s="242">
        <f t="shared" ca="1" si="213"/>
        <v>3.1199532554554308</v>
      </c>
      <c r="BL220" s="241">
        <f t="shared" ca="1" si="214"/>
        <v>0.32144599306685412</v>
      </c>
      <c r="BM220" s="243">
        <f t="shared" ca="1" si="215"/>
        <v>1.1843607158770111</v>
      </c>
      <c r="BN220" s="243">
        <f t="shared" si="179"/>
        <v>0</v>
      </c>
      <c r="BO220" s="242">
        <f t="shared" ca="1" si="180"/>
        <v>1.5058067089438651</v>
      </c>
      <c r="BP220" s="67"/>
      <c r="BQ220" s="67"/>
      <c r="BR220" s="67"/>
      <c r="BS220" s="67"/>
      <c r="BT220" s="67"/>
      <c r="BU220" s="67"/>
      <c r="BV220" s="67"/>
      <c r="BW220" s="67"/>
      <c r="BX220" s="67"/>
      <c r="BY220" s="67"/>
      <c r="BZ220" s="67"/>
      <c r="CA220" s="67"/>
      <c r="CB220" s="67"/>
    </row>
    <row r="221" spans="1:80" ht="12" customHeight="1" x14ac:dyDescent="0.15">
      <c r="A221" s="213">
        <f t="shared" si="181"/>
        <v>215</v>
      </c>
      <c r="B221" s="67">
        <f t="shared" si="182"/>
        <v>860</v>
      </c>
      <c r="C221" s="224">
        <f t="shared" si="183"/>
        <v>198.46153846153848</v>
      </c>
      <c r="D221" s="225">
        <f ca="1">IFERROR(OFFSET(extrapolation!P230,0,OS_dist_choice-1,1,1),0)</f>
        <v>5.1414339491997654E-2</v>
      </c>
      <c r="E221" s="225">
        <f ca="1">IFERROR(OFFSET(extrapolation!D230,0,PFS_dist_choice-1,1,1),0)</f>
        <v>7.2666493538086074E-3</v>
      </c>
      <c r="F221" s="214"/>
      <c r="G221" s="226">
        <f t="shared" ca="1" si="184"/>
        <v>7.2666493538086074</v>
      </c>
      <c r="H221" s="224">
        <f t="shared" ca="1" si="185"/>
        <v>44.147690138189091</v>
      </c>
      <c r="I221" s="224">
        <f t="shared" ca="1" si="162"/>
        <v>948.58566050800232</v>
      </c>
      <c r="J221" s="227">
        <f t="shared" ca="1" si="163"/>
        <v>1000</v>
      </c>
      <c r="K221" s="238">
        <f t="shared" ca="1" si="186"/>
        <v>0.11573675162523944</v>
      </c>
      <c r="L221" s="239">
        <f t="shared" ca="1" si="187"/>
        <v>0.39032302723114753</v>
      </c>
      <c r="M221" s="238">
        <f t="shared" ca="1" si="188"/>
        <v>7.3245177296212276</v>
      </c>
      <c r="N221" s="238">
        <f t="shared" ca="1" si="189"/>
        <v>44.284983275992033</v>
      </c>
      <c r="O221" s="239">
        <f t="shared" ca="1" si="190"/>
        <v>948.39049899438669</v>
      </c>
      <c r="P221" s="217"/>
      <c r="Q221" s="217"/>
      <c r="R221" s="224"/>
      <c r="S221" s="230">
        <f t="shared" ca="1" si="191"/>
        <v>110569.90016887567</v>
      </c>
      <c r="T221" s="231">
        <f t="shared" ca="1" si="192"/>
        <v>688.38770643803957</v>
      </c>
      <c r="U221" s="231">
        <f t="shared" ca="1" si="193"/>
        <v>1128.6740010518929</v>
      </c>
      <c r="V221" s="231"/>
      <c r="W221" s="231">
        <f t="shared" ca="1" si="194"/>
        <v>2758.2961846916805</v>
      </c>
      <c r="X221" s="231">
        <f t="shared" ca="1" si="195"/>
        <v>344.78702308646007</v>
      </c>
      <c r="Y221" s="231"/>
      <c r="Z221" s="232">
        <f t="shared" ca="1" si="164"/>
        <v>115490.04508414374</v>
      </c>
      <c r="AA221" s="231">
        <f t="shared" ca="1" si="165"/>
        <v>79.11334679984634</v>
      </c>
      <c r="AB221" s="231">
        <f t="shared" ca="1" si="196"/>
        <v>11159.138697679025</v>
      </c>
      <c r="AC221" s="231">
        <f t="shared" ca="1" si="197"/>
        <v>60037.258111222269</v>
      </c>
      <c r="AD221" s="231">
        <f t="shared" ca="1" si="198"/>
        <v>2084.6270177507731</v>
      </c>
      <c r="AE221" s="231">
        <f t="shared" ca="1" si="166"/>
        <v>11182.957659114236</v>
      </c>
      <c r="AF221" s="231">
        <f t="shared" ca="1" si="167"/>
        <v>84543.094832566145</v>
      </c>
      <c r="AG221" s="232">
        <f t="shared" ca="1" si="168"/>
        <v>200033.13991670989</v>
      </c>
      <c r="AH221" s="244">
        <f t="shared" ca="1" si="199"/>
        <v>0.56149622567938229</v>
      </c>
      <c r="AI221" s="243">
        <f t="shared" ca="1" si="200"/>
        <v>3.3948789369685883</v>
      </c>
      <c r="AJ221" s="242">
        <f t="shared" ca="1" si="201"/>
        <v>3.9563751626479706</v>
      </c>
      <c r="AK221" s="241">
        <f t="shared" ca="1" si="202"/>
        <v>0.40427728248915523</v>
      </c>
      <c r="AL221" s="243">
        <f t="shared" ca="1" si="203"/>
        <v>1.5039313690770846</v>
      </c>
      <c r="AM221" s="243"/>
      <c r="AN221" s="242">
        <f t="shared" ca="1" si="169"/>
        <v>1.9082086515662398</v>
      </c>
      <c r="AO221" s="224"/>
      <c r="AP221" s="235">
        <f t="shared" si="204"/>
        <v>16.53846153846154</v>
      </c>
      <c r="AQ221" s="235">
        <f t="shared" si="170"/>
        <v>0.61332695657198066</v>
      </c>
      <c r="AR221" s="235">
        <f t="shared" si="171"/>
        <v>0.78173869406556074</v>
      </c>
      <c r="AT221" s="230">
        <f t="shared" ca="1" si="172"/>
        <v>67815.50035904425</v>
      </c>
      <c r="AU221" s="231">
        <f t="shared" ca="1" si="173"/>
        <v>422.20673693120887</v>
      </c>
      <c r="AV221" s="231">
        <f t="shared" ca="1" si="205"/>
        <v>692.246190027078</v>
      </c>
      <c r="AW221" s="231"/>
      <c r="AX221" s="231">
        <f t="shared" ca="1" si="206"/>
        <v>1691.7374042810543</v>
      </c>
      <c r="AY221" s="231">
        <f t="shared" ca="1" si="207"/>
        <v>211.46717553513179</v>
      </c>
      <c r="AZ221" s="231"/>
      <c r="BA221" s="232">
        <f t="shared" ca="1" si="174"/>
        <v>70833.157865818721</v>
      </c>
      <c r="BB221" s="231">
        <f t="shared" ca="1" si="175"/>
        <v>48.522348216973398</v>
      </c>
      <c r="BC221" s="231">
        <f t="shared" ca="1" si="208"/>
        <v>6844.2005754120928</v>
      </c>
      <c r="BD221" s="231">
        <f t="shared" ca="1" si="209"/>
        <v>36822.468798282411</v>
      </c>
      <c r="BE221" s="231">
        <f t="shared" ca="1" si="210"/>
        <v>1278.557944384806</v>
      </c>
      <c r="BF221" s="231">
        <f t="shared" ca="1" si="176"/>
        <v>6858.8093865378551</v>
      </c>
      <c r="BG221" s="231">
        <f t="shared" ca="1" si="177"/>
        <v>51852.559052834142</v>
      </c>
      <c r="BH221" s="232">
        <f t="shared" ca="1" si="178"/>
        <v>122685.71691865286</v>
      </c>
      <c r="BI221" s="244">
        <f t="shared" ca="1" si="211"/>
        <v>0.43894332618534165</v>
      </c>
      <c r="BJ221" s="243">
        <f t="shared" ca="1" si="212"/>
        <v>2.6539082266965033</v>
      </c>
      <c r="BK221" s="242">
        <f t="shared" ca="1" si="213"/>
        <v>3.0928515528818452</v>
      </c>
      <c r="BL221" s="241">
        <f t="shared" ca="1" si="214"/>
        <v>0.316039194853446</v>
      </c>
      <c r="BM221" s="243">
        <f t="shared" ca="1" si="215"/>
        <v>1.175681344426551</v>
      </c>
      <c r="BN221" s="243">
        <f t="shared" si="179"/>
        <v>0</v>
      </c>
      <c r="BO221" s="242">
        <f t="shared" ca="1" si="180"/>
        <v>1.4917205392799968</v>
      </c>
      <c r="BP221" s="67"/>
      <c r="BQ221" s="67"/>
      <c r="BR221" s="67"/>
      <c r="BS221" s="67"/>
      <c r="BT221" s="67"/>
      <c r="BU221" s="67"/>
      <c r="BV221" s="67"/>
      <c r="BW221" s="67"/>
      <c r="BX221" s="67"/>
      <c r="BY221" s="67"/>
      <c r="BZ221" s="67"/>
      <c r="CA221" s="67"/>
      <c r="CB221" s="67"/>
    </row>
    <row r="222" spans="1:80" ht="12" customHeight="1" x14ac:dyDescent="0.15">
      <c r="A222" s="213">
        <f t="shared" si="181"/>
        <v>216</v>
      </c>
      <c r="B222" s="67">
        <f t="shared" si="182"/>
        <v>864</v>
      </c>
      <c r="C222" s="224">
        <f t="shared" si="183"/>
        <v>199.38461538461542</v>
      </c>
      <c r="D222" s="225">
        <f ca="1">IFERROR(OFFSET(extrapolation!P231,0,OS_dist_choice-1,1,1),0)</f>
        <v>5.1028591034731591E-2</v>
      </c>
      <c r="E222" s="225">
        <f ca="1">IFERROR(OFFSET(extrapolation!D231,0,PFS_dist_choice-1,1,1),0)</f>
        <v>7.1529586965841663E-3</v>
      </c>
      <c r="F222" s="214"/>
      <c r="G222" s="226">
        <f t="shared" ca="1" si="184"/>
        <v>7.1529586965841663</v>
      </c>
      <c r="H222" s="224">
        <f t="shared" ca="1" si="185"/>
        <v>43.875632338147398</v>
      </c>
      <c r="I222" s="224">
        <f t="shared" ca="1" si="162"/>
        <v>948.97140896526844</v>
      </c>
      <c r="J222" s="227">
        <f t="shared" ca="1" si="163"/>
        <v>1000</v>
      </c>
      <c r="K222" s="238">
        <f t="shared" ca="1" si="186"/>
        <v>0.11369065722444116</v>
      </c>
      <c r="L222" s="239">
        <f t="shared" ca="1" si="187"/>
        <v>0.38574845726611784</v>
      </c>
      <c r="M222" s="238">
        <f t="shared" ca="1" si="188"/>
        <v>7.2098040251963873</v>
      </c>
      <c r="N222" s="238">
        <f t="shared" ca="1" si="189"/>
        <v>44.011661238168244</v>
      </c>
      <c r="O222" s="239">
        <f t="shared" ca="1" si="190"/>
        <v>948.77853473663538</v>
      </c>
      <c r="P222" s="217"/>
      <c r="Q222" s="217"/>
      <c r="R222" s="224"/>
      <c r="S222" s="230">
        <f t="shared" ca="1" si="191"/>
        <v>108839.97431070119</v>
      </c>
      <c r="T222" s="231">
        <f t="shared" ca="1" si="192"/>
        <v>677.61750865367185</v>
      </c>
      <c r="U222" s="231">
        <f t="shared" ca="1" si="193"/>
        <v>1110.9971545306455</v>
      </c>
      <c r="V222" s="231"/>
      <c r="W222" s="231">
        <f t="shared" ca="1" si="194"/>
        <v>2715.0968390245562</v>
      </c>
      <c r="X222" s="231">
        <f t="shared" ca="1" si="195"/>
        <v>339.38710487806952</v>
      </c>
      <c r="Y222" s="231"/>
      <c r="Z222" s="232">
        <f t="shared" ca="1" si="164"/>
        <v>113683.07291778813</v>
      </c>
      <c r="AA222" s="231">
        <f t="shared" ca="1" si="165"/>
        <v>77.714712626669169</v>
      </c>
      <c r="AB222" s="231">
        <f t="shared" ca="1" si="196"/>
        <v>11090.265723059174</v>
      </c>
      <c r="AC222" s="231">
        <f t="shared" ca="1" si="197"/>
        <v>59666.714768571663</v>
      </c>
      <c r="AD222" s="231">
        <f t="shared" ca="1" si="198"/>
        <v>2071.7609294642939</v>
      </c>
      <c r="AE222" s="231">
        <f t="shared" ca="1" si="166"/>
        <v>11051.893851297209</v>
      </c>
      <c r="AF222" s="231">
        <f t="shared" ca="1" si="167"/>
        <v>83958.349985018998</v>
      </c>
      <c r="AG222" s="232">
        <f t="shared" ca="1" si="168"/>
        <v>197641.42290280713</v>
      </c>
      <c r="AH222" s="244">
        <f t="shared" ca="1" si="199"/>
        <v>0.55270229351265932</v>
      </c>
      <c r="AI222" s="243">
        <f t="shared" ca="1" si="200"/>
        <v>3.3739261181894888</v>
      </c>
      <c r="AJ222" s="242">
        <f t="shared" ca="1" si="201"/>
        <v>3.9266284117021479</v>
      </c>
      <c r="AK222" s="241">
        <f t="shared" ca="1" si="202"/>
        <v>0.39794565132911469</v>
      </c>
      <c r="AL222" s="243">
        <f t="shared" ca="1" si="203"/>
        <v>1.4946492703579435</v>
      </c>
      <c r="AM222" s="243"/>
      <c r="AN222" s="242">
        <f t="shared" ca="1" si="169"/>
        <v>1.8925949216870581</v>
      </c>
      <c r="AO222" s="224"/>
      <c r="AP222" s="235">
        <f t="shared" si="204"/>
        <v>16.615384615384617</v>
      </c>
      <c r="AQ222" s="235">
        <f t="shared" si="170"/>
        <v>0.61193398617592243</v>
      </c>
      <c r="AR222" s="235">
        <f t="shared" si="171"/>
        <v>0.78084389852065517</v>
      </c>
      <c r="AT222" s="230">
        <f t="shared" ca="1" si="172"/>
        <v>66602.87933523237</v>
      </c>
      <c r="AU222" s="231">
        <f t="shared" ca="1" si="173"/>
        <v>414.65718317303902</v>
      </c>
      <c r="AV222" s="231">
        <f t="shared" ca="1" si="205"/>
        <v>679.85691740204516</v>
      </c>
      <c r="AW222" s="231"/>
      <c r="AX222" s="231">
        <f t="shared" ca="1" si="206"/>
        <v>1661.4600315579435</v>
      </c>
      <c r="AY222" s="231">
        <f t="shared" ca="1" si="207"/>
        <v>207.68250394474293</v>
      </c>
      <c r="AZ222" s="231"/>
      <c r="BA222" s="232">
        <f t="shared" ca="1" si="174"/>
        <v>69566.53597131015</v>
      </c>
      <c r="BB222" s="231">
        <f t="shared" ca="1" si="175"/>
        <v>47.556273882153953</v>
      </c>
      <c r="BC222" s="231">
        <f t="shared" ca="1" si="208"/>
        <v>6786.5105116617988</v>
      </c>
      <c r="BD222" s="231">
        <f t="shared" ca="1" si="209"/>
        <v>36512.090610353836</v>
      </c>
      <c r="BE222" s="231">
        <f t="shared" ca="1" si="210"/>
        <v>1267.7809239706194</v>
      </c>
      <c r="BF222" s="231">
        <f t="shared" ca="1" si="176"/>
        <v>6763.0294592174687</v>
      </c>
      <c r="BG222" s="231">
        <f t="shared" ca="1" si="177"/>
        <v>51376.96777908587</v>
      </c>
      <c r="BH222" s="232">
        <f t="shared" ca="1" si="178"/>
        <v>120943.50375039602</v>
      </c>
      <c r="BI222" s="244">
        <f t="shared" ca="1" si="211"/>
        <v>0.43157421358773229</v>
      </c>
      <c r="BJ222" s="243">
        <f t="shared" ca="1" si="212"/>
        <v>2.6345096234477414</v>
      </c>
      <c r="BK222" s="242">
        <f t="shared" ca="1" si="213"/>
        <v>3.0660838370354733</v>
      </c>
      <c r="BL222" s="241">
        <f t="shared" ca="1" si="214"/>
        <v>0.31073343378316726</v>
      </c>
      <c r="BM222" s="243">
        <f t="shared" ca="1" si="215"/>
        <v>1.1670877631873493</v>
      </c>
      <c r="BN222" s="243">
        <f t="shared" si="179"/>
        <v>0</v>
      </c>
      <c r="BO222" s="242">
        <f t="shared" ca="1" si="180"/>
        <v>1.4778211969705166</v>
      </c>
      <c r="BP222" s="67"/>
      <c r="BQ222" s="67"/>
      <c r="BR222" s="67"/>
      <c r="BS222" s="67"/>
      <c r="BT222" s="67"/>
      <c r="BU222" s="67"/>
      <c r="BV222" s="67"/>
      <c r="BW222" s="67"/>
      <c r="BX222" s="67"/>
      <c r="BY222" s="67"/>
      <c r="BZ222" s="67"/>
      <c r="CA222" s="67"/>
      <c r="CB222" s="67"/>
    </row>
    <row r="223" spans="1:80" ht="12" customHeight="1" x14ac:dyDescent="0.15">
      <c r="A223" s="213">
        <f t="shared" si="181"/>
        <v>217</v>
      </c>
      <c r="B223" s="67">
        <f t="shared" si="182"/>
        <v>868</v>
      </c>
      <c r="C223" s="224">
        <f t="shared" si="183"/>
        <v>200.30769230769232</v>
      </c>
      <c r="D223" s="225">
        <f ca="1">IFERROR(OFFSET(extrapolation!P232,0,OS_dist_choice-1,1,1),0)</f>
        <v>5.0647345054950138E-2</v>
      </c>
      <c r="E223" s="225">
        <f ca="1">IFERROR(OFFSET(extrapolation!D232,0,PFS_dist_choice-1,1,1),0)</f>
        <v>7.0412734508467079E-3</v>
      </c>
      <c r="F223" s="214"/>
      <c r="G223" s="226">
        <f t="shared" ca="1" si="184"/>
        <v>7.0412734508467079</v>
      </c>
      <c r="H223" s="224">
        <f t="shared" ca="1" si="185"/>
        <v>43.606071604103477</v>
      </c>
      <c r="I223" s="224">
        <f t="shared" ca="1" si="162"/>
        <v>949.35265494504984</v>
      </c>
      <c r="J223" s="227">
        <f t="shared" ca="1" si="163"/>
        <v>1000</v>
      </c>
      <c r="K223" s="238">
        <f t="shared" ca="1" si="186"/>
        <v>0.11168524573745842</v>
      </c>
      <c r="L223" s="239">
        <f t="shared" ca="1" si="187"/>
        <v>0.38124597978139718</v>
      </c>
      <c r="M223" s="238">
        <f t="shared" ca="1" si="188"/>
        <v>7.0971160737154371</v>
      </c>
      <c r="N223" s="238">
        <f t="shared" ca="1" si="189"/>
        <v>43.740851971125437</v>
      </c>
      <c r="O223" s="239">
        <f t="shared" ca="1" si="190"/>
        <v>949.16203195515914</v>
      </c>
      <c r="P223" s="217"/>
      <c r="Q223" s="217"/>
      <c r="R223" s="224"/>
      <c r="S223" s="230">
        <f t="shared" ca="1" si="191"/>
        <v>107140.56294925236</v>
      </c>
      <c r="T223" s="231">
        <f t="shared" ca="1" si="192"/>
        <v>667.03728847064053</v>
      </c>
      <c r="U223" s="231">
        <f t="shared" ca="1" si="193"/>
        <v>1093.6324670845381</v>
      </c>
      <c r="V223" s="231"/>
      <c r="W223" s="231">
        <f t="shared" ca="1" si="194"/>
        <v>2672.6603595040542</v>
      </c>
      <c r="X223" s="231">
        <f t="shared" ca="1" si="195"/>
        <v>334.08254493800678</v>
      </c>
      <c r="Y223" s="231"/>
      <c r="Z223" s="232">
        <f t="shared" ca="1" si="164"/>
        <v>111907.9756092496</v>
      </c>
      <c r="AA223" s="231">
        <f t="shared" ca="1" si="165"/>
        <v>76.343887783063806</v>
      </c>
      <c r="AB223" s="231">
        <f t="shared" ca="1" si="196"/>
        <v>11022.025928257541</v>
      </c>
      <c r="AC223" s="231">
        <f t="shared" ca="1" si="197"/>
        <v>59299.577995299493</v>
      </c>
      <c r="AD223" s="231">
        <f t="shared" ca="1" si="198"/>
        <v>2059.0131248367879</v>
      </c>
      <c r="AE223" s="231">
        <f t="shared" ca="1" si="166"/>
        <v>10922.895530521919</v>
      </c>
      <c r="AF223" s="231">
        <f t="shared" ca="1" si="167"/>
        <v>83379.856466698795</v>
      </c>
      <c r="AG223" s="232">
        <f t="shared" ca="1" si="168"/>
        <v>195287.83207594839</v>
      </c>
      <c r="AH223" s="244">
        <f t="shared" ca="1" si="199"/>
        <v>0.54406365520611144</v>
      </c>
      <c r="AI223" s="243">
        <f t="shared" ca="1" si="200"/>
        <v>3.3531659279712862</v>
      </c>
      <c r="AJ223" s="242">
        <f t="shared" ca="1" si="201"/>
        <v>3.8972295831773978</v>
      </c>
      <c r="AK223" s="241">
        <f t="shared" ca="1" si="202"/>
        <v>0.3917258317484002</v>
      </c>
      <c r="AL223" s="243">
        <f t="shared" ca="1" si="203"/>
        <v>1.4854525060912798</v>
      </c>
      <c r="AM223" s="243"/>
      <c r="AN223" s="242">
        <f t="shared" ca="1" si="169"/>
        <v>1.87717833783968</v>
      </c>
      <c r="AO223" s="224"/>
      <c r="AP223" s="235">
        <f t="shared" si="204"/>
        <v>16.692307692307693</v>
      </c>
      <c r="AQ223" s="235">
        <f t="shared" si="170"/>
        <v>0.61054417945382888</v>
      </c>
      <c r="AR223" s="235">
        <f t="shared" si="171"/>
        <v>0.77995012717868739</v>
      </c>
      <c r="AT223" s="230">
        <f t="shared" ca="1" si="172"/>
        <v>65414.047092072578</v>
      </c>
      <c r="AU223" s="231">
        <f t="shared" ca="1" si="173"/>
        <v>407.25573395441415</v>
      </c>
      <c r="AV223" s="231">
        <f t="shared" ca="1" si="205"/>
        <v>667.7109372401959</v>
      </c>
      <c r="AW223" s="231"/>
      <c r="AX223" s="231">
        <f t="shared" ca="1" si="206"/>
        <v>1631.7772261521782</v>
      </c>
      <c r="AY223" s="231">
        <f t="shared" ca="1" si="207"/>
        <v>203.97215326902227</v>
      </c>
      <c r="AZ223" s="231"/>
      <c r="BA223" s="232">
        <f t="shared" ca="1" si="174"/>
        <v>68324.763142688389</v>
      </c>
      <c r="BB223" s="231">
        <f t="shared" ca="1" si="175"/>
        <v>46.611316322825886</v>
      </c>
      <c r="BC223" s="231">
        <f t="shared" ca="1" si="208"/>
        <v>6729.4337762868272</v>
      </c>
      <c r="BD223" s="231">
        <f t="shared" ca="1" si="209"/>
        <v>36205.012189098459</v>
      </c>
      <c r="BE223" s="231">
        <f t="shared" ca="1" si="210"/>
        <v>1257.1184787881409</v>
      </c>
      <c r="BF223" s="231">
        <f t="shared" ca="1" si="176"/>
        <v>6668.9102889424003</v>
      </c>
      <c r="BG223" s="231">
        <f t="shared" ca="1" si="177"/>
        <v>50907.086049438643</v>
      </c>
      <c r="BH223" s="232">
        <f t="shared" ca="1" si="178"/>
        <v>119231.84919212703</v>
      </c>
      <c r="BI223" s="244">
        <f t="shared" ca="1" si="211"/>
        <v>0.42434251707130816</v>
      </c>
      <c r="BJ223" s="243">
        <f t="shared" ca="1" si="212"/>
        <v>2.6153021919724462</v>
      </c>
      <c r="BK223" s="242">
        <f t="shared" ca="1" si="213"/>
        <v>3.0396447090437544</v>
      </c>
      <c r="BL223" s="241">
        <f t="shared" ca="1" si="214"/>
        <v>0.30552661229134181</v>
      </c>
      <c r="BM223" s="243">
        <f t="shared" ca="1" si="215"/>
        <v>1.1585788710437936</v>
      </c>
      <c r="BN223" s="243">
        <f t="shared" si="179"/>
        <v>0</v>
      </c>
      <c r="BO223" s="242">
        <f t="shared" ca="1" si="180"/>
        <v>1.4641054833351355</v>
      </c>
      <c r="BP223" s="67"/>
      <c r="BQ223" s="67"/>
      <c r="BR223" s="67"/>
      <c r="BS223" s="67"/>
      <c r="BT223" s="67"/>
      <c r="BU223" s="67"/>
      <c r="BV223" s="67"/>
      <c r="BW223" s="67"/>
      <c r="BX223" s="67"/>
      <c r="BY223" s="67"/>
      <c r="BZ223" s="67"/>
      <c r="CA223" s="67"/>
      <c r="CB223" s="67"/>
    </row>
    <row r="224" spans="1:80" ht="12" customHeight="1" x14ac:dyDescent="0.15">
      <c r="A224" s="213">
        <f t="shared" si="181"/>
        <v>218</v>
      </c>
      <c r="B224" s="67">
        <f t="shared" si="182"/>
        <v>872</v>
      </c>
      <c r="C224" s="224">
        <f t="shared" si="183"/>
        <v>201.23076923076923</v>
      </c>
      <c r="D224" s="225">
        <f ca="1">IFERROR(OFFSET(extrapolation!P233,0,OS_dist_choice-1,1,1),0)</f>
        <v>5.0270530877165986E-2</v>
      </c>
      <c r="E224" s="225">
        <f ca="1">IFERROR(OFFSET(extrapolation!D233,0,PFS_dist_choice-1,1,1),0)</f>
        <v>6.9315538401655274E-3</v>
      </c>
      <c r="F224" s="214"/>
      <c r="G224" s="226">
        <f t="shared" ca="1" si="184"/>
        <v>6.9315538401655274</v>
      </c>
      <c r="H224" s="224">
        <f t="shared" ca="1" si="185"/>
        <v>43.338977037000518</v>
      </c>
      <c r="I224" s="224">
        <f t="shared" ca="1" si="162"/>
        <v>949.72946912283396</v>
      </c>
      <c r="J224" s="227">
        <f t="shared" ca="1" si="163"/>
        <v>1000</v>
      </c>
      <c r="K224" s="238">
        <f t="shared" ca="1" si="186"/>
        <v>0.10971961068118041</v>
      </c>
      <c r="L224" s="239">
        <f t="shared" ca="1" si="187"/>
        <v>0.37681417778412651</v>
      </c>
      <c r="M224" s="238">
        <f t="shared" ca="1" si="188"/>
        <v>6.9864136455061177</v>
      </c>
      <c r="N224" s="238">
        <f t="shared" ca="1" si="189"/>
        <v>43.472524320551997</v>
      </c>
      <c r="O224" s="239">
        <f t="shared" ca="1" si="190"/>
        <v>949.5410620339419</v>
      </c>
      <c r="P224" s="217"/>
      <c r="Q224" s="217"/>
      <c r="R224" s="224"/>
      <c r="S224" s="230">
        <f t="shared" ca="1" si="191"/>
        <v>105471.06084327452</v>
      </c>
      <c r="T224" s="231">
        <f t="shared" ca="1" si="192"/>
        <v>656.64327776906373</v>
      </c>
      <c r="U224" s="231">
        <f t="shared" ca="1" si="193"/>
        <v>1076.5737395088136</v>
      </c>
      <c r="V224" s="231"/>
      <c r="W224" s="231">
        <f t="shared" ca="1" si="194"/>
        <v>2630.9715962792757</v>
      </c>
      <c r="X224" s="231">
        <f t="shared" ca="1" si="195"/>
        <v>328.87144953490946</v>
      </c>
      <c r="Y224" s="231"/>
      <c r="Z224" s="232">
        <f t="shared" ca="1" si="164"/>
        <v>110164.12090636657</v>
      </c>
      <c r="AA224" s="231">
        <f t="shared" ca="1" si="165"/>
        <v>75.000252630828001</v>
      </c>
      <c r="AB224" s="231">
        <f t="shared" ca="1" si="196"/>
        <v>10954.411462863925</v>
      </c>
      <c r="AC224" s="231">
        <f t="shared" ca="1" si="197"/>
        <v>58935.805555430721</v>
      </c>
      <c r="AD224" s="231">
        <f t="shared" ca="1" si="198"/>
        <v>2046.3821373413441</v>
      </c>
      <c r="AE224" s="231">
        <f t="shared" ca="1" si="166"/>
        <v>10795.922099206256</v>
      </c>
      <c r="AF224" s="231">
        <f t="shared" ca="1" si="167"/>
        <v>82807.521507473066</v>
      </c>
      <c r="AG224" s="232">
        <f t="shared" ca="1" si="168"/>
        <v>192971.64241383964</v>
      </c>
      <c r="AH224" s="244">
        <f t="shared" ca="1" si="199"/>
        <v>0.53557722676022257</v>
      </c>
      <c r="AI224" s="243">
        <f t="shared" ca="1" si="200"/>
        <v>3.3325959780299956</v>
      </c>
      <c r="AJ224" s="242">
        <f t="shared" ca="1" si="201"/>
        <v>3.8681732047902182</v>
      </c>
      <c r="AK224" s="241">
        <f t="shared" ca="1" si="202"/>
        <v>0.38561560326736022</v>
      </c>
      <c r="AL224" s="243">
        <f t="shared" ca="1" si="203"/>
        <v>1.4763400182672881</v>
      </c>
      <c r="AM224" s="243"/>
      <c r="AN224" s="242">
        <f t="shared" ca="1" si="169"/>
        <v>1.8619556215346482</v>
      </c>
      <c r="AO224" s="224"/>
      <c r="AP224" s="235">
        <f t="shared" si="204"/>
        <v>16.76923076923077</v>
      </c>
      <c r="AQ224" s="235">
        <f t="shared" si="170"/>
        <v>0.6091575292204553</v>
      </c>
      <c r="AR224" s="235">
        <f t="shared" si="171"/>
        <v>0.77905737886733206</v>
      </c>
      <c r="AT224" s="230">
        <f t="shared" ca="1" si="172"/>
        <v>64248.490827549416</v>
      </c>
      <c r="AU224" s="231">
        <f t="shared" ca="1" si="173"/>
        <v>399.99919666502399</v>
      </c>
      <c r="AV224" s="231">
        <f t="shared" ca="1" si="205"/>
        <v>655.80299918281492</v>
      </c>
      <c r="AW224" s="231"/>
      <c r="AX224" s="231">
        <f t="shared" ca="1" si="206"/>
        <v>1602.6761570386807</v>
      </c>
      <c r="AY224" s="231">
        <f t="shared" ca="1" si="207"/>
        <v>200.33451962983509</v>
      </c>
      <c r="AZ224" s="231"/>
      <c r="BA224" s="232">
        <f t="shared" ca="1" si="174"/>
        <v>67107.303700065764</v>
      </c>
      <c r="BB224" s="231">
        <f t="shared" ca="1" si="175"/>
        <v>45.686968583505134</v>
      </c>
      <c r="BC224" s="231">
        <f t="shared" ca="1" si="208"/>
        <v>6672.9622207824223</v>
      </c>
      <c r="BD224" s="231">
        <f t="shared" ca="1" si="209"/>
        <v>35901.189694763358</v>
      </c>
      <c r="BE224" s="231">
        <f t="shared" ca="1" si="210"/>
        <v>1246.5690866237276</v>
      </c>
      <c r="BF224" s="231">
        <f t="shared" ca="1" si="176"/>
        <v>6576.4172316089944</v>
      </c>
      <c r="BG224" s="231">
        <f t="shared" ca="1" si="177"/>
        <v>50442.825202362008</v>
      </c>
      <c r="BH224" s="232">
        <f t="shared" ca="1" si="178"/>
        <v>117550.12890242776</v>
      </c>
      <c r="BI224" s="244">
        <f t="shared" ca="1" si="211"/>
        <v>0.41724539046085374</v>
      </c>
      <c r="BJ224" s="243">
        <f t="shared" ca="1" si="212"/>
        <v>2.5962834874678613</v>
      </c>
      <c r="BK224" s="242">
        <f t="shared" ca="1" si="213"/>
        <v>3.013528877928715</v>
      </c>
      <c r="BL224" s="241">
        <f t="shared" ca="1" si="214"/>
        <v>0.30041668113181463</v>
      </c>
      <c r="BM224" s="243">
        <f t="shared" ca="1" si="215"/>
        <v>1.1501535849482627</v>
      </c>
      <c r="BN224" s="243">
        <f t="shared" si="179"/>
        <v>0</v>
      </c>
      <c r="BO224" s="242">
        <f t="shared" ca="1" si="180"/>
        <v>1.4505702660800772</v>
      </c>
      <c r="BP224" s="67"/>
      <c r="BQ224" s="67"/>
      <c r="BR224" s="67"/>
      <c r="BS224" s="67"/>
      <c r="BT224" s="67"/>
      <c r="BU224" s="67"/>
      <c r="BV224" s="67"/>
      <c r="BW224" s="67"/>
      <c r="BX224" s="67"/>
      <c r="BY224" s="67"/>
      <c r="BZ224" s="67"/>
      <c r="CA224" s="67"/>
      <c r="CB224" s="67"/>
    </row>
    <row r="225" spans="1:80" ht="12" customHeight="1" x14ac:dyDescent="0.15">
      <c r="A225" s="213">
        <f t="shared" si="181"/>
        <v>219</v>
      </c>
      <c r="B225" s="67">
        <f t="shared" si="182"/>
        <v>876</v>
      </c>
      <c r="C225" s="224">
        <f t="shared" si="183"/>
        <v>202.15384615384616</v>
      </c>
      <c r="D225" s="225">
        <f ca="1">IFERROR(OFFSET(extrapolation!P234,0,OS_dist_choice-1,1,1),0)</f>
        <v>4.9898079209722598E-2</v>
      </c>
      <c r="E225" s="225">
        <f ca="1">IFERROR(OFFSET(extrapolation!D234,0,PFS_dist_choice-1,1,1),0)</f>
        <v>6.8237609720585013E-3</v>
      </c>
      <c r="F225" s="214"/>
      <c r="G225" s="226">
        <f t="shared" ca="1" si="184"/>
        <v>6.8237609720585013</v>
      </c>
      <c r="H225" s="224">
        <f t="shared" ca="1" si="185"/>
        <v>43.074318237664102</v>
      </c>
      <c r="I225" s="224">
        <f t="shared" ca="1" si="162"/>
        <v>950.1019207902774</v>
      </c>
      <c r="J225" s="227">
        <f t="shared" ca="1" si="163"/>
        <v>1000</v>
      </c>
      <c r="K225" s="238">
        <f t="shared" ca="1" si="186"/>
        <v>0.10779286810702615</v>
      </c>
      <c r="L225" s="239">
        <f t="shared" ca="1" si="187"/>
        <v>0.3724516674434426</v>
      </c>
      <c r="M225" s="238">
        <f t="shared" ca="1" si="188"/>
        <v>6.8776574061120144</v>
      </c>
      <c r="N225" s="238">
        <f t="shared" ca="1" si="189"/>
        <v>43.20664763733231</v>
      </c>
      <c r="O225" s="239">
        <f t="shared" ca="1" si="190"/>
        <v>949.91569495655563</v>
      </c>
      <c r="P225" s="217"/>
      <c r="Q225" s="217"/>
      <c r="R225" s="224"/>
      <c r="S225" s="230">
        <f t="shared" ca="1" si="191"/>
        <v>103830.87620174316</v>
      </c>
      <c r="T225" s="231">
        <f t="shared" ca="1" si="192"/>
        <v>646.43179216770022</v>
      </c>
      <c r="U225" s="231">
        <f t="shared" ca="1" si="193"/>
        <v>1059.8149105472994</v>
      </c>
      <c r="V225" s="231"/>
      <c r="W225" s="231">
        <f t="shared" ca="1" si="194"/>
        <v>2590.015736623287</v>
      </c>
      <c r="X225" s="231">
        <f t="shared" ca="1" si="195"/>
        <v>323.75196707791088</v>
      </c>
      <c r="Y225" s="231"/>
      <c r="Z225" s="232">
        <f t="shared" ca="1" si="164"/>
        <v>108450.89060815936</v>
      </c>
      <c r="AA225" s="231">
        <f t="shared" ca="1" si="165"/>
        <v>73.683202935527461</v>
      </c>
      <c r="AB225" s="231">
        <f t="shared" ca="1" si="196"/>
        <v>10887.414603769799</v>
      </c>
      <c r="AC225" s="231">
        <f t="shared" ca="1" si="197"/>
        <v>58575.355897885747</v>
      </c>
      <c r="AD225" s="231">
        <f t="shared" ca="1" si="198"/>
        <v>2033.8665242321438</v>
      </c>
      <c r="AE225" s="231">
        <f t="shared" ca="1" si="166"/>
        <v>10670.933909876536</v>
      </c>
      <c r="AF225" s="231">
        <f t="shared" ca="1" si="167"/>
        <v>82241.254138699747</v>
      </c>
      <c r="AG225" s="232">
        <f t="shared" ca="1" si="168"/>
        <v>190692.14474685909</v>
      </c>
      <c r="AH225" s="244">
        <f t="shared" ca="1" si="199"/>
        <v>0.52723999280256373</v>
      </c>
      <c r="AI225" s="243">
        <f t="shared" ca="1" si="200"/>
        <v>3.3122139188098689</v>
      </c>
      <c r="AJ225" s="242">
        <f t="shared" ca="1" si="201"/>
        <v>3.8394539116124324</v>
      </c>
      <c r="AK225" s="241">
        <f t="shared" ca="1" si="202"/>
        <v>0.37961279481784588</v>
      </c>
      <c r="AL225" s="243">
        <f t="shared" ca="1" si="203"/>
        <v>1.467310766032772</v>
      </c>
      <c r="AM225" s="243"/>
      <c r="AN225" s="242">
        <f t="shared" ca="1" si="169"/>
        <v>1.8469235608506178</v>
      </c>
      <c r="AO225" s="224"/>
      <c r="AP225" s="235">
        <f t="shared" si="204"/>
        <v>16.846153846153847</v>
      </c>
      <c r="AQ225" s="235">
        <f t="shared" si="170"/>
        <v>0.6077740283068761</v>
      </c>
      <c r="AR225" s="235">
        <f t="shared" si="171"/>
        <v>0.77816565241560565</v>
      </c>
      <c r="AT225" s="230">
        <f t="shared" ca="1" si="172"/>
        <v>63105.709891765997</v>
      </c>
      <c r="AU225" s="231">
        <f t="shared" ca="1" si="173"/>
        <v>392.88445435139647</v>
      </c>
      <c r="AV225" s="231">
        <f t="shared" ca="1" si="205"/>
        <v>644.12797744302372</v>
      </c>
      <c r="AW225" s="231"/>
      <c r="AX225" s="231">
        <f t="shared" ca="1" si="206"/>
        <v>1574.1442976257363</v>
      </c>
      <c r="AY225" s="231">
        <f t="shared" ca="1" si="207"/>
        <v>196.76803720321703</v>
      </c>
      <c r="AZ225" s="231"/>
      <c r="BA225" s="232">
        <f t="shared" ca="1" si="174"/>
        <v>65913.634658389376</v>
      </c>
      <c r="BB225" s="231">
        <f t="shared" ca="1" si="175"/>
        <v>44.782737066678564</v>
      </c>
      <c r="BC225" s="231">
        <f t="shared" ca="1" si="208"/>
        <v>6617.087831580282</v>
      </c>
      <c r="BD225" s="231">
        <f t="shared" ca="1" si="209"/>
        <v>35600.580013566956</v>
      </c>
      <c r="BE225" s="231">
        <f t="shared" ca="1" si="210"/>
        <v>1236.1312504710747</v>
      </c>
      <c r="BF225" s="231">
        <f t="shared" ca="1" si="176"/>
        <v>6485.5164882021054</v>
      </c>
      <c r="BG225" s="231">
        <f t="shared" ca="1" si="177"/>
        <v>49984.098320887089</v>
      </c>
      <c r="BH225" s="232">
        <f t="shared" ca="1" si="178"/>
        <v>115897.73297927645</v>
      </c>
      <c r="BI225" s="244">
        <f t="shared" ca="1" si="211"/>
        <v>0.41028005297880621</v>
      </c>
      <c r="BJ225" s="243">
        <f t="shared" ca="1" si="212"/>
        <v>2.5774511050707316</v>
      </c>
      <c r="BK225" s="242">
        <f t="shared" ca="1" si="213"/>
        <v>2.9877311580495376</v>
      </c>
      <c r="BL225" s="241">
        <f t="shared" ca="1" si="214"/>
        <v>0.29540163814474046</v>
      </c>
      <c r="BM225" s="243">
        <f t="shared" ca="1" si="215"/>
        <v>1.1418108395463342</v>
      </c>
      <c r="BN225" s="243">
        <f t="shared" si="179"/>
        <v>0</v>
      </c>
      <c r="BO225" s="242">
        <f t="shared" ca="1" si="180"/>
        <v>1.4372124776910746</v>
      </c>
      <c r="BP225" s="67"/>
      <c r="BQ225" s="67"/>
      <c r="BR225" s="67"/>
      <c r="BS225" s="67"/>
      <c r="BT225" s="67"/>
      <c r="BU225" s="67"/>
      <c r="BV225" s="67"/>
      <c r="BW225" s="67"/>
      <c r="BX225" s="67"/>
      <c r="BY225" s="67"/>
      <c r="BZ225" s="67"/>
      <c r="CA225" s="67"/>
      <c r="CB225" s="67"/>
    </row>
    <row r="226" spans="1:80" ht="12" customHeight="1" x14ac:dyDescent="0.15">
      <c r="A226" s="213">
        <f t="shared" si="181"/>
        <v>220</v>
      </c>
      <c r="B226" s="67">
        <f t="shared" si="182"/>
        <v>880</v>
      </c>
      <c r="C226" s="224">
        <f t="shared" si="183"/>
        <v>203.07692307692309</v>
      </c>
      <c r="D226" s="225">
        <f ca="1">IFERROR(OFFSET(extrapolation!P235,0,OS_dist_choice-1,1,1),0)</f>
        <v>4.9529922112525493E-2</v>
      </c>
      <c r="E226" s="225">
        <f ca="1">IFERROR(OFFSET(extrapolation!D235,0,PFS_dist_choice-1,1,1),0)</f>
        <v>6.7178568160781715E-3</v>
      </c>
      <c r="F226" s="214"/>
      <c r="G226" s="226">
        <f t="shared" ca="1" si="184"/>
        <v>6.7178568160781715</v>
      </c>
      <c r="H226" s="224">
        <f t="shared" ca="1" si="185"/>
        <v>42.812065296447258</v>
      </c>
      <c r="I226" s="224">
        <f t="shared" ca="1" si="162"/>
        <v>950.47007788747453</v>
      </c>
      <c r="J226" s="227">
        <f t="shared" ca="1" si="163"/>
        <v>1000</v>
      </c>
      <c r="K226" s="238">
        <f t="shared" ca="1" si="186"/>
        <v>0.10590415598032976</v>
      </c>
      <c r="L226" s="239">
        <f t="shared" ca="1" si="187"/>
        <v>0.36815709719712686</v>
      </c>
      <c r="M226" s="238">
        <f t="shared" ca="1" si="188"/>
        <v>6.7708088940683364</v>
      </c>
      <c r="N226" s="238">
        <f t="shared" ca="1" si="189"/>
        <v>42.94319176705568</v>
      </c>
      <c r="O226" s="239">
        <f t="shared" ca="1" si="190"/>
        <v>950.28599933887597</v>
      </c>
      <c r="P226" s="217"/>
      <c r="Q226" s="217"/>
      <c r="R226" s="224"/>
      <c r="S226" s="230">
        <f t="shared" ca="1" si="191"/>
        <v>102219.43035042012</v>
      </c>
      <c r="T226" s="231">
        <f t="shared" ca="1" si="192"/>
        <v>636.3992289479894</v>
      </c>
      <c r="U226" s="231">
        <f t="shared" ca="1" si="193"/>
        <v>1043.3500534677582</v>
      </c>
      <c r="V226" s="231"/>
      <c r="W226" s="231">
        <f t="shared" ca="1" si="194"/>
        <v>2549.7782965638303</v>
      </c>
      <c r="X226" s="231">
        <f t="shared" ca="1" si="195"/>
        <v>318.72228707047879</v>
      </c>
      <c r="Y226" s="231"/>
      <c r="Z226" s="232">
        <f t="shared" ca="1" si="164"/>
        <v>106767.68021647018</v>
      </c>
      <c r="AA226" s="231">
        <f t="shared" ca="1" si="165"/>
        <v>72.392149442266813</v>
      </c>
      <c r="AB226" s="231">
        <f t="shared" ca="1" si="196"/>
        <v>10821.027752524707</v>
      </c>
      <c r="AC226" s="231">
        <f t="shared" ca="1" si="197"/>
        <v>58218.188142257633</v>
      </c>
      <c r="AD226" s="231">
        <f t="shared" ca="1" si="198"/>
        <v>2021.464866050612</v>
      </c>
      <c r="AE226" s="231">
        <f t="shared" ca="1" si="166"/>
        <v>10547.892239572519</v>
      </c>
      <c r="AF226" s="231">
        <f t="shared" ca="1" si="167"/>
        <v>81680.965149847732</v>
      </c>
      <c r="AG226" s="232">
        <f t="shared" ca="1" si="168"/>
        <v>188448.64536631791</v>
      </c>
      <c r="AH226" s="244">
        <f t="shared" ca="1" si="199"/>
        <v>0.51904900488408878</v>
      </c>
      <c r="AI226" s="243">
        <f t="shared" ca="1" si="200"/>
        <v>3.2920174386791485</v>
      </c>
      <c r="AJ226" s="242">
        <f t="shared" ca="1" si="201"/>
        <v>3.8110664435632371</v>
      </c>
      <c r="AK226" s="241">
        <f t="shared" ca="1" si="202"/>
        <v>0.37371528351654393</v>
      </c>
      <c r="AL226" s="243">
        <f t="shared" ca="1" si="203"/>
        <v>1.4583637253348629</v>
      </c>
      <c r="AM226" s="243"/>
      <c r="AN226" s="242">
        <f t="shared" ca="1" si="169"/>
        <v>1.832079008851407</v>
      </c>
      <c r="AO226" s="224"/>
      <c r="AP226" s="235">
        <f t="shared" si="204"/>
        <v>16.923076923076923</v>
      </c>
      <c r="AQ226" s="235">
        <f t="shared" si="170"/>
        <v>0.6063936695604476</v>
      </c>
      <c r="AR226" s="235">
        <f t="shared" si="171"/>
        <v>0.77727494665386465</v>
      </c>
      <c r="AT226" s="230">
        <f t="shared" ca="1" si="172"/>
        <v>61985.215470569849</v>
      </c>
      <c r="AU226" s="231">
        <f t="shared" ca="1" si="173"/>
        <v>385.9084637472107</v>
      </c>
      <c r="AV226" s="231">
        <f t="shared" ca="1" si="205"/>
        <v>632.68086755840318</v>
      </c>
      <c r="AW226" s="231"/>
      <c r="AX226" s="231">
        <f t="shared" ca="1" si="206"/>
        <v>1546.1694178189282</v>
      </c>
      <c r="AY226" s="231">
        <f t="shared" ca="1" si="207"/>
        <v>193.27117722736602</v>
      </c>
      <c r="AZ226" s="231"/>
      <c r="BA226" s="232">
        <f t="shared" ca="1" si="174"/>
        <v>64743.24539692176</v>
      </c>
      <c r="BB226" s="231">
        <f t="shared" ca="1" si="175"/>
        <v>43.898141147664482</v>
      </c>
      <c r="BC226" s="231">
        <f t="shared" ca="1" si="208"/>
        <v>6561.8027272689005</v>
      </c>
      <c r="BD226" s="231">
        <f t="shared" ca="1" si="209"/>
        <v>35303.140742744145</v>
      </c>
      <c r="BE226" s="231">
        <f t="shared" ca="1" si="210"/>
        <v>1225.8034980119494</v>
      </c>
      <c r="BF226" s="231">
        <f t="shared" ca="1" si="176"/>
        <v>6396.1750812825476</v>
      </c>
      <c r="BG226" s="231">
        <f t="shared" ca="1" si="177"/>
        <v>49530.820190455204</v>
      </c>
      <c r="BH226" s="232">
        <f t="shared" ca="1" si="178"/>
        <v>114274.06558737696</v>
      </c>
      <c r="BI226" s="244">
        <f t="shared" ca="1" si="211"/>
        <v>0.40344378758202165</v>
      </c>
      <c r="BJ226" s="243">
        <f t="shared" ca="1" si="212"/>
        <v>2.5588026790329272</v>
      </c>
      <c r="BK226" s="242">
        <f t="shared" ca="1" si="213"/>
        <v>2.9622464666149488</v>
      </c>
      <c r="BL226" s="241">
        <f t="shared" ca="1" si="214"/>
        <v>0.29047952705905561</v>
      </c>
      <c r="BM226" s="243">
        <f t="shared" ca="1" si="215"/>
        <v>1.1335495868115868</v>
      </c>
      <c r="BN226" s="243">
        <f t="shared" si="179"/>
        <v>0</v>
      </c>
      <c r="BO226" s="242">
        <f t="shared" ca="1" si="180"/>
        <v>1.4240291138706425</v>
      </c>
      <c r="BP226" s="67"/>
      <c r="BQ226" s="67"/>
      <c r="BR226" s="67"/>
      <c r="BS226" s="67"/>
      <c r="BT226" s="67"/>
      <c r="BU226" s="67"/>
      <c r="BV226" s="67"/>
      <c r="BW226" s="67"/>
      <c r="BX226" s="67"/>
      <c r="BY226" s="67"/>
      <c r="BZ226" s="67"/>
      <c r="CA226" s="67"/>
      <c r="CB226" s="67"/>
    </row>
    <row r="227" spans="1:80" ht="12" customHeight="1" x14ac:dyDescent="0.15">
      <c r="A227" s="213">
        <f t="shared" si="181"/>
        <v>221</v>
      </c>
      <c r="B227" s="67">
        <f t="shared" si="182"/>
        <v>884</v>
      </c>
      <c r="C227" s="224">
        <f t="shared" si="183"/>
        <v>204</v>
      </c>
      <c r="D227" s="225">
        <f ca="1">IFERROR(OFFSET(extrapolation!P236,0,OS_dist_choice-1,1,1),0)</f>
        <v>4.9165992965642454E-2</v>
      </c>
      <c r="E227" s="225">
        <f ca="1">IFERROR(OFFSET(extrapolation!D236,0,PFS_dist_choice-1,1,1),0)</f>
        <v>6.6138041825014593E-3</v>
      </c>
      <c r="F227" s="214"/>
      <c r="G227" s="226">
        <f t="shared" ca="1" si="184"/>
        <v>6.6138041825014593</v>
      </c>
      <c r="H227" s="224">
        <f t="shared" ca="1" si="185"/>
        <v>42.552188783141105</v>
      </c>
      <c r="I227" s="224">
        <f t="shared" ca="1" si="162"/>
        <v>950.83400703435746</v>
      </c>
      <c r="J227" s="227">
        <f t="shared" ca="1" si="163"/>
        <v>1000</v>
      </c>
      <c r="K227" s="238">
        <f t="shared" ca="1" si="186"/>
        <v>0.10405263357671224</v>
      </c>
      <c r="L227" s="239">
        <f t="shared" ca="1" si="187"/>
        <v>0.36392914688292421</v>
      </c>
      <c r="M227" s="238">
        <f t="shared" ca="1" si="188"/>
        <v>6.6658304992898154</v>
      </c>
      <c r="N227" s="238">
        <f t="shared" ca="1" si="189"/>
        <v>42.682127039794182</v>
      </c>
      <c r="O227" s="239">
        <f t="shared" ca="1" si="190"/>
        <v>950.65204246091594</v>
      </c>
      <c r="P227" s="217"/>
      <c r="Q227" s="217"/>
      <c r="R227" s="224"/>
      <c r="S227" s="230">
        <f t="shared" ca="1" si="191"/>
        <v>100636.15740759461</v>
      </c>
      <c r="T227" s="231">
        <f t="shared" ca="1" si="192"/>
        <v>626.54206503527519</v>
      </c>
      <c r="U227" s="231">
        <f t="shared" ca="1" si="193"/>
        <v>1027.1733727315639</v>
      </c>
      <c r="V227" s="231"/>
      <c r="W227" s="231">
        <f t="shared" ca="1" si="194"/>
        <v>2510.2451127445561</v>
      </c>
      <c r="X227" s="231">
        <f t="shared" ca="1" si="195"/>
        <v>313.78063909306951</v>
      </c>
      <c r="Y227" s="231"/>
      <c r="Z227" s="232">
        <f t="shared" ca="1" si="164"/>
        <v>105113.89859719906</v>
      </c>
      <c r="AA227" s="231">
        <f t="shared" ca="1" si="165"/>
        <v>71.126517463071579</v>
      </c>
      <c r="AB227" s="231">
        <f t="shared" ca="1" si="196"/>
        <v>10755.243432760446</v>
      </c>
      <c r="AC227" s="231">
        <f t="shared" ca="1" si="197"/>
        <v>57864.262064953873</v>
      </c>
      <c r="AD227" s="231">
        <f t="shared" ca="1" si="198"/>
        <v>2009.1757661442316</v>
      </c>
      <c r="AE227" s="231">
        <f t="shared" ca="1" si="166"/>
        <v>10426.759264959244</v>
      </c>
      <c r="AF227" s="231">
        <f t="shared" ca="1" si="167"/>
        <v>81126.567046280878</v>
      </c>
      <c r="AG227" s="232">
        <f t="shared" ca="1" si="168"/>
        <v>186240.46564347995</v>
      </c>
      <c r="AH227" s="244">
        <f t="shared" ca="1" si="199"/>
        <v>0.51100137982235405</v>
      </c>
      <c r="AI227" s="243">
        <f t="shared" ca="1" si="200"/>
        <v>3.2720042631464397</v>
      </c>
      <c r="AJ227" s="242">
        <f t="shared" ca="1" si="201"/>
        <v>3.7830056429687939</v>
      </c>
      <c r="AK227" s="241">
        <f t="shared" ca="1" si="202"/>
        <v>0.36792099347209489</v>
      </c>
      <c r="AL227" s="243">
        <f t="shared" ca="1" si="203"/>
        <v>1.4494978885738727</v>
      </c>
      <c r="AM227" s="243"/>
      <c r="AN227" s="242">
        <f t="shared" ca="1" si="169"/>
        <v>1.8174188820459676</v>
      </c>
      <c r="AO227" s="224"/>
      <c r="AP227" s="235">
        <f t="shared" si="204"/>
        <v>17</v>
      </c>
      <c r="AQ227" s="235">
        <f t="shared" si="170"/>
        <v>0.60501644584477121</v>
      </c>
      <c r="AR227" s="235">
        <f t="shared" si="171"/>
        <v>0.77638526041380518</v>
      </c>
      <c r="AT227" s="230">
        <f t="shared" ca="1" si="172"/>
        <v>60886.530278217833</v>
      </c>
      <c r="AU227" s="231">
        <f t="shared" ca="1" si="173"/>
        <v>379.06825335988572</v>
      </c>
      <c r="AV227" s="231">
        <f t="shared" ca="1" si="205"/>
        <v>621.45678323643722</v>
      </c>
      <c r="AW227" s="231"/>
      <c r="AX227" s="231">
        <f t="shared" ca="1" si="206"/>
        <v>1518.7395763119184</v>
      </c>
      <c r="AY227" s="231">
        <f t="shared" ca="1" si="207"/>
        <v>189.8424470389898</v>
      </c>
      <c r="AZ227" s="231"/>
      <c r="BA227" s="232">
        <f t="shared" ca="1" si="174"/>
        <v>63595.637338165056</v>
      </c>
      <c r="BB227" s="231">
        <f t="shared" ca="1" si="175"/>
        <v>43.032712800823617</v>
      </c>
      <c r="BC227" s="231">
        <f t="shared" ca="1" si="208"/>
        <v>6507.0991558840415</v>
      </c>
      <c r="BD227" s="231">
        <f t="shared" ca="1" si="209"/>
        <v>35008.830175968811</v>
      </c>
      <c r="BE227" s="231">
        <f t="shared" ca="1" si="210"/>
        <v>1215.5843811100283</v>
      </c>
      <c r="BF227" s="231">
        <f t="shared" ca="1" si="176"/>
        <v>6308.3608321646807</v>
      </c>
      <c r="BG227" s="231">
        <f t="shared" ca="1" si="177"/>
        <v>49082.907257928397</v>
      </c>
      <c r="BH227" s="232">
        <f t="shared" ca="1" si="178"/>
        <v>112678.54459609346</v>
      </c>
      <c r="BI227" s="244">
        <f t="shared" ca="1" si="211"/>
        <v>0.39673393934519213</v>
      </c>
      <c r="BJ227" s="243">
        <f t="shared" ca="1" si="212"/>
        <v>2.5403358819180295</v>
      </c>
      <c r="BK227" s="242">
        <f t="shared" ca="1" si="213"/>
        <v>2.9370698212632216</v>
      </c>
      <c r="BL227" s="241">
        <f t="shared" ca="1" si="214"/>
        <v>0.28564843632853831</v>
      </c>
      <c r="BM227" s="243">
        <f t="shared" ca="1" si="215"/>
        <v>1.125368795689687</v>
      </c>
      <c r="BN227" s="243">
        <f t="shared" si="179"/>
        <v>0</v>
      </c>
      <c r="BO227" s="242">
        <f t="shared" ca="1" si="180"/>
        <v>1.4110172320182253</v>
      </c>
      <c r="BP227" s="67"/>
      <c r="BQ227" s="67"/>
      <c r="BR227" s="67"/>
      <c r="BS227" s="67"/>
      <c r="BT227" s="67"/>
      <c r="BU227" s="67"/>
      <c r="BV227" s="67"/>
      <c r="BW227" s="67"/>
      <c r="BX227" s="67"/>
      <c r="BY227" s="67"/>
      <c r="BZ227" s="67"/>
      <c r="CA227" s="67"/>
      <c r="CB227" s="67"/>
    </row>
    <row r="228" spans="1:80" ht="12" customHeight="1" x14ac:dyDescent="0.15">
      <c r="A228" s="213">
        <f t="shared" si="181"/>
        <v>222</v>
      </c>
      <c r="B228" s="67">
        <f t="shared" si="182"/>
        <v>888</v>
      </c>
      <c r="C228" s="224">
        <f t="shared" si="183"/>
        <v>204.92307692307691</v>
      </c>
      <c r="D228" s="225">
        <f ca="1">IFERROR(OFFSET(extrapolation!P237,0,OS_dist_choice-1,1,1),0)</f>
        <v>4.8806226438744965E-2</v>
      </c>
      <c r="E228" s="225">
        <f ca="1">IFERROR(OFFSET(extrapolation!D237,0,PFS_dist_choice-1,1,1),0)</f>
        <v>6.5115667016037992E-3</v>
      </c>
      <c r="F228" s="214"/>
      <c r="G228" s="226">
        <f t="shared" ca="1" si="184"/>
        <v>6.5115667016037992</v>
      </c>
      <c r="H228" s="224">
        <f t="shared" ca="1" si="185"/>
        <v>42.29465973714116</v>
      </c>
      <c r="I228" s="224">
        <f t="shared" ca="1" si="162"/>
        <v>951.19377356125506</v>
      </c>
      <c r="J228" s="227">
        <f t="shared" ca="1" si="163"/>
        <v>1000</v>
      </c>
      <c r="K228" s="238">
        <f t="shared" ca="1" si="186"/>
        <v>0.10223748089766005</v>
      </c>
      <c r="L228" s="239">
        <f t="shared" ca="1" si="187"/>
        <v>0.35976652689760158</v>
      </c>
      <c r="M228" s="238">
        <f t="shared" ca="1" si="188"/>
        <v>6.5626854420526293</v>
      </c>
      <c r="N228" s="238">
        <f t="shared" ca="1" si="189"/>
        <v>42.423424260141132</v>
      </c>
      <c r="O228" s="239">
        <f t="shared" ca="1" si="190"/>
        <v>951.01389029780626</v>
      </c>
      <c r="P228" s="217"/>
      <c r="Q228" s="217"/>
      <c r="R228" s="224"/>
      <c r="S228" s="230">
        <f t="shared" ca="1" si="191"/>
        <v>99080.503968716803</v>
      </c>
      <c r="T228" s="231">
        <f t="shared" ca="1" si="192"/>
        <v>616.85685503539321</v>
      </c>
      <c r="U228" s="231">
        <f t="shared" ca="1" si="193"/>
        <v>1011.2792007549139</v>
      </c>
      <c r="V228" s="231"/>
      <c r="W228" s="231">
        <f t="shared" ca="1" si="194"/>
        <v>2471.4023345099472</v>
      </c>
      <c r="X228" s="231">
        <f t="shared" ca="1" si="195"/>
        <v>308.9252918137434</v>
      </c>
      <c r="Y228" s="231"/>
      <c r="Z228" s="232">
        <f t="shared" ca="1" si="164"/>
        <v>103488.9676508308</v>
      </c>
      <c r="AA228" s="231">
        <f t="shared" ca="1" si="165"/>
        <v>69.885746477399564</v>
      </c>
      <c r="AB228" s="231">
        <f t="shared" ca="1" si="196"/>
        <v>10690.05428768091</v>
      </c>
      <c r="AC228" s="231">
        <f t="shared" ca="1" si="197"/>
        <v>57513.538085691565</v>
      </c>
      <c r="AD228" s="231">
        <f t="shared" ca="1" si="198"/>
        <v>1996.9978501976236</v>
      </c>
      <c r="AE228" s="231">
        <f t="shared" ca="1" si="166"/>
        <v>10307.49803823362</v>
      </c>
      <c r="AF228" s="231">
        <f t="shared" ca="1" si="167"/>
        <v>80577.974008281119</v>
      </c>
      <c r="AG228" s="232">
        <f t="shared" ca="1" si="168"/>
        <v>184066.94165911194</v>
      </c>
      <c r="AH228" s="244">
        <f t="shared" ca="1" si="199"/>
        <v>0.50309429809027684</v>
      </c>
      <c r="AI228" s="243">
        <f t="shared" ca="1" si="200"/>
        <v>3.2521721540970616</v>
      </c>
      <c r="AJ228" s="242">
        <f t="shared" ca="1" si="201"/>
        <v>3.7552664521873385</v>
      </c>
      <c r="AK228" s="241">
        <f t="shared" ca="1" si="202"/>
        <v>0.36222789462499932</v>
      </c>
      <c r="AL228" s="243">
        <f t="shared" ca="1" si="203"/>
        <v>1.4407122642649983</v>
      </c>
      <c r="AM228" s="243"/>
      <c r="AN228" s="242">
        <f t="shared" ca="1" si="169"/>
        <v>1.8029401588899976</v>
      </c>
      <c r="AO228" s="224"/>
      <c r="AP228" s="235">
        <f t="shared" si="204"/>
        <v>17.076923076923077</v>
      </c>
      <c r="AQ228" s="235">
        <f t="shared" si="170"/>
        <v>0.60364235003965483</v>
      </c>
      <c r="AR228" s="235">
        <f t="shared" si="171"/>
        <v>0.77549659252845815</v>
      </c>
      <c r="AT228" s="230">
        <f t="shared" ca="1" si="172"/>
        <v>59809.18825878956</v>
      </c>
      <c r="AU228" s="231">
        <f t="shared" ca="1" si="173"/>
        <v>372.36092161163543</v>
      </c>
      <c r="AV228" s="231">
        <f t="shared" ca="1" si="205"/>
        <v>610.45095328992011</v>
      </c>
      <c r="AW228" s="231"/>
      <c r="AX228" s="231">
        <f t="shared" ca="1" si="206"/>
        <v>1491.8431130970737</v>
      </c>
      <c r="AY228" s="231">
        <f t="shared" ca="1" si="207"/>
        <v>186.48038913713421</v>
      </c>
      <c r="AZ228" s="231"/>
      <c r="BA228" s="232">
        <f t="shared" ca="1" si="174"/>
        <v>62470.323635925321</v>
      </c>
      <c r="BB228" s="231">
        <f t="shared" ca="1" si="175"/>
        <v>42.185996237893001</v>
      </c>
      <c r="BC228" s="231">
        <f t="shared" ca="1" si="208"/>
        <v>6452.9694922671933</v>
      </c>
      <c r="BD228" s="231">
        <f t="shared" ca="1" si="209"/>
        <v>34717.607289142048</v>
      </c>
      <c r="BE228" s="231">
        <f t="shared" ca="1" si="210"/>
        <v>1205.4724753174321</v>
      </c>
      <c r="BF228" s="231">
        <f t="shared" ca="1" si="176"/>
        <v>6222.0423388284744</v>
      </c>
      <c r="BG228" s="231">
        <f t="shared" ca="1" si="177"/>
        <v>48640.277591793041</v>
      </c>
      <c r="BH228" s="232">
        <f t="shared" ca="1" si="178"/>
        <v>111110.60122771838</v>
      </c>
      <c r="BI228" s="244">
        <f t="shared" ca="1" si="211"/>
        <v>0.39014791388950609</v>
      </c>
      <c r="BJ228" s="243">
        <f t="shared" ca="1" si="212"/>
        <v>2.522048423818207</v>
      </c>
      <c r="BK228" s="242">
        <f t="shared" ca="1" si="213"/>
        <v>2.9121963377077131</v>
      </c>
      <c r="BL228" s="241">
        <f t="shared" ca="1" si="214"/>
        <v>0.28090649800044437</v>
      </c>
      <c r="BM228" s="243">
        <f t="shared" ca="1" si="215"/>
        <v>1.1172674517514658</v>
      </c>
      <c r="BN228" s="243">
        <f t="shared" si="179"/>
        <v>0</v>
      </c>
      <c r="BO228" s="242">
        <f t="shared" ca="1" si="180"/>
        <v>1.3981739497519101</v>
      </c>
      <c r="BP228" s="67"/>
      <c r="BQ228" s="67"/>
      <c r="BR228" s="67"/>
      <c r="BS228" s="67"/>
      <c r="BT228" s="67"/>
      <c r="BU228" s="67"/>
      <c r="BV228" s="67"/>
      <c r="BW228" s="67"/>
      <c r="BX228" s="67"/>
      <c r="BY228" s="67"/>
      <c r="BZ228" s="67"/>
      <c r="CA228" s="67"/>
      <c r="CB228" s="67"/>
    </row>
    <row r="229" spans="1:80" ht="12" customHeight="1" x14ac:dyDescent="0.15">
      <c r="A229" s="213">
        <f t="shared" si="181"/>
        <v>223</v>
      </c>
      <c r="B229" s="67">
        <f t="shared" si="182"/>
        <v>892</v>
      </c>
      <c r="C229" s="224">
        <f t="shared" si="183"/>
        <v>205.84615384615384</v>
      </c>
      <c r="D229" s="225">
        <f ca="1">IFERROR(OFFSET(extrapolation!P238,0,OS_dist_choice-1,1,1),0)</f>
        <v>4.8450558461366776E-2</v>
      </c>
      <c r="E229" s="225">
        <f ca="1">IFERROR(OFFSET(extrapolation!D238,0,PFS_dist_choice-1,1,1),0)</f>
        <v>6.4111088035008201E-3</v>
      </c>
      <c r="F229" s="214"/>
      <c r="G229" s="226">
        <f t="shared" ca="1" si="184"/>
        <v>6.4111088035008201</v>
      </c>
      <c r="H229" s="224">
        <f t="shared" ca="1" si="185"/>
        <v>42.03944965786593</v>
      </c>
      <c r="I229" s="224">
        <f t="shared" ca="1" si="162"/>
        <v>951.54944153863323</v>
      </c>
      <c r="J229" s="227">
        <f t="shared" ca="1" si="163"/>
        <v>1000</v>
      </c>
      <c r="K229" s="238">
        <f t="shared" ca="1" si="186"/>
        <v>0.10045789810297912</v>
      </c>
      <c r="L229" s="239">
        <f t="shared" ca="1" si="187"/>
        <v>0.35566797737817524</v>
      </c>
      <c r="M229" s="238">
        <f t="shared" ca="1" si="188"/>
        <v>6.4613377525523097</v>
      </c>
      <c r="N229" s="238">
        <f t="shared" ca="1" si="189"/>
        <v>42.167054697503545</v>
      </c>
      <c r="O229" s="239">
        <f t="shared" ca="1" si="190"/>
        <v>951.3716075499442</v>
      </c>
      <c r="P229" s="217"/>
      <c r="Q229" s="217"/>
      <c r="R229" s="224"/>
      <c r="S229" s="230">
        <f t="shared" ca="1" si="191"/>
        <v>97551.928799667294</v>
      </c>
      <c r="T229" s="231">
        <f t="shared" ca="1" si="192"/>
        <v>607.34022932502353</v>
      </c>
      <c r="U229" s="231">
        <f t="shared" ca="1" si="193"/>
        <v>995.66199475879887</v>
      </c>
      <c r="V229" s="231"/>
      <c r="W229" s="231">
        <f t="shared" ca="1" si="194"/>
        <v>2433.236416207159</v>
      </c>
      <c r="X229" s="231">
        <f t="shared" ca="1" si="195"/>
        <v>304.15455202589487</v>
      </c>
      <c r="Y229" s="231"/>
      <c r="Z229" s="232">
        <f t="shared" ca="1" si="164"/>
        <v>101892.32199198418</v>
      </c>
      <c r="AA229" s="231">
        <f t="shared" ca="1" si="165"/>
        <v>68.669289744187338</v>
      </c>
      <c r="AB229" s="231">
        <f t="shared" ca="1" si="196"/>
        <v>10625.453077615939</v>
      </c>
      <c r="AC229" s="231">
        <f t="shared" ca="1" si="197"/>
        <v>57165.977254336838</v>
      </c>
      <c r="AD229" s="231">
        <f t="shared" ca="1" si="198"/>
        <v>1984.9297657755844</v>
      </c>
      <c r="AE229" s="231">
        <f t="shared" ca="1" si="166"/>
        <v>10190.07246366616</v>
      </c>
      <c r="AF229" s="231">
        <f t="shared" ca="1" si="167"/>
        <v>80035.101851138708</v>
      </c>
      <c r="AG229" s="232">
        <f t="shared" ca="1" si="168"/>
        <v>181927.4238431229</v>
      </c>
      <c r="AH229" s="244">
        <f t="shared" ca="1" si="199"/>
        <v>0.49532500224904769</v>
      </c>
      <c r="AI229" s="243">
        <f t="shared" ca="1" si="200"/>
        <v>3.2325189090488684</v>
      </c>
      <c r="AJ229" s="242">
        <f t="shared" ca="1" si="201"/>
        <v>3.7278439112979163</v>
      </c>
      <c r="AK229" s="241">
        <f t="shared" ca="1" si="202"/>
        <v>0.3566340016193143</v>
      </c>
      <c r="AL229" s="243">
        <f t="shared" ca="1" si="203"/>
        <v>1.4320058767086488</v>
      </c>
      <c r="AM229" s="243"/>
      <c r="AN229" s="242">
        <f t="shared" ca="1" si="169"/>
        <v>1.7886398783279631</v>
      </c>
      <c r="AO229" s="224"/>
      <c r="AP229" s="235">
        <f t="shared" si="204"/>
        <v>17.153846153846153</v>
      </c>
      <c r="AQ229" s="235">
        <f t="shared" si="170"/>
        <v>0.60227137504107986</v>
      </c>
      <c r="AR229" s="235">
        <f t="shared" si="171"/>
        <v>0.77460894183219386</v>
      </c>
      <c r="AT229" s="230">
        <f t="shared" ca="1" si="172"/>
        <v>58752.734296085138</v>
      </c>
      <c r="AU229" s="231">
        <f t="shared" ca="1" si="173"/>
        <v>365.78363503334668</v>
      </c>
      <c r="AV229" s="231">
        <f t="shared" ca="1" si="205"/>
        <v>599.65871865952624</v>
      </c>
      <c r="AW229" s="231"/>
      <c r="AX229" s="231">
        <f t="shared" ca="1" si="206"/>
        <v>1465.4686421891149</v>
      </c>
      <c r="AY229" s="231">
        <f t="shared" ca="1" si="207"/>
        <v>183.18358027363936</v>
      </c>
      <c r="AZ229" s="231"/>
      <c r="BA229" s="232">
        <f t="shared" ca="1" si="174"/>
        <v>61366.828872240774</v>
      </c>
      <c r="BB229" s="231">
        <f t="shared" ca="1" si="175"/>
        <v>41.357547557326029</v>
      </c>
      <c r="BC229" s="231">
        <f t="shared" ca="1" si="208"/>
        <v>6399.4062354902253</v>
      </c>
      <c r="BD229" s="231">
        <f t="shared" ca="1" si="209"/>
        <v>34429.431726536539</v>
      </c>
      <c r="BE229" s="231">
        <f t="shared" ca="1" si="210"/>
        <v>1195.4663793936297</v>
      </c>
      <c r="BF229" s="231">
        <f t="shared" ca="1" si="176"/>
        <v>6137.1889544604628</v>
      </c>
      <c r="BG229" s="231">
        <f t="shared" ca="1" si="177"/>
        <v>48202.850843438187</v>
      </c>
      <c r="BH229" s="232">
        <f t="shared" ca="1" si="178"/>
        <v>109569.67971567897</v>
      </c>
      <c r="BI229" s="244">
        <f t="shared" ca="1" si="211"/>
        <v>0.38368317585516387</v>
      </c>
      <c r="BJ229" s="243">
        <f t="shared" ca="1" si="212"/>
        <v>2.5039380515909015</v>
      </c>
      <c r="BK229" s="242">
        <f t="shared" ca="1" si="213"/>
        <v>2.8876212274460658</v>
      </c>
      <c r="BL229" s="241">
        <f t="shared" ca="1" si="214"/>
        <v>0.27625188661571798</v>
      </c>
      <c r="BM229" s="243">
        <f t="shared" ca="1" si="215"/>
        <v>1.1092445568547695</v>
      </c>
      <c r="BN229" s="243">
        <f t="shared" si="179"/>
        <v>0</v>
      </c>
      <c r="BO229" s="242">
        <f t="shared" ca="1" si="180"/>
        <v>1.3854964434704875</v>
      </c>
      <c r="BP229" s="67"/>
      <c r="BQ229" s="67"/>
      <c r="BR229" s="67"/>
      <c r="BS229" s="67"/>
      <c r="BT229" s="67"/>
      <c r="BU229" s="67"/>
      <c r="BV229" s="67"/>
      <c r="BW229" s="67"/>
      <c r="BX229" s="67"/>
      <c r="BY229" s="67"/>
      <c r="BZ229" s="67"/>
      <c r="CA229" s="67"/>
      <c r="CB229" s="67"/>
    </row>
    <row r="230" spans="1:80" ht="12" customHeight="1" x14ac:dyDescent="0.15">
      <c r="A230" s="213">
        <f t="shared" si="181"/>
        <v>224</v>
      </c>
      <c r="B230" s="67">
        <f t="shared" si="182"/>
        <v>896</v>
      </c>
      <c r="C230" s="224">
        <f t="shared" si="183"/>
        <v>206.76923076923077</v>
      </c>
      <c r="D230" s="225">
        <f ca="1">IFERROR(OFFSET(extrapolation!P239,0,OS_dist_choice-1,1,1),0)</f>
        <v>4.8098926193953076E-2</v>
      </c>
      <c r="E230" s="225">
        <f ca="1">IFERROR(OFFSET(extrapolation!D239,0,PFS_dist_choice-1,1,1),0)</f>
        <v>6.3123956985393637E-3</v>
      </c>
      <c r="F230" s="214"/>
      <c r="G230" s="226">
        <f t="shared" ca="1" si="184"/>
        <v>6.3123956985393637</v>
      </c>
      <c r="H230" s="224">
        <f t="shared" ca="1" si="185"/>
        <v>41.786530495413672</v>
      </c>
      <c r="I230" s="224">
        <f t="shared" ca="1" si="162"/>
        <v>951.90107380604695</v>
      </c>
      <c r="J230" s="227">
        <f t="shared" ca="1" si="163"/>
        <v>1000</v>
      </c>
      <c r="K230" s="238">
        <f t="shared" ca="1" si="186"/>
        <v>9.8713104961456466E-2</v>
      </c>
      <c r="L230" s="239">
        <f t="shared" ca="1" si="187"/>
        <v>0.35163226741372</v>
      </c>
      <c r="M230" s="238">
        <f t="shared" ca="1" si="188"/>
        <v>6.3617522510200919</v>
      </c>
      <c r="N230" s="238">
        <f t="shared" ca="1" si="189"/>
        <v>41.912990076639801</v>
      </c>
      <c r="O230" s="239">
        <f t="shared" ca="1" si="190"/>
        <v>951.72525767234015</v>
      </c>
      <c r="P230" s="217"/>
      <c r="Q230" s="217"/>
      <c r="R230" s="224"/>
      <c r="S230" s="230">
        <f t="shared" ca="1" si="191"/>
        <v>96049.902538385344</v>
      </c>
      <c r="T230" s="231">
        <f t="shared" ca="1" si="192"/>
        <v>597.98889219408318</v>
      </c>
      <c r="U230" s="231">
        <f t="shared" ca="1" si="193"/>
        <v>980.31633370502459</v>
      </c>
      <c r="V230" s="231"/>
      <c r="W230" s="231">
        <f t="shared" ca="1" si="194"/>
        <v>2395.7341096981504</v>
      </c>
      <c r="X230" s="231">
        <f t="shared" ca="1" si="195"/>
        <v>299.4667637122688</v>
      </c>
      <c r="Y230" s="231"/>
      <c r="Z230" s="232">
        <f t="shared" ca="1" si="164"/>
        <v>100323.40863769487</v>
      </c>
      <c r="AA230" s="231">
        <f t="shared" ca="1" si="165"/>
        <v>67.476613926343049</v>
      </c>
      <c r="AB230" s="231">
        <f t="shared" ca="1" si="196"/>
        <v>10561.432677636951</v>
      </c>
      <c r="AC230" s="231">
        <f t="shared" ca="1" si="197"/>
        <v>56821.541238076767</v>
      </c>
      <c r="AD230" s="231">
        <f t="shared" ca="1" si="198"/>
        <v>1972.9701818776653</v>
      </c>
      <c r="AE230" s="231">
        <f t="shared" ca="1" si="166"/>
        <v>10074.447275018907</v>
      </c>
      <c r="AF230" s="231">
        <f t="shared" ca="1" si="167"/>
        <v>79497.867986536628</v>
      </c>
      <c r="AG230" s="232">
        <f t="shared" ca="1" si="168"/>
        <v>179821.27662423148</v>
      </c>
      <c r="AH230" s="244">
        <f t="shared" ca="1" si="199"/>
        <v>0.48769079542385374</v>
      </c>
      <c r="AI230" s="243">
        <f t="shared" ca="1" si="200"/>
        <v>3.2130423604268703</v>
      </c>
      <c r="AJ230" s="242">
        <f t="shared" ca="1" si="201"/>
        <v>3.7007331558507239</v>
      </c>
      <c r="AK230" s="241">
        <f t="shared" ca="1" si="202"/>
        <v>0.3511373727051747</v>
      </c>
      <c r="AL230" s="243">
        <f t="shared" ca="1" si="203"/>
        <v>1.4233777656691036</v>
      </c>
      <c r="AM230" s="243"/>
      <c r="AN230" s="242">
        <f t="shared" ca="1" si="169"/>
        <v>1.7745151383742783</v>
      </c>
      <c r="AO230" s="224"/>
      <c r="AP230" s="235">
        <f t="shared" si="204"/>
        <v>17.23076923076923</v>
      </c>
      <c r="AQ230" s="235">
        <f t="shared" si="170"/>
        <v>0.60090351376116069</v>
      </c>
      <c r="AR230" s="235">
        <f t="shared" si="171"/>
        <v>0.77372230716071455</v>
      </c>
      <c r="AT230" s="230">
        <f t="shared" ca="1" si="172"/>
        <v>57716.723931732784</v>
      </c>
      <c r="AU230" s="231">
        <f t="shared" ca="1" si="173"/>
        <v>359.33362650956849</v>
      </c>
      <c r="AV230" s="231">
        <f t="shared" ca="1" si="205"/>
        <v>589.07552952080789</v>
      </c>
      <c r="AW230" s="231"/>
      <c r="AX230" s="231">
        <f t="shared" ca="1" si="206"/>
        <v>1439.6050445550845</v>
      </c>
      <c r="AY230" s="231">
        <f t="shared" ca="1" si="207"/>
        <v>179.95063056938557</v>
      </c>
      <c r="AZ230" s="231"/>
      <c r="BA230" s="232">
        <f t="shared" ca="1" si="174"/>
        <v>60284.688762887628</v>
      </c>
      <c r="BB230" s="231">
        <f t="shared" ca="1" si="175"/>
        <v>40.546934405044809</v>
      </c>
      <c r="BC230" s="231">
        <f t="shared" ca="1" si="208"/>
        <v>6346.4020063439875</v>
      </c>
      <c r="BD230" s="231">
        <f t="shared" ca="1" si="209"/>
        <v>34144.263787285025</v>
      </c>
      <c r="BE230" s="231">
        <f t="shared" ca="1" si="210"/>
        <v>1185.5647148362852</v>
      </c>
      <c r="BF230" s="231">
        <f t="shared" ca="1" si="176"/>
        <v>6053.7707667604118</v>
      </c>
      <c r="BG230" s="231">
        <f t="shared" ca="1" si="177"/>
        <v>47770.548209630746</v>
      </c>
      <c r="BH230" s="232">
        <f t="shared" ca="1" si="178"/>
        <v>108055.23697251837</v>
      </c>
      <c r="BI230" s="244">
        <f t="shared" ca="1" si="211"/>
        <v>0.37733724741638819</v>
      </c>
      <c r="BJ230" s="243">
        <f t="shared" ca="1" si="212"/>
        <v>2.4860025481145862</v>
      </c>
      <c r="BK230" s="242">
        <f t="shared" ca="1" si="213"/>
        <v>2.8633397955309743</v>
      </c>
      <c r="BL230" s="241">
        <f t="shared" ca="1" si="214"/>
        <v>0.2716828181397995</v>
      </c>
      <c r="BM230" s="243">
        <f t="shared" ca="1" si="215"/>
        <v>1.1012991288147618</v>
      </c>
      <c r="BN230" s="243">
        <f t="shared" si="179"/>
        <v>0</v>
      </c>
      <c r="BO230" s="242">
        <f t="shared" ca="1" si="180"/>
        <v>1.3729819469545612</v>
      </c>
      <c r="BP230" s="67"/>
      <c r="BQ230" s="67"/>
      <c r="BR230" s="67"/>
      <c r="BS230" s="67"/>
      <c r="BT230" s="67"/>
      <c r="BU230" s="67"/>
      <c r="BV230" s="67"/>
      <c r="BW230" s="67"/>
      <c r="BX230" s="67"/>
      <c r="BY230" s="67"/>
      <c r="BZ230" s="67"/>
      <c r="CA230" s="67"/>
      <c r="CB230" s="67"/>
    </row>
    <row r="231" spans="1:80" ht="12" customHeight="1" x14ac:dyDescent="0.15">
      <c r="A231" s="213">
        <f t="shared" si="181"/>
        <v>225</v>
      </c>
      <c r="B231" s="67">
        <f t="shared" si="182"/>
        <v>900</v>
      </c>
      <c r="C231" s="224">
        <f t="shared" si="183"/>
        <v>207.69230769230768</v>
      </c>
      <c r="D231" s="225">
        <f ca="1">IFERROR(OFFSET(extrapolation!P240,0,OS_dist_choice-1,1,1),0)</f>
        <v>4.7751267999678569E-2</v>
      </c>
      <c r="E231" s="225">
        <f ca="1">IFERROR(OFFSET(extrapolation!D240,0,PFS_dist_choice-1,1,1),0)</f>
        <v>6.2153933582218546E-3</v>
      </c>
      <c r="F231" s="214"/>
      <c r="G231" s="226">
        <f t="shared" ca="1" si="184"/>
        <v>6.2153933582218546</v>
      </c>
      <c r="H231" s="224">
        <f t="shared" ca="1" si="185"/>
        <v>41.535874641456758</v>
      </c>
      <c r="I231" s="224">
        <f t="shared" ca="1" si="162"/>
        <v>952.24873200032141</v>
      </c>
      <c r="J231" s="227">
        <f t="shared" ca="1" si="163"/>
        <v>1000</v>
      </c>
      <c r="K231" s="238">
        <f t="shared" ca="1" si="186"/>
        <v>9.7002340317509095E-2</v>
      </c>
      <c r="L231" s="239">
        <f t="shared" ca="1" si="187"/>
        <v>0.34765819427445876</v>
      </c>
      <c r="M231" s="238">
        <f t="shared" ca="1" si="188"/>
        <v>6.2638945283806091</v>
      </c>
      <c r="N231" s="238">
        <f t="shared" ca="1" si="189"/>
        <v>41.661202568435215</v>
      </c>
      <c r="O231" s="239">
        <f t="shared" ca="1" si="190"/>
        <v>952.07490290318424</v>
      </c>
      <c r="P231" s="217"/>
      <c r="Q231" s="217"/>
      <c r="R231" s="224"/>
      <c r="S231" s="230">
        <f t="shared" ca="1" si="191"/>
        <v>94573.907404612619</v>
      </c>
      <c r="T231" s="231">
        <f t="shared" ca="1" si="192"/>
        <v>588.79962003864409</v>
      </c>
      <c r="U231" s="231">
        <f t="shared" ca="1" si="193"/>
        <v>965.2369153156526</v>
      </c>
      <c r="V231" s="231"/>
      <c r="W231" s="231">
        <f t="shared" ca="1" si="194"/>
        <v>2358.8824570756833</v>
      </c>
      <c r="X231" s="231">
        <f t="shared" ca="1" si="195"/>
        <v>294.86030713446041</v>
      </c>
      <c r="Y231" s="231"/>
      <c r="Z231" s="232">
        <f t="shared" ca="1" si="164"/>
        <v>98781.686704177046</v>
      </c>
      <c r="AA231" s="231">
        <f t="shared" ca="1" si="165"/>
        <v>66.307198726167272</v>
      </c>
      <c r="AB231" s="231">
        <f t="shared" ca="1" si="196"/>
        <v>10497.986075232538</v>
      </c>
      <c r="AC231" s="231">
        <f t="shared" ca="1" si="197"/>
        <v>56480.192308913793</v>
      </c>
      <c r="AD231" s="231">
        <f t="shared" ca="1" si="198"/>
        <v>1961.1177885039508</v>
      </c>
      <c r="AE231" s="231">
        <f t="shared" ca="1" si="166"/>
        <v>9960.5880134584477</v>
      </c>
      <c r="AF231" s="231">
        <f t="shared" ca="1" si="167"/>
        <v>78966.191384834892</v>
      </c>
      <c r="AG231" s="232">
        <f t="shared" ca="1" si="168"/>
        <v>177747.87808901194</v>
      </c>
      <c r="AH231" s="244">
        <f t="shared" ca="1" si="199"/>
        <v>0.48018903982110073</v>
      </c>
      <c r="AI231" s="243">
        <f t="shared" ca="1" si="200"/>
        <v>3.1937403748560875</v>
      </c>
      <c r="AJ231" s="242">
        <f t="shared" ca="1" si="201"/>
        <v>3.6739294146771884</v>
      </c>
      <c r="AK231" s="241">
        <f t="shared" ca="1" si="202"/>
        <v>0.34573610867119253</v>
      </c>
      <c r="AL231" s="243">
        <f t="shared" ca="1" si="203"/>
        <v>1.4148269860612468</v>
      </c>
      <c r="AM231" s="243"/>
      <c r="AN231" s="242">
        <f t="shared" ca="1" si="169"/>
        <v>1.7605630947324393</v>
      </c>
      <c r="AO231" s="224"/>
      <c r="AP231" s="235">
        <f t="shared" si="204"/>
        <v>17.307692307692307</v>
      </c>
      <c r="AQ231" s="235">
        <f t="shared" si="170"/>
        <v>0.59953875912810972</v>
      </c>
      <c r="AR231" s="235">
        <f t="shared" si="171"/>
        <v>0.77283668735105548</v>
      </c>
      <c r="AT231" s="230">
        <f t="shared" ca="1" si="172"/>
        <v>56700.723091258194</v>
      </c>
      <c r="AU231" s="231">
        <f t="shared" ca="1" si="173"/>
        <v>353.00819357307114</v>
      </c>
      <c r="AV231" s="231">
        <f t="shared" ca="1" si="205"/>
        <v>578.69694247299071</v>
      </c>
      <c r="AW231" s="231"/>
      <c r="AX231" s="231">
        <f t="shared" ca="1" si="206"/>
        <v>1414.2414612442217</v>
      </c>
      <c r="AY231" s="231">
        <f t="shared" ca="1" si="207"/>
        <v>176.78018265552771</v>
      </c>
      <c r="AZ231" s="231"/>
      <c r="BA231" s="232">
        <f t="shared" ca="1" si="174"/>
        <v>59223.449871204</v>
      </c>
      <c r="BB231" s="231">
        <f t="shared" ca="1" si="175"/>
        <v>39.753735645547302</v>
      </c>
      <c r="BC231" s="231">
        <f t="shared" ca="1" si="208"/>
        <v>6293.9495448890912</v>
      </c>
      <c r="BD231" s="231">
        <f t="shared" ca="1" si="209"/>
        <v>33862.064412203181</v>
      </c>
      <c r="BE231" s="231">
        <f t="shared" ca="1" si="210"/>
        <v>1175.7661254237214</v>
      </c>
      <c r="BF231" s="231">
        <f t="shared" ca="1" si="176"/>
        <v>5971.758577775201</v>
      </c>
      <c r="BG231" s="231">
        <f t="shared" ca="1" si="177"/>
        <v>47343.29239593674</v>
      </c>
      <c r="BH231" s="232">
        <f t="shared" ca="1" si="178"/>
        <v>106566.74226714074</v>
      </c>
      <c r="BI231" s="244">
        <f t="shared" ca="1" si="211"/>
        <v>0.37110770683762356</v>
      </c>
      <c r="BJ231" s="243">
        <f t="shared" ca="1" si="212"/>
        <v>2.4682397315630968</v>
      </c>
      <c r="BK231" s="242">
        <f t="shared" ca="1" si="213"/>
        <v>2.8393474384007207</v>
      </c>
      <c r="BL231" s="241">
        <f t="shared" ca="1" si="214"/>
        <v>0.26719754892308895</v>
      </c>
      <c r="BM231" s="243">
        <f t="shared" ca="1" si="215"/>
        <v>1.0934302010824519</v>
      </c>
      <c r="BN231" s="243">
        <f t="shared" si="179"/>
        <v>0</v>
      </c>
      <c r="BO231" s="242">
        <f t="shared" ca="1" si="180"/>
        <v>1.3606277500055408</v>
      </c>
      <c r="BP231" s="67"/>
      <c r="BQ231" s="67"/>
      <c r="BR231" s="67"/>
      <c r="BS231" s="67"/>
      <c r="BT231" s="67"/>
      <c r="BU231" s="67"/>
      <c r="BV231" s="67"/>
      <c r="BW231" s="67"/>
      <c r="BX231" s="67"/>
      <c r="BY231" s="67"/>
      <c r="BZ231" s="67"/>
      <c r="CA231" s="67"/>
      <c r="CB231" s="67"/>
    </row>
    <row r="232" spans="1:80" ht="12" customHeight="1" x14ac:dyDescent="0.15">
      <c r="A232" s="213">
        <f t="shared" si="181"/>
        <v>226</v>
      </c>
      <c r="B232" s="67">
        <f t="shared" si="182"/>
        <v>904</v>
      </c>
      <c r="C232" s="224">
        <f t="shared" si="183"/>
        <v>208.61538461538458</v>
      </c>
      <c r="D232" s="225">
        <f ca="1">IFERROR(OFFSET(extrapolation!P241,0,OS_dist_choice-1,1,1),0)</f>
        <v>4.7407523417010239E-2</v>
      </c>
      <c r="E232" s="225">
        <f ca="1">IFERROR(OFFSET(extrapolation!D241,0,PFS_dist_choice-1,1,1),0)</f>
        <v>6.1200684966482566E-3</v>
      </c>
      <c r="F232" s="214"/>
      <c r="G232" s="226">
        <f t="shared" ca="1" si="184"/>
        <v>6.1200684966482566</v>
      </c>
      <c r="H232" s="224">
        <f t="shared" ca="1" si="185"/>
        <v>41.287454920361938</v>
      </c>
      <c r="I232" s="224">
        <f t="shared" ca="1" si="162"/>
        <v>952.59247658298978</v>
      </c>
      <c r="J232" s="227">
        <f t="shared" ca="1" si="163"/>
        <v>1000</v>
      </c>
      <c r="K232" s="238">
        <f t="shared" ca="1" si="186"/>
        <v>9.5324861573597985E-2</v>
      </c>
      <c r="L232" s="239">
        <f t="shared" ca="1" si="187"/>
        <v>0.34374458266836427</v>
      </c>
      <c r="M232" s="238">
        <f t="shared" ca="1" si="188"/>
        <v>6.1677309274350556</v>
      </c>
      <c r="N232" s="238">
        <f t="shared" ca="1" si="189"/>
        <v>41.411664780909348</v>
      </c>
      <c r="O232" s="239">
        <f t="shared" ca="1" si="190"/>
        <v>952.42060429165554</v>
      </c>
      <c r="P232" s="217"/>
      <c r="Q232" s="217"/>
      <c r="R232" s="224"/>
      <c r="S232" s="230">
        <f t="shared" ca="1" si="191"/>
        <v>93123.436917512488</v>
      </c>
      <c r="T232" s="231">
        <f t="shared" ca="1" si="192"/>
        <v>579.76925960288429</v>
      </c>
      <c r="U232" s="231">
        <f t="shared" ca="1" si="193"/>
        <v>950.4185531734139</v>
      </c>
      <c r="V232" s="231"/>
      <c r="W232" s="231">
        <f t="shared" ca="1" si="194"/>
        <v>2322.6687835772032</v>
      </c>
      <c r="X232" s="231">
        <f t="shared" ca="1" si="195"/>
        <v>290.33359794715039</v>
      </c>
      <c r="Y232" s="231"/>
      <c r="Z232" s="232">
        <f t="shared" ca="1" si="164"/>
        <v>97266.627111813126</v>
      </c>
      <c r="AA232" s="231">
        <f t="shared" ca="1" si="165"/>
        <v>65.16053653155052</v>
      </c>
      <c r="AB232" s="231">
        <f t="shared" ca="1" si="196"/>
        <v>10435.106368042432</v>
      </c>
      <c r="AC232" s="231">
        <f t="shared" ca="1" si="197"/>
        <v>56141.893331474283</v>
      </c>
      <c r="AD232" s="231">
        <f t="shared" ca="1" si="198"/>
        <v>1949.3712962317456</v>
      </c>
      <c r="AE232" s="231">
        <f t="shared" ca="1" si="166"/>
        <v>9848.4610062571664</v>
      </c>
      <c r="AF232" s="231">
        <f t="shared" ca="1" si="167"/>
        <v>78439.99253853719</v>
      </c>
      <c r="AG232" s="232">
        <f t="shared" ca="1" si="168"/>
        <v>175706.6196503503</v>
      </c>
      <c r="AH232" s="244">
        <f t="shared" ca="1" si="199"/>
        <v>0.472817155285918</v>
      </c>
      <c r="AI232" s="243">
        <f t="shared" ca="1" si="200"/>
        <v>3.1746108524721746</v>
      </c>
      <c r="AJ232" s="242">
        <f t="shared" ca="1" si="201"/>
        <v>3.6474280077580925</v>
      </c>
      <c r="AK232" s="241">
        <f t="shared" ca="1" si="202"/>
        <v>0.34042835180586095</v>
      </c>
      <c r="AL232" s="243">
        <f t="shared" ca="1" si="203"/>
        <v>1.4063526076451733</v>
      </c>
      <c r="AM232" s="243"/>
      <c r="AN232" s="242">
        <f t="shared" ca="1" si="169"/>
        <v>1.7467809594510344</v>
      </c>
      <c r="AO232" s="224"/>
      <c r="AP232" s="235">
        <f t="shared" si="204"/>
        <v>17.384615384615383</v>
      </c>
      <c r="AQ232" s="235">
        <f t="shared" si="170"/>
        <v>0.59817710408620073</v>
      </c>
      <c r="AR232" s="235">
        <f t="shared" si="171"/>
        <v>0.77195208124158299</v>
      </c>
      <c r="AT232" s="230">
        <f t="shared" ca="1" si="172"/>
        <v>55704.307817871617</v>
      </c>
      <c r="AU232" s="231">
        <f t="shared" ca="1" si="173"/>
        <v>346.80469674745405</v>
      </c>
      <c r="AV232" s="231">
        <f t="shared" ca="1" si="205"/>
        <v>568.51861780706952</v>
      </c>
      <c r="AW232" s="231"/>
      <c r="AX232" s="231">
        <f t="shared" ca="1" si="206"/>
        <v>1389.36728671163</v>
      </c>
      <c r="AY232" s="231">
        <f t="shared" ca="1" si="207"/>
        <v>173.67091083895374</v>
      </c>
      <c r="AZ232" s="231"/>
      <c r="BA232" s="232">
        <f t="shared" ca="1" si="174"/>
        <v>58182.669329976714</v>
      </c>
      <c r="BB232" s="231">
        <f t="shared" ca="1" si="175"/>
        <v>38.977541043145983</v>
      </c>
      <c r="BC232" s="231">
        <f t="shared" ca="1" si="208"/>
        <v>6242.0417080670941</v>
      </c>
      <c r="BD232" s="231">
        <f t="shared" ca="1" si="209"/>
        <v>33582.795170937672</v>
      </c>
      <c r="BE232" s="231">
        <f t="shared" ca="1" si="210"/>
        <v>1166.0692767686689</v>
      </c>
      <c r="BF232" s="231">
        <f t="shared" ca="1" si="176"/>
        <v>5891.1238844287818</v>
      </c>
      <c r="BG232" s="231">
        <f t="shared" ca="1" si="177"/>
        <v>46921.007581245372</v>
      </c>
      <c r="BH232" s="232">
        <f t="shared" ca="1" si="178"/>
        <v>105103.67691122208</v>
      </c>
      <c r="BI232" s="244">
        <f t="shared" ca="1" si="211"/>
        <v>0.36499218706968911</v>
      </c>
      <c r="BJ232" s="243">
        <f t="shared" ca="1" si="212"/>
        <v>2.4506474546980113</v>
      </c>
      <c r="BK232" s="242">
        <f t="shared" ca="1" si="213"/>
        <v>2.8156396417677003</v>
      </c>
      <c r="BL232" s="241">
        <f t="shared" ca="1" si="214"/>
        <v>0.26279437469017619</v>
      </c>
      <c r="BM232" s="243">
        <f t="shared" ca="1" si="215"/>
        <v>1.085636822431219</v>
      </c>
      <c r="BN232" s="243">
        <f t="shared" si="179"/>
        <v>0</v>
      </c>
      <c r="BO232" s="242">
        <f t="shared" ca="1" si="180"/>
        <v>1.3484311971213951</v>
      </c>
      <c r="BP232" s="67"/>
      <c r="BQ232" s="67"/>
      <c r="BR232" s="67"/>
      <c r="BS232" s="67"/>
      <c r="BT232" s="67"/>
      <c r="BU232" s="67"/>
      <c r="BV232" s="67"/>
      <c r="BW232" s="67"/>
      <c r="BX232" s="67"/>
      <c r="BY232" s="67"/>
      <c r="BZ232" s="67"/>
      <c r="CA232" s="67"/>
      <c r="CB232" s="67"/>
    </row>
    <row r="233" spans="1:80" ht="12" customHeight="1" x14ac:dyDescent="0.15">
      <c r="A233" s="213">
        <f t="shared" si="181"/>
        <v>227</v>
      </c>
      <c r="B233" s="67">
        <f t="shared" si="182"/>
        <v>908</v>
      </c>
      <c r="C233" s="224">
        <f t="shared" si="183"/>
        <v>209.53846153846152</v>
      </c>
      <c r="D233" s="225">
        <f ca="1">IFERROR(OFFSET(extrapolation!P242,0,OS_dist_choice-1,1,1),0)</f>
        <v>4.7067633132992816E-2</v>
      </c>
      <c r="E233" s="225">
        <f ca="1">IFERROR(OFFSET(extrapolation!D242,0,PFS_dist_choice-1,1,1),0)</f>
        <v>6.0263885524602934E-3</v>
      </c>
      <c r="F233" s="214"/>
      <c r="G233" s="226">
        <f t="shared" ca="1" si="184"/>
        <v>6.0263885524602934</v>
      </c>
      <c r="H233" s="224">
        <f t="shared" ca="1" si="185"/>
        <v>41.041244580532521</v>
      </c>
      <c r="I233" s="224">
        <f t="shared" ca="1" si="162"/>
        <v>952.9323668670072</v>
      </c>
      <c r="J233" s="227">
        <f t="shared" ca="1" si="163"/>
        <v>1000</v>
      </c>
      <c r="K233" s="238">
        <f t="shared" ca="1" si="186"/>
        <v>9.3679944187963216E-2</v>
      </c>
      <c r="L233" s="239">
        <f t="shared" ca="1" si="187"/>
        <v>0.33989028401742871</v>
      </c>
      <c r="M233" s="238">
        <f t="shared" ca="1" si="188"/>
        <v>6.073228524554275</v>
      </c>
      <c r="N233" s="238">
        <f t="shared" ca="1" si="189"/>
        <v>41.164349750447229</v>
      </c>
      <c r="O233" s="239">
        <f t="shared" ca="1" si="190"/>
        <v>952.76242172499849</v>
      </c>
      <c r="P233" s="217"/>
      <c r="Q233" s="217"/>
      <c r="R233" s="224"/>
      <c r="S233" s="230">
        <f t="shared" ca="1" si="191"/>
        <v>91697.995620931964</v>
      </c>
      <c r="T233" s="231">
        <f t="shared" ca="1" si="192"/>
        <v>570.89472626861857</v>
      </c>
      <c r="U233" s="231">
        <f t="shared" ca="1" si="193"/>
        <v>935.8561739006991</v>
      </c>
      <c r="V233" s="231"/>
      <c r="W233" s="231">
        <f t="shared" ca="1" si="194"/>
        <v>2287.0806906907469</v>
      </c>
      <c r="X233" s="231">
        <f t="shared" ca="1" si="195"/>
        <v>285.88508633634336</v>
      </c>
      <c r="Y233" s="231"/>
      <c r="Z233" s="232">
        <f t="shared" ca="1" si="164"/>
        <v>95777.712298128376</v>
      </c>
      <c r="AA233" s="231">
        <f t="shared" ca="1" si="165"/>
        <v>64.036132072643611</v>
      </c>
      <c r="AB233" s="231">
        <f t="shared" ca="1" si="196"/>
        <v>10372.786761647918</v>
      </c>
      <c r="AC233" s="231">
        <f t="shared" ca="1" si="197"/>
        <v>55806.607751120719</v>
      </c>
      <c r="AD233" s="231">
        <f t="shared" ca="1" si="198"/>
        <v>1937.7294358028025</v>
      </c>
      <c r="AE233" s="231">
        <f t="shared" ca="1" si="166"/>
        <v>9738.033346057995</v>
      </c>
      <c r="AF233" s="231">
        <f t="shared" ca="1" si="167"/>
        <v>77919.193426702084</v>
      </c>
      <c r="AG233" s="232">
        <f t="shared" ca="1" si="168"/>
        <v>173696.90572483046</v>
      </c>
      <c r="AH233" s="244">
        <f t="shared" ca="1" si="199"/>
        <v>0.46557261789875348</v>
      </c>
      <c r="AI233" s="243">
        <f t="shared" ca="1" si="200"/>
        <v>3.1556517262492059</v>
      </c>
      <c r="AJ233" s="242">
        <f t="shared" ca="1" si="201"/>
        <v>3.6212243441479592</v>
      </c>
      <c r="AK233" s="241">
        <f t="shared" ca="1" si="202"/>
        <v>0.33521228488710247</v>
      </c>
      <c r="AL233" s="243">
        <f t="shared" ca="1" si="203"/>
        <v>1.3979537147283982</v>
      </c>
      <c r="AM233" s="243"/>
      <c r="AN233" s="242">
        <f t="shared" ca="1" si="169"/>
        <v>1.7331659996155007</v>
      </c>
      <c r="AO233" s="224"/>
      <c r="AP233" s="235">
        <f t="shared" si="204"/>
        <v>17.46153846153846</v>
      </c>
      <c r="AQ233" s="235">
        <f t="shared" si="170"/>
        <v>0.59681854159573222</v>
      </c>
      <c r="AR233" s="235">
        <f t="shared" si="171"/>
        <v>0.77106848767199343</v>
      </c>
      <c r="AT233" s="230">
        <f t="shared" ca="1" si="172"/>
        <v>54727.064013736453</v>
      </c>
      <c r="AU233" s="231">
        <f t="shared" ca="1" si="173"/>
        <v>340.72055793633172</v>
      </c>
      <c r="AV233" s="231">
        <f t="shared" ca="1" si="205"/>
        <v>558.53631685077721</v>
      </c>
      <c r="AW233" s="231"/>
      <c r="AX233" s="231">
        <f t="shared" ca="1" si="206"/>
        <v>1364.9721623298115</v>
      </c>
      <c r="AY233" s="231">
        <f t="shared" ca="1" si="207"/>
        <v>170.62152029122643</v>
      </c>
      <c r="AZ233" s="231"/>
      <c r="BA233" s="232">
        <f t="shared" ca="1" si="174"/>
        <v>57161.914571144604</v>
      </c>
      <c r="BB233" s="231">
        <f t="shared" ca="1" si="175"/>
        <v>38.21795095302685</v>
      </c>
      <c r="BC233" s="231">
        <f t="shared" ca="1" si="208"/>
        <v>6190.6714673702281</v>
      </c>
      <c r="BD233" s="231">
        <f t="shared" ca="1" si="209"/>
        <v>33306.418249428956</v>
      </c>
      <c r="BE233" s="231">
        <f t="shared" ca="1" si="210"/>
        <v>1156.4728558829497</v>
      </c>
      <c r="BF233" s="231">
        <f t="shared" ca="1" si="176"/>
        <v>5811.8388596049408</v>
      </c>
      <c r="BG233" s="231">
        <f t="shared" ca="1" si="177"/>
        <v>46503.619383240104</v>
      </c>
      <c r="BH233" s="232">
        <f t="shared" ca="1" si="178"/>
        <v>103665.53395438471</v>
      </c>
      <c r="BI233" s="244">
        <f t="shared" ca="1" si="211"/>
        <v>0.35898837438468273</v>
      </c>
      <c r="BJ233" s="243">
        <f t="shared" ca="1" si="212"/>
        <v>2.4332236041784907</v>
      </c>
      <c r="BK233" s="242">
        <f t="shared" ca="1" si="213"/>
        <v>2.7922119785631732</v>
      </c>
      <c r="BL233" s="241">
        <f t="shared" ca="1" si="214"/>
        <v>0.2584716295569715</v>
      </c>
      <c r="BM233" s="243">
        <f t="shared" ca="1" si="215"/>
        <v>1.0779180566510713</v>
      </c>
      <c r="BN233" s="243">
        <f t="shared" si="179"/>
        <v>0</v>
      </c>
      <c r="BO233" s="242">
        <f t="shared" ca="1" si="180"/>
        <v>1.3363896862080429</v>
      </c>
      <c r="BP233" s="67"/>
      <c r="BQ233" s="67"/>
      <c r="BR233" s="67"/>
      <c r="BS233" s="67"/>
      <c r="BT233" s="67"/>
      <c r="BU233" s="67"/>
      <c r="BV233" s="67"/>
      <c r="BW233" s="67"/>
      <c r="BX233" s="67"/>
      <c r="BY233" s="67"/>
      <c r="BZ233" s="67"/>
      <c r="CA233" s="67"/>
      <c r="CB233" s="67"/>
    </row>
    <row r="234" spans="1:80" ht="12" customHeight="1" x14ac:dyDescent="0.15">
      <c r="A234" s="213">
        <f t="shared" si="181"/>
        <v>228</v>
      </c>
      <c r="B234" s="67">
        <f t="shared" si="182"/>
        <v>912</v>
      </c>
      <c r="C234" s="224">
        <f t="shared" si="183"/>
        <v>210.46153846153848</v>
      </c>
      <c r="D234" s="225">
        <f ca="1">IFERROR(OFFSET(extrapolation!P243,0,OS_dist_choice-1,1,1),0)</f>
        <v>4.6731538957235773E-2</v>
      </c>
      <c r="E234" s="225">
        <f ca="1">IFERROR(OFFSET(extrapolation!D243,0,PFS_dist_choice-1,1,1),0)</f>
        <v>5.9343216712705038E-3</v>
      </c>
      <c r="F234" s="214"/>
      <c r="G234" s="226">
        <f t="shared" ca="1" si="184"/>
        <v>5.9343216712705038</v>
      </c>
      <c r="H234" s="224">
        <f t="shared" ca="1" si="185"/>
        <v>40.797217285965303</v>
      </c>
      <c r="I234" s="224">
        <f t="shared" ca="1" si="162"/>
        <v>953.26846104276422</v>
      </c>
      <c r="J234" s="227">
        <f t="shared" ca="1" si="163"/>
        <v>1000</v>
      </c>
      <c r="K234" s="238">
        <f t="shared" ca="1" si="186"/>
        <v>9.2066881189789562E-2</v>
      </c>
      <c r="L234" s="239">
        <f t="shared" ca="1" si="187"/>
        <v>0.33609417575701173</v>
      </c>
      <c r="M234" s="238">
        <f t="shared" ca="1" si="188"/>
        <v>5.9803551118653981</v>
      </c>
      <c r="N234" s="238">
        <f t="shared" ca="1" si="189"/>
        <v>40.919230933248912</v>
      </c>
      <c r="O234" s="239">
        <f t="shared" ca="1" si="190"/>
        <v>953.10041395488565</v>
      </c>
      <c r="P234" s="217"/>
      <c r="Q234" s="217"/>
      <c r="R234" s="224"/>
      <c r="S234" s="230">
        <f t="shared" ca="1" si="191"/>
        <v>90297.098816040816</v>
      </c>
      <c r="T234" s="231">
        <f t="shared" ca="1" si="192"/>
        <v>562.17300239075928</v>
      </c>
      <c r="U234" s="231">
        <f t="shared" ca="1" si="193"/>
        <v>921.54481441460234</v>
      </c>
      <c r="V234" s="231"/>
      <c r="W234" s="231">
        <f t="shared" ca="1" si="194"/>
        <v>2252.1060494467192</v>
      </c>
      <c r="X234" s="231">
        <f t="shared" ca="1" si="195"/>
        <v>281.5132561808399</v>
      </c>
      <c r="Y234" s="231"/>
      <c r="Z234" s="232">
        <f t="shared" ca="1" si="164"/>
        <v>94314.435938473747</v>
      </c>
      <c r="AA234" s="231">
        <f t="shared" ca="1" si="165"/>
        <v>62.93350209044285</v>
      </c>
      <c r="AB234" s="231">
        <f t="shared" ca="1" si="196"/>
        <v>10311.020567417243</v>
      </c>
      <c r="AC234" s="231">
        <f t="shared" ca="1" si="197"/>
        <v>55474.299582359796</v>
      </c>
      <c r="AD234" s="231">
        <f t="shared" ca="1" si="198"/>
        <v>1926.190957720826</v>
      </c>
      <c r="AE234" s="231">
        <f t="shared" ca="1" si="166"/>
        <v>9629.2728708003633</v>
      </c>
      <c r="AF234" s="231">
        <f t="shared" ca="1" si="167"/>
        <v>77403.717480388674</v>
      </c>
      <c r="AG234" s="232">
        <f t="shared" ca="1" si="168"/>
        <v>171718.15341886244</v>
      </c>
      <c r="AH234" s="244">
        <f t="shared" ca="1" si="199"/>
        <v>0.45845295860980462</v>
      </c>
      <c r="AI234" s="243">
        <f t="shared" ca="1" si="200"/>
        <v>3.1368609613442011</v>
      </c>
      <c r="AJ234" s="242">
        <f t="shared" ca="1" si="201"/>
        <v>3.5953139199540058</v>
      </c>
      <c r="AK234" s="241">
        <f t="shared" ca="1" si="202"/>
        <v>0.3300861301990593</v>
      </c>
      <c r="AL234" s="243">
        <f t="shared" ca="1" si="203"/>
        <v>1.389629405875481</v>
      </c>
      <c r="AM234" s="243"/>
      <c r="AN234" s="242">
        <f t="shared" ca="1" si="169"/>
        <v>1.7197155360745402</v>
      </c>
      <c r="AO234" s="224"/>
      <c r="AP234" s="235">
        <f t="shared" si="204"/>
        <v>17.53846153846154</v>
      </c>
      <c r="AQ234" s="235">
        <f t="shared" si="170"/>
        <v>0.59546306463299092</v>
      </c>
      <c r="AR234" s="235">
        <f t="shared" si="171"/>
        <v>0.77018590548331123</v>
      </c>
      <c r="AT234" s="230">
        <f t="shared" ca="1" si="172"/>
        <v>53768.587188467682</v>
      </c>
      <c r="AU234" s="231">
        <f t="shared" ca="1" si="173"/>
        <v>334.75325885753125</v>
      </c>
      <c r="AV234" s="231">
        <f t="shared" ca="1" si="205"/>
        <v>548.74589938795998</v>
      </c>
      <c r="AW234" s="231"/>
      <c r="AX234" s="231">
        <f t="shared" ca="1" si="206"/>
        <v>1341.0459700820415</v>
      </c>
      <c r="AY234" s="231">
        <f t="shared" ca="1" si="207"/>
        <v>167.63074626025519</v>
      </c>
      <c r="AZ234" s="231"/>
      <c r="BA234" s="232">
        <f t="shared" ca="1" si="174"/>
        <v>56160.763063055478</v>
      </c>
      <c r="BB234" s="231">
        <f t="shared" ca="1" si="175"/>
        <v>37.474576022861839</v>
      </c>
      <c r="BC234" s="231">
        <f t="shared" ca="1" si="208"/>
        <v>6139.8319065680726</v>
      </c>
      <c r="BD234" s="231">
        <f t="shared" ca="1" si="209"/>
        <v>33032.896437680611</v>
      </c>
      <c r="BE234" s="231">
        <f t="shared" ca="1" si="210"/>
        <v>1146.9755707527988</v>
      </c>
      <c r="BF234" s="231">
        <f t="shared" ca="1" si="176"/>
        <v>5733.8763338341032</v>
      </c>
      <c r="BG234" s="231">
        <f t="shared" ca="1" si="177"/>
        <v>46091.054824858453</v>
      </c>
      <c r="BH234" s="232">
        <f t="shared" ca="1" si="178"/>
        <v>102251.81788791393</v>
      </c>
      <c r="BI234" s="244">
        <f t="shared" ca="1" si="211"/>
        <v>0.35309400704839539</v>
      </c>
      <c r="BJ234" s="243">
        <f t="shared" ca="1" si="212"/>
        <v>2.4159660998881338</v>
      </c>
      <c r="BK234" s="242">
        <f t="shared" ca="1" si="213"/>
        <v>2.769060106936529</v>
      </c>
      <c r="BL234" s="241">
        <f t="shared" ca="1" si="214"/>
        <v>0.25422768507484467</v>
      </c>
      <c r="BM234" s="243">
        <f t="shared" ca="1" si="215"/>
        <v>1.0702729822504431</v>
      </c>
      <c r="BN234" s="243">
        <f t="shared" si="179"/>
        <v>0</v>
      </c>
      <c r="BO234" s="242">
        <f t="shared" ca="1" si="180"/>
        <v>1.3245006673252877</v>
      </c>
      <c r="BP234" s="67"/>
      <c r="BQ234" s="67"/>
      <c r="BR234" s="67"/>
      <c r="BS234" s="67"/>
      <c r="BT234" s="67"/>
      <c r="BU234" s="67"/>
      <c r="BV234" s="67"/>
      <c r="BW234" s="67"/>
      <c r="BX234" s="67"/>
      <c r="BY234" s="67"/>
      <c r="BZ234" s="67"/>
      <c r="CA234" s="67"/>
      <c r="CB234" s="67"/>
    </row>
    <row r="235" spans="1:80" ht="12" customHeight="1" x14ac:dyDescent="0.15">
      <c r="A235" s="213">
        <f t="shared" si="181"/>
        <v>229</v>
      </c>
      <c r="B235" s="67">
        <f t="shared" si="182"/>
        <v>916</v>
      </c>
      <c r="C235" s="224">
        <f t="shared" si="183"/>
        <v>211.38461538461542</v>
      </c>
      <c r="D235" s="225">
        <f ca="1">IFERROR(OFFSET(extrapolation!P244,0,OS_dist_choice-1,1,1),0)</f>
        <v>4.6399183796580409E-2</v>
      </c>
      <c r="E235" s="225">
        <f ca="1">IFERROR(OFFSET(extrapolation!D244,0,PFS_dist_choice-1,1,1),0)</f>
        <v>5.8438366885669168E-3</v>
      </c>
      <c r="F235" s="214"/>
      <c r="G235" s="226">
        <f t="shared" ca="1" si="184"/>
        <v>5.8438366885669168</v>
      </c>
      <c r="H235" s="224">
        <f t="shared" ca="1" si="185"/>
        <v>40.555347108013393</v>
      </c>
      <c r="I235" s="224">
        <f t="shared" ca="1" si="162"/>
        <v>953.60081620341964</v>
      </c>
      <c r="J235" s="227">
        <f t="shared" ca="1" si="163"/>
        <v>1000</v>
      </c>
      <c r="K235" s="238">
        <f t="shared" ca="1" si="186"/>
        <v>9.0484982703586958E-2</v>
      </c>
      <c r="L235" s="239">
        <f t="shared" ca="1" si="187"/>
        <v>0.3323551606554247</v>
      </c>
      <c r="M235" s="238">
        <f t="shared" ca="1" si="188"/>
        <v>5.8890791799187099</v>
      </c>
      <c r="N235" s="238">
        <f t="shared" ca="1" si="189"/>
        <v>40.676282196989348</v>
      </c>
      <c r="O235" s="239">
        <f t="shared" ca="1" si="190"/>
        <v>953.43463862309193</v>
      </c>
      <c r="P235" s="217"/>
      <c r="Q235" s="217"/>
      <c r="R235" s="224"/>
      <c r="S235" s="230">
        <f t="shared" ca="1" si="191"/>
        <v>88920.272301207777</v>
      </c>
      <c r="T235" s="231">
        <f t="shared" ca="1" si="192"/>
        <v>553.60113567783458</v>
      </c>
      <c r="U235" s="231">
        <f t="shared" ca="1" si="193"/>
        <v>907.47961925596678</v>
      </c>
      <c r="V235" s="231"/>
      <c r="W235" s="231">
        <f t="shared" ca="1" si="194"/>
        <v>2217.7329938905073</v>
      </c>
      <c r="X235" s="231">
        <f t="shared" ca="1" si="195"/>
        <v>277.21662423631341</v>
      </c>
      <c r="Y235" s="231"/>
      <c r="Z235" s="232">
        <f t="shared" ca="1" si="164"/>
        <v>92876.302674268401</v>
      </c>
      <c r="AA235" s="231">
        <f t="shared" ca="1" si="165"/>
        <v>61.852175011674156</v>
      </c>
      <c r="AB235" s="231">
        <f t="shared" ca="1" si="196"/>
        <v>10249.801200404045</v>
      </c>
      <c r="AC235" s="231">
        <f t="shared" ca="1" si="197"/>
        <v>55144.933397535737</v>
      </c>
      <c r="AD235" s="231">
        <f t="shared" ca="1" si="198"/>
        <v>1914.7546318588795</v>
      </c>
      <c r="AE235" s="231">
        <f t="shared" ca="1" si="166"/>
        <v>9522.1481442259428</v>
      </c>
      <c r="AF235" s="231">
        <f t="shared" ca="1" si="167"/>
        <v>76893.489549036283</v>
      </c>
      <c r="AG235" s="232">
        <f t="shared" ca="1" si="168"/>
        <v>169769.79222330468</v>
      </c>
      <c r="AH235" s="244">
        <f t="shared" ca="1" si="199"/>
        <v>0.45145576191026388</v>
      </c>
      <c r="AI235" s="243">
        <f t="shared" ca="1" si="200"/>
        <v>3.1182365544577735</v>
      </c>
      <c r="AJ235" s="242">
        <f t="shared" ca="1" si="201"/>
        <v>3.5696923163680374</v>
      </c>
      <c r="AK235" s="241">
        <f t="shared" ca="1" si="202"/>
        <v>0.32504814857538999</v>
      </c>
      <c r="AL235" s="243">
        <f t="shared" ca="1" si="203"/>
        <v>1.3813787936247937</v>
      </c>
      <c r="AM235" s="243"/>
      <c r="AN235" s="242">
        <f t="shared" ca="1" si="169"/>
        <v>1.7064269422001836</v>
      </c>
      <c r="AO235" s="224"/>
      <c r="AP235" s="235">
        <f t="shared" si="204"/>
        <v>17.615384615384617</v>
      </c>
      <c r="AQ235" s="235">
        <f t="shared" si="170"/>
        <v>0.59411066619021602</v>
      </c>
      <c r="AR235" s="235">
        <f t="shared" si="171"/>
        <v>0.76930433351788685</v>
      </c>
      <c r="AT235" s="230">
        <f t="shared" ca="1" si="172"/>
        <v>52828.482214685966</v>
      </c>
      <c r="AU235" s="231">
        <f t="shared" ca="1" si="173"/>
        <v>328.90033952121848</v>
      </c>
      <c r="AV235" s="231">
        <f t="shared" ca="1" si="205"/>
        <v>539.14332115020602</v>
      </c>
      <c r="AW235" s="231"/>
      <c r="AX235" s="231">
        <f t="shared" ca="1" si="206"/>
        <v>1317.5788264323116</v>
      </c>
      <c r="AY235" s="231">
        <f t="shared" ca="1" si="207"/>
        <v>164.69735330403896</v>
      </c>
      <c r="AZ235" s="231"/>
      <c r="BA235" s="232">
        <f t="shared" ca="1" si="174"/>
        <v>55178.802055093744</v>
      </c>
      <c r="BB235" s="231">
        <f t="shared" ca="1" si="175"/>
        <v>36.747036901499563</v>
      </c>
      <c r="BC235" s="231">
        <f t="shared" ca="1" si="208"/>
        <v>6089.5162194893228</v>
      </c>
      <c r="BD235" s="231">
        <f t="shared" ca="1" si="209"/>
        <v>32762.193117825049</v>
      </c>
      <c r="BE235" s="231">
        <f t="shared" ca="1" si="210"/>
        <v>1137.5761499244807</v>
      </c>
      <c r="BF235" s="231">
        <f t="shared" ca="1" si="176"/>
        <v>5657.2097775280045</v>
      </c>
      <c r="BG235" s="231">
        <f t="shared" ca="1" si="177"/>
        <v>45683.242301668361</v>
      </c>
      <c r="BH235" s="232">
        <f t="shared" ca="1" si="178"/>
        <v>100862.0443567621</v>
      </c>
      <c r="BI235" s="244">
        <f t="shared" ca="1" si="211"/>
        <v>0.34730687402918536</v>
      </c>
      <c r="BJ235" s="243">
        <f t="shared" ca="1" si="212"/>
        <v>2.3988728942782491</v>
      </c>
      <c r="BK235" s="242">
        <f t="shared" ca="1" si="213"/>
        <v>2.7461797683074347</v>
      </c>
      <c r="BL235" s="241">
        <f t="shared" ca="1" si="214"/>
        <v>0.25006094930101347</v>
      </c>
      <c r="BM235" s="243">
        <f t="shared" ca="1" si="215"/>
        <v>1.0627006921652644</v>
      </c>
      <c r="BN235" s="243">
        <f t="shared" si="179"/>
        <v>0</v>
      </c>
      <c r="BO235" s="242">
        <f t="shared" ca="1" si="180"/>
        <v>1.3127616414662779</v>
      </c>
      <c r="BP235" s="67"/>
      <c r="BQ235" s="67"/>
      <c r="BR235" s="67"/>
      <c r="BS235" s="67"/>
      <c r="BT235" s="67"/>
      <c r="BU235" s="67"/>
      <c r="BV235" s="67"/>
      <c r="BW235" s="67"/>
      <c r="BX235" s="67"/>
      <c r="BY235" s="67"/>
      <c r="BZ235" s="67"/>
      <c r="CA235" s="67"/>
      <c r="CB235" s="67"/>
    </row>
    <row r="236" spans="1:80" ht="12" customHeight="1" x14ac:dyDescent="0.15">
      <c r="A236" s="213">
        <f t="shared" si="181"/>
        <v>230</v>
      </c>
      <c r="B236" s="67">
        <f t="shared" si="182"/>
        <v>920</v>
      </c>
      <c r="C236" s="224">
        <f t="shared" si="183"/>
        <v>212.30769230769232</v>
      </c>
      <c r="D236" s="225">
        <f ca="1">IFERROR(OFFSET(extrapolation!P245,0,OS_dist_choice-1,1,1),0)</f>
        <v>4.6070511630428163E-2</v>
      </c>
      <c r="E236" s="225">
        <f ca="1">IFERROR(OFFSET(extrapolation!D245,0,PFS_dist_choice-1,1,1),0)</f>
        <v>5.7549031130730288E-3</v>
      </c>
      <c r="F236" s="214"/>
      <c r="G236" s="226">
        <f t="shared" ca="1" si="184"/>
        <v>5.7549031130730288</v>
      </c>
      <c r="H236" s="224">
        <f t="shared" ca="1" si="185"/>
        <v>40.315608517355145</v>
      </c>
      <c r="I236" s="224">
        <f t="shared" ca="1" si="162"/>
        <v>953.9294883695718</v>
      </c>
      <c r="J236" s="227">
        <f t="shared" ca="1" si="163"/>
        <v>1000</v>
      </c>
      <c r="K236" s="238">
        <f t="shared" ca="1" si="186"/>
        <v>8.8933575493888029E-2</v>
      </c>
      <c r="L236" s="239">
        <f t="shared" ca="1" si="187"/>
        <v>0.32867216615215966</v>
      </c>
      <c r="M236" s="238">
        <f t="shared" ca="1" si="188"/>
        <v>5.7993699008199728</v>
      </c>
      <c r="N236" s="238">
        <f t="shared" ca="1" si="189"/>
        <v>40.435477812684269</v>
      </c>
      <c r="O236" s="239">
        <f t="shared" ca="1" si="190"/>
        <v>953.76515228649578</v>
      </c>
      <c r="P236" s="217"/>
      <c r="Q236" s="217"/>
      <c r="R236" s="224"/>
      <c r="S236" s="230">
        <f t="shared" ca="1" si="191"/>
        <v>87567.05211880467</v>
      </c>
      <c r="T236" s="231">
        <f t="shared" ca="1" si="192"/>
        <v>545.17623761563698</v>
      </c>
      <c r="U236" s="231">
        <f t="shared" ca="1" si="193"/>
        <v>893.65583799015383</v>
      </c>
      <c r="V236" s="231"/>
      <c r="W236" s="231">
        <f t="shared" ca="1" si="194"/>
        <v>2183.9499147303886</v>
      </c>
      <c r="X236" s="231">
        <f t="shared" ca="1" si="195"/>
        <v>272.99373934129858</v>
      </c>
      <c r="Y236" s="231"/>
      <c r="Z236" s="232">
        <f t="shared" ca="1" si="164"/>
        <v>91462.827848482149</v>
      </c>
      <c r="AA236" s="231">
        <f t="shared" ca="1" si="165"/>
        <v>60.791690637565218</v>
      </c>
      <c r="AB236" s="231">
        <f t="shared" ca="1" si="196"/>
        <v>10189.122177297666</v>
      </c>
      <c r="AC236" s="231">
        <f t="shared" ca="1" si="197"/>
        <v>54818.474315802821</v>
      </c>
      <c r="AD236" s="231">
        <f t="shared" ca="1" si="198"/>
        <v>1903.4192470764865</v>
      </c>
      <c r="AE236" s="231">
        <f t="shared" ca="1" si="166"/>
        <v>9416.6284369185578</v>
      </c>
      <c r="AF236" s="231">
        <f t="shared" ca="1" si="167"/>
        <v>76388.435867733104</v>
      </c>
      <c r="AG236" s="232">
        <f t="shared" ca="1" si="168"/>
        <v>167851.26371621527</v>
      </c>
      <c r="AH236" s="244">
        <f t="shared" ca="1" si="199"/>
        <v>0.44457866453924499</v>
      </c>
      <c r="AI236" s="243">
        <f t="shared" ca="1" si="200"/>
        <v>3.0997765332105667</v>
      </c>
      <c r="AJ236" s="242">
        <f t="shared" ca="1" si="201"/>
        <v>3.5443551977498116</v>
      </c>
      <c r="AK236" s="241">
        <f t="shared" ca="1" si="202"/>
        <v>0.32009663846825637</v>
      </c>
      <c r="AL236" s="243">
        <f t="shared" ca="1" si="203"/>
        <v>1.3732010042122811</v>
      </c>
      <c r="AM236" s="243"/>
      <c r="AN236" s="242">
        <f t="shared" ca="1" si="169"/>
        <v>1.6932976426805375</v>
      </c>
      <c r="AO236" s="224"/>
      <c r="AP236" s="235">
        <f t="shared" si="204"/>
        <v>17.692307692307693</v>
      </c>
      <c r="AQ236" s="235">
        <f t="shared" si="170"/>
        <v>0.59276133927556196</v>
      </c>
      <c r="AR236" s="235">
        <f t="shared" si="171"/>
        <v>0.7684237706193966</v>
      </c>
      <c r="AT236" s="230">
        <f t="shared" ca="1" si="172"/>
        <v>51906.36309035559</v>
      </c>
      <c r="AU236" s="231">
        <f t="shared" ca="1" si="173"/>
        <v>323.15939675025697</v>
      </c>
      <c r="AV236" s="231">
        <f t="shared" ca="1" si="205"/>
        <v>529.72463137846819</v>
      </c>
      <c r="AW236" s="231"/>
      <c r="AX236" s="231">
        <f t="shared" ca="1" si="206"/>
        <v>1294.5610763663344</v>
      </c>
      <c r="AY236" s="231">
        <f t="shared" ca="1" si="207"/>
        <v>161.8201345457918</v>
      </c>
      <c r="AZ236" s="231"/>
      <c r="BA236" s="232">
        <f t="shared" ca="1" si="174"/>
        <v>54215.628329396444</v>
      </c>
      <c r="BB236" s="231">
        <f t="shared" ca="1" si="175"/>
        <v>36.034963959148797</v>
      </c>
      <c r="BC236" s="231">
        <f t="shared" ca="1" si="208"/>
        <v>6039.717707857294</v>
      </c>
      <c r="BD236" s="231">
        <f t="shared" ca="1" si="209"/>
        <v>32494.272252478277</v>
      </c>
      <c r="BE236" s="231">
        <f t="shared" ca="1" si="210"/>
        <v>1128.27334209994</v>
      </c>
      <c r="BF236" s="231">
        <f t="shared" ca="1" si="176"/>
        <v>5581.8132837281855</v>
      </c>
      <c r="BG236" s="231">
        <f t="shared" ca="1" si="177"/>
        <v>45280.111550122849</v>
      </c>
      <c r="BH236" s="232">
        <f t="shared" ca="1" si="178"/>
        <v>99495.7398795193</v>
      </c>
      <c r="BI236" s="244">
        <f t="shared" ca="1" si="211"/>
        <v>0.34162481374218245</v>
      </c>
      <c r="BJ236" s="243">
        <f t="shared" ca="1" si="212"/>
        <v>2.3819419717271848</v>
      </c>
      <c r="BK236" s="242">
        <f t="shared" ca="1" si="213"/>
        <v>2.7235667854693673</v>
      </c>
      <c r="BL236" s="241">
        <f t="shared" ca="1" si="214"/>
        <v>0.24596986589437136</v>
      </c>
      <c r="BM236" s="243">
        <f t="shared" ca="1" si="215"/>
        <v>1.055200293475143</v>
      </c>
      <c r="BN236" s="243">
        <f t="shared" si="179"/>
        <v>0</v>
      </c>
      <c r="BO236" s="242">
        <f t="shared" ca="1" si="180"/>
        <v>1.3011701593695144</v>
      </c>
      <c r="BP236" s="67"/>
      <c r="BQ236" s="67"/>
      <c r="BR236" s="67"/>
      <c r="BS236" s="67"/>
      <c r="BT236" s="67"/>
      <c r="BU236" s="67"/>
      <c r="BV236" s="67"/>
      <c r="BW236" s="67"/>
      <c r="BX236" s="67"/>
      <c r="BY236" s="67"/>
      <c r="BZ236" s="67"/>
      <c r="CA236" s="67"/>
      <c r="CB236" s="67"/>
    </row>
    <row r="237" spans="1:80" ht="12" customHeight="1" x14ac:dyDescent="0.15">
      <c r="A237" s="213">
        <f t="shared" si="181"/>
        <v>231</v>
      </c>
      <c r="B237" s="67">
        <f t="shared" si="182"/>
        <v>924</v>
      </c>
      <c r="C237" s="224">
        <f t="shared" si="183"/>
        <v>213.23076923076923</v>
      </c>
      <c r="D237" s="225">
        <f ca="1">IFERROR(OFFSET(extrapolation!P246,0,OS_dist_choice-1,1,1),0)</f>
        <v>4.5745467486708873E-2</v>
      </c>
      <c r="E237" s="225">
        <f ca="1">IFERROR(OFFSET(extrapolation!D246,0,PFS_dist_choice-1,1,1),0)</f>
        <v>5.6674911105545345E-3</v>
      </c>
      <c r="F237" s="214"/>
      <c r="G237" s="226">
        <f t="shared" ca="1" si="184"/>
        <v>5.6674911105545345</v>
      </c>
      <c r="H237" s="224">
        <f t="shared" ca="1" si="185"/>
        <v>40.077976376154197</v>
      </c>
      <c r="I237" s="224">
        <f t="shared" ca="1" si="162"/>
        <v>954.25453251329122</v>
      </c>
      <c r="J237" s="227">
        <f t="shared" ca="1" si="163"/>
        <v>1000</v>
      </c>
      <c r="K237" s="238">
        <f t="shared" ca="1" si="186"/>
        <v>8.7412002518494347E-2</v>
      </c>
      <c r="L237" s="239">
        <f t="shared" ca="1" si="187"/>
        <v>0.32504414371942403</v>
      </c>
      <c r="M237" s="238">
        <f t="shared" ca="1" si="188"/>
        <v>5.7111971118137816</v>
      </c>
      <c r="N237" s="238">
        <f t="shared" ca="1" si="189"/>
        <v>40.196792446754671</v>
      </c>
      <c r="O237" s="239">
        <f t="shared" ca="1" si="190"/>
        <v>954.09201044143151</v>
      </c>
      <c r="P237" s="217"/>
      <c r="Q237" s="217"/>
      <c r="R237" s="224"/>
      <c r="S237" s="230">
        <f t="shared" ca="1" si="191"/>
        <v>86236.984308808343</v>
      </c>
      <c r="T237" s="231">
        <f t="shared" ca="1" si="192"/>
        <v>536.89548193319524</v>
      </c>
      <c r="U237" s="231">
        <f t="shared" ca="1" si="193"/>
        <v>880.06882267731521</v>
      </c>
      <c r="V237" s="231"/>
      <c r="W237" s="231">
        <f t="shared" ca="1" si="194"/>
        <v>2150.7454531552812</v>
      </c>
      <c r="X237" s="231">
        <f t="shared" ca="1" si="195"/>
        <v>268.84318164441015</v>
      </c>
      <c r="Y237" s="231"/>
      <c r="Z237" s="232">
        <f t="shared" ca="1" si="164"/>
        <v>90073.537248218548</v>
      </c>
      <c r="AA237" s="231">
        <f t="shared" ca="1" si="165"/>
        <v>59.751599838461239</v>
      </c>
      <c r="AB237" s="231">
        <f t="shared" ca="1" si="196"/>
        <v>10128.977114423527</v>
      </c>
      <c r="AC237" s="231">
        <f t="shared" ca="1" si="197"/>
        <v>54494.887992367185</v>
      </c>
      <c r="AD237" s="231">
        <f t="shared" ca="1" si="198"/>
        <v>1892.1836108460827</v>
      </c>
      <c r="AE237" s="231">
        <f t="shared" ca="1" si="166"/>
        <v>9312.6837080118185</v>
      </c>
      <c r="AF237" s="231">
        <f t="shared" ca="1" si="167"/>
        <v>75888.484025487065</v>
      </c>
      <c r="AG237" s="232">
        <f t="shared" ca="1" si="168"/>
        <v>165962.02127370561</v>
      </c>
      <c r="AH237" s="244">
        <f t="shared" ca="1" si="199"/>
        <v>0.43781935422528651</v>
      </c>
      <c r="AI237" s="243">
        <f t="shared" ca="1" si="200"/>
        <v>3.0814789555349233</v>
      </c>
      <c r="AJ237" s="242">
        <f t="shared" ca="1" si="201"/>
        <v>3.51929830976021</v>
      </c>
      <c r="AK237" s="241">
        <f t="shared" ca="1" si="202"/>
        <v>0.31522993504220626</v>
      </c>
      <c r="AL237" s="243">
        <f t="shared" ca="1" si="203"/>
        <v>1.3650951773019711</v>
      </c>
      <c r="AM237" s="243"/>
      <c r="AN237" s="242">
        <f t="shared" ca="1" si="169"/>
        <v>1.6803251123441774</v>
      </c>
      <c r="AO237" s="224"/>
      <c r="AP237" s="235">
        <f t="shared" si="204"/>
        <v>17.76923076923077</v>
      </c>
      <c r="AQ237" s="235">
        <f t="shared" si="170"/>
        <v>0.59141507691306339</v>
      </c>
      <c r="AR237" s="235">
        <f t="shared" si="171"/>
        <v>0.76754421563283959</v>
      </c>
      <c r="AT237" s="230">
        <f t="shared" ca="1" si="172"/>
        <v>51001.852707744525</v>
      </c>
      <c r="AU237" s="231">
        <f t="shared" ca="1" si="173"/>
        <v>317.52808274179688</v>
      </c>
      <c r="AV237" s="231">
        <f t="shared" ca="1" si="205"/>
        <v>520.48597045249358</v>
      </c>
      <c r="AW237" s="231"/>
      <c r="AX237" s="231">
        <f t="shared" ca="1" si="206"/>
        <v>1271.983287598252</v>
      </c>
      <c r="AY237" s="231">
        <f t="shared" ca="1" si="207"/>
        <v>158.9979109497815</v>
      </c>
      <c r="AZ237" s="231"/>
      <c r="BA237" s="232">
        <f t="shared" ca="1" si="174"/>
        <v>53270.847959486855</v>
      </c>
      <c r="BB237" s="231">
        <f t="shared" ca="1" si="175"/>
        <v>35.33799701414214</v>
      </c>
      <c r="BC237" s="231">
        <f t="shared" ca="1" si="208"/>
        <v>5990.4297791774488</v>
      </c>
      <c r="BD237" s="231">
        <f t="shared" ca="1" si="209"/>
        <v>32229.098373374614</v>
      </c>
      <c r="BE237" s="231">
        <f t="shared" ca="1" si="210"/>
        <v>1119.065915742174</v>
      </c>
      <c r="BF237" s="231">
        <f t="shared" ca="1" si="176"/>
        <v>5507.6615514408422</v>
      </c>
      <c r="BG237" s="231">
        <f t="shared" ca="1" si="177"/>
        <v>44881.593616749218</v>
      </c>
      <c r="BH237" s="232">
        <f t="shared" ca="1" si="178"/>
        <v>98152.441576236073</v>
      </c>
      <c r="BI237" s="244">
        <f t="shared" ca="1" si="211"/>
        <v>0.33604571282772389</v>
      </c>
      <c r="BJ237" s="243">
        <f t="shared" ca="1" si="212"/>
        <v>2.3651713479151546</v>
      </c>
      <c r="BK237" s="242">
        <f t="shared" ca="1" si="213"/>
        <v>2.7012170607428785</v>
      </c>
      <c r="BL237" s="241">
        <f t="shared" ca="1" si="214"/>
        <v>0.24195291323596119</v>
      </c>
      <c r="BM237" s="243">
        <f t="shared" ca="1" si="215"/>
        <v>1.0477709071264134</v>
      </c>
      <c r="BN237" s="243">
        <f t="shared" si="179"/>
        <v>0</v>
      </c>
      <c r="BO237" s="242">
        <f t="shared" ca="1" si="180"/>
        <v>1.2897238203623747</v>
      </c>
      <c r="BP237" s="67"/>
      <c r="BQ237" s="67"/>
      <c r="BR237" s="67"/>
      <c r="BS237" s="67"/>
      <c r="BT237" s="67"/>
      <c r="BU237" s="67"/>
      <c r="BV237" s="67"/>
      <c r="BW237" s="67"/>
      <c r="BX237" s="67"/>
      <c r="BY237" s="67"/>
      <c r="BZ237" s="67"/>
      <c r="CA237" s="67"/>
      <c r="CB237" s="67"/>
    </row>
    <row r="238" spans="1:80" ht="12" customHeight="1" x14ac:dyDescent="0.15">
      <c r="A238" s="213">
        <f t="shared" si="181"/>
        <v>232</v>
      </c>
      <c r="B238" s="67">
        <f t="shared" si="182"/>
        <v>928</v>
      </c>
      <c r="C238" s="224">
        <f t="shared" si="183"/>
        <v>214.15384615384616</v>
      </c>
      <c r="D238" s="225">
        <f ca="1">IFERROR(OFFSET(extrapolation!P247,0,OS_dist_choice-1,1,1),0)</f>
        <v>4.5423997418472313E-2</v>
      </c>
      <c r="E238" s="225">
        <f ca="1">IFERROR(OFFSET(extrapolation!D247,0,PFS_dist_choice-1,1,1),0)</f>
        <v>5.5815714880562695E-3</v>
      </c>
      <c r="F238" s="214"/>
      <c r="G238" s="226">
        <f t="shared" ca="1" si="184"/>
        <v>5.5815714880562695</v>
      </c>
      <c r="H238" s="224">
        <f t="shared" ca="1" si="185"/>
        <v>39.842425930416084</v>
      </c>
      <c r="I238" s="224">
        <f t="shared" ca="1" si="162"/>
        <v>954.57600258152763</v>
      </c>
      <c r="J238" s="227">
        <f t="shared" ca="1" si="163"/>
        <v>1000</v>
      </c>
      <c r="K238" s="238">
        <f t="shared" ca="1" si="186"/>
        <v>8.5919622498265014E-2</v>
      </c>
      <c r="L238" s="239">
        <f t="shared" ca="1" si="187"/>
        <v>0.32147006823640822</v>
      </c>
      <c r="M238" s="238">
        <f t="shared" ca="1" si="188"/>
        <v>5.624531299305402</v>
      </c>
      <c r="N238" s="238">
        <f t="shared" ca="1" si="189"/>
        <v>39.960201153285141</v>
      </c>
      <c r="O238" s="239">
        <f t="shared" ca="1" si="190"/>
        <v>954.41526754740948</v>
      </c>
      <c r="P238" s="217"/>
      <c r="Q238" s="217"/>
      <c r="R238" s="224"/>
      <c r="S238" s="230">
        <f t="shared" ca="1" si="191"/>
        <v>84929.624668948818</v>
      </c>
      <c r="T238" s="231">
        <f t="shared" ca="1" si="192"/>
        <v>528.75610310950071</v>
      </c>
      <c r="U238" s="231">
        <f t="shared" ca="1" si="193"/>
        <v>866.71402541023224</v>
      </c>
      <c r="V238" s="231"/>
      <c r="W238" s="231">
        <f t="shared" ca="1" si="194"/>
        <v>2118.1084948176253</v>
      </c>
      <c r="X238" s="231">
        <f t="shared" ca="1" si="195"/>
        <v>264.76356185220317</v>
      </c>
      <c r="Y238" s="231"/>
      <c r="Z238" s="232">
        <f t="shared" ca="1" si="164"/>
        <v>88707.966854138373</v>
      </c>
      <c r="AA238" s="231">
        <f t="shared" ca="1" si="165"/>
        <v>58.731464259748336</v>
      </c>
      <c r="AB238" s="231">
        <f t="shared" ca="1" si="196"/>
        <v>10069.359725792356</v>
      </c>
      <c r="AC238" s="231">
        <f t="shared" ca="1" si="197"/>
        <v>54174.140607991438</v>
      </c>
      <c r="AD238" s="231">
        <f t="shared" ca="1" si="198"/>
        <v>1881.0465488885914</v>
      </c>
      <c r="AE238" s="231">
        <f t="shared" ca="1" si="166"/>
        <v>9210.2845872615726</v>
      </c>
      <c r="AF238" s="231">
        <f t="shared" ca="1" si="167"/>
        <v>75393.562934193702</v>
      </c>
      <c r="AG238" s="232">
        <f t="shared" ca="1" si="168"/>
        <v>164101.52978833206</v>
      </c>
      <c r="AH238" s="244">
        <f t="shared" ca="1" si="199"/>
        <v>0.43117556846146815</v>
      </c>
      <c r="AI238" s="243">
        <f t="shared" ca="1" si="200"/>
        <v>3.0633419090814069</v>
      </c>
      <c r="AJ238" s="242">
        <f t="shared" ca="1" si="201"/>
        <v>3.4945174775428751</v>
      </c>
      <c r="AK238" s="241">
        <f t="shared" ca="1" si="202"/>
        <v>0.31044640929225703</v>
      </c>
      <c r="AL238" s="243">
        <f t="shared" ca="1" si="203"/>
        <v>1.3570604657230634</v>
      </c>
      <c r="AM238" s="243"/>
      <c r="AN238" s="242">
        <f t="shared" ca="1" si="169"/>
        <v>1.6675068750153204</v>
      </c>
      <c r="AO238" s="224"/>
      <c r="AP238" s="235">
        <f t="shared" si="204"/>
        <v>17.846153846153847</v>
      </c>
      <c r="AQ238" s="235">
        <f t="shared" si="170"/>
        <v>0.59007187214259815</v>
      </c>
      <c r="AR238" s="235">
        <f t="shared" si="171"/>
        <v>0.76666566740453757</v>
      </c>
      <c r="AT238" s="230">
        <f t="shared" ca="1" si="172"/>
        <v>50114.58262877482</v>
      </c>
      <c r="AU238" s="231">
        <f t="shared" ca="1" si="173"/>
        <v>312.00410366864776</v>
      </c>
      <c r="AV238" s="231">
        <f t="shared" ca="1" si="205"/>
        <v>511.42356758606314</v>
      </c>
      <c r="AW238" s="231"/>
      <c r="AX238" s="231">
        <f t="shared" ca="1" si="206"/>
        <v>1249.8362449381768</v>
      </c>
      <c r="AY238" s="231">
        <f t="shared" ca="1" si="207"/>
        <v>156.2295306172721</v>
      </c>
      <c r="AZ238" s="231"/>
      <c r="BA238" s="232">
        <f t="shared" ca="1" si="174"/>
        <v>52344.07607558497</v>
      </c>
      <c r="BB238" s="231">
        <f t="shared" ca="1" si="175"/>
        <v>34.655785069425797</v>
      </c>
      <c r="BC238" s="231">
        <f t="shared" ca="1" si="208"/>
        <v>5941.6459446755744</v>
      </c>
      <c r="BD238" s="231">
        <f t="shared" ca="1" si="209"/>
        <v>31966.636570273859</v>
      </c>
      <c r="BE238" s="231">
        <f t="shared" ca="1" si="210"/>
        <v>1109.9526586900645</v>
      </c>
      <c r="BF238" s="231">
        <f t="shared" ca="1" si="176"/>
        <v>5434.7298693715529</v>
      </c>
      <c r="BG238" s="231">
        <f t="shared" ca="1" si="177"/>
        <v>44487.620828080471</v>
      </c>
      <c r="BH238" s="232">
        <f t="shared" ca="1" si="178"/>
        <v>96831.696903665434</v>
      </c>
      <c r="BI238" s="244">
        <f t="shared" ca="1" si="211"/>
        <v>0.33056750496304238</v>
      </c>
      <c r="BJ238" s="243">
        <f t="shared" ca="1" si="212"/>
        <v>2.3485590692141871</v>
      </c>
      <c r="BK238" s="242">
        <f t="shared" ca="1" si="213"/>
        <v>2.6791265741772294</v>
      </c>
      <c r="BL238" s="241">
        <f t="shared" ca="1" si="214"/>
        <v>0.23800860357339046</v>
      </c>
      <c r="BM238" s="243">
        <f t="shared" ca="1" si="215"/>
        <v>1.0404116676618849</v>
      </c>
      <c r="BN238" s="243">
        <f t="shared" si="179"/>
        <v>0</v>
      </c>
      <c r="BO238" s="242">
        <f t="shared" ca="1" si="180"/>
        <v>1.2784202712352755</v>
      </c>
      <c r="BP238" s="67"/>
      <c r="BQ238" s="67"/>
      <c r="BR238" s="67"/>
      <c r="BS238" s="67"/>
      <c r="BT238" s="67"/>
      <c r="BU238" s="67"/>
      <c r="BV238" s="67"/>
      <c r="BW238" s="67"/>
      <c r="BX238" s="67"/>
      <c r="BY238" s="67"/>
      <c r="BZ238" s="67"/>
      <c r="CA238" s="67"/>
      <c r="CB238" s="67"/>
    </row>
    <row r="239" spans="1:80" ht="12" customHeight="1" x14ac:dyDescent="0.15">
      <c r="A239" s="213">
        <f t="shared" si="181"/>
        <v>233</v>
      </c>
      <c r="B239" s="67">
        <f t="shared" si="182"/>
        <v>932</v>
      </c>
      <c r="C239" s="224">
        <f t="shared" si="183"/>
        <v>215.07692307692309</v>
      </c>
      <c r="D239" s="225">
        <f ca="1">IFERROR(OFFSET(extrapolation!P248,0,OS_dist_choice-1,1,1),0)</f>
        <v>4.5106048481082989E-2</v>
      </c>
      <c r="E239" s="225">
        <f ca="1">IFERROR(OFFSET(extrapolation!D248,0,PFS_dist_choice-1,1,1),0)</f>
        <v>5.4971156785603714E-3</v>
      </c>
      <c r="F239" s="214"/>
      <c r="G239" s="226">
        <f t="shared" ca="1" si="184"/>
        <v>5.4971156785603714</v>
      </c>
      <c r="H239" s="224">
        <f t="shared" ca="1" si="185"/>
        <v>39.608932802522645</v>
      </c>
      <c r="I239" s="224">
        <f t="shared" ca="1" si="162"/>
        <v>954.89395151891699</v>
      </c>
      <c r="J239" s="227">
        <f t="shared" ca="1" si="163"/>
        <v>1000</v>
      </c>
      <c r="K239" s="238">
        <f t="shared" ca="1" si="186"/>
        <v>8.4455809495898038E-2</v>
      </c>
      <c r="L239" s="239">
        <f t="shared" ca="1" si="187"/>
        <v>0.31794893738936025</v>
      </c>
      <c r="M239" s="238">
        <f t="shared" ca="1" si="188"/>
        <v>5.5393435833083204</v>
      </c>
      <c r="N239" s="238">
        <f t="shared" ca="1" si="189"/>
        <v>39.725679366469365</v>
      </c>
      <c r="O239" s="239">
        <f t="shared" ca="1" si="190"/>
        <v>954.73497705022237</v>
      </c>
      <c r="P239" s="217"/>
      <c r="Q239" s="217"/>
      <c r="R239" s="224"/>
      <c r="S239" s="230">
        <f t="shared" ca="1" si="191"/>
        <v>83644.538521266644</v>
      </c>
      <c r="T239" s="231">
        <f t="shared" ca="1" si="192"/>
        <v>520.75539492013729</v>
      </c>
      <c r="U239" s="231">
        <f t="shared" ca="1" si="193"/>
        <v>853.58699591775667</v>
      </c>
      <c r="V239" s="231"/>
      <c r="W239" s="231">
        <f t="shared" ca="1" si="194"/>
        <v>2086.0281639765803</v>
      </c>
      <c r="X239" s="231">
        <f t="shared" ca="1" si="195"/>
        <v>260.75352049707254</v>
      </c>
      <c r="Y239" s="231"/>
      <c r="Z239" s="232">
        <f t="shared" ca="1" si="164"/>
        <v>87365.662596578186</v>
      </c>
      <c r="AA239" s="231">
        <f t="shared" ca="1" si="165"/>
        <v>57.730856033924169</v>
      </c>
      <c r="AB239" s="231">
        <f t="shared" ca="1" si="196"/>
        <v>10010.263821196553</v>
      </c>
      <c r="AC239" s="231">
        <f t="shared" ca="1" si="197"/>
        <v>53856.198858753</v>
      </c>
      <c r="AD239" s="231">
        <f t="shared" ca="1" si="198"/>
        <v>1870.0069048178125</v>
      </c>
      <c r="AE239" s="231">
        <f t="shared" ca="1" si="166"/>
        <v>9109.4023578577217</v>
      </c>
      <c r="AF239" s="231">
        <f t="shared" ca="1" si="167"/>
        <v>74903.602798659005</v>
      </c>
      <c r="AG239" s="232">
        <f t="shared" ca="1" si="168"/>
        <v>162269.26539523719</v>
      </c>
      <c r="AH239" s="244">
        <f t="shared" ca="1" si="199"/>
        <v>0.42464509331316347</v>
      </c>
      <c r="AI239" s="243">
        <f t="shared" ca="1" si="200"/>
        <v>3.0453635106396777</v>
      </c>
      <c r="AJ239" s="242">
        <f t="shared" ca="1" si="201"/>
        <v>3.4700086039528411</v>
      </c>
      <c r="AK239" s="241">
        <f t="shared" ca="1" si="202"/>
        <v>0.30574446718547771</v>
      </c>
      <c r="AL239" s="243">
        <f t="shared" ca="1" si="203"/>
        <v>1.3490960352133772</v>
      </c>
      <c r="AM239" s="243"/>
      <c r="AN239" s="242">
        <f t="shared" ca="1" si="169"/>
        <v>1.6548405023988548</v>
      </c>
      <c r="AO239" s="224"/>
      <c r="AP239" s="235">
        <f t="shared" si="204"/>
        <v>17.923076923076923</v>
      </c>
      <c r="AQ239" s="235">
        <f t="shared" si="170"/>
        <v>0.58873171801985202</v>
      </c>
      <c r="AR239" s="235">
        <f t="shared" si="171"/>
        <v>0.76578812478213265</v>
      </c>
      <c r="AT239" s="230">
        <f t="shared" ca="1" si="172"/>
        <v>49244.192866603007</v>
      </c>
      <c r="AU239" s="231">
        <f t="shared" ca="1" si="173"/>
        <v>306.58521831943892</v>
      </c>
      <c r="AV239" s="231">
        <f t="shared" ca="1" si="205"/>
        <v>502.53373858606528</v>
      </c>
      <c r="AW239" s="231"/>
      <c r="AX239" s="231">
        <f t="shared" ca="1" si="206"/>
        <v>1228.1109448157297</v>
      </c>
      <c r="AY239" s="231">
        <f t="shared" ca="1" si="207"/>
        <v>153.51386810196621</v>
      </c>
      <c r="AZ239" s="231"/>
      <c r="BA239" s="232">
        <f t="shared" ca="1" si="174"/>
        <v>51434.936636426202</v>
      </c>
      <c r="BB239" s="231">
        <f t="shared" ca="1" si="175"/>
        <v>33.987986055608914</v>
      </c>
      <c r="BC239" s="231">
        <f t="shared" ca="1" si="208"/>
        <v>5893.3598172850152</v>
      </c>
      <c r="BD239" s="231">
        <f t="shared" ca="1" si="209"/>
        <v>31706.852480132446</v>
      </c>
      <c r="BE239" s="231">
        <f t="shared" ca="1" si="210"/>
        <v>1100.9323777823765</v>
      </c>
      <c r="BF239" s="231">
        <f t="shared" ca="1" si="176"/>
        <v>5362.9941002756677</v>
      </c>
      <c r="BG239" s="231">
        <f t="shared" ca="1" si="177"/>
        <v>44098.126761531115</v>
      </c>
      <c r="BH239" s="232">
        <f t="shared" ca="1" si="178"/>
        <v>95533.063397957318</v>
      </c>
      <c r="BI239" s="244">
        <f t="shared" ca="1" si="211"/>
        <v>0.32518816970622116</v>
      </c>
      <c r="BJ239" s="243">
        <f t="shared" ca="1" si="212"/>
        <v>2.332103212092691</v>
      </c>
      <c r="BK239" s="242">
        <f t="shared" ca="1" si="213"/>
        <v>2.6572913817989123</v>
      </c>
      <c r="BL239" s="241">
        <f t="shared" ca="1" si="214"/>
        <v>0.23413548218847927</v>
      </c>
      <c r="BM239" s="243">
        <f t="shared" ca="1" si="215"/>
        <v>1.0331217229570622</v>
      </c>
      <c r="BN239" s="243">
        <f t="shared" si="179"/>
        <v>0</v>
      </c>
      <c r="BO239" s="242">
        <f t="shared" ca="1" si="180"/>
        <v>1.2672572051455413</v>
      </c>
      <c r="BP239" s="67"/>
      <c r="BQ239" s="67"/>
      <c r="BR239" s="67"/>
      <c r="BS239" s="67"/>
      <c r="BT239" s="67"/>
      <c r="BU239" s="67"/>
      <c r="BV239" s="67"/>
      <c r="BW239" s="67"/>
      <c r="BX239" s="67"/>
      <c r="BY239" s="67"/>
      <c r="BZ239" s="67"/>
      <c r="CA239" s="67"/>
      <c r="CB239" s="67"/>
    </row>
    <row r="240" spans="1:80" ht="12" customHeight="1" x14ac:dyDescent="0.15">
      <c r="A240" s="213">
        <f t="shared" si="181"/>
        <v>234</v>
      </c>
      <c r="B240" s="67">
        <f t="shared" si="182"/>
        <v>936</v>
      </c>
      <c r="C240" s="224">
        <f t="shared" si="183"/>
        <v>216</v>
      </c>
      <c r="D240" s="225">
        <f ca="1">IFERROR(OFFSET(extrapolation!P249,0,OS_dist_choice-1,1,1),0)</f>
        <v>4.4791568710001811E-2</v>
      </c>
      <c r="E240" s="225">
        <f ca="1">IFERROR(OFFSET(extrapolation!D249,0,PFS_dist_choice-1,1,1),0)</f>
        <v>5.4140957260481182E-3</v>
      </c>
      <c r="F240" s="214"/>
      <c r="G240" s="226">
        <f t="shared" ca="1" si="184"/>
        <v>5.4140957260481182</v>
      </c>
      <c r="H240" s="224">
        <f t="shared" ca="1" si="185"/>
        <v>39.37747298395368</v>
      </c>
      <c r="I240" s="224">
        <f t="shared" ca="1" si="162"/>
        <v>955.2084312899982</v>
      </c>
      <c r="J240" s="227">
        <f t="shared" ca="1" si="163"/>
        <v>1000</v>
      </c>
      <c r="K240" s="238">
        <f t="shared" ca="1" si="186"/>
        <v>8.3019952512253248E-2</v>
      </c>
      <c r="L240" s="239">
        <f t="shared" ca="1" si="187"/>
        <v>0.31447977108120995</v>
      </c>
      <c r="M240" s="238">
        <f t="shared" ca="1" si="188"/>
        <v>5.4556057023042452</v>
      </c>
      <c r="N240" s="238">
        <f t="shared" ca="1" si="189"/>
        <v>39.493202893238163</v>
      </c>
      <c r="O240" s="239">
        <f t="shared" ca="1" si="190"/>
        <v>955.05119140445754</v>
      </c>
      <c r="P240" s="217"/>
      <c r="Q240" s="217"/>
      <c r="R240" s="224"/>
      <c r="S240" s="230">
        <f t="shared" ca="1" si="191"/>
        <v>82381.300484812688</v>
      </c>
      <c r="T240" s="231">
        <f t="shared" ca="1" si="192"/>
        <v>512.89070902215167</v>
      </c>
      <c r="U240" s="231">
        <f t="shared" ca="1" si="193"/>
        <v>840.68337923180673</v>
      </c>
      <c r="V240" s="231"/>
      <c r="W240" s="231">
        <f t="shared" ca="1" si="194"/>
        <v>2054.4938177965419</v>
      </c>
      <c r="X240" s="231">
        <f t="shared" ca="1" si="195"/>
        <v>256.81172722456773</v>
      </c>
      <c r="Y240" s="231"/>
      <c r="Z240" s="232">
        <f t="shared" ca="1" si="164"/>
        <v>86046.180118087752</v>
      </c>
      <c r="AA240" s="231">
        <f t="shared" ca="1" si="165"/>
        <v>56.749357504659251</v>
      </c>
      <c r="AB240" s="231">
        <f t="shared" ca="1" si="196"/>
        <v>9951.6833043525821</v>
      </c>
      <c r="AC240" s="231">
        <f t="shared" ca="1" si="197"/>
        <v>53541.029946049923</v>
      </c>
      <c r="AD240" s="231">
        <f t="shared" ca="1" si="198"/>
        <v>1859.0635397934</v>
      </c>
      <c r="AE240" s="231">
        <f t="shared" ca="1" si="166"/>
        <v>9010.0089395096511</v>
      </c>
      <c r="AF240" s="231">
        <f t="shared" ca="1" si="167"/>
        <v>74418.535087210214</v>
      </c>
      <c r="AG240" s="232">
        <f t="shared" ca="1" si="168"/>
        <v>160464.71520529798</v>
      </c>
      <c r="AH240" s="244">
        <f t="shared" ca="1" si="199"/>
        <v>0.41822576225740959</v>
      </c>
      <c r="AI240" s="243">
        <f t="shared" ca="1" si="200"/>
        <v>3.0275419055733566</v>
      </c>
      <c r="AJ240" s="242">
        <f t="shared" ca="1" si="201"/>
        <v>3.4457676678307663</v>
      </c>
      <c r="AK240" s="241">
        <f t="shared" ca="1" si="202"/>
        <v>0.3011225488253349</v>
      </c>
      <c r="AL240" s="243">
        <f t="shared" ca="1" si="203"/>
        <v>1.3412010641689969</v>
      </c>
      <c r="AM240" s="243"/>
      <c r="AN240" s="242">
        <f t="shared" ca="1" si="169"/>
        <v>1.6423236129943317</v>
      </c>
      <c r="AO240" s="224"/>
      <c r="AP240" s="235">
        <f t="shared" si="204"/>
        <v>18</v>
      </c>
      <c r="AQ240" s="235">
        <f t="shared" si="170"/>
        <v>0.5873946076162827</v>
      </c>
      <c r="AR240" s="235">
        <f t="shared" si="171"/>
        <v>0.76491158661458636</v>
      </c>
      <c r="AT240" s="230">
        <f t="shared" ca="1" si="172"/>
        <v>48390.331673195629</v>
      </c>
      <c r="AU240" s="231">
        <f t="shared" ca="1" si="173"/>
        <v>301.26923677610381</v>
      </c>
      <c r="AV240" s="231">
        <f t="shared" ca="1" si="205"/>
        <v>493.81288367339772</v>
      </c>
      <c r="AW240" s="231"/>
      <c r="AX240" s="231">
        <f t="shared" ca="1" si="206"/>
        <v>1206.7985899546784</v>
      </c>
      <c r="AY240" s="231">
        <f t="shared" ca="1" si="207"/>
        <v>150.8498237443348</v>
      </c>
      <c r="AZ240" s="231"/>
      <c r="BA240" s="232">
        <f t="shared" ca="1" si="174"/>
        <v>50543.062207344141</v>
      </c>
      <c r="BB240" s="231">
        <f t="shared" ca="1" si="175"/>
        <v>33.334266583925469</v>
      </c>
      <c r="BC240" s="231">
        <f t="shared" ca="1" si="208"/>
        <v>5845.5651096816964</v>
      </c>
      <c r="BD240" s="231">
        <f t="shared" ca="1" si="209"/>
        <v>31449.712276531638</v>
      </c>
      <c r="BE240" s="231">
        <f t="shared" ca="1" si="210"/>
        <v>1092.0038984906816</v>
      </c>
      <c r="BF240" s="231">
        <f t="shared" ca="1" si="176"/>
        <v>5292.4306656424706</v>
      </c>
      <c r="BG240" s="231">
        <f t="shared" ca="1" si="177"/>
        <v>43713.046216930408</v>
      </c>
      <c r="BH240" s="232">
        <f t="shared" ca="1" si="178"/>
        <v>94256.108424274556</v>
      </c>
      <c r="BI240" s="244">
        <f t="shared" ca="1" si="211"/>
        <v>0.31990573137140998</v>
      </c>
      <c r="BJ240" s="243">
        <f t="shared" ca="1" si="212"/>
        <v>2.3158018825342643</v>
      </c>
      <c r="BK240" s="242">
        <f t="shared" ca="1" si="213"/>
        <v>2.6357076139056743</v>
      </c>
      <c r="BL240" s="241">
        <f t="shared" ca="1" si="214"/>
        <v>0.23033212658741517</v>
      </c>
      <c r="BM240" s="243">
        <f t="shared" ca="1" si="215"/>
        <v>1.025900233962679</v>
      </c>
      <c r="BN240" s="243">
        <f t="shared" si="179"/>
        <v>0</v>
      </c>
      <c r="BO240" s="242">
        <f t="shared" ca="1" si="180"/>
        <v>1.2562323605500942</v>
      </c>
      <c r="BP240" s="67"/>
      <c r="BQ240" s="67"/>
      <c r="BR240" s="67"/>
      <c r="BS240" s="67"/>
      <c r="BT240" s="67"/>
      <c r="BU240" s="67"/>
      <c r="BV240" s="67"/>
      <c r="BW240" s="67"/>
      <c r="BX240" s="67"/>
      <c r="BY240" s="67"/>
      <c r="BZ240" s="67"/>
      <c r="CA240" s="67"/>
      <c r="CB240" s="67"/>
    </row>
    <row r="241" spans="1:80" ht="12" customHeight="1" x14ac:dyDescent="0.15">
      <c r="A241" s="213">
        <f t="shared" si="181"/>
        <v>235</v>
      </c>
      <c r="B241" s="67">
        <f t="shared" si="182"/>
        <v>940</v>
      </c>
      <c r="C241" s="224">
        <f t="shared" si="183"/>
        <v>216.92307692307691</v>
      </c>
      <c r="D241" s="225">
        <f ca="1">IFERROR(OFFSET(extrapolation!P250,0,OS_dist_choice-1,1,1),0)</f>
        <v>4.4480507099136792E-2</v>
      </c>
      <c r="E241" s="225">
        <f ca="1">IFERROR(OFFSET(extrapolation!D250,0,PFS_dist_choice-1,1,1),0)</f>
        <v>5.3324842709595588E-3</v>
      </c>
      <c r="F241" s="214"/>
      <c r="G241" s="226">
        <f t="shared" ca="1" si="184"/>
        <v>5.3324842709595588</v>
      </c>
      <c r="H241" s="224">
        <f t="shared" ca="1" si="185"/>
        <v>39.148022828177204</v>
      </c>
      <c r="I241" s="224">
        <f t="shared" ca="1" si="162"/>
        <v>955.51949290086327</v>
      </c>
      <c r="J241" s="227">
        <f t="shared" ca="1" si="163"/>
        <v>1000</v>
      </c>
      <c r="K241" s="238">
        <f t="shared" ca="1" si="186"/>
        <v>8.1611455088559381E-2</v>
      </c>
      <c r="L241" s="239">
        <f t="shared" ca="1" si="187"/>
        <v>0.31106161086506745</v>
      </c>
      <c r="M241" s="238">
        <f t="shared" ca="1" si="188"/>
        <v>5.3732899985038385</v>
      </c>
      <c r="N241" s="238">
        <f t="shared" ca="1" si="189"/>
        <v>39.262747906065442</v>
      </c>
      <c r="O241" s="239">
        <f t="shared" ca="1" si="190"/>
        <v>955.36396209543068</v>
      </c>
      <c r="P241" s="217"/>
      <c r="Q241" s="217"/>
      <c r="R241" s="224"/>
      <c r="S241" s="230">
        <f t="shared" ca="1" si="191"/>
        <v>81139.494254400706</v>
      </c>
      <c r="T241" s="231">
        <f t="shared" ca="1" si="192"/>
        <v>505.1594535766086</v>
      </c>
      <c r="U241" s="231">
        <f t="shared" ca="1" si="193"/>
        <v>827.9989134161151</v>
      </c>
      <c r="V241" s="231"/>
      <c r="W241" s="231">
        <f t="shared" ca="1" si="194"/>
        <v>2023.4950407965696</v>
      </c>
      <c r="X241" s="231">
        <f t="shared" ca="1" si="195"/>
        <v>252.9368800995712</v>
      </c>
      <c r="Y241" s="231"/>
      <c r="Z241" s="232">
        <f t="shared" ca="1" si="164"/>
        <v>84749.084542289565</v>
      </c>
      <c r="AA241" s="231">
        <f t="shared" ca="1" si="165"/>
        <v>55.786560954880485</v>
      </c>
      <c r="AB241" s="231">
        <f t="shared" ca="1" si="196"/>
        <v>9893.6121710881725</v>
      </c>
      <c r="AC241" s="231">
        <f t="shared" ca="1" si="197"/>
        <v>53228.601566847901</v>
      </c>
      <c r="AD241" s="231">
        <f t="shared" ca="1" si="198"/>
        <v>1848.2153321822186</v>
      </c>
      <c r="AE241" s="231">
        <f t="shared" ca="1" si="166"/>
        <v>8912.0768722156718</v>
      </c>
      <c r="AF241" s="231">
        <f t="shared" ca="1" si="167"/>
        <v>73938.292503288845</v>
      </c>
      <c r="AG241" s="232">
        <f t="shared" ca="1" si="168"/>
        <v>158687.37704557841</v>
      </c>
      <c r="AH241" s="244">
        <f t="shared" ca="1" si="199"/>
        <v>0.41191545505299793</v>
      </c>
      <c r="AI241" s="243">
        <f t="shared" ca="1" si="200"/>
        <v>3.0098752672685349</v>
      </c>
      <c r="AJ241" s="242">
        <f t="shared" ca="1" si="201"/>
        <v>3.4217907223215329</v>
      </c>
      <c r="AK241" s="241">
        <f t="shared" ca="1" si="202"/>
        <v>0.29657912763815847</v>
      </c>
      <c r="AL241" s="243">
        <f t="shared" ca="1" si="203"/>
        <v>1.333374743399961</v>
      </c>
      <c r="AM241" s="243"/>
      <c r="AN241" s="242">
        <f t="shared" ca="1" si="169"/>
        <v>1.6299538710381194</v>
      </c>
      <c r="AO241" s="224"/>
      <c r="AP241" s="235">
        <f t="shared" si="204"/>
        <v>18.076923076923077</v>
      </c>
      <c r="AQ241" s="235">
        <f t="shared" si="170"/>
        <v>0.58606053401908231</v>
      </c>
      <c r="AR241" s="235">
        <f t="shared" si="171"/>
        <v>0.76403605175217559</v>
      </c>
      <c r="AT241" s="230">
        <f t="shared" ca="1" si="172"/>
        <v>47552.655332772338</v>
      </c>
      <c r="AU241" s="231">
        <f t="shared" ca="1" si="173"/>
        <v>296.05401912789506</v>
      </c>
      <c r="AV241" s="231">
        <f t="shared" ca="1" si="205"/>
        <v>485.25748536386834</v>
      </c>
      <c r="AW241" s="231"/>
      <c r="AX241" s="231">
        <f t="shared" ca="1" si="206"/>
        <v>1185.8905841942023</v>
      </c>
      <c r="AY241" s="231">
        <f t="shared" ca="1" si="207"/>
        <v>148.23632302427529</v>
      </c>
      <c r="AZ241" s="231"/>
      <c r="BA241" s="232">
        <f t="shared" ca="1" si="174"/>
        <v>49668.093744482576</v>
      </c>
      <c r="BB241" s="231">
        <f t="shared" ca="1" si="175"/>
        <v>32.694301704305346</v>
      </c>
      <c r="BC241" s="231">
        <f t="shared" ca="1" si="208"/>
        <v>5798.2556323656272</v>
      </c>
      <c r="BD241" s="231">
        <f t="shared" ca="1" si="209"/>
        <v>31195.182659355843</v>
      </c>
      <c r="BE241" s="231">
        <f t="shared" ca="1" si="210"/>
        <v>1083.1660645609666</v>
      </c>
      <c r="BF241" s="231">
        <f t="shared" ca="1" si="176"/>
        <v>5223.0165309498298</v>
      </c>
      <c r="BG241" s="231">
        <f t="shared" ca="1" si="177"/>
        <v>43332.315188936569</v>
      </c>
      <c r="BH241" s="232">
        <f t="shared" ca="1" si="178"/>
        <v>93000.408933419152</v>
      </c>
      <c r="BI241" s="244">
        <f t="shared" ca="1" si="211"/>
        <v>0.31471825793439329</v>
      </c>
      <c r="BJ241" s="243">
        <f t="shared" ca="1" si="212"/>
        <v>2.2996532154703755</v>
      </c>
      <c r="BK241" s="242">
        <f t="shared" ca="1" si="213"/>
        <v>2.6143714734047689</v>
      </c>
      <c r="BL241" s="241">
        <f t="shared" ca="1" si="214"/>
        <v>0.22659714571276313</v>
      </c>
      <c r="BM241" s="243">
        <f t="shared" ca="1" si="215"/>
        <v>1.0187463744533765</v>
      </c>
      <c r="BN241" s="243">
        <f t="shared" si="179"/>
        <v>0</v>
      </c>
      <c r="BO241" s="242">
        <f t="shared" ca="1" si="180"/>
        <v>1.2453435201661396</v>
      </c>
      <c r="BP241" s="67"/>
      <c r="BQ241" s="67"/>
      <c r="BR241" s="67"/>
      <c r="BS241" s="67"/>
      <c r="BT241" s="67"/>
      <c r="BU241" s="67"/>
      <c r="BV241" s="67"/>
      <c r="BW241" s="67"/>
      <c r="BX241" s="67"/>
      <c r="BY241" s="67"/>
      <c r="BZ241" s="67"/>
      <c r="CA241" s="67"/>
      <c r="CB241" s="67"/>
    </row>
    <row r="242" spans="1:80" ht="12" customHeight="1" x14ac:dyDescent="0.15">
      <c r="A242" s="213">
        <f t="shared" si="181"/>
        <v>236</v>
      </c>
      <c r="B242" s="67">
        <f t="shared" si="182"/>
        <v>944</v>
      </c>
      <c r="C242" s="224">
        <f t="shared" si="183"/>
        <v>217.84615384615384</v>
      </c>
      <c r="D242" s="225">
        <f ca="1">IFERROR(OFFSET(extrapolation!P251,0,OS_dist_choice-1,1,1),0)</f>
        <v>4.4172813579746888E-2</v>
      </c>
      <c r="E242" s="225">
        <f ca="1">IFERROR(OFFSET(extrapolation!D251,0,PFS_dist_choice-1,1,1),0)</f>
        <v>5.2522545360345063E-3</v>
      </c>
      <c r="F242" s="214"/>
      <c r="G242" s="226">
        <f t="shared" ca="1" si="184"/>
        <v>5.2522545360345063</v>
      </c>
      <c r="H242" s="224">
        <f t="shared" ca="1" si="185"/>
        <v>38.920559043712387</v>
      </c>
      <c r="I242" s="224">
        <f t="shared" ca="1" si="162"/>
        <v>955.82718642025316</v>
      </c>
      <c r="J242" s="227">
        <f t="shared" ca="1" si="163"/>
        <v>1000</v>
      </c>
      <c r="K242" s="238">
        <f t="shared" ca="1" si="186"/>
        <v>8.0229734925052476E-2</v>
      </c>
      <c r="L242" s="239">
        <f t="shared" ca="1" si="187"/>
        <v>0.30769351938988621</v>
      </c>
      <c r="M242" s="238">
        <f t="shared" ca="1" si="188"/>
        <v>5.2923694034970321</v>
      </c>
      <c r="N242" s="238">
        <f t="shared" ca="1" si="189"/>
        <v>39.034290935944796</v>
      </c>
      <c r="O242" s="239">
        <f t="shared" ca="1" si="190"/>
        <v>955.67333966055821</v>
      </c>
      <c r="P242" s="217"/>
      <c r="Q242" s="217"/>
      <c r="R242" s="224"/>
      <c r="S242" s="230">
        <f t="shared" ca="1" si="191"/>
        <v>79918.712385162871</v>
      </c>
      <c r="T242" s="231">
        <f t="shared" ca="1" si="192"/>
        <v>497.55909190727306</v>
      </c>
      <c r="U242" s="231">
        <f t="shared" ca="1" si="193"/>
        <v>815.5294273550096</v>
      </c>
      <c r="V242" s="231"/>
      <c r="W242" s="231">
        <f t="shared" ca="1" si="194"/>
        <v>1993.0216394465263</v>
      </c>
      <c r="X242" s="231">
        <f t="shared" ca="1" si="195"/>
        <v>249.12770493081578</v>
      </c>
      <c r="Y242" s="231"/>
      <c r="Z242" s="232">
        <f t="shared" ca="1" si="164"/>
        <v>83473.950248802488</v>
      </c>
      <c r="AA242" s="231">
        <f t="shared" ca="1" si="165"/>
        <v>54.842068346086513</v>
      </c>
      <c r="AB242" s="231">
        <f t="shared" ca="1" si="196"/>
        <v>9836.0445075725384</v>
      </c>
      <c r="AC242" s="231">
        <f t="shared" ca="1" si="197"/>
        <v>52918.88190415861</v>
      </c>
      <c r="AD242" s="231">
        <f t="shared" ca="1" si="198"/>
        <v>1837.4611772277294</v>
      </c>
      <c r="AE242" s="231">
        <f t="shared" ca="1" si="166"/>
        <v>8815.5793003809722</v>
      </c>
      <c r="AF242" s="231">
        <f t="shared" ca="1" si="167"/>
        <v>73462.808957685935</v>
      </c>
      <c r="AG242" s="232">
        <f t="shared" ca="1" si="168"/>
        <v>156936.75920648844</v>
      </c>
      <c r="AH242" s="244">
        <f t="shared" ca="1" si="199"/>
        <v>0.40571209664042956</v>
      </c>
      <c r="AI242" s="243">
        <f t="shared" ca="1" si="200"/>
        <v>2.9923617965953575</v>
      </c>
      <c r="AJ242" s="242">
        <f t="shared" ca="1" si="201"/>
        <v>3.3980738932357872</v>
      </c>
      <c r="AK242" s="241">
        <f t="shared" ca="1" si="202"/>
        <v>0.2921127095811093</v>
      </c>
      <c r="AL242" s="243">
        <f t="shared" ca="1" si="203"/>
        <v>1.3256162758917434</v>
      </c>
      <c r="AM242" s="243"/>
      <c r="AN242" s="242">
        <f t="shared" ca="1" si="169"/>
        <v>1.6177289854728527</v>
      </c>
      <c r="AO242" s="224"/>
      <c r="AP242" s="235">
        <f t="shared" si="204"/>
        <v>18.153846153846153</v>
      </c>
      <c r="AQ242" s="235">
        <f t="shared" si="170"/>
        <v>0.58472949033114552</v>
      </c>
      <c r="AR242" s="235">
        <f t="shared" si="171"/>
        <v>0.76316151904649654</v>
      </c>
      <c r="AT242" s="230">
        <f t="shared" ca="1" si="172"/>
        <v>46730.827960897695</v>
      </c>
      <c r="AU242" s="231">
        <f t="shared" ca="1" si="173"/>
        <v>290.93747422056737</v>
      </c>
      <c r="AV242" s="231">
        <f t="shared" ca="1" si="205"/>
        <v>476.86410640734573</v>
      </c>
      <c r="AW242" s="231"/>
      <c r="AX242" s="231">
        <f t="shared" ca="1" si="206"/>
        <v>1165.3785274525114</v>
      </c>
      <c r="AY242" s="231">
        <f t="shared" ca="1" si="207"/>
        <v>145.67231593156393</v>
      </c>
      <c r="AZ242" s="231"/>
      <c r="BA242" s="232">
        <f t="shared" ca="1" si="174"/>
        <v>48809.680384909676</v>
      </c>
      <c r="BB242" s="231">
        <f t="shared" ca="1" si="175"/>
        <v>32.067774672713014</v>
      </c>
      <c r="BC242" s="231">
        <f t="shared" ca="1" si="208"/>
        <v>5751.4252917873537</v>
      </c>
      <c r="BD242" s="231">
        <f t="shared" ca="1" si="209"/>
        <v>30943.230844712743</v>
      </c>
      <c r="BE242" s="231">
        <f t="shared" ca="1" si="210"/>
        <v>1074.4177376636369</v>
      </c>
      <c r="BF242" s="231">
        <f t="shared" ca="1" si="176"/>
        <v>5154.7291912855626</v>
      </c>
      <c r="BG242" s="231">
        <f t="shared" ca="1" si="177"/>
        <v>42955.870840122006</v>
      </c>
      <c r="BH242" s="232">
        <f t="shared" ca="1" si="178"/>
        <v>91765.551225031697</v>
      </c>
      <c r="BI242" s="244">
        <f t="shared" ca="1" si="211"/>
        <v>0.30962385996764924</v>
      </c>
      <c r="BJ242" s="243">
        <f t="shared" ca="1" si="212"/>
        <v>2.2836553742264165</v>
      </c>
      <c r="BK242" s="242">
        <f t="shared" ca="1" si="213"/>
        <v>2.5932792341940658</v>
      </c>
      <c r="BL242" s="241">
        <f t="shared" ca="1" si="214"/>
        <v>0.22292917917670746</v>
      </c>
      <c r="BM242" s="243">
        <f t="shared" ca="1" si="215"/>
        <v>1.0116593307823025</v>
      </c>
      <c r="BN242" s="243">
        <f t="shared" si="179"/>
        <v>0</v>
      </c>
      <c r="BO242" s="242">
        <f t="shared" ca="1" si="180"/>
        <v>1.2345885099590099</v>
      </c>
      <c r="BP242" s="67"/>
      <c r="BQ242" s="67"/>
      <c r="BR242" s="67"/>
      <c r="BS242" s="67"/>
      <c r="BT242" s="67"/>
      <c r="BU242" s="67"/>
      <c r="BV242" s="67"/>
      <c r="BW242" s="67"/>
      <c r="BX242" s="67"/>
      <c r="BY242" s="67"/>
      <c r="BZ242" s="67"/>
      <c r="CA242" s="67"/>
      <c r="CB242" s="67"/>
    </row>
    <row r="243" spans="1:80" ht="12" customHeight="1" x14ac:dyDescent="0.15">
      <c r="A243" s="213">
        <f t="shared" si="181"/>
        <v>237</v>
      </c>
      <c r="B243" s="67">
        <f t="shared" si="182"/>
        <v>948</v>
      </c>
      <c r="C243" s="224">
        <f t="shared" si="183"/>
        <v>218.76923076923077</v>
      </c>
      <c r="D243" s="225">
        <f ca="1">IFERROR(OFFSET(extrapolation!P252,0,OS_dist_choice-1,1,1),0)</f>
        <v>4.3868438999882582E-2</v>
      </c>
      <c r="E243" s="225">
        <f ca="1">IFERROR(OFFSET(extrapolation!D252,0,PFS_dist_choice-1,1,1),0)</f>
        <v>5.1733803125264544E-3</v>
      </c>
      <c r="F243" s="214"/>
      <c r="G243" s="226">
        <f t="shared" ca="1" si="184"/>
        <v>5.1733803125264544</v>
      </c>
      <c r="H243" s="224">
        <f t="shared" ca="1" si="185"/>
        <v>38.695058687356095</v>
      </c>
      <c r="I243" s="224">
        <f t="shared" ca="1" si="162"/>
        <v>956.13156100011747</v>
      </c>
      <c r="J243" s="227">
        <f t="shared" ca="1" si="163"/>
        <v>1000</v>
      </c>
      <c r="K243" s="238">
        <f t="shared" ca="1" si="186"/>
        <v>7.8874223508051955E-2</v>
      </c>
      <c r="L243" s="239">
        <f t="shared" ca="1" si="187"/>
        <v>0.30437457986431582</v>
      </c>
      <c r="M243" s="238">
        <f t="shared" ca="1" si="188"/>
        <v>5.2128174242804803</v>
      </c>
      <c r="N243" s="238">
        <f t="shared" ca="1" si="189"/>
        <v>38.807808865534241</v>
      </c>
      <c r="O243" s="239">
        <f t="shared" ca="1" si="190"/>
        <v>955.97937371018531</v>
      </c>
      <c r="P243" s="217"/>
      <c r="Q243" s="217"/>
      <c r="R243" s="224"/>
      <c r="S243" s="230">
        <f t="shared" ca="1" si="191"/>
        <v>78718.556082779571</v>
      </c>
      <c r="T243" s="231">
        <f t="shared" ca="1" si="192"/>
        <v>490.08714119462013</v>
      </c>
      <c r="U243" s="231">
        <f t="shared" ca="1" si="193"/>
        <v>803.27083860030859</v>
      </c>
      <c r="V243" s="231"/>
      <c r="W243" s="231">
        <f t="shared" ca="1" si="194"/>
        <v>1963.0636369052404</v>
      </c>
      <c r="X243" s="231">
        <f t="shared" ca="1" si="195"/>
        <v>245.38295461315505</v>
      </c>
      <c r="Y243" s="231"/>
      <c r="Z243" s="232">
        <f t="shared" ca="1" si="164"/>
        <v>82220.360654092889</v>
      </c>
      <c r="AA243" s="231">
        <f t="shared" ca="1" si="165"/>
        <v>53.9154910634308</v>
      </c>
      <c r="AB243" s="231">
        <f t="shared" ca="1" si="196"/>
        <v>9778.9744885889468</v>
      </c>
      <c r="AC243" s="231">
        <f t="shared" ca="1" si="197"/>
        <v>52611.839617746053</v>
      </c>
      <c r="AD243" s="231">
        <f t="shared" ca="1" si="198"/>
        <v>1826.7999867272933</v>
      </c>
      <c r="AE243" s="231">
        <f t="shared" ca="1" si="166"/>
        <v>8720.4899574567207</v>
      </c>
      <c r="AF243" s="231">
        <f t="shared" ca="1" si="167"/>
        <v>72992.019541582442</v>
      </c>
      <c r="AG243" s="232">
        <f t="shared" ca="1" si="168"/>
        <v>155212.38019567533</v>
      </c>
      <c r="AH243" s="244">
        <f t="shared" ca="1" si="199"/>
        <v>0.39961365607078286</v>
      </c>
      <c r="AI243" s="243">
        <f t="shared" ca="1" si="200"/>
        <v>2.9749997213825017</v>
      </c>
      <c r="AJ243" s="242">
        <f t="shared" ca="1" si="201"/>
        <v>3.3746133774532847</v>
      </c>
      <c r="AK243" s="241">
        <f t="shared" ca="1" si="202"/>
        <v>0.28772183237096366</v>
      </c>
      <c r="AL243" s="243">
        <f t="shared" ca="1" si="203"/>
        <v>1.3179248765724483</v>
      </c>
      <c r="AM243" s="243"/>
      <c r="AN243" s="242">
        <f t="shared" ca="1" si="169"/>
        <v>1.6056467089434119</v>
      </c>
      <c r="AO243" s="224"/>
      <c r="AP243" s="235">
        <f t="shared" si="204"/>
        <v>18.23076923076923</v>
      </c>
      <c r="AQ243" s="235">
        <f t="shared" si="170"/>
        <v>0.58340146967102968</v>
      </c>
      <c r="AR243" s="235">
        <f t="shared" si="171"/>
        <v>0.76228798735045789</v>
      </c>
      <c r="AT243" s="230">
        <f t="shared" ca="1" si="172"/>
        <v>45924.521309074975</v>
      </c>
      <c r="AU243" s="231">
        <f t="shared" ca="1" si="173"/>
        <v>285.9175584398148</v>
      </c>
      <c r="AV243" s="231">
        <f t="shared" ca="1" si="205"/>
        <v>468.6293877833005</v>
      </c>
      <c r="AW243" s="231"/>
      <c r="AX243" s="231">
        <f t="shared" ca="1" si="206"/>
        <v>1145.2542108282739</v>
      </c>
      <c r="AY243" s="231">
        <f t="shared" ca="1" si="207"/>
        <v>143.15677635353424</v>
      </c>
      <c r="AZ243" s="231"/>
      <c r="BA243" s="232">
        <f t="shared" ca="1" si="174"/>
        <v>47967.479242479894</v>
      </c>
      <c r="BB243" s="231">
        <f t="shared" ca="1" si="175"/>
        <v>31.454376724440795</v>
      </c>
      <c r="BC243" s="231">
        <f t="shared" ca="1" si="208"/>
        <v>5705.0680885182974</v>
      </c>
      <c r="BD243" s="231">
        <f t="shared" ca="1" si="209"/>
        <v>30693.824555089552</v>
      </c>
      <c r="BE243" s="231">
        <f t="shared" ca="1" si="210"/>
        <v>1065.7577970517204</v>
      </c>
      <c r="BF243" s="231">
        <f t="shared" ca="1" si="176"/>
        <v>5087.5466574317061</v>
      </c>
      <c r="BG243" s="231">
        <f t="shared" ca="1" si="177"/>
        <v>42583.651474815713</v>
      </c>
      <c r="BH243" s="232">
        <f t="shared" ca="1" si="178"/>
        <v>90551.130717295615</v>
      </c>
      <c r="BI243" s="244">
        <f t="shared" ca="1" si="211"/>
        <v>0.30462068960395516</v>
      </c>
      <c r="BJ243" s="243">
        <f t="shared" ca="1" si="212"/>
        <v>2.2678065499808402</v>
      </c>
      <c r="BK243" s="242">
        <f t="shared" ca="1" si="213"/>
        <v>2.5724272395847954</v>
      </c>
      <c r="BL243" s="241">
        <f t="shared" ca="1" si="214"/>
        <v>0.21932689651484771</v>
      </c>
      <c r="BM243" s="243">
        <f t="shared" ca="1" si="215"/>
        <v>1.0046383016415121</v>
      </c>
      <c r="BN243" s="243">
        <f t="shared" si="179"/>
        <v>0</v>
      </c>
      <c r="BO243" s="242">
        <f t="shared" ca="1" si="180"/>
        <v>1.22396519815636</v>
      </c>
      <c r="BP243" s="67"/>
      <c r="BQ243" s="67"/>
      <c r="BR243" s="67"/>
      <c r="BS243" s="67"/>
      <c r="BT243" s="67"/>
      <c r="BU243" s="67"/>
      <c r="BV243" s="67"/>
      <c r="BW243" s="67"/>
      <c r="BX243" s="67"/>
      <c r="BY243" s="67"/>
      <c r="BZ243" s="67"/>
      <c r="CA243" s="67"/>
      <c r="CB243" s="67"/>
    </row>
    <row r="244" spans="1:80" ht="12" customHeight="1" x14ac:dyDescent="0.15">
      <c r="A244" s="213">
        <f t="shared" si="181"/>
        <v>238</v>
      </c>
      <c r="B244" s="67">
        <f t="shared" si="182"/>
        <v>952</v>
      </c>
      <c r="C244" s="224">
        <f t="shared" si="183"/>
        <v>219.69230769230768</v>
      </c>
      <c r="D244" s="225">
        <f ca="1">IFERROR(OFFSET(extrapolation!P253,0,OS_dist_choice-1,1,1),0)</f>
        <v>4.3567335104348355E-2</v>
      </c>
      <c r="E244" s="225">
        <f ca="1">IFERROR(OFFSET(extrapolation!D253,0,PFS_dist_choice-1,1,1),0)</f>
        <v>5.0958359467777603E-3</v>
      </c>
      <c r="F244" s="214"/>
      <c r="G244" s="226">
        <f t="shared" ca="1" si="184"/>
        <v>5.0958359467777603</v>
      </c>
      <c r="H244" s="224">
        <f t="shared" ca="1" si="185"/>
        <v>38.471499157570634</v>
      </c>
      <c r="I244" s="224">
        <f t="shared" ca="1" si="162"/>
        <v>956.43266489565156</v>
      </c>
      <c r="J244" s="227">
        <f t="shared" ca="1" si="163"/>
        <v>1000</v>
      </c>
      <c r="K244" s="238">
        <f t="shared" ca="1" si="186"/>
        <v>7.7544365748694055E-2</v>
      </c>
      <c r="L244" s="239">
        <f t="shared" ca="1" si="187"/>
        <v>0.30110389553408368</v>
      </c>
      <c r="M244" s="238">
        <f t="shared" ca="1" si="188"/>
        <v>5.1346081296521078</v>
      </c>
      <c r="N244" s="238">
        <f t="shared" ca="1" si="189"/>
        <v>38.583278922463364</v>
      </c>
      <c r="O244" s="239">
        <f t="shared" ca="1" si="190"/>
        <v>956.28211294788457</v>
      </c>
      <c r="P244" s="217"/>
      <c r="Q244" s="217"/>
      <c r="R244" s="224"/>
      <c r="S244" s="230">
        <f t="shared" ca="1" si="191"/>
        <v>77538.634999206435</v>
      </c>
      <c r="T244" s="231">
        <f t="shared" ca="1" si="192"/>
        <v>482.74117120406902</v>
      </c>
      <c r="U244" s="231">
        <f t="shared" ca="1" si="193"/>
        <v>791.21915127478462</v>
      </c>
      <c r="V244" s="231"/>
      <c r="W244" s="231">
        <f t="shared" ca="1" si="194"/>
        <v>1933.6112678969093</v>
      </c>
      <c r="X244" s="231">
        <f t="shared" ca="1" si="195"/>
        <v>241.70140848711367</v>
      </c>
      <c r="Y244" s="231"/>
      <c r="Z244" s="232">
        <f t="shared" ca="1" si="164"/>
        <v>80987.907998069306</v>
      </c>
      <c r="AA244" s="231">
        <f t="shared" ca="1" si="165"/>
        <v>53.0064496687732</v>
      </c>
      <c r="AB244" s="231">
        <f t="shared" ca="1" si="196"/>
        <v>9722.3963758482296</v>
      </c>
      <c r="AC244" s="231">
        <f t="shared" ca="1" si="197"/>
        <v>52307.443835053004</v>
      </c>
      <c r="AD244" s="231">
        <f t="shared" ca="1" si="198"/>
        <v>1816.230688717118</v>
      </c>
      <c r="AE244" s="231">
        <f t="shared" ca="1" si="166"/>
        <v>8626.7831509667867</v>
      </c>
      <c r="AF244" s="231">
        <f t="shared" ca="1" si="167"/>
        <v>72525.860500253912</v>
      </c>
      <c r="AG244" s="232">
        <f t="shared" ca="1" si="168"/>
        <v>153513.76849832322</v>
      </c>
      <c r="AH244" s="244">
        <f t="shared" ca="1" si="199"/>
        <v>0.39361814546272145</v>
      </c>
      <c r="AI244" s="243">
        <f t="shared" ca="1" si="200"/>
        <v>2.9577872959041045</v>
      </c>
      <c r="AJ244" s="242">
        <f t="shared" ca="1" si="201"/>
        <v>3.3514054413668259</v>
      </c>
      <c r="AK244" s="241">
        <f t="shared" ca="1" si="202"/>
        <v>0.28340506473315941</v>
      </c>
      <c r="AL244" s="243">
        <f t="shared" ca="1" si="203"/>
        <v>1.3102997720855183</v>
      </c>
      <c r="AM244" s="243"/>
      <c r="AN244" s="242">
        <f t="shared" ca="1" si="169"/>
        <v>1.5937048368186777</v>
      </c>
      <c r="AO244" s="224"/>
      <c r="AP244" s="235">
        <f t="shared" si="204"/>
        <v>18.307692307692307</v>
      </c>
      <c r="AQ244" s="235">
        <f t="shared" si="170"/>
        <v>0.582076465172922</v>
      </c>
      <c r="AR244" s="235">
        <f t="shared" si="171"/>
        <v>0.76141545551828127</v>
      </c>
      <c r="AT244" s="230">
        <f t="shared" ca="1" si="172"/>
        <v>45133.414574671493</v>
      </c>
      <c r="AU244" s="231">
        <f t="shared" ca="1" si="173"/>
        <v>280.99227452790086</v>
      </c>
      <c r="AV244" s="231">
        <f t="shared" ca="1" si="205"/>
        <v>460.55004675114606</v>
      </c>
      <c r="AW244" s="231"/>
      <c r="AX244" s="231">
        <f t="shared" ca="1" si="206"/>
        <v>1125.509611835965</v>
      </c>
      <c r="AY244" s="231">
        <f t="shared" ca="1" si="207"/>
        <v>140.68870147949562</v>
      </c>
      <c r="AZ244" s="231"/>
      <c r="BA244" s="232">
        <f t="shared" ca="1" si="174"/>
        <v>47141.155209265999</v>
      </c>
      <c r="BB244" s="231">
        <f t="shared" ca="1" si="175"/>
        <v>30.853806854565907</v>
      </c>
      <c r="BC244" s="231">
        <f t="shared" ca="1" si="208"/>
        <v>5659.1781154637647</v>
      </c>
      <c r="BD244" s="231">
        <f t="shared" ca="1" si="209"/>
        <v>30446.932009738804</v>
      </c>
      <c r="BE244" s="231">
        <f t="shared" ca="1" si="210"/>
        <v>1057.1851392270416</v>
      </c>
      <c r="BF244" s="231">
        <f t="shared" ca="1" si="176"/>
        <v>5021.447442328069</v>
      </c>
      <c r="BG244" s="231">
        <f t="shared" ca="1" si="177"/>
        <v>42215.596513612247</v>
      </c>
      <c r="BH244" s="232">
        <f t="shared" ca="1" si="178"/>
        <v>89356.751722878238</v>
      </c>
      <c r="BI244" s="244">
        <f t="shared" ca="1" si="211"/>
        <v>0.29970693952775918</v>
      </c>
      <c r="BJ244" s="243">
        <f t="shared" ca="1" si="212"/>
        <v>2.2521049612370092</v>
      </c>
      <c r="BK244" s="242">
        <f t="shared" ca="1" si="213"/>
        <v>2.5518119007647684</v>
      </c>
      <c r="BL244" s="241">
        <f t="shared" ca="1" si="214"/>
        <v>0.21578899645998656</v>
      </c>
      <c r="BM244" s="243">
        <f t="shared" ca="1" si="215"/>
        <v>0.99768249782799501</v>
      </c>
      <c r="BN244" s="243">
        <f t="shared" si="179"/>
        <v>0</v>
      </c>
      <c r="BO244" s="242">
        <f t="shared" ca="1" si="180"/>
        <v>1.2134714942879816</v>
      </c>
      <c r="BP244" s="67"/>
      <c r="BQ244" s="67"/>
      <c r="BR244" s="67"/>
      <c r="BS244" s="67"/>
      <c r="BT244" s="67"/>
      <c r="BU244" s="67"/>
      <c r="BV244" s="67"/>
      <c r="BW244" s="67"/>
      <c r="BX244" s="67"/>
      <c r="BY244" s="67"/>
      <c r="BZ244" s="67"/>
      <c r="CA244" s="67"/>
      <c r="CB244" s="67"/>
    </row>
    <row r="245" spans="1:80" ht="12" customHeight="1" x14ac:dyDescent="0.15">
      <c r="A245" s="213">
        <f t="shared" si="181"/>
        <v>239</v>
      </c>
      <c r="B245" s="67">
        <f t="shared" si="182"/>
        <v>956</v>
      </c>
      <c r="C245" s="224">
        <f t="shared" si="183"/>
        <v>220.61538461538458</v>
      </c>
      <c r="D245" s="225">
        <f ca="1">IFERROR(OFFSET(extrapolation!P254,0,OS_dist_choice-1,1,1),0)</f>
        <v>4.3269454515171481E-2</v>
      </c>
      <c r="E245" s="225">
        <f ca="1">IFERROR(OFFSET(extrapolation!D254,0,PFS_dist_choice-1,1,1),0)</f>
        <v>5.0195963271463251E-3</v>
      </c>
      <c r="F245" s="214"/>
      <c r="G245" s="226">
        <f t="shared" ca="1" si="184"/>
        <v>5.0195963271463251</v>
      </c>
      <c r="H245" s="224">
        <f t="shared" ca="1" si="185"/>
        <v>38.249858188025087</v>
      </c>
      <c r="I245" s="224">
        <f t="shared" ca="1" si="162"/>
        <v>956.73054548482855</v>
      </c>
      <c r="J245" s="227">
        <f t="shared" ca="1" si="163"/>
        <v>1000</v>
      </c>
      <c r="K245" s="238">
        <f t="shared" ca="1" si="186"/>
        <v>7.6239619631435218E-2</v>
      </c>
      <c r="L245" s="239">
        <f t="shared" ca="1" si="187"/>
        <v>0.297880589176998</v>
      </c>
      <c r="M245" s="238">
        <f t="shared" ca="1" si="188"/>
        <v>5.0577161369620427</v>
      </c>
      <c r="N245" s="238">
        <f t="shared" ca="1" si="189"/>
        <v>38.36067867279786</v>
      </c>
      <c r="O245" s="239">
        <f t="shared" ca="1" si="190"/>
        <v>956.58160519024</v>
      </c>
      <c r="P245" s="217"/>
      <c r="Q245" s="217"/>
      <c r="R245" s="224"/>
      <c r="S245" s="230">
        <f t="shared" ca="1" si="191"/>
        <v>76378.567033749627</v>
      </c>
      <c r="T245" s="231">
        <f t="shared" ca="1" si="192"/>
        <v>475.51880304751484</v>
      </c>
      <c r="U245" s="231">
        <f t="shared" ca="1" si="193"/>
        <v>779.37045403054492</v>
      </c>
      <c r="V245" s="231"/>
      <c r="W245" s="231">
        <f t="shared" ca="1" si="194"/>
        <v>1904.654973721714</v>
      </c>
      <c r="X245" s="231">
        <f t="shared" ca="1" si="195"/>
        <v>238.08187171521425</v>
      </c>
      <c r="Y245" s="231"/>
      <c r="Z245" s="232">
        <f t="shared" ca="1" si="164"/>
        <v>79776.193136264614</v>
      </c>
      <c r="AA245" s="231">
        <f t="shared" ca="1" si="165"/>
        <v>52.114573660409917</v>
      </c>
      <c r="AB245" s="231">
        <f t="shared" ca="1" si="196"/>
        <v>9666.3045163419392</v>
      </c>
      <c r="AC245" s="231">
        <f t="shared" ca="1" si="197"/>
        <v>52005.66414234088</v>
      </c>
      <c r="AD245" s="231">
        <f t="shared" ca="1" si="198"/>
        <v>1805.7522271646137</v>
      </c>
      <c r="AE245" s="231">
        <f t="shared" ca="1" si="166"/>
        <v>8534.433748039306</v>
      </c>
      <c r="AF245" s="231">
        <f t="shared" ca="1" si="167"/>
        <v>72064.269207547142</v>
      </c>
      <c r="AG245" s="232">
        <f t="shared" ca="1" si="168"/>
        <v>151840.46234381176</v>
      </c>
      <c r="AH245" s="244">
        <f t="shared" ca="1" si="199"/>
        <v>0.38772361898682328</v>
      </c>
      <c r="AI245" s="243">
        <f t="shared" ca="1" si="200"/>
        <v>2.9407228003787544</v>
      </c>
      <c r="AJ245" s="242">
        <f t="shared" ca="1" si="201"/>
        <v>3.3284464193655778</v>
      </c>
      <c r="AK245" s="241">
        <f t="shared" ca="1" si="202"/>
        <v>0.27916100567051277</v>
      </c>
      <c r="AL245" s="243">
        <f t="shared" ca="1" si="203"/>
        <v>1.3027402005677882</v>
      </c>
      <c r="AM245" s="243"/>
      <c r="AN245" s="242">
        <f t="shared" ca="1" si="169"/>
        <v>1.5819012062383009</v>
      </c>
      <c r="AO245" s="224"/>
      <c r="AP245" s="235">
        <f t="shared" si="204"/>
        <v>18.384615384615383</v>
      </c>
      <c r="AQ245" s="235">
        <f t="shared" si="170"/>
        <v>0.58075446998660263</v>
      </c>
      <c r="AR245" s="235">
        <f t="shared" si="171"/>
        <v>0.76054392240550051</v>
      </c>
      <c r="AT245" s="230">
        <f t="shared" ca="1" si="172"/>
        <v>44357.194216021468</v>
      </c>
      <c r="AU245" s="231">
        <f t="shared" ca="1" si="173"/>
        <v>276.15967043252317</v>
      </c>
      <c r="AV245" s="231">
        <f t="shared" ca="1" si="205"/>
        <v>452.62287495372698</v>
      </c>
      <c r="AW245" s="231"/>
      <c r="AX245" s="231">
        <f t="shared" ca="1" si="206"/>
        <v>1106.1368897711006</v>
      </c>
      <c r="AY245" s="231">
        <f t="shared" ca="1" si="207"/>
        <v>138.26711122138758</v>
      </c>
      <c r="AZ245" s="231"/>
      <c r="BA245" s="232">
        <f t="shared" ca="1" si="174"/>
        <v>46330.3807624002</v>
      </c>
      <c r="BB245" s="231">
        <f t="shared" ca="1" si="175"/>
        <v>30.265771604729125</v>
      </c>
      <c r="BC245" s="231">
        <f t="shared" ca="1" si="208"/>
        <v>5613.7495561172664</v>
      </c>
      <c r="BD245" s="231">
        <f t="shared" ca="1" si="209"/>
        <v>30202.521915286445</v>
      </c>
      <c r="BE245" s="231">
        <f t="shared" ca="1" si="210"/>
        <v>1048.6986776141125</v>
      </c>
      <c r="BF245" s="231">
        <f t="shared" ca="1" si="176"/>
        <v>4956.410547978342</v>
      </c>
      <c r="BG245" s="231">
        <f t="shared" ca="1" si="177"/>
        <v>41851.646468600891</v>
      </c>
      <c r="BH245" s="232">
        <f t="shared" ca="1" si="178"/>
        <v>88182.027231001091</v>
      </c>
      <c r="BI245" s="244">
        <f t="shared" ca="1" si="211"/>
        <v>0.29488084199349435</v>
      </c>
      <c r="BJ245" s="243">
        <f t="shared" ca="1" si="212"/>
        <v>2.2365488533073457</v>
      </c>
      <c r="BK245" s="242">
        <f t="shared" ca="1" si="213"/>
        <v>2.5314296953008402</v>
      </c>
      <c r="BL245" s="241">
        <f t="shared" ca="1" si="214"/>
        <v>0.21231420623531597</v>
      </c>
      <c r="BM245" s="243">
        <f t="shared" ca="1" si="215"/>
        <v>0.99079114201515406</v>
      </c>
      <c r="BN245" s="243">
        <f t="shared" si="179"/>
        <v>0</v>
      </c>
      <c r="BO245" s="242">
        <f t="shared" ca="1" si="180"/>
        <v>1.2031053482504699</v>
      </c>
      <c r="BP245" s="67"/>
      <c r="BQ245" s="67"/>
      <c r="BR245" s="67"/>
      <c r="BS245" s="67"/>
      <c r="BT245" s="67"/>
      <c r="BU245" s="67"/>
      <c r="BV245" s="67"/>
      <c r="BW245" s="67"/>
      <c r="BX245" s="67"/>
      <c r="BY245" s="67"/>
      <c r="BZ245" s="67"/>
      <c r="CA245" s="67"/>
      <c r="CB245" s="67"/>
    </row>
    <row r="246" spans="1:80" ht="12" customHeight="1" x14ac:dyDescent="0.15">
      <c r="A246" s="213">
        <f t="shared" si="181"/>
        <v>240</v>
      </c>
      <c r="B246" s="67">
        <f t="shared" si="182"/>
        <v>960</v>
      </c>
      <c r="C246" s="224">
        <f t="shared" si="183"/>
        <v>221.53846153846152</v>
      </c>
      <c r="D246" s="225">
        <f ca="1">IFERROR(OFFSET(extrapolation!P255,0,OS_dist_choice-1,1,1),0)</f>
        <v>4.2974750712562487E-2</v>
      </c>
      <c r="E246" s="225">
        <f ca="1">IFERROR(OFFSET(extrapolation!D255,0,PFS_dist_choice-1,1,1),0)</f>
        <v>4.9446368712721123E-3</v>
      </c>
      <c r="F246" s="214"/>
      <c r="G246" s="226">
        <f t="shared" ca="1" si="184"/>
        <v>4.9446368712721123</v>
      </c>
      <c r="H246" s="224">
        <f t="shared" ca="1" si="185"/>
        <v>38.030113841290358</v>
      </c>
      <c r="I246" s="224">
        <f t="shared" ca="1" si="162"/>
        <v>957.02524928743753</v>
      </c>
      <c r="J246" s="227">
        <f t="shared" ca="1" si="163"/>
        <v>1000</v>
      </c>
      <c r="K246" s="238">
        <f t="shared" ca="1" si="186"/>
        <v>7.4959455874212821E-2</v>
      </c>
      <c r="L246" s="239">
        <f t="shared" ca="1" si="187"/>
        <v>0.29470380260897855</v>
      </c>
      <c r="M246" s="238">
        <f t="shared" ca="1" si="188"/>
        <v>4.9821165992092187</v>
      </c>
      <c r="N246" s="238">
        <f t="shared" ca="1" si="189"/>
        <v>38.139986014657723</v>
      </c>
      <c r="O246" s="239">
        <f t="shared" ca="1" si="190"/>
        <v>956.8778973861331</v>
      </c>
      <c r="P246" s="217"/>
      <c r="Q246" s="217"/>
      <c r="R246" s="224"/>
      <c r="S246" s="230">
        <f t="shared" ca="1" si="191"/>
        <v>75237.97813931221</v>
      </c>
      <c r="T246" s="231">
        <f t="shared" ca="1" si="192"/>
        <v>468.41770797705465</v>
      </c>
      <c r="U246" s="231">
        <f t="shared" ca="1" si="193"/>
        <v>767.72091806067749</v>
      </c>
      <c r="V246" s="231"/>
      <c r="W246" s="231">
        <f t="shared" ca="1" si="194"/>
        <v>1876.1853973966045</v>
      </c>
      <c r="X246" s="231">
        <f t="shared" ca="1" si="195"/>
        <v>234.52317467457556</v>
      </c>
      <c r="Y246" s="231"/>
      <c r="Z246" s="232">
        <f t="shared" ca="1" si="164"/>
        <v>78584.82533742112</v>
      </c>
      <c r="AA246" s="231">
        <f t="shared" ca="1" si="165"/>
        <v>51.239501240772007</v>
      </c>
      <c r="AB246" s="231">
        <f t="shared" ca="1" si="196"/>
        <v>9610.6933407342403</v>
      </c>
      <c r="AC246" s="231">
        <f t="shared" ca="1" si="197"/>
        <v>51706.470576037915</v>
      </c>
      <c r="AD246" s="231">
        <f t="shared" ca="1" si="198"/>
        <v>1795.363561667983</v>
      </c>
      <c r="AE246" s="231">
        <f t="shared" ca="1" si="166"/>
        <v>8443.4171612542123</v>
      </c>
      <c r="AF246" s="231">
        <f t="shared" ca="1" si="167"/>
        <v>71607.184140935118</v>
      </c>
      <c r="AG246" s="232">
        <f t="shared" ca="1" si="168"/>
        <v>150192.00947835622</v>
      </c>
      <c r="AH246" s="244">
        <f t="shared" ca="1" si="199"/>
        <v>0.38192817187640826</v>
      </c>
      <c r="AI246" s="243">
        <f t="shared" ca="1" si="200"/>
        <v>2.9238045404802633</v>
      </c>
      <c r="AJ246" s="242">
        <f t="shared" ca="1" si="201"/>
        <v>3.3057327123566713</v>
      </c>
      <c r="AK246" s="241">
        <f t="shared" ca="1" si="202"/>
        <v>0.27498828375101392</v>
      </c>
      <c r="AL246" s="243">
        <f t="shared" ca="1" si="203"/>
        <v>1.2952454114327567</v>
      </c>
      <c r="AM246" s="243"/>
      <c r="AN246" s="242">
        <f t="shared" ca="1" si="169"/>
        <v>1.5702336951837705</v>
      </c>
      <c r="AO246" s="224"/>
      <c r="AP246" s="235">
        <f t="shared" si="204"/>
        <v>18.46153846153846</v>
      </c>
      <c r="AQ246" s="235">
        <f t="shared" si="170"/>
        <v>0.57943547727740985</v>
      </c>
      <c r="AR246" s="235">
        <f t="shared" si="171"/>
        <v>0.75967338686895924</v>
      </c>
      <c r="AT246" s="230">
        <f t="shared" ca="1" si="172"/>
        <v>43595.553772539701</v>
      </c>
      <c r="AU246" s="231">
        <f t="shared" ca="1" si="173"/>
        <v>271.41783818687503</v>
      </c>
      <c r="AV246" s="231">
        <f t="shared" ca="1" si="205"/>
        <v>444.84473657233991</v>
      </c>
      <c r="AW246" s="231"/>
      <c r="AX246" s="231">
        <f t="shared" ca="1" si="206"/>
        <v>1087.1283812014083</v>
      </c>
      <c r="AY246" s="231">
        <f t="shared" ca="1" si="207"/>
        <v>135.89104765017603</v>
      </c>
      <c r="AZ246" s="231"/>
      <c r="BA246" s="232">
        <f t="shared" ca="1" si="174"/>
        <v>45534.835776150496</v>
      </c>
      <c r="BB246" s="231">
        <f t="shared" ca="1" si="175"/>
        <v>29.689984856903163</v>
      </c>
      <c r="BC246" s="231">
        <f t="shared" ca="1" si="208"/>
        <v>5568.7766828551694</v>
      </c>
      <c r="BD246" s="231">
        <f t="shared" ca="1" si="209"/>
        <v>29960.56345655688</v>
      </c>
      <c r="BE246" s="231">
        <f t="shared" ca="1" si="210"/>
        <v>1040.2973422415582</v>
      </c>
      <c r="BF246" s="231">
        <f t="shared" ca="1" si="176"/>
        <v>4892.4154526836073</v>
      </c>
      <c r="BG246" s="231">
        <f t="shared" ca="1" si="177"/>
        <v>41491.742919194112</v>
      </c>
      <c r="BH246" s="232">
        <f t="shared" ca="1" si="178"/>
        <v>87026.578695344608</v>
      </c>
      <c r="BI246" s="244">
        <f t="shared" ca="1" si="211"/>
        <v>0.29014066787002107</v>
      </c>
      <c r="BJ246" s="243">
        <f t="shared" ca="1" si="212"/>
        <v>2.2211364978094825</v>
      </c>
      <c r="BK246" s="242">
        <f t="shared" ca="1" si="213"/>
        <v>2.5112771656795037</v>
      </c>
      <c r="BL246" s="241">
        <f t="shared" ca="1" si="214"/>
        <v>0.20890128086641513</v>
      </c>
      <c r="BM246" s="243">
        <f t="shared" ca="1" si="215"/>
        <v>0.98396346852960093</v>
      </c>
      <c r="BN246" s="243">
        <f t="shared" si="179"/>
        <v>0</v>
      </c>
      <c r="BO246" s="242">
        <f t="shared" ca="1" si="180"/>
        <v>1.1928647493960158</v>
      </c>
      <c r="BP246" s="67"/>
      <c r="BQ246" s="67"/>
      <c r="BR246" s="67"/>
      <c r="BS246" s="67"/>
      <c r="BT246" s="67"/>
      <c r="BU246" s="67"/>
      <c r="BV246" s="67"/>
      <c r="BW246" s="67"/>
      <c r="BX246" s="67"/>
      <c r="BY246" s="67"/>
      <c r="BZ246" s="67"/>
      <c r="CA246" s="67"/>
      <c r="CB246" s="67"/>
    </row>
    <row r="247" spans="1:80" ht="12" customHeight="1" x14ac:dyDescent="0.15">
      <c r="A247" s="213">
        <f t="shared" si="181"/>
        <v>241</v>
      </c>
      <c r="B247" s="67">
        <f t="shared" si="182"/>
        <v>964</v>
      </c>
      <c r="C247" s="224">
        <f t="shared" si="183"/>
        <v>222.46153846153848</v>
      </c>
      <c r="D247" s="225">
        <f ca="1">IFERROR(OFFSET(extrapolation!P256,0,OS_dist_choice-1,1,1),0)</f>
        <v>4.2683178016354524E-2</v>
      </c>
      <c r="E247" s="225">
        <f ca="1">IFERROR(OFFSET(extrapolation!D256,0,PFS_dist_choice-1,1,1),0)</f>
        <v>4.8709335136756238E-3</v>
      </c>
      <c r="F247" s="214"/>
      <c r="G247" s="226">
        <f t="shared" ca="1" si="184"/>
        <v>4.8709335136756238</v>
      </c>
      <c r="H247" s="224">
        <f t="shared" ca="1" si="185"/>
        <v>37.812244502678936</v>
      </c>
      <c r="I247" s="224">
        <f t="shared" ca="1" si="162"/>
        <v>957.31682198364547</v>
      </c>
      <c r="J247" s="227">
        <f t="shared" ca="1" si="163"/>
        <v>1000</v>
      </c>
      <c r="K247" s="238">
        <f t="shared" ca="1" si="186"/>
        <v>7.3703357596488495E-2</v>
      </c>
      <c r="L247" s="239">
        <f t="shared" ca="1" si="187"/>
        <v>0.29157269620793613</v>
      </c>
      <c r="M247" s="238">
        <f t="shared" ca="1" si="188"/>
        <v>4.9077851924738685</v>
      </c>
      <c r="N247" s="238">
        <f t="shared" ca="1" si="189"/>
        <v>37.921179171984647</v>
      </c>
      <c r="O247" s="239">
        <f t="shared" ca="1" si="190"/>
        <v>957.17103563554156</v>
      </c>
      <c r="P247" s="217"/>
      <c r="Q247" s="217"/>
      <c r="R247" s="224"/>
      <c r="S247" s="230">
        <f t="shared" ca="1" si="191"/>
        <v>74116.502133691625</v>
      </c>
      <c r="T247" s="231">
        <f t="shared" ca="1" si="192"/>
        <v>461.43560621016024</v>
      </c>
      <c r="U247" s="231">
        <f t="shared" ca="1" si="193"/>
        <v>756.26679516265813</v>
      </c>
      <c r="V247" s="231"/>
      <c r="W247" s="231">
        <f t="shared" ca="1" si="194"/>
        <v>1848.1933789225793</v>
      </c>
      <c r="X247" s="231">
        <f t="shared" ca="1" si="195"/>
        <v>231.02417236532241</v>
      </c>
      <c r="Y247" s="231"/>
      <c r="Z247" s="232">
        <f t="shared" ca="1" si="164"/>
        <v>77413.422086352337</v>
      </c>
      <c r="AA247" s="231">
        <f t="shared" ca="1" si="165"/>
        <v>50.380879089512121</v>
      </c>
      <c r="AB247" s="231">
        <f t="shared" ca="1" si="196"/>
        <v>9555.5573617913778</v>
      </c>
      <c r="AC247" s="231">
        <f t="shared" ca="1" si="197"/>
        <v>51409.833614289601</v>
      </c>
      <c r="AD247" s="231">
        <f t="shared" ca="1" si="198"/>
        <v>1785.0636671628333</v>
      </c>
      <c r="AE247" s="231">
        <f t="shared" ca="1" si="166"/>
        <v>8353.7093350021296</v>
      </c>
      <c r="AF247" s="231">
        <f t="shared" ca="1" si="167"/>
        <v>71154.544857335452</v>
      </c>
      <c r="AG247" s="232">
        <f t="shared" ca="1" si="168"/>
        <v>148567.96694368779</v>
      </c>
      <c r="AH247" s="244">
        <f t="shared" ca="1" si="199"/>
        <v>0.37622993946411587</v>
      </c>
      <c r="AI247" s="243">
        <f t="shared" ca="1" si="200"/>
        <v>2.9070308468598771</v>
      </c>
      <c r="AJ247" s="242">
        <f t="shared" ca="1" si="201"/>
        <v>3.2832607863239929</v>
      </c>
      <c r="AK247" s="241">
        <f t="shared" ca="1" si="202"/>
        <v>0.2708855564141634</v>
      </c>
      <c r="AL247" s="243">
        <f t="shared" ca="1" si="203"/>
        <v>1.2878146651589255</v>
      </c>
      <c r="AM247" s="243"/>
      <c r="AN247" s="242">
        <f t="shared" ca="1" si="169"/>
        <v>1.558700221573089</v>
      </c>
      <c r="AO247" s="224"/>
      <c r="AP247" s="235">
        <f t="shared" si="204"/>
        <v>18.53846153846154</v>
      </c>
      <c r="AQ247" s="235">
        <f t="shared" si="170"/>
        <v>0.57811948022620474</v>
      </c>
      <c r="AR247" s="235">
        <f t="shared" si="171"/>
        <v>0.75880384776680909</v>
      </c>
      <c r="AT247" s="230">
        <f t="shared" ca="1" si="172"/>
        <v>42848.1936897142</v>
      </c>
      <c r="AU247" s="231">
        <f t="shared" ca="1" si="173"/>
        <v>266.76491282008152</v>
      </c>
      <c r="AV247" s="231">
        <f t="shared" ca="1" si="205"/>
        <v>437.21256653177358</v>
      </c>
      <c r="AW247" s="231"/>
      <c r="AX247" s="231">
        <f t="shared" ca="1" si="206"/>
        <v>1068.4765955802345</v>
      </c>
      <c r="AY247" s="231">
        <f t="shared" ca="1" si="207"/>
        <v>133.55957444752931</v>
      </c>
      <c r="AZ247" s="231"/>
      <c r="BA247" s="232">
        <f t="shared" ca="1" si="174"/>
        <v>44754.207339093809</v>
      </c>
      <c r="BB247" s="231">
        <f t="shared" ca="1" si="175"/>
        <v>29.126167632568013</v>
      </c>
      <c r="BC247" s="231">
        <f t="shared" ca="1" si="208"/>
        <v>5524.2538552705155</v>
      </c>
      <c r="BD247" s="231">
        <f t="shared" ca="1" si="209"/>
        <v>29721.026287608773</v>
      </c>
      <c r="BE247" s="231">
        <f t="shared" ca="1" si="210"/>
        <v>1031.9800794308601</v>
      </c>
      <c r="BF247" s="231">
        <f t="shared" ca="1" si="176"/>
        <v>4829.4420987122257</v>
      </c>
      <c r="BG247" s="231">
        <f t="shared" ca="1" si="177"/>
        <v>41135.828488654937</v>
      </c>
      <c r="BH247" s="232">
        <f t="shared" ca="1" si="178"/>
        <v>85890.035827748754</v>
      </c>
      <c r="BI247" s="244">
        <f t="shared" ca="1" si="211"/>
        <v>0.28548472571044475</v>
      </c>
      <c r="BJ247" s="243">
        <f t="shared" ca="1" si="212"/>
        <v>2.2058661921740805</v>
      </c>
      <c r="BK247" s="242">
        <f t="shared" ca="1" si="213"/>
        <v>2.491350917884525</v>
      </c>
      <c r="BL247" s="241">
        <f t="shared" ca="1" si="214"/>
        <v>0.20554900251152022</v>
      </c>
      <c r="BM247" s="243">
        <f t="shared" ca="1" si="215"/>
        <v>0.97719872313311751</v>
      </c>
      <c r="BN247" s="243">
        <f t="shared" si="179"/>
        <v>0</v>
      </c>
      <c r="BO247" s="242">
        <f t="shared" ca="1" si="180"/>
        <v>1.1827477256446377</v>
      </c>
      <c r="BP247" s="67"/>
      <c r="BQ247" s="67"/>
      <c r="BR247" s="67"/>
      <c r="BS247" s="67"/>
      <c r="BT247" s="67"/>
      <c r="BU247" s="67"/>
      <c r="BV247" s="67"/>
      <c r="BW247" s="67"/>
      <c r="BX247" s="67"/>
      <c r="BY247" s="67"/>
      <c r="BZ247" s="67"/>
      <c r="CA247" s="67"/>
      <c r="CB247" s="67"/>
    </row>
    <row r="248" spans="1:80" ht="12" customHeight="1" x14ac:dyDescent="0.15">
      <c r="A248" s="213">
        <f t="shared" si="181"/>
        <v>242</v>
      </c>
      <c r="B248" s="67">
        <f t="shared" si="182"/>
        <v>968</v>
      </c>
      <c r="C248" s="224">
        <f t="shared" si="183"/>
        <v>223.38461538461542</v>
      </c>
      <c r="D248" s="225">
        <f ca="1">IFERROR(OFFSET(extrapolation!P257,0,OS_dist_choice-1,1,1),0)</f>
        <v>4.2394691567906595E-2</v>
      </c>
      <c r="E248" s="225">
        <f ca="1">IFERROR(OFFSET(extrapolation!D257,0,PFS_dist_choice-1,1,1),0)</f>
        <v>4.7984626936775632E-3</v>
      </c>
      <c r="F248" s="214"/>
      <c r="G248" s="226">
        <f t="shared" ca="1" si="184"/>
        <v>4.7984626936775632</v>
      </c>
      <c r="H248" s="224">
        <f t="shared" ca="1" si="185"/>
        <v>37.596228874228927</v>
      </c>
      <c r="I248" s="224">
        <f t="shared" ca="1" si="162"/>
        <v>957.60530843209347</v>
      </c>
      <c r="J248" s="227">
        <f t="shared" ca="1" si="163"/>
        <v>1000</v>
      </c>
      <c r="K248" s="238">
        <f t="shared" ca="1" si="186"/>
        <v>7.2470819998060598E-2</v>
      </c>
      <c r="L248" s="239">
        <f t="shared" ca="1" si="187"/>
        <v>0.28848644844799765</v>
      </c>
      <c r="M248" s="238">
        <f t="shared" ca="1" si="188"/>
        <v>4.8346981036765939</v>
      </c>
      <c r="N248" s="238">
        <f t="shared" ca="1" si="189"/>
        <v>37.704236688453932</v>
      </c>
      <c r="O248" s="239">
        <f t="shared" ca="1" si="190"/>
        <v>957.46106520786952</v>
      </c>
      <c r="P248" s="217"/>
      <c r="Q248" s="217"/>
      <c r="R248" s="224"/>
      <c r="S248" s="230">
        <f t="shared" ca="1" si="191"/>
        <v>73013.780515764331</v>
      </c>
      <c r="T248" s="231">
        <f t="shared" ca="1" si="192"/>
        <v>454.57026578527768</v>
      </c>
      <c r="U248" s="231">
        <f t="shared" ca="1" si="193"/>
        <v>745.00441585207921</v>
      </c>
      <c r="V248" s="231"/>
      <c r="W248" s="231">
        <f t="shared" ca="1" si="194"/>
        <v>1820.6699506749464</v>
      </c>
      <c r="X248" s="231">
        <f t="shared" ca="1" si="195"/>
        <v>227.58374383436831</v>
      </c>
      <c r="Y248" s="231"/>
      <c r="Z248" s="232">
        <f t="shared" ca="1" si="164"/>
        <v>76261.608891911004</v>
      </c>
      <c r="AA248" s="231">
        <f t="shared" ca="1" si="165"/>
        <v>49.538362143952611</v>
      </c>
      <c r="AB248" s="231">
        <f t="shared" ca="1" si="196"/>
        <v>9500.8911728475832</v>
      </c>
      <c r="AC248" s="231">
        <f t="shared" ca="1" si="197"/>
        <v>51115.724168705055</v>
      </c>
      <c r="AD248" s="231">
        <f t="shared" ca="1" si="198"/>
        <v>1774.851533635592</v>
      </c>
      <c r="AE248" s="231">
        <f t="shared" ca="1" si="166"/>
        <v>8265.2867321396807</v>
      </c>
      <c r="AF248" s="231">
        <f t="shared" ca="1" si="167"/>
        <v>70706.291969471858</v>
      </c>
      <c r="AG248" s="232">
        <f t="shared" ca="1" si="168"/>
        <v>146967.90086138286</v>
      </c>
      <c r="AH248" s="244">
        <f t="shared" ca="1" si="199"/>
        <v>0.37062709624351714</v>
      </c>
      <c r="AI248" s="243">
        <f t="shared" ca="1" si="200"/>
        <v>2.8904000746795622</v>
      </c>
      <c r="AJ248" s="242">
        <f t="shared" ca="1" si="201"/>
        <v>3.2610271709230791</v>
      </c>
      <c r="AK248" s="241">
        <f t="shared" ca="1" si="202"/>
        <v>0.26685150929533236</v>
      </c>
      <c r="AL248" s="243">
        <f t="shared" ca="1" si="203"/>
        <v>1.2804472330830461</v>
      </c>
      <c r="AM248" s="243"/>
      <c r="AN248" s="242">
        <f t="shared" ca="1" si="169"/>
        <v>1.5472987423783784</v>
      </c>
      <c r="AO248" s="224"/>
      <c r="AP248" s="235">
        <f t="shared" si="204"/>
        <v>18.615384615384617</v>
      </c>
      <c r="AQ248" s="235">
        <f t="shared" si="170"/>
        <v>0.57680647202933588</v>
      </c>
      <c r="AR248" s="235">
        <f t="shared" si="171"/>
        <v>0.75793530395850928</v>
      </c>
      <c r="AT248" s="230">
        <f t="shared" ca="1" si="172"/>
        <v>42114.821148822288</v>
      </c>
      <c r="AU248" s="231">
        <f t="shared" ca="1" si="173"/>
        <v>262.19907129704353</v>
      </c>
      <c r="AV248" s="231">
        <f t="shared" ca="1" si="205"/>
        <v>429.72336875391403</v>
      </c>
      <c r="AW248" s="231"/>
      <c r="AX248" s="231">
        <f t="shared" ca="1" si="206"/>
        <v>1050.1742109786408</v>
      </c>
      <c r="AY248" s="231">
        <f t="shared" ca="1" si="207"/>
        <v>131.27177637233009</v>
      </c>
      <c r="AZ248" s="231"/>
      <c r="BA248" s="232">
        <f t="shared" ca="1" si="174"/>
        <v>43988.18957622422</v>
      </c>
      <c r="BB248" s="231">
        <f t="shared" ca="1" si="175"/>
        <v>28.574047898364913</v>
      </c>
      <c r="BC248" s="231">
        <f t="shared" ca="1" si="208"/>
        <v>5480.1755185448737</v>
      </c>
      <c r="BD248" s="231">
        <f t="shared" ca="1" si="209"/>
        <v>29483.880522975422</v>
      </c>
      <c r="BE248" s="231">
        <f t="shared" ca="1" si="210"/>
        <v>1023.745851492202</v>
      </c>
      <c r="BF248" s="231">
        <f t="shared" ca="1" si="176"/>
        <v>4767.470880276368</v>
      </c>
      <c r="BG248" s="231">
        <f t="shared" ca="1" si="177"/>
        <v>40783.846821187224</v>
      </c>
      <c r="BH248" s="232">
        <f t="shared" ca="1" si="178"/>
        <v>84772.036397411444</v>
      </c>
      <c r="BI248" s="244">
        <f t="shared" ca="1" si="211"/>
        <v>0.28091136084658985</v>
      </c>
      <c r="BJ248" s="243">
        <f t="shared" ca="1" si="212"/>
        <v>2.1907362591639519</v>
      </c>
      <c r="BK248" s="242">
        <f t="shared" ca="1" si="213"/>
        <v>2.4716476200105415</v>
      </c>
      <c r="BL248" s="241">
        <f t="shared" ca="1" si="214"/>
        <v>0.20225617980954469</v>
      </c>
      <c r="BM248" s="243">
        <f t="shared" ca="1" si="215"/>
        <v>0.97049616280963069</v>
      </c>
      <c r="BN248" s="243">
        <f t="shared" si="179"/>
        <v>0</v>
      </c>
      <c r="BO248" s="242">
        <f t="shared" ca="1" si="180"/>
        <v>1.1727523426191753</v>
      </c>
      <c r="BP248" s="67"/>
      <c r="BQ248" s="67"/>
      <c r="BR248" s="67"/>
      <c r="BS248" s="67"/>
      <c r="BT248" s="67"/>
      <c r="BU248" s="67"/>
      <c r="BV248" s="67"/>
      <c r="BW248" s="67"/>
      <c r="BX248" s="67"/>
      <c r="BY248" s="67"/>
      <c r="BZ248" s="67"/>
      <c r="CA248" s="67"/>
      <c r="CB248" s="67"/>
    </row>
    <row r="249" spans="1:80" ht="12" customHeight="1" x14ac:dyDescent="0.15">
      <c r="A249" s="213">
        <f t="shared" si="181"/>
        <v>243</v>
      </c>
      <c r="B249" s="67">
        <f t="shared" si="182"/>
        <v>972</v>
      </c>
      <c r="C249" s="224">
        <f t="shared" si="183"/>
        <v>224.30769230769232</v>
      </c>
      <c r="D249" s="225">
        <f ca="1">IFERROR(OFFSET(extrapolation!P258,0,OS_dist_choice-1,1,1),0)</f>
        <v>4.2109247312458568E-2</v>
      </c>
      <c r="E249" s="225">
        <f ca="1">IFERROR(OFFSET(extrapolation!D258,0,PFS_dist_choice-1,1,1),0)</f>
        <v>4.7272013436310267E-3</v>
      </c>
      <c r="F249" s="214"/>
      <c r="G249" s="226">
        <f t="shared" ca="1" si="184"/>
        <v>4.7272013436310267</v>
      </c>
      <c r="H249" s="224">
        <f t="shared" ca="1" si="185"/>
        <v>37.382045968827583</v>
      </c>
      <c r="I249" s="224">
        <f t="shared" ca="1" si="162"/>
        <v>957.89075268754141</v>
      </c>
      <c r="J249" s="227">
        <f t="shared" ca="1" si="163"/>
        <v>1000</v>
      </c>
      <c r="K249" s="238">
        <f t="shared" ca="1" si="186"/>
        <v>7.1261350046536442E-2</v>
      </c>
      <c r="L249" s="239">
        <f t="shared" ca="1" si="187"/>
        <v>0.28544425544794194</v>
      </c>
      <c r="M249" s="238">
        <f t="shared" ca="1" si="188"/>
        <v>4.7628320186542954</v>
      </c>
      <c r="N249" s="238">
        <f t="shared" ca="1" si="189"/>
        <v>37.489137421528255</v>
      </c>
      <c r="O249" s="239">
        <f t="shared" ca="1" si="190"/>
        <v>957.74803055981738</v>
      </c>
      <c r="P249" s="217"/>
      <c r="Q249" s="217"/>
      <c r="R249" s="224"/>
      <c r="S249" s="230">
        <f t="shared" ca="1" si="191"/>
        <v>71929.462286425929</v>
      </c>
      <c r="T249" s="231">
        <f t="shared" ca="1" si="192"/>
        <v>447.81950144703387</v>
      </c>
      <c r="U249" s="231">
        <f t="shared" ca="1" si="193"/>
        <v>733.93018752520641</v>
      </c>
      <c r="V249" s="231"/>
      <c r="W249" s="231">
        <f t="shared" ca="1" si="194"/>
        <v>1793.6063329129092</v>
      </c>
      <c r="X249" s="231">
        <f t="shared" ca="1" si="195"/>
        <v>224.20079161411365</v>
      </c>
      <c r="Y249" s="231"/>
      <c r="Z249" s="232">
        <f t="shared" ca="1" si="164"/>
        <v>75129.019099925208</v>
      </c>
      <c r="AA249" s="231">
        <f t="shared" ca="1" si="165"/>
        <v>48.711613385453184</v>
      </c>
      <c r="AB249" s="231">
        <f t="shared" ca="1" si="196"/>
        <v>9446.6894463067038</v>
      </c>
      <c r="AC249" s="231">
        <f t="shared" ca="1" si="197"/>
        <v>50824.113576295669</v>
      </c>
      <c r="AD249" s="231">
        <f t="shared" ca="1" si="198"/>
        <v>1764.7261658435996</v>
      </c>
      <c r="AE249" s="231">
        <f t="shared" ca="1" si="166"/>
        <v>8178.1263210519446</v>
      </c>
      <c r="AF249" s="231">
        <f t="shared" ca="1" si="167"/>
        <v>70262.36712288337</v>
      </c>
      <c r="AG249" s="232">
        <f t="shared" ca="1" si="168"/>
        <v>145391.38622280856</v>
      </c>
      <c r="AH249" s="244">
        <f t="shared" ca="1" si="199"/>
        <v>0.36511785495501786</v>
      </c>
      <c r="AI249" s="243">
        <f t="shared" ca="1" si="200"/>
        <v>2.8739106031561703</v>
      </c>
      <c r="AJ249" s="242">
        <f t="shared" ca="1" si="201"/>
        <v>3.2390284581111883</v>
      </c>
      <c r="AK249" s="241">
        <f t="shared" ca="1" si="202"/>
        <v>0.26288485556761287</v>
      </c>
      <c r="AL249" s="243">
        <f t="shared" ca="1" si="203"/>
        <v>1.2731423971981835</v>
      </c>
      <c r="AM249" s="243"/>
      <c r="AN249" s="242">
        <f t="shared" ca="1" si="169"/>
        <v>1.5360272527657963</v>
      </c>
      <c r="AO249" s="224"/>
      <c r="AP249" s="235">
        <f t="shared" si="204"/>
        <v>18.692307692307693</v>
      </c>
      <c r="AQ249" s="235">
        <f t="shared" si="170"/>
        <v>0.57549644589860383</v>
      </c>
      <c r="AR249" s="235">
        <f t="shared" si="171"/>
        <v>0.7570677543048242</v>
      </c>
      <c r="AT249" s="230">
        <f t="shared" ca="1" si="172"/>
        <v>41395.149901235782</v>
      </c>
      <c r="AU249" s="231">
        <f t="shared" ca="1" si="173"/>
        <v>257.71853148685267</v>
      </c>
      <c r="AV249" s="231">
        <f t="shared" ca="1" si="205"/>
        <v>422.37421445845212</v>
      </c>
      <c r="AW249" s="231"/>
      <c r="AX249" s="231">
        <f t="shared" ca="1" si="206"/>
        <v>1032.2140699326073</v>
      </c>
      <c r="AY249" s="231">
        <f t="shared" ca="1" si="207"/>
        <v>129.02675874157592</v>
      </c>
      <c r="AZ249" s="231"/>
      <c r="BA249" s="232">
        <f t="shared" ca="1" si="174"/>
        <v>43236.483475855282</v>
      </c>
      <c r="BB249" s="231">
        <f t="shared" ca="1" si="175"/>
        <v>28.033360377315166</v>
      </c>
      <c r="BC249" s="231">
        <f t="shared" ca="1" si="208"/>
        <v>5436.5362018573578</v>
      </c>
      <c r="BD249" s="231">
        <f t="shared" ca="1" si="209"/>
        <v>29249.096729105138</v>
      </c>
      <c r="BE249" s="231">
        <f t="shared" ca="1" si="210"/>
        <v>1015.5936364272617</v>
      </c>
      <c r="BF249" s="231">
        <f t="shared" ca="1" si="176"/>
        <v>4706.4826318752184</v>
      </c>
      <c r="BG249" s="231">
        <f t="shared" ca="1" si="177"/>
        <v>40435.742559642291</v>
      </c>
      <c r="BH249" s="232">
        <f t="shared" ca="1" si="178"/>
        <v>83672.226035497559</v>
      </c>
      <c r="BI249" s="244">
        <f t="shared" ca="1" si="211"/>
        <v>0.2764189545073899</v>
      </c>
      <c r="BJ249" s="243">
        <f t="shared" ca="1" si="212"/>
        <v>2.1757450464042645</v>
      </c>
      <c r="BK249" s="242">
        <f t="shared" ca="1" si="213"/>
        <v>2.4521640009116545</v>
      </c>
      <c r="BL249" s="241">
        <f t="shared" ca="1" si="214"/>
        <v>0.19902164724532073</v>
      </c>
      <c r="BM249" s="243">
        <f t="shared" ca="1" si="215"/>
        <v>0.96385505555708928</v>
      </c>
      <c r="BN249" s="243">
        <f t="shared" si="179"/>
        <v>0</v>
      </c>
      <c r="BO249" s="242">
        <f t="shared" ca="1" si="180"/>
        <v>1.1628767028024101</v>
      </c>
      <c r="BP249" s="67"/>
      <c r="BQ249" s="67"/>
      <c r="BR249" s="67"/>
      <c r="BS249" s="67"/>
      <c r="BT249" s="67"/>
      <c r="BU249" s="67"/>
      <c r="BV249" s="67"/>
      <c r="BW249" s="67"/>
      <c r="BX249" s="67"/>
      <c r="BY249" s="67"/>
      <c r="BZ249" s="67"/>
      <c r="CA249" s="67"/>
      <c r="CB249" s="67"/>
    </row>
    <row r="250" spans="1:80" ht="12" customHeight="1" x14ac:dyDescent="0.15">
      <c r="A250" s="213">
        <f t="shared" si="181"/>
        <v>244</v>
      </c>
      <c r="B250" s="67">
        <f t="shared" si="182"/>
        <v>976</v>
      </c>
      <c r="C250" s="224">
        <f t="shared" si="183"/>
        <v>225.23076923076923</v>
      </c>
      <c r="D250" s="225">
        <f ca="1">IFERROR(OFFSET(extrapolation!P259,0,OS_dist_choice-1,1,1),0)</f>
        <v>4.1826801981924157E-2</v>
      </c>
      <c r="E250" s="225">
        <f ca="1">IFERROR(OFFSET(extrapolation!D259,0,PFS_dist_choice-1,1,1),0)</f>
        <v>4.6571268774572294E-3</v>
      </c>
      <c r="F250" s="214"/>
      <c r="G250" s="226">
        <f t="shared" ca="1" si="184"/>
        <v>4.6571268774572294</v>
      </c>
      <c r="H250" s="224">
        <f t="shared" ca="1" si="185"/>
        <v>37.169675104466933</v>
      </c>
      <c r="I250" s="224">
        <f t="shared" ca="1" si="162"/>
        <v>958.17319801807582</v>
      </c>
      <c r="J250" s="227">
        <f t="shared" ca="1" si="163"/>
        <v>1000</v>
      </c>
      <c r="K250" s="238">
        <f t="shared" ca="1" si="186"/>
        <v>7.0074466173797312E-2</v>
      </c>
      <c r="L250" s="239">
        <f t="shared" ca="1" si="187"/>
        <v>0.28244533053441501</v>
      </c>
      <c r="M250" s="238">
        <f t="shared" ca="1" si="188"/>
        <v>4.6921641105441285</v>
      </c>
      <c r="N250" s="238">
        <f t="shared" ca="1" si="189"/>
        <v>37.275860536647258</v>
      </c>
      <c r="O250" s="239">
        <f t="shared" ca="1" si="190"/>
        <v>958.03197535280856</v>
      </c>
      <c r="P250" s="217"/>
      <c r="Q250" s="217"/>
      <c r="R250" s="224"/>
      <c r="S250" s="230">
        <f t="shared" ca="1" si="191"/>
        <v>70863.203774149821</v>
      </c>
      <c r="T250" s="231">
        <f t="shared" ca="1" si="192"/>
        <v>441.18117356019735</v>
      </c>
      <c r="U250" s="231">
        <f t="shared" ca="1" si="193"/>
        <v>723.04059266900094</v>
      </c>
      <c r="V250" s="231"/>
      <c r="W250" s="231">
        <f t="shared" ca="1" si="194"/>
        <v>1766.9939294051501</v>
      </c>
      <c r="X250" s="231">
        <f t="shared" ca="1" si="195"/>
        <v>220.87424117564376</v>
      </c>
      <c r="Y250" s="231"/>
      <c r="Z250" s="232">
        <f t="shared" ca="1" si="164"/>
        <v>74015.293710959799</v>
      </c>
      <c r="AA250" s="231">
        <f t="shared" ca="1" si="165"/>
        <v>47.900303631925603</v>
      </c>
      <c r="AB250" s="231">
        <f t="shared" ca="1" si="196"/>
        <v>9392.946932178078</v>
      </c>
      <c r="AC250" s="231">
        <f t="shared" ca="1" si="197"/>
        <v>50534.973591597984</v>
      </c>
      <c r="AD250" s="231">
        <f t="shared" ca="1" si="198"/>
        <v>1754.6865830415964</v>
      </c>
      <c r="AE250" s="231">
        <f t="shared" ca="1" si="166"/>
        <v>8092.2055631383355</v>
      </c>
      <c r="AF250" s="231">
        <f t="shared" ca="1" si="167"/>
        <v>69822.712973587928</v>
      </c>
      <c r="AG250" s="232">
        <f t="shared" ca="1" si="168"/>
        <v>143838.00668454773</v>
      </c>
      <c r="AH250" s="244">
        <f t="shared" ca="1" si="199"/>
        <v>0.35970046569537467</v>
      </c>
      <c r="AI250" s="243">
        <f t="shared" ca="1" si="200"/>
        <v>2.8575608351160118</v>
      </c>
      <c r="AJ250" s="242">
        <f t="shared" ca="1" si="201"/>
        <v>3.2172613008113866</v>
      </c>
      <c r="AK250" s="241">
        <f t="shared" ca="1" si="202"/>
        <v>0.25898433530066978</v>
      </c>
      <c r="AL250" s="243">
        <f t="shared" ca="1" si="203"/>
        <v>1.2658994499563931</v>
      </c>
      <c r="AM250" s="243"/>
      <c r="AN250" s="242">
        <f t="shared" ca="1" si="169"/>
        <v>1.5248837852570629</v>
      </c>
      <c r="AO250" s="224"/>
      <c r="AP250" s="235">
        <f t="shared" si="204"/>
        <v>18.76923076923077</v>
      </c>
      <c r="AQ250" s="235">
        <f t="shared" si="170"/>
        <v>0.57418939506122657</v>
      </c>
      <c r="AR250" s="235">
        <f t="shared" si="171"/>
        <v>0.75620119766782234</v>
      </c>
      <c r="AT250" s="230">
        <f t="shared" ca="1" si="172"/>
        <v>40688.900107179514</v>
      </c>
      <c r="AU250" s="231">
        <f t="shared" ca="1" si="173"/>
        <v>253.32155115893173</v>
      </c>
      <c r="AV250" s="231">
        <f t="shared" ca="1" si="205"/>
        <v>415.16224050932436</v>
      </c>
      <c r="AW250" s="231"/>
      <c r="AX250" s="231">
        <f t="shared" ca="1" si="206"/>
        <v>1014.5891754020029</v>
      </c>
      <c r="AY250" s="231">
        <f t="shared" ca="1" si="207"/>
        <v>126.82364692525036</v>
      </c>
      <c r="AZ250" s="231"/>
      <c r="BA250" s="232">
        <f t="shared" ca="1" si="174"/>
        <v>42498.796721175015</v>
      </c>
      <c r="BB250" s="231">
        <f t="shared" ca="1" si="175"/>
        <v>27.503846365664437</v>
      </c>
      <c r="BC250" s="231">
        <f t="shared" ca="1" si="208"/>
        <v>5393.3305168295346</v>
      </c>
      <c r="BD250" s="231">
        <f t="shared" ca="1" si="209"/>
        <v>29016.645915994708</v>
      </c>
      <c r="BE250" s="231">
        <f t="shared" ca="1" si="210"/>
        <v>1007.5224276387049</v>
      </c>
      <c r="BF250" s="231">
        <f t="shared" ca="1" si="176"/>
        <v>4646.4586170094935</v>
      </c>
      <c r="BG250" s="231">
        <f t="shared" ca="1" si="177"/>
        <v>40091.461323838106</v>
      </c>
      <c r="BH250" s="232">
        <f t="shared" ca="1" si="178"/>
        <v>82590.258045013121</v>
      </c>
      <c r="BI250" s="244">
        <f t="shared" ca="1" si="211"/>
        <v>0.27200592296051579</v>
      </c>
      <c r="BJ250" s="243">
        <f t="shared" ca="1" si="212"/>
        <v>2.1608909259233906</v>
      </c>
      <c r="BK250" s="242">
        <f t="shared" ca="1" si="213"/>
        <v>2.4328968488839067</v>
      </c>
      <c r="BL250" s="241">
        <f t="shared" ca="1" si="214"/>
        <v>0.19584426453157136</v>
      </c>
      <c r="BM250" s="243">
        <f t="shared" ca="1" si="215"/>
        <v>0.95727468018406203</v>
      </c>
      <c r="BN250" s="243">
        <f t="shared" si="179"/>
        <v>0</v>
      </c>
      <c r="BO250" s="242">
        <f t="shared" ca="1" si="180"/>
        <v>1.1531189447156334</v>
      </c>
      <c r="BP250" s="67"/>
      <c r="BQ250" s="67"/>
      <c r="BR250" s="67"/>
      <c r="BS250" s="67"/>
      <c r="BT250" s="67"/>
      <c r="BU250" s="67"/>
      <c r="BV250" s="67"/>
      <c r="BW250" s="67"/>
      <c r="BX250" s="67"/>
      <c r="BY250" s="67"/>
      <c r="BZ250" s="67"/>
      <c r="CA250" s="67"/>
      <c r="CB250" s="67"/>
    </row>
    <row r="251" spans="1:80" ht="12" customHeight="1" x14ac:dyDescent="0.15">
      <c r="A251" s="213">
        <f t="shared" si="181"/>
        <v>245</v>
      </c>
      <c r="B251" s="67">
        <f t="shared" si="182"/>
        <v>980</v>
      </c>
      <c r="C251" s="224">
        <f t="shared" si="183"/>
        <v>226.15384615384616</v>
      </c>
      <c r="D251" s="225">
        <f ca="1">IFERROR(OFFSET(extrapolation!P260,0,OS_dist_choice-1,1,1),0)</f>
        <v>4.1547313078111166E-2</v>
      </c>
      <c r="E251" s="225">
        <f ca="1">IFERROR(OFFSET(extrapolation!D260,0,PFS_dist_choice-1,1,1),0)</f>
        <v>4.5882171794757731E-3</v>
      </c>
      <c r="F251" s="214"/>
      <c r="G251" s="226">
        <f t="shared" ca="1" si="184"/>
        <v>4.5882171794757731</v>
      </c>
      <c r="H251" s="224">
        <f t="shared" ca="1" si="185"/>
        <v>36.959095898635383</v>
      </c>
      <c r="I251" s="224">
        <f t="shared" ca="1" si="162"/>
        <v>958.45268692188881</v>
      </c>
      <c r="J251" s="227">
        <f t="shared" ca="1" si="163"/>
        <v>1000</v>
      </c>
      <c r="K251" s="238">
        <f t="shared" ca="1" si="186"/>
        <v>6.8909697981456297E-2</v>
      </c>
      <c r="L251" s="239">
        <f t="shared" ca="1" si="187"/>
        <v>0.27948890381298952</v>
      </c>
      <c r="M251" s="238">
        <f t="shared" ca="1" si="188"/>
        <v>4.6226720284665017</v>
      </c>
      <c r="N251" s="238">
        <f t="shared" ca="1" si="189"/>
        <v>37.064385501551158</v>
      </c>
      <c r="O251" s="239">
        <f t="shared" ca="1" si="190"/>
        <v>958.31294246998232</v>
      </c>
      <c r="P251" s="217"/>
      <c r="Q251" s="217"/>
      <c r="R251" s="224"/>
      <c r="S251" s="230">
        <f t="shared" ca="1" si="191"/>
        <v>69814.668465027804</v>
      </c>
      <c r="T251" s="231">
        <f t="shared" ca="1" si="192"/>
        <v>434.65318705154186</v>
      </c>
      <c r="U251" s="231">
        <f t="shared" ca="1" si="193"/>
        <v>712.33218711722168</v>
      </c>
      <c r="V251" s="231"/>
      <c r="W251" s="231">
        <f t="shared" ca="1" si="194"/>
        <v>1740.8243231680292</v>
      </c>
      <c r="X251" s="231">
        <f t="shared" ca="1" si="195"/>
        <v>217.60304039600365</v>
      </c>
      <c r="Y251" s="231"/>
      <c r="Z251" s="232">
        <f t="shared" ca="1" si="164"/>
        <v>72920.081202760601</v>
      </c>
      <c r="AA251" s="231">
        <f t="shared" ca="1" si="165"/>
        <v>47.104111336495656</v>
      </c>
      <c r="AB251" s="231">
        <f t="shared" ca="1" si="196"/>
        <v>9339.6584566461643</v>
      </c>
      <c r="AC251" s="231">
        <f t="shared" ca="1" si="197"/>
        <v>50248.276378978109</v>
      </c>
      <c r="AD251" s="231">
        <f t="shared" ca="1" si="198"/>
        <v>1744.7318187145177</v>
      </c>
      <c r="AE251" s="231">
        <f t="shared" ca="1" si="166"/>
        <v>8007.5024005232426</v>
      </c>
      <c r="AF251" s="231">
        <f t="shared" ca="1" si="167"/>
        <v>69387.273166198531</v>
      </c>
      <c r="AG251" s="232">
        <f t="shared" ca="1" si="168"/>
        <v>142307.35436895915</v>
      </c>
      <c r="AH251" s="244">
        <f t="shared" ca="1" si="199"/>
        <v>0.35437321505013564</v>
      </c>
      <c r="AI251" s="243">
        <f t="shared" ca="1" si="200"/>
        <v>2.8413491965597055</v>
      </c>
      <c r="AJ251" s="242">
        <f t="shared" ca="1" si="201"/>
        <v>3.1957224116098413</v>
      </c>
      <c r="AK251" s="241">
        <f t="shared" ca="1" si="202"/>
        <v>0.25514871483609763</v>
      </c>
      <c r="AL251" s="243">
        <f t="shared" ca="1" si="203"/>
        <v>1.2587176940759495</v>
      </c>
      <c r="AM251" s="243"/>
      <c r="AN251" s="242">
        <f t="shared" ca="1" si="169"/>
        <v>1.513866408912047</v>
      </c>
      <c r="AO251" s="224"/>
      <c r="AP251" s="235">
        <f t="shared" si="204"/>
        <v>18.846153846153847</v>
      </c>
      <c r="AQ251" s="235">
        <f t="shared" si="170"/>
        <v>0.57288531275980403</v>
      </c>
      <c r="AR251" s="235">
        <f t="shared" si="171"/>
        <v>0.75533563291087458</v>
      </c>
      <c r="AT251" s="230">
        <f t="shared" ca="1" si="172"/>
        <v>39995.798178809484</v>
      </c>
      <c r="AU251" s="231">
        <f t="shared" ca="1" si="173"/>
        <v>249.00642700606815</v>
      </c>
      <c r="AV251" s="231">
        <f t="shared" ca="1" si="205"/>
        <v>408.08464780552481</v>
      </c>
      <c r="AW251" s="231"/>
      <c r="AX251" s="231">
        <f t="shared" ca="1" si="206"/>
        <v>997.29268683799057</v>
      </c>
      <c r="AY251" s="231">
        <f t="shared" ca="1" si="207"/>
        <v>124.66158585474882</v>
      </c>
      <c r="AZ251" s="231"/>
      <c r="BA251" s="232">
        <f t="shared" ca="1" si="174"/>
        <v>41774.843526313816</v>
      </c>
      <c r="BB251" s="231">
        <f t="shared" ca="1" si="175"/>
        <v>26.985253555280945</v>
      </c>
      <c r="BC251" s="231">
        <f t="shared" ca="1" si="208"/>
        <v>5350.553156005486</v>
      </c>
      <c r="BD251" s="231">
        <f t="shared" ca="1" si="209"/>
        <v>28786.499529011948</v>
      </c>
      <c r="BE251" s="231">
        <f t="shared" ca="1" si="210"/>
        <v>999.53123364624821</v>
      </c>
      <c r="BF251" s="231">
        <f t="shared" ca="1" si="176"/>
        <v>4587.3805171486392</v>
      </c>
      <c r="BG251" s="231">
        <f t="shared" ca="1" si="177"/>
        <v>39750.949689367604</v>
      </c>
      <c r="BH251" s="232">
        <f t="shared" ca="1" si="178"/>
        <v>81525.79321568142</v>
      </c>
      <c r="BI251" s="244">
        <f t="shared" ca="1" si="211"/>
        <v>0.26767071667655568</v>
      </c>
      <c r="BJ251" s="243">
        <f t="shared" ca="1" si="212"/>
        <v>2.1461722937042302</v>
      </c>
      <c r="BK251" s="242">
        <f t="shared" ca="1" si="213"/>
        <v>2.413843010380786</v>
      </c>
      <c r="BL251" s="241">
        <f t="shared" ca="1" si="214"/>
        <v>0.19272291600712005</v>
      </c>
      <c r="BM251" s="243">
        <f t="shared" ca="1" si="215"/>
        <v>0.95075432611097388</v>
      </c>
      <c r="BN251" s="243">
        <f t="shared" si="179"/>
        <v>0</v>
      </c>
      <c r="BO251" s="242">
        <f t="shared" ca="1" si="180"/>
        <v>1.1434772421180939</v>
      </c>
      <c r="BP251" s="67"/>
      <c r="BQ251" s="67"/>
      <c r="BR251" s="67"/>
      <c r="BS251" s="67"/>
      <c r="BT251" s="67"/>
      <c r="BU251" s="67"/>
      <c r="BV251" s="67"/>
      <c r="BW251" s="67"/>
      <c r="BX251" s="67"/>
      <c r="BY251" s="67"/>
      <c r="BZ251" s="67"/>
      <c r="CA251" s="67"/>
      <c r="CB251" s="67"/>
    </row>
    <row r="252" spans="1:80" ht="12" customHeight="1" x14ac:dyDescent="0.15">
      <c r="A252" s="213">
        <f t="shared" si="181"/>
        <v>246</v>
      </c>
      <c r="B252" s="67">
        <f t="shared" si="182"/>
        <v>984</v>
      </c>
      <c r="C252" s="224">
        <f t="shared" si="183"/>
        <v>227.07692307692309</v>
      </c>
      <c r="D252" s="225">
        <f ca="1">IFERROR(OFFSET(extrapolation!P261,0,OS_dist_choice-1,1,1),0)</f>
        <v>4.127073885635528E-2</v>
      </c>
      <c r="E252" s="225">
        <f ca="1">IFERROR(OFFSET(extrapolation!D261,0,PFS_dist_choice-1,1,1),0)</f>
        <v>4.5204505935221295E-3</v>
      </c>
      <c r="F252" s="214"/>
      <c r="G252" s="226">
        <f t="shared" ca="1" si="184"/>
        <v>4.5204505935221295</v>
      </c>
      <c r="H252" s="224">
        <f t="shared" ca="1" si="185"/>
        <v>36.750288262833124</v>
      </c>
      <c r="I252" s="224">
        <f t="shared" ca="1" si="162"/>
        <v>958.72926114364475</v>
      </c>
      <c r="J252" s="227">
        <f t="shared" ca="1" si="163"/>
        <v>1000</v>
      </c>
      <c r="K252" s="238">
        <f t="shared" ca="1" si="186"/>
        <v>6.7766585953643599E-2</v>
      </c>
      <c r="L252" s="239">
        <f t="shared" ca="1" si="187"/>
        <v>0.27657422175593638</v>
      </c>
      <c r="M252" s="238">
        <f t="shared" ca="1" si="188"/>
        <v>4.5543338864989513</v>
      </c>
      <c r="N252" s="238">
        <f t="shared" ca="1" si="189"/>
        <v>36.854692080734253</v>
      </c>
      <c r="O252" s="239">
        <f t="shared" ca="1" si="190"/>
        <v>958.59097403276678</v>
      </c>
      <c r="P252" s="217"/>
      <c r="Q252" s="217"/>
      <c r="R252" s="224"/>
      <c r="S252" s="230">
        <f t="shared" ca="1" si="191"/>
        <v>68783.526837180762</v>
      </c>
      <c r="T252" s="231">
        <f t="shared" ca="1" si="192"/>
        <v>428.23349037891859</v>
      </c>
      <c r="U252" s="231">
        <f t="shared" ca="1" si="193"/>
        <v>701.80159835135134</v>
      </c>
      <c r="V252" s="231"/>
      <c r="W252" s="231">
        <f t="shared" ca="1" si="194"/>
        <v>1715.0892723133211</v>
      </c>
      <c r="X252" s="231">
        <f t="shared" ca="1" si="195"/>
        <v>214.38615903916514</v>
      </c>
      <c r="Y252" s="231"/>
      <c r="Z252" s="232">
        <f t="shared" ca="1" si="164"/>
        <v>71843.0373572635</v>
      </c>
      <c r="AA252" s="231">
        <f t="shared" ca="1" si="165"/>
        <v>46.322722391173819</v>
      </c>
      <c r="AB252" s="231">
        <f t="shared" ca="1" si="196"/>
        <v>9286.818920672913</v>
      </c>
      <c r="AC252" s="231">
        <f t="shared" ca="1" si="197"/>
        <v>49963.994505112423</v>
      </c>
      <c r="AD252" s="231">
        <f t="shared" ca="1" si="198"/>
        <v>1734.8609203164035</v>
      </c>
      <c r="AE252" s="231">
        <f t="shared" ca="1" si="166"/>
        <v>7923.9952442454687</v>
      </c>
      <c r="AF252" s="231">
        <f t="shared" ca="1" si="167"/>
        <v>68955.992312738381</v>
      </c>
      <c r="AG252" s="232">
        <f t="shared" ca="1" si="168"/>
        <v>140799.02967000188</v>
      </c>
      <c r="AH252" s="244">
        <f t="shared" ca="1" si="199"/>
        <v>0.34913442524837957</v>
      </c>
      <c r="AI252" s="243">
        <f t="shared" ca="1" si="200"/>
        <v>2.825274136236986</v>
      </c>
      <c r="AJ252" s="242">
        <f t="shared" ca="1" si="201"/>
        <v>3.1744085614853654</v>
      </c>
      <c r="AK252" s="241">
        <f t="shared" ca="1" si="202"/>
        <v>0.2513767861788333</v>
      </c>
      <c r="AL252" s="243">
        <f t="shared" ca="1" si="203"/>
        <v>1.2515964423529848</v>
      </c>
      <c r="AM252" s="243"/>
      <c r="AN252" s="242">
        <f t="shared" ca="1" si="169"/>
        <v>1.5029732285318183</v>
      </c>
      <c r="AO252" s="224"/>
      <c r="AP252" s="235">
        <f t="shared" si="204"/>
        <v>18.923076923076923</v>
      </c>
      <c r="AQ252" s="235">
        <f t="shared" si="170"/>
        <v>0.57158419225228352</v>
      </c>
      <c r="AR252" s="235">
        <f t="shared" si="171"/>
        <v>0.75447105889865307</v>
      </c>
      <c r="AT252" s="230">
        <f t="shared" ca="1" si="172"/>
        <v>39315.576627493232</v>
      </c>
      <c r="AU252" s="231">
        <f t="shared" ca="1" si="173"/>
        <v>244.77149369361021</v>
      </c>
      <c r="AV252" s="231">
        <f t="shared" ca="1" si="205"/>
        <v>401.13869971501867</v>
      </c>
      <c r="AW252" s="231"/>
      <c r="AX252" s="231">
        <f t="shared" ca="1" si="206"/>
        <v>980.31791635576633</v>
      </c>
      <c r="AY252" s="231">
        <f t="shared" ca="1" si="207"/>
        <v>122.53973954447079</v>
      </c>
      <c r="AZ252" s="231"/>
      <c r="BA252" s="232">
        <f t="shared" ca="1" si="174"/>
        <v>41064.344476802085</v>
      </c>
      <c r="BB252" s="231">
        <f t="shared" ca="1" si="175"/>
        <v>26.477335860885855</v>
      </c>
      <c r="BC252" s="231">
        <f t="shared" ca="1" si="208"/>
        <v>5308.1988913660507</v>
      </c>
      <c r="BD252" s="231">
        <f t="shared" ca="1" si="209"/>
        <v>28558.629440902216</v>
      </c>
      <c r="BE252" s="231">
        <f t="shared" ca="1" si="210"/>
        <v>991.61907780910474</v>
      </c>
      <c r="BF252" s="231">
        <f t="shared" ca="1" si="176"/>
        <v>4529.2304210929824</v>
      </c>
      <c r="BG252" s="231">
        <f t="shared" ca="1" si="177"/>
        <v>39414.15516703124</v>
      </c>
      <c r="BH252" s="232">
        <f t="shared" ca="1" si="178"/>
        <v>80478.499643833333</v>
      </c>
      <c r="BI252" s="244">
        <f t="shared" ca="1" si="211"/>
        <v>0.26341181951511755</v>
      </c>
      <c r="BJ252" s="243">
        <f t="shared" ca="1" si="212"/>
        <v>2.131587569245696</v>
      </c>
      <c r="BK252" s="242">
        <f t="shared" ca="1" si="213"/>
        <v>2.3949993887608136</v>
      </c>
      <c r="BL252" s="241">
        <f t="shared" ca="1" si="214"/>
        <v>0.18965651005088466</v>
      </c>
      <c r="BM252" s="243">
        <f t="shared" ca="1" si="215"/>
        <v>0.94429329317584343</v>
      </c>
      <c r="BN252" s="243">
        <f t="shared" si="179"/>
        <v>0</v>
      </c>
      <c r="BO252" s="242">
        <f t="shared" ca="1" si="180"/>
        <v>1.1339498032267281</v>
      </c>
      <c r="BP252" s="67"/>
      <c r="BQ252" s="67"/>
      <c r="BR252" s="67"/>
      <c r="BS252" s="67"/>
      <c r="BT252" s="67"/>
      <c r="BU252" s="67"/>
      <c r="BV252" s="67"/>
      <c r="BW252" s="67"/>
      <c r="BX252" s="67"/>
      <c r="BY252" s="67"/>
      <c r="BZ252" s="67"/>
      <c r="CA252" s="67"/>
      <c r="CB252" s="67"/>
    </row>
    <row r="253" spans="1:80" ht="12" customHeight="1" x14ac:dyDescent="0.15">
      <c r="A253" s="213">
        <f t="shared" si="181"/>
        <v>247</v>
      </c>
      <c r="B253" s="67">
        <f t="shared" si="182"/>
        <v>988</v>
      </c>
      <c r="C253" s="224">
        <f t="shared" si="183"/>
        <v>228</v>
      </c>
      <c r="D253" s="225">
        <f ca="1">IFERROR(OFFSET(extrapolation!P262,0,OS_dist_choice-1,1,1),0)</f>
        <v>4.0997038309556533E-2</v>
      </c>
      <c r="E253" s="225">
        <f ca="1">IFERROR(OFFSET(extrapolation!D262,0,PFS_dist_choice-1,1,1),0)</f>
        <v>4.4538059123429008E-3</v>
      </c>
      <c r="F253" s="214"/>
      <c r="G253" s="226">
        <f t="shared" ca="1" si="184"/>
        <v>4.4538059123429008</v>
      </c>
      <c r="H253" s="224">
        <f t="shared" ca="1" si="185"/>
        <v>36.543232397213728</v>
      </c>
      <c r="I253" s="224">
        <f t="shared" ca="1" si="162"/>
        <v>959.00296169044339</v>
      </c>
      <c r="J253" s="227">
        <f t="shared" ca="1" si="163"/>
        <v>1000</v>
      </c>
      <c r="K253" s="238">
        <f t="shared" ca="1" si="186"/>
        <v>6.6644681179228726E-2</v>
      </c>
      <c r="L253" s="239">
        <f t="shared" ca="1" si="187"/>
        <v>0.27370054679863642</v>
      </c>
      <c r="M253" s="238">
        <f t="shared" ca="1" si="188"/>
        <v>4.4871282529325152</v>
      </c>
      <c r="N253" s="238">
        <f t="shared" ca="1" si="189"/>
        <v>36.646760330023426</v>
      </c>
      <c r="O253" s="239">
        <f t="shared" ca="1" si="190"/>
        <v>958.86611141704407</v>
      </c>
      <c r="P253" s="217"/>
      <c r="Q253" s="217"/>
      <c r="R253" s="224"/>
      <c r="S253" s="230">
        <f t="shared" ca="1" si="191"/>
        <v>67769.45619939614</v>
      </c>
      <c r="T253" s="231">
        <f t="shared" ca="1" si="192"/>
        <v>421.92007452664296</v>
      </c>
      <c r="U253" s="231">
        <f t="shared" ca="1" si="193"/>
        <v>691.44552384505346</v>
      </c>
      <c r="V253" s="231"/>
      <c r="W253" s="231">
        <f t="shared" ca="1" si="194"/>
        <v>1689.7807060023383</v>
      </c>
      <c r="X253" s="231">
        <f t="shared" ca="1" si="195"/>
        <v>211.22258825029229</v>
      </c>
      <c r="Y253" s="231"/>
      <c r="Z253" s="232">
        <f t="shared" ca="1" si="164"/>
        <v>70783.825092020459</v>
      </c>
      <c r="AA253" s="231">
        <f t="shared" ca="1" si="165"/>
        <v>45.555829936976657</v>
      </c>
      <c r="AB253" s="231">
        <f t="shared" ca="1" si="196"/>
        <v>9234.423298631631</v>
      </c>
      <c r="AC253" s="231">
        <f t="shared" ca="1" si="197"/>
        <v>49682.100931637557</v>
      </c>
      <c r="AD253" s="231">
        <f t="shared" ca="1" si="198"/>
        <v>1725.0729490151928</v>
      </c>
      <c r="AE253" s="231">
        <f t="shared" ca="1" si="166"/>
        <v>7841.6629626952154</v>
      </c>
      <c r="AF253" s="231">
        <f t="shared" ca="1" si="167"/>
        <v>68528.815971916571</v>
      </c>
      <c r="AG253" s="232">
        <f t="shared" ca="1" si="168"/>
        <v>139312.64106393704</v>
      </c>
      <c r="AH253" s="244">
        <f t="shared" ca="1" si="199"/>
        <v>0.34398245333911137</v>
      </c>
      <c r="AI253" s="243">
        <f t="shared" ca="1" si="200"/>
        <v>2.8093341252310911</v>
      </c>
      <c r="AJ253" s="242">
        <f t="shared" ca="1" si="201"/>
        <v>3.1533165785702026</v>
      </c>
      <c r="AK253" s="241">
        <f t="shared" ca="1" si="202"/>
        <v>0.24766736640416018</v>
      </c>
      <c r="AL253" s="243">
        <f t="shared" ca="1" si="203"/>
        <v>1.2445350174773733</v>
      </c>
      <c r="AM253" s="243"/>
      <c r="AN253" s="242">
        <f t="shared" ca="1" si="169"/>
        <v>1.4922023838815335</v>
      </c>
      <c r="AO253" s="224"/>
      <c r="AP253" s="235">
        <f t="shared" si="204"/>
        <v>19</v>
      </c>
      <c r="AQ253" s="235">
        <f t="shared" si="170"/>
        <v>0.57028602681192497</v>
      </c>
      <c r="AR253" s="235">
        <f t="shared" si="171"/>
        <v>0.7536074744971295</v>
      </c>
      <c r="AT253" s="230">
        <f t="shared" ca="1" si="172"/>
        <v>38647.9739151584</v>
      </c>
      <c r="AU253" s="231">
        <f t="shared" ca="1" si="173"/>
        <v>240.61512293399051</v>
      </c>
      <c r="AV253" s="231">
        <f t="shared" ca="1" si="205"/>
        <v>394.32172055048568</v>
      </c>
      <c r="AW253" s="231"/>
      <c r="AX253" s="231">
        <f t="shared" ca="1" si="206"/>
        <v>963.65832500952297</v>
      </c>
      <c r="AY253" s="231">
        <f t="shared" ca="1" si="207"/>
        <v>120.45729062619037</v>
      </c>
      <c r="AZ253" s="231"/>
      <c r="BA253" s="232">
        <f t="shared" ca="1" si="174"/>
        <v>40367.02637427859</v>
      </c>
      <c r="BB253" s="231">
        <f t="shared" ca="1" si="175"/>
        <v>25.979853252878165</v>
      </c>
      <c r="BC253" s="231">
        <f t="shared" ca="1" si="208"/>
        <v>5266.2625728761031</v>
      </c>
      <c r="BD253" s="231">
        <f t="shared" ca="1" si="209"/>
        <v>28333.007943972618</v>
      </c>
      <c r="BE253" s="231">
        <f t="shared" ca="1" si="210"/>
        <v>983.78499805460467</v>
      </c>
      <c r="BF253" s="231">
        <f t="shared" ca="1" si="176"/>
        <v>4471.9908145936824</v>
      </c>
      <c r="BG253" s="231">
        <f t="shared" ca="1" si="177"/>
        <v>39081.026182749883</v>
      </c>
      <c r="BH253" s="232">
        <f t="shared" ca="1" si="178"/>
        <v>79448.052557028481</v>
      </c>
      <c r="BI253" s="244">
        <f t="shared" ca="1" si="211"/>
        <v>0.25922774793221443</v>
      </c>
      <c r="BJ253" s="243">
        <f t="shared" ca="1" si="212"/>
        <v>2.1171351951340052</v>
      </c>
      <c r="BK253" s="242">
        <f t="shared" ca="1" si="213"/>
        <v>2.3763629430662196</v>
      </c>
      <c r="BL253" s="241">
        <f t="shared" ca="1" si="214"/>
        <v>0.18664397851119438</v>
      </c>
      <c r="BM253" s="243">
        <f t="shared" ca="1" si="215"/>
        <v>0.93789089144436422</v>
      </c>
      <c r="BN253" s="243">
        <f t="shared" si="179"/>
        <v>0</v>
      </c>
      <c r="BO253" s="242">
        <f t="shared" ca="1" si="180"/>
        <v>1.1245348699555586</v>
      </c>
      <c r="BP253" s="67"/>
      <c r="BQ253" s="67"/>
      <c r="BR253" s="67"/>
      <c r="BS253" s="67"/>
      <c r="BT253" s="67"/>
      <c r="BU253" s="67"/>
      <c r="BV253" s="67"/>
      <c r="BW253" s="67"/>
      <c r="BX253" s="67"/>
      <c r="BY253" s="67"/>
      <c r="BZ253" s="67"/>
      <c r="CA253" s="67"/>
      <c r="CB253" s="67"/>
    </row>
    <row r="254" spans="1:80" ht="12" customHeight="1" x14ac:dyDescent="0.15">
      <c r="A254" s="213">
        <f t="shared" si="181"/>
        <v>248</v>
      </c>
      <c r="B254" s="67">
        <f t="shared" si="182"/>
        <v>992</v>
      </c>
      <c r="C254" s="224">
        <f t="shared" si="183"/>
        <v>228.92307692307691</v>
      </c>
      <c r="D254" s="225">
        <f ca="1">IFERROR(OFFSET(extrapolation!P263,0,OS_dist_choice-1,1,1),0)</f>
        <v>4.0726171152608487E-2</v>
      </c>
      <c r="E254" s="225">
        <f ca="1">IFERROR(OFFSET(extrapolation!D263,0,PFS_dist_choice-1,1,1),0)</f>
        <v>4.3882623672621968E-3</v>
      </c>
      <c r="F254" s="214"/>
      <c r="G254" s="226">
        <f t="shared" ca="1" si="184"/>
        <v>4.3882623672621968</v>
      </c>
      <c r="H254" s="224">
        <f t="shared" ca="1" si="185"/>
        <v>36.337908785346258</v>
      </c>
      <c r="I254" s="224">
        <f t="shared" ca="1" si="162"/>
        <v>959.27382884739154</v>
      </c>
      <c r="J254" s="227">
        <f t="shared" ca="1" si="163"/>
        <v>1000</v>
      </c>
      <c r="K254" s="238">
        <f t="shared" ca="1" si="186"/>
        <v>6.5543545080704035E-2</v>
      </c>
      <c r="L254" s="239">
        <f t="shared" ca="1" si="187"/>
        <v>0.27086715694815666</v>
      </c>
      <c r="M254" s="238">
        <f t="shared" ca="1" si="188"/>
        <v>4.4210341398025488</v>
      </c>
      <c r="N254" s="238">
        <f t="shared" ca="1" si="189"/>
        <v>36.440570591279993</v>
      </c>
      <c r="O254" s="239">
        <f t="shared" ca="1" si="190"/>
        <v>959.13839526891752</v>
      </c>
      <c r="P254" s="217"/>
      <c r="Q254" s="217"/>
      <c r="R254" s="224"/>
      <c r="S254" s="230">
        <f t="shared" ca="1" si="191"/>
        <v>66772.140533890793</v>
      </c>
      <c r="T254" s="231">
        <f t="shared" ca="1" si="192"/>
        <v>415.71097202656489</v>
      </c>
      <c r="U254" s="231">
        <f t="shared" ca="1" si="193"/>
        <v>681.26072945092028</v>
      </c>
      <c r="V254" s="231"/>
      <c r="W254" s="231">
        <f t="shared" ca="1" si="194"/>
        <v>1664.8907205034031</v>
      </c>
      <c r="X254" s="231">
        <f t="shared" ca="1" si="195"/>
        <v>208.11134006292539</v>
      </c>
      <c r="Y254" s="231"/>
      <c r="Z254" s="232">
        <f t="shared" ca="1" si="164"/>
        <v>69742.114295934603</v>
      </c>
      <c r="AA254" s="231">
        <f t="shared" ca="1" si="165"/>
        <v>44.803134178601702</v>
      </c>
      <c r="AB254" s="231">
        <f t="shared" ca="1" si="196"/>
        <v>9182.4666369719307</v>
      </c>
      <c r="AC254" s="231">
        <f t="shared" ca="1" si="197"/>
        <v>49402.569007967708</v>
      </c>
      <c r="AD254" s="231">
        <f t="shared" ca="1" si="198"/>
        <v>1715.3669794433231</v>
      </c>
      <c r="AE254" s="231">
        <f t="shared" ca="1" si="166"/>
        <v>7760.4848703995867</v>
      </c>
      <c r="AF254" s="231">
        <f t="shared" ca="1" si="167"/>
        <v>68105.690628961151</v>
      </c>
      <c r="AG254" s="232">
        <f t="shared" ca="1" si="168"/>
        <v>137847.80492489575</v>
      </c>
      <c r="AH254" s="244">
        <f t="shared" ca="1" si="199"/>
        <v>0.3389156903886964</v>
      </c>
      <c r="AI254" s="243">
        <f t="shared" ca="1" si="200"/>
        <v>2.7935276565526075</v>
      </c>
      <c r="AJ254" s="242">
        <f t="shared" ca="1" si="201"/>
        <v>3.132443346941304</v>
      </c>
      <c r="AK254" s="241">
        <f t="shared" ca="1" si="202"/>
        <v>0.24401929707986139</v>
      </c>
      <c r="AL254" s="243">
        <f t="shared" ca="1" si="203"/>
        <v>1.2375327518528052</v>
      </c>
      <c r="AM254" s="243"/>
      <c r="AN254" s="242">
        <f t="shared" ca="1" si="169"/>
        <v>1.4815520489326666</v>
      </c>
      <c r="AO254" s="224"/>
      <c r="AP254" s="235">
        <f t="shared" si="204"/>
        <v>19.076923076923077</v>
      </c>
      <c r="AQ254" s="235">
        <f t="shared" si="170"/>
        <v>0.56899080972726435</v>
      </c>
      <c r="AR254" s="235">
        <f t="shared" si="171"/>
        <v>0.75274487857357208</v>
      </c>
      <c r="AT254" s="230">
        <f t="shared" ca="1" si="172"/>
        <v>37992.734309601212</v>
      </c>
      <c r="AU254" s="231">
        <f t="shared" ca="1" si="173"/>
        <v>236.5357225859033</v>
      </c>
      <c r="AV254" s="231">
        <f t="shared" ca="1" si="205"/>
        <v>387.63109408566589</v>
      </c>
      <c r="AW254" s="231"/>
      <c r="AX254" s="231">
        <f t="shared" ca="1" si="206"/>
        <v>947.30751916663985</v>
      </c>
      <c r="AY254" s="231">
        <f t="shared" ca="1" si="207"/>
        <v>118.41343989582998</v>
      </c>
      <c r="AZ254" s="231"/>
      <c r="BA254" s="232">
        <f t="shared" ca="1" si="174"/>
        <v>39682.62208533525</v>
      </c>
      <c r="BB254" s="231">
        <f t="shared" ca="1" si="175"/>
        <v>25.492571594601856</v>
      </c>
      <c r="BC254" s="231">
        <f t="shared" ca="1" si="208"/>
        <v>5224.7391270642484</v>
      </c>
      <c r="BD254" s="231">
        <f t="shared" ca="1" si="209"/>
        <v>28109.6077424506</v>
      </c>
      <c r="BE254" s="231">
        <f t="shared" ca="1" si="210"/>
        <v>976.02804661286802</v>
      </c>
      <c r="BF254" s="231">
        <f t="shared" ca="1" si="176"/>
        <v>4415.644570284845</v>
      </c>
      <c r="BG254" s="231">
        <f t="shared" ca="1" si="177"/>
        <v>38751.512058007167</v>
      </c>
      <c r="BH254" s="232">
        <f t="shared" ca="1" si="178"/>
        <v>78434.13414334241</v>
      </c>
      <c r="BI254" s="244">
        <f t="shared" ca="1" si="211"/>
        <v>0.2551170502083176</v>
      </c>
      <c r="BJ254" s="243">
        <f t="shared" ca="1" si="212"/>
        <v>2.1028136366236079</v>
      </c>
      <c r="BK254" s="242">
        <f t="shared" ca="1" si="213"/>
        <v>2.3579306868319256</v>
      </c>
      <c r="BL254" s="241">
        <f t="shared" ca="1" si="214"/>
        <v>0.18368427614998867</v>
      </c>
      <c r="BM254" s="243">
        <f t="shared" ca="1" si="215"/>
        <v>0.93154644102425832</v>
      </c>
      <c r="BN254" s="243">
        <f t="shared" si="179"/>
        <v>0</v>
      </c>
      <c r="BO254" s="242">
        <f t="shared" ca="1" si="180"/>
        <v>1.115230717174247</v>
      </c>
      <c r="BP254" s="67"/>
      <c r="BQ254" s="67"/>
      <c r="BR254" s="67"/>
      <c r="BS254" s="67"/>
      <c r="BT254" s="67"/>
      <c r="BU254" s="67"/>
      <c r="BV254" s="67"/>
      <c r="BW254" s="67"/>
      <c r="BX254" s="67"/>
      <c r="BY254" s="67"/>
      <c r="BZ254" s="67"/>
      <c r="CA254" s="67"/>
      <c r="CB254" s="67"/>
    </row>
    <row r="255" spans="1:80" ht="12" customHeight="1" x14ac:dyDescent="0.15">
      <c r="A255" s="213">
        <f t="shared" si="181"/>
        <v>249</v>
      </c>
      <c r="B255" s="67">
        <f t="shared" si="182"/>
        <v>996</v>
      </c>
      <c r="C255" s="224">
        <f t="shared" si="183"/>
        <v>229.84615384615384</v>
      </c>
      <c r="D255" s="225">
        <f ca="1">IFERROR(OFFSET(extrapolation!P264,0,OS_dist_choice-1,1,1),0)</f>
        <v>4.0458097807206661E-2</v>
      </c>
      <c r="E255" s="225">
        <f ca="1">IFERROR(OFFSET(extrapolation!D264,0,PFS_dist_choice-1,1,1),0)</f>
        <v>4.3237996181106908E-3</v>
      </c>
      <c r="F255" s="214"/>
      <c r="G255" s="226">
        <f t="shared" ca="1" si="184"/>
        <v>4.3237996181106908</v>
      </c>
      <c r="H255" s="224">
        <f t="shared" ca="1" si="185"/>
        <v>36.134298189095944</v>
      </c>
      <c r="I255" s="224">
        <f t="shared" ca="1" si="162"/>
        <v>959.54190219279337</v>
      </c>
      <c r="J255" s="227">
        <f t="shared" ca="1" si="163"/>
        <v>1000</v>
      </c>
      <c r="K255" s="238">
        <f t="shared" ca="1" si="186"/>
        <v>6.446274915150596E-2</v>
      </c>
      <c r="L255" s="239">
        <f t="shared" ca="1" si="187"/>
        <v>0.26807334540183092</v>
      </c>
      <c r="M255" s="238">
        <f t="shared" ca="1" si="188"/>
        <v>4.3560309926864438</v>
      </c>
      <c r="N255" s="238">
        <f t="shared" ca="1" si="189"/>
        <v>36.236103487221101</v>
      </c>
      <c r="O255" s="239">
        <f t="shared" ca="1" si="190"/>
        <v>959.4078655200924</v>
      </c>
      <c r="P255" s="217"/>
      <c r="Q255" s="217"/>
      <c r="R255" s="224"/>
      <c r="S255" s="230">
        <f t="shared" ca="1" si="191"/>
        <v>65791.270343070661</v>
      </c>
      <c r="T255" s="231">
        <f t="shared" ca="1" si="192"/>
        <v>409.60425600402311</v>
      </c>
      <c r="U255" s="231">
        <f t="shared" ca="1" si="193"/>
        <v>671.24404782834836</v>
      </c>
      <c r="V255" s="231"/>
      <c r="W255" s="231">
        <f t="shared" ca="1" si="194"/>
        <v>1640.4115753498318</v>
      </c>
      <c r="X255" s="231">
        <f t="shared" ca="1" si="195"/>
        <v>205.05144691872897</v>
      </c>
      <c r="Y255" s="231"/>
      <c r="Z255" s="232">
        <f t="shared" ca="1" si="164"/>
        <v>68717.581669171603</v>
      </c>
      <c r="AA255" s="231">
        <f t="shared" ca="1" si="165"/>
        <v>44.064342204869973</v>
      </c>
      <c r="AB255" s="231">
        <f t="shared" ca="1" si="196"/>
        <v>9130.9440529147996</v>
      </c>
      <c r="AC255" s="231">
        <f t="shared" ca="1" si="197"/>
        <v>49125.37246427402</v>
      </c>
      <c r="AD255" s="231">
        <f t="shared" ca="1" si="198"/>
        <v>1705.7420994539589</v>
      </c>
      <c r="AE255" s="231">
        <f t="shared" ca="1" si="166"/>
        <v>7680.4407170947306</v>
      </c>
      <c r="AF255" s="231">
        <f t="shared" ca="1" si="167"/>
        <v>67686.56367594238</v>
      </c>
      <c r="AG255" s="232">
        <f t="shared" ca="1" si="168"/>
        <v>136404.145345114</v>
      </c>
      <c r="AH255" s="244">
        <f t="shared" ca="1" si="199"/>
        <v>0.33393256069875549</v>
      </c>
      <c r="AI255" s="243">
        <f t="shared" ca="1" si="200"/>
        <v>2.77785324474248</v>
      </c>
      <c r="AJ255" s="242">
        <f t="shared" ca="1" si="201"/>
        <v>3.1117858054412353</v>
      </c>
      <c r="AK255" s="241">
        <f t="shared" ca="1" si="202"/>
        <v>0.24043144370310393</v>
      </c>
      <c r="AL255" s="243">
        <f t="shared" ca="1" si="203"/>
        <v>1.2305889874209186</v>
      </c>
      <c r="AM255" s="243"/>
      <c r="AN255" s="242">
        <f t="shared" ca="1" si="169"/>
        <v>1.4710204311240225</v>
      </c>
      <c r="AO255" s="224"/>
      <c r="AP255" s="235">
        <f t="shared" si="204"/>
        <v>19.153846153846153</v>
      </c>
      <c r="AQ255" s="235">
        <f t="shared" si="170"/>
        <v>0.56769853430208295</v>
      </c>
      <c r="AR255" s="235">
        <f t="shared" si="171"/>
        <v>0.75188326999654842</v>
      </c>
      <c r="AT255" s="230">
        <f t="shared" ca="1" si="172"/>
        <v>37349.607743633314</v>
      </c>
      <c r="AU255" s="231">
        <f t="shared" ca="1" si="173"/>
        <v>232.53173577737908</v>
      </c>
      <c r="AV255" s="231">
        <f t="shared" ca="1" si="205"/>
        <v>381.06426211115064</v>
      </c>
      <c r="AW255" s="231"/>
      <c r="AX255" s="231">
        <f t="shared" ca="1" si="206"/>
        <v>931.25924697827043</v>
      </c>
      <c r="AY255" s="231">
        <f t="shared" ca="1" si="207"/>
        <v>116.4074058722838</v>
      </c>
      <c r="AZ255" s="231"/>
      <c r="BA255" s="232">
        <f t="shared" ca="1" si="174"/>
        <v>39010.870394372403</v>
      </c>
      <c r="BB255" s="231">
        <f t="shared" ca="1" si="175"/>
        <v>25.015262484690098</v>
      </c>
      <c r="BC255" s="231">
        <f t="shared" ca="1" si="208"/>
        <v>5183.6235556340525</v>
      </c>
      <c r="BD255" s="231">
        <f t="shared" ca="1" si="209"/>
        <v>27888.401945012265</v>
      </c>
      <c r="BE255" s="231">
        <f t="shared" ca="1" si="210"/>
        <v>968.34728975737028</v>
      </c>
      <c r="BF255" s="231">
        <f t="shared" ca="1" si="176"/>
        <v>4360.1749378887171</v>
      </c>
      <c r="BG255" s="231">
        <f t="shared" ca="1" si="177"/>
        <v>38425.5629907771</v>
      </c>
      <c r="BH255" s="232">
        <f t="shared" ca="1" si="178"/>
        <v>77436.433385149503</v>
      </c>
      <c r="BI255" s="244">
        <f t="shared" ca="1" si="211"/>
        <v>0.25107830569650119</v>
      </c>
      <c r="BJ255" s="243">
        <f t="shared" ca="1" si="212"/>
        <v>2.0886213812274983</v>
      </c>
      <c r="BK255" s="242">
        <f t="shared" ca="1" si="213"/>
        <v>2.339699686923999</v>
      </c>
      <c r="BL255" s="241">
        <f t="shared" ca="1" si="214"/>
        <v>0.18077638010148084</v>
      </c>
      <c r="BM255" s="243">
        <f t="shared" ca="1" si="215"/>
        <v>0.92525927188378165</v>
      </c>
      <c r="BN255" s="243">
        <f t="shared" si="179"/>
        <v>0</v>
      </c>
      <c r="BO255" s="242">
        <f t="shared" ca="1" si="180"/>
        <v>1.1060356519852625</v>
      </c>
      <c r="BP255" s="67"/>
      <c r="BQ255" s="67"/>
      <c r="BR255" s="67"/>
      <c r="BS255" s="67"/>
      <c r="BT255" s="67"/>
      <c r="BU255" s="67"/>
      <c r="BV255" s="67"/>
      <c r="BW255" s="67"/>
      <c r="BX255" s="67"/>
      <c r="BY255" s="67"/>
      <c r="BZ255" s="67"/>
      <c r="CA255" s="67"/>
      <c r="CB255" s="67"/>
    </row>
    <row r="256" spans="1:80" ht="12" customHeight="1" x14ac:dyDescent="0.15">
      <c r="A256" s="213">
        <f t="shared" si="181"/>
        <v>250</v>
      </c>
      <c r="B256" s="67">
        <f t="shared" si="182"/>
        <v>1000</v>
      </c>
      <c r="C256" s="224">
        <f t="shared" si="183"/>
        <v>230.76923076923077</v>
      </c>
      <c r="D256" s="225">
        <f ca="1">IFERROR(OFFSET(extrapolation!P265,0,OS_dist_choice-1,1,1),0)</f>
        <v>4.0192779387027998E-2</v>
      </c>
      <c r="E256" s="225">
        <f ca="1">IFERROR(OFFSET(extrapolation!D265,0,PFS_dist_choice-1,1,1),0)</f>
        <v>4.2603977434103601E-3</v>
      </c>
      <c r="F256" s="214"/>
      <c r="G256" s="226">
        <f t="shared" ca="1" si="184"/>
        <v>4.2603977434103601</v>
      </c>
      <c r="H256" s="224">
        <f t="shared" ca="1" si="185"/>
        <v>35.932381643617646</v>
      </c>
      <c r="I256" s="224">
        <f t="shared" ca="1" si="162"/>
        <v>959.80722061297195</v>
      </c>
      <c r="J256" s="227">
        <f t="shared" ca="1" si="163"/>
        <v>1000</v>
      </c>
      <c r="K256" s="238">
        <f t="shared" ca="1" si="186"/>
        <v>6.3401874700330652E-2</v>
      </c>
      <c r="L256" s="239">
        <f t="shared" ca="1" si="187"/>
        <v>0.26531842017857343</v>
      </c>
      <c r="M256" s="238">
        <f t="shared" ca="1" si="188"/>
        <v>4.2920986807605255</v>
      </c>
      <c r="N256" s="238">
        <f t="shared" ca="1" si="189"/>
        <v>36.033339916356795</v>
      </c>
      <c r="O256" s="239">
        <f t="shared" ca="1" si="190"/>
        <v>959.67456140288266</v>
      </c>
      <c r="P256" s="217"/>
      <c r="Q256" s="217"/>
      <c r="R256" s="224"/>
      <c r="S256" s="230">
        <f t="shared" ca="1" si="191"/>
        <v>64826.542500181029</v>
      </c>
      <c r="T256" s="231">
        <f t="shared" ca="1" si="192"/>
        <v>403.59803924802162</v>
      </c>
      <c r="U256" s="231">
        <f t="shared" ca="1" si="193"/>
        <v>661.39237691135338</v>
      </c>
      <c r="V256" s="231"/>
      <c r="W256" s="231">
        <f t="shared" ca="1" si="194"/>
        <v>1616.3356895955217</v>
      </c>
      <c r="X256" s="231">
        <f t="shared" ca="1" si="195"/>
        <v>202.04196119944021</v>
      </c>
      <c r="Y256" s="231"/>
      <c r="Z256" s="232">
        <f t="shared" ca="1" si="164"/>
        <v>67709.910567135361</v>
      </c>
      <c r="AA256" s="231">
        <f t="shared" ca="1" si="165"/>
        <v>43.339167813949658</v>
      </c>
      <c r="AB256" s="231">
        <f t="shared" ca="1" si="196"/>
        <v>9079.8507331768178</v>
      </c>
      <c r="AC256" s="231">
        <f t="shared" ca="1" si="197"/>
        <v>48850.485404620711</v>
      </c>
      <c r="AD256" s="231">
        <f t="shared" ca="1" si="198"/>
        <v>1696.1974098826634</v>
      </c>
      <c r="AE256" s="231">
        <f t="shared" ca="1" si="166"/>
        <v>7601.5106771627807</v>
      </c>
      <c r="AF256" s="231">
        <f t="shared" ca="1" si="167"/>
        <v>67271.38339265692</v>
      </c>
      <c r="AG256" s="232">
        <f t="shared" ca="1" si="168"/>
        <v>134981.2939597923</v>
      </c>
      <c r="AH256" s="244">
        <f t="shared" ca="1" si="199"/>
        <v>0.32903152104392802</v>
      </c>
      <c r="AI256" s="243">
        <f t="shared" ca="1" si="200"/>
        <v>2.7623094254838882</v>
      </c>
      <c r="AJ256" s="242">
        <f t="shared" ca="1" si="201"/>
        <v>3.0913409465278163</v>
      </c>
      <c r="AK256" s="241">
        <f t="shared" ca="1" si="202"/>
        <v>0.23690269515162818</v>
      </c>
      <c r="AL256" s="243">
        <f t="shared" ca="1" si="203"/>
        <v>1.2237030754893625</v>
      </c>
      <c r="AM256" s="243"/>
      <c r="AN256" s="242">
        <f t="shared" ca="1" si="169"/>
        <v>1.4606057706409907</v>
      </c>
      <c r="AO256" s="224"/>
      <c r="AP256" s="235">
        <f t="shared" si="204"/>
        <v>19.23076923076923</v>
      </c>
      <c r="AQ256" s="235">
        <f t="shared" si="170"/>
        <v>0.56640919385536859</v>
      </c>
      <c r="AR256" s="235">
        <f t="shared" si="171"/>
        <v>0.75102264763591908</v>
      </c>
      <c r="AT256" s="230">
        <f t="shared" ca="1" si="172"/>
        <v>36718.349677958329</v>
      </c>
      <c r="AU256" s="231">
        <f t="shared" ca="1" si="173"/>
        <v>228.60164005207935</v>
      </c>
      <c r="AV256" s="231">
        <f t="shared" ca="1" si="205"/>
        <v>374.61872302844574</v>
      </c>
      <c r="AW256" s="231"/>
      <c r="AX256" s="231">
        <f t="shared" ca="1" si="206"/>
        <v>915.50739494346067</v>
      </c>
      <c r="AY256" s="231">
        <f t="shared" ca="1" si="207"/>
        <v>114.43842436793258</v>
      </c>
      <c r="AZ256" s="231"/>
      <c r="BA256" s="232">
        <f t="shared" ca="1" si="174"/>
        <v>38351.515860350242</v>
      </c>
      <c r="BB256" s="231">
        <f t="shared" ca="1" si="175"/>
        <v>24.547703103861764</v>
      </c>
      <c r="BC256" s="231">
        <f t="shared" ca="1" si="208"/>
        <v>5142.9109341057592</v>
      </c>
      <c r="BD256" s="231">
        <f t="shared" ca="1" si="209"/>
        <v>27669.364057474668</v>
      </c>
      <c r="BE256" s="231">
        <f t="shared" ca="1" si="210"/>
        <v>960.74180755120358</v>
      </c>
      <c r="BF256" s="231">
        <f t="shared" ca="1" si="176"/>
        <v>4305.5655347347474</v>
      </c>
      <c r="BG256" s="231">
        <f t="shared" ca="1" si="177"/>
        <v>38103.130036970237</v>
      </c>
      <c r="BH256" s="232">
        <f t="shared" ca="1" si="178"/>
        <v>76454.645897320486</v>
      </c>
      <c r="BI256" s="244">
        <f t="shared" ca="1" si="211"/>
        <v>0.24711012409008445</v>
      </c>
      <c r="BJ256" s="243">
        <f t="shared" ca="1" si="212"/>
        <v>2.0745569383165643</v>
      </c>
      <c r="BK256" s="242">
        <f t="shared" ca="1" si="213"/>
        <v>2.3216670624066489</v>
      </c>
      <c r="BL256" s="241">
        <f t="shared" ca="1" si="214"/>
        <v>0.17791928934486081</v>
      </c>
      <c r="BM256" s="243">
        <f t="shared" ca="1" si="215"/>
        <v>0.91902872367423805</v>
      </c>
      <c r="BN256" s="243">
        <f t="shared" si="179"/>
        <v>0</v>
      </c>
      <c r="BO256" s="242">
        <f t="shared" ca="1" si="180"/>
        <v>1.0969480130190987</v>
      </c>
      <c r="BP256" s="67"/>
      <c r="BQ256" s="67"/>
      <c r="BR256" s="67"/>
      <c r="BS256" s="67"/>
      <c r="BT256" s="67"/>
      <c r="BU256" s="67"/>
      <c r="BV256" s="67"/>
      <c r="BW256" s="67"/>
      <c r="BX256" s="67"/>
      <c r="BY256" s="67"/>
      <c r="BZ256" s="67"/>
      <c r="CA256" s="67"/>
      <c r="CB256" s="67"/>
    </row>
    <row r="257" spans="1:80" ht="12" customHeight="1" x14ac:dyDescent="0.15">
      <c r="A257" s="213">
        <f t="shared" si="181"/>
        <v>251</v>
      </c>
      <c r="B257" s="67">
        <f t="shared" si="182"/>
        <v>1004</v>
      </c>
      <c r="C257" s="224">
        <f t="shared" si="183"/>
        <v>231.69230769230768</v>
      </c>
      <c r="D257" s="225">
        <f ca="1">IFERROR(OFFSET(extrapolation!P266,0,OS_dist_choice-1,1,1),0)</f>
        <v>3.9930177683269966E-2</v>
      </c>
      <c r="E257" s="225">
        <f ca="1">IFERROR(OFFSET(extrapolation!D266,0,PFS_dist_choice-1,1,1),0)</f>
        <v>4.198037230807472E-3</v>
      </c>
      <c r="F257" s="214"/>
      <c r="G257" s="226">
        <f t="shared" ca="1" si="184"/>
        <v>4.198037230807472</v>
      </c>
      <c r="H257" s="224">
        <f t="shared" ca="1" si="185"/>
        <v>35.732140452462545</v>
      </c>
      <c r="I257" s="224">
        <f t="shared" ca="1" si="162"/>
        <v>960.06982231672998</v>
      </c>
      <c r="J257" s="227">
        <f t="shared" ca="1" si="163"/>
        <v>1000</v>
      </c>
      <c r="K257" s="238">
        <f t="shared" ca="1" si="186"/>
        <v>6.2360512602888107E-2</v>
      </c>
      <c r="L257" s="239">
        <f t="shared" ca="1" si="187"/>
        <v>0.26260170375803682</v>
      </c>
      <c r="M257" s="238">
        <f t="shared" ca="1" si="188"/>
        <v>4.2292174871089161</v>
      </c>
      <c r="N257" s="238">
        <f t="shared" ca="1" si="189"/>
        <v>35.832261048040095</v>
      </c>
      <c r="O257" s="239">
        <f t="shared" ca="1" si="190"/>
        <v>959.93852146485096</v>
      </c>
      <c r="P257" s="217"/>
      <c r="Q257" s="217"/>
      <c r="R257" s="224"/>
      <c r="S257" s="230">
        <f t="shared" ca="1" si="191"/>
        <v>63877.660103734124</v>
      </c>
      <c r="T257" s="231">
        <f t="shared" ca="1" si="192"/>
        <v>397.69047330492253</v>
      </c>
      <c r="U257" s="231">
        <f t="shared" ca="1" si="193"/>
        <v>651.7026784152107</v>
      </c>
      <c r="V257" s="231"/>
      <c r="W257" s="231">
        <f t="shared" ca="1" si="194"/>
        <v>1592.6556381654241</v>
      </c>
      <c r="X257" s="231">
        <f t="shared" ca="1" si="195"/>
        <v>199.08195477067801</v>
      </c>
      <c r="Y257" s="231"/>
      <c r="Z257" s="232">
        <f t="shared" ca="1" si="164"/>
        <v>66718.790848390359</v>
      </c>
      <c r="AA257" s="231">
        <f t="shared" ca="1" si="165"/>
        <v>42.627331343664437</v>
      </c>
      <c r="AB257" s="231">
        <f t="shared" ca="1" si="196"/>
        <v>9029.1819327228532</v>
      </c>
      <c r="AC257" s="231">
        <f t="shared" ca="1" si="197"/>
        <v>48577.882300254474</v>
      </c>
      <c r="AD257" s="231">
        <f t="shared" ca="1" si="198"/>
        <v>1686.7320243143913</v>
      </c>
      <c r="AE257" s="231">
        <f t="shared" ca="1" si="166"/>
        <v>7523.6753392935398</v>
      </c>
      <c r="AF257" s="231">
        <f t="shared" ca="1" si="167"/>
        <v>66860.098927928921</v>
      </c>
      <c r="AG257" s="232">
        <f t="shared" ca="1" si="168"/>
        <v>133578.88977631927</v>
      </c>
      <c r="AH257" s="244">
        <f t="shared" ca="1" si="199"/>
        <v>0.32421105992895183</v>
      </c>
      <c r="AI257" s="243">
        <f t="shared" ca="1" si="200"/>
        <v>2.7468947552227863</v>
      </c>
      <c r="AJ257" s="242">
        <f t="shared" ca="1" si="201"/>
        <v>3.0711058151517383</v>
      </c>
      <c r="AK257" s="241">
        <f t="shared" ca="1" si="202"/>
        <v>0.23343196314884532</v>
      </c>
      <c r="AL257" s="243">
        <f t="shared" ca="1" si="203"/>
        <v>1.2168743765636942</v>
      </c>
      <c r="AM257" s="243"/>
      <c r="AN257" s="242">
        <f t="shared" ca="1" si="169"/>
        <v>1.4503063397125395</v>
      </c>
      <c r="AO257" s="224"/>
      <c r="AP257" s="235">
        <f t="shared" si="204"/>
        <v>19.307692307692307</v>
      </c>
      <c r="AQ257" s="235">
        <f t="shared" si="170"/>
        <v>0.5651227817212835</v>
      </c>
      <c r="AR257" s="235">
        <f t="shared" si="171"/>
        <v>0.75016301036283883</v>
      </c>
      <c r="AT257" s="230">
        <f t="shared" ca="1" si="172"/>
        <v>36098.72096766888</v>
      </c>
      <c r="AU257" s="231">
        <f t="shared" ca="1" si="173"/>
        <v>224.74394653813167</v>
      </c>
      <c r="AV257" s="231">
        <f t="shared" ca="1" si="205"/>
        <v>368.29203048121491</v>
      </c>
      <c r="AW257" s="231"/>
      <c r="AX257" s="231">
        <f t="shared" ca="1" si="206"/>
        <v>900.04598456413044</v>
      </c>
      <c r="AY257" s="231">
        <f t="shared" ca="1" si="207"/>
        <v>112.5057480705163</v>
      </c>
      <c r="AZ257" s="231"/>
      <c r="BA257" s="232">
        <f t="shared" ca="1" si="174"/>
        <v>37704.308677322872</v>
      </c>
      <c r="BB257" s="231">
        <f t="shared" ca="1" si="175"/>
        <v>24.089676066286504</v>
      </c>
      <c r="BC257" s="231">
        <f t="shared" ca="1" si="208"/>
        <v>5102.596410487894</v>
      </c>
      <c r="BD257" s="231">
        <f t="shared" ca="1" si="209"/>
        <v>27452.467975648909</v>
      </c>
      <c r="BE257" s="231">
        <f t="shared" ca="1" si="210"/>
        <v>953.21069359892044</v>
      </c>
      <c r="BF257" s="231">
        <f t="shared" ca="1" si="176"/>
        <v>4251.8003365093864</v>
      </c>
      <c r="BG257" s="231">
        <f t="shared" ca="1" si="177"/>
        <v>37784.165092311399</v>
      </c>
      <c r="BH257" s="232">
        <f t="shared" ca="1" si="178"/>
        <v>75488.473769634264</v>
      </c>
      <c r="BI257" s="244">
        <f t="shared" ca="1" si="211"/>
        <v>0.24321114470922925</v>
      </c>
      <c r="BJ257" s="243">
        <f t="shared" ca="1" si="212"/>
        <v>2.0606188387278186</v>
      </c>
      <c r="BK257" s="242">
        <f t="shared" ca="1" si="213"/>
        <v>2.3038299834370481</v>
      </c>
      <c r="BL257" s="241">
        <f t="shared" ca="1" si="214"/>
        <v>0.17511202419064506</v>
      </c>
      <c r="BM257" s="243">
        <f t="shared" ca="1" si="215"/>
        <v>0.91285414555642364</v>
      </c>
      <c r="BN257" s="243">
        <f t="shared" si="179"/>
        <v>0</v>
      </c>
      <c r="BO257" s="242">
        <f t="shared" ca="1" si="180"/>
        <v>1.0879661697470686</v>
      </c>
      <c r="BP257" s="67"/>
      <c r="BQ257" s="67"/>
      <c r="BR257" s="67"/>
      <c r="BS257" s="67"/>
      <c r="BT257" s="67"/>
      <c r="BU257" s="67"/>
      <c r="BV257" s="67"/>
      <c r="BW257" s="67"/>
      <c r="BX257" s="67"/>
      <c r="BY257" s="67"/>
      <c r="BZ257" s="67"/>
      <c r="CA257" s="67"/>
      <c r="CB257" s="67"/>
    </row>
    <row r="258" spans="1:80" ht="12" customHeight="1" x14ac:dyDescent="0.15">
      <c r="A258" s="213">
        <f t="shared" si="181"/>
        <v>252</v>
      </c>
      <c r="B258" s="67">
        <f t="shared" si="182"/>
        <v>1008</v>
      </c>
      <c r="C258" s="224">
        <f t="shared" si="183"/>
        <v>232.61538461538458</v>
      </c>
      <c r="D258" s="225">
        <f ca="1">IFERROR(OFFSET(extrapolation!P267,0,OS_dist_choice-1,1,1),0)</f>
        <v>3.967025515053979E-2</v>
      </c>
      <c r="E258" s="225">
        <f ca="1">IFERROR(OFFSET(extrapolation!D267,0,PFS_dist_choice-1,1,1),0)</f>
        <v>4.1366989677484867E-3</v>
      </c>
      <c r="F258" s="214"/>
      <c r="G258" s="226">
        <f t="shared" ca="1" si="184"/>
        <v>4.1366989677484867</v>
      </c>
      <c r="H258" s="224">
        <f t="shared" ca="1" si="185"/>
        <v>35.533556182791244</v>
      </c>
      <c r="I258" s="224">
        <f t="shared" ca="1" si="162"/>
        <v>960.32974484946021</v>
      </c>
      <c r="J258" s="227">
        <f t="shared" ca="1" si="163"/>
        <v>1000</v>
      </c>
      <c r="K258" s="238">
        <f t="shared" ca="1" si="186"/>
        <v>6.1338263058985376E-2</v>
      </c>
      <c r="L258" s="239">
        <f t="shared" ca="1" si="187"/>
        <v>0.25992253273022925</v>
      </c>
      <c r="M258" s="238">
        <f t="shared" ca="1" si="188"/>
        <v>4.1673680992779794</v>
      </c>
      <c r="N258" s="238">
        <f t="shared" ca="1" si="189"/>
        <v>35.632848317626895</v>
      </c>
      <c r="O258" s="239">
        <f t="shared" ca="1" si="190"/>
        <v>960.19978358309504</v>
      </c>
      <c r="P258" s="217"/>
      <c r="Q258" s="217"/>
      <c r="R258" s="224"/>
      <c r="S258" s="230">
        <f t="shared" ca="1" si="191"/>
        <v>62944.33233563292</v>
      </c>
      <c r="T258" s="231">
        <f t="shared" ca="1" si="192"/>
        <v>391.87974759515134</v>
      </c>
      <c r="U258" s="231">
        <f t="shared" ca="1" si="193"/>
        <v>642.1719763809399</v>
      </c>
      <c r="V258" s="231"/>
      <c r="W258" s="231">
        <f t="shared" ca="1" si="194"/>
        <v>1569.3641482984985</v>
      </c>
      <c r="X258" s="231">
        <f t="shared" ca="1" si="195"/>
        <v>196.17051853731232</v>
      </c>
      <c r="Y258" s="231"/>
      <c r="Z258" s="232">
        <f t="shared" ca="1" si="164"/>
        <v>65743.918726444826</v>
      </c>
      <c r="AA258" s="231">
        <f t="shared" ca="1" si="165"/>
        <v>41.928559505444596</v>
      </c>
      <c r="AB258" s="231">
        <f t="shared" ca="1" si="196"/>
        <v>8978.9329735464325</v>
      </c>
      <c r="AC258" s="231">
        <f t="shared" ca="1" si="197"/>
        <v>48307.537983042748</v>
      </c>
      <c r="AD258" s="231">
        <f t="shared" ca="1" si="198"/>
        <v>1677.3450688556509</v>
      </c>
      <c r="AE258" s="231">
        <f t="shared" ca="1" si="166"/>
        <v>7446.9156964458352</v>
      </c>
      <c r="AF258" s="231">
        <f t="shared" ca="1" si="167"/>
        <v>66452.660281396107</v>
      </c>
      <c r="AG258" s="232">
        <f t="shared" ca="1" si="168"/>
        <v>132196.57900784095</v>
      </c>
      <c r="AH258" s="244">
        <f t="shared" ca="1" si="199"/>
        <v>0.31946969686456789</v>
      </c>
      <c r="AI258" s="243">
        <f t="shared" ca="1" si="200"/>
        <v>2.7316078107968598</v>
      </c>
      <c r="AJ258" s="242">
        <f t="shared" ca="1" si="201"/>
        <v>3.0510775076614278</v>
      </c>
      <c r="AK258" s="241">
        <f t="shared" ca="1" si="202"/>
        <v>0.23001818174248886</v>
      </c>
      <c r="AL258" s="243">
        <f t="shared" ca="1" si="203"/>
        <v>1.2101022601830089</v>
      </c>
      <c r="AM258" s="243"/>
      <c r="AN258" s="242">
        <f t="shared" ca="1" si="169"/>
        <v>1.4401204419254978</v>
      </c>
      <c r="AO258" s="224"/>
      <c r="AP258" s="235">
        <f t="shared" si="204"/>
        <v>19.384615384615383</v>
      </c>
      <c r="AQ258" s="235">
        <f t="shared" si="170"/>
        <v>0.56383929124912879</v>
      </c>
      <c r="AR258" s="235">
        <f t="shared" si="171"/>
        <v>0.7493043570497544</v>
      </c>
      <c r="AT258" s="230">
        <f t="shared" ca="1" si="172"/>
        <v>35490.487732272886</v>
      </c>
      <c r="AU258" s="231">
        <f t="shared" ca="1" si="173"/>
        <v>220.95719913893763</v>
      </c>
      <c r="AV258" s="231">
        <f t="shared" ca="1" si="205"/>
        <v>362.08179202268144</v>
      </c>
      <c r="AW258" s="231"/>
      <c r="AX258" s="231">
        <f t="shared" ca="1" si="206"/>
        <v>884.86916908841806</v>
      </c>
      <c r="AY258" s="231">
        <f t="shared" ca="1" si="207"/>
        <v>110.60864613605226</v>
      </c>
      <c r="AZ258" s="231"/>
      <c r="BA258" s="232">
        <f t="shared" ca="1" si="174"/>
        <v>37069.004538658977</v>
      </c>
      <c r="BB258" s="231">
        <f t="shared" ca="1" si="175"/>
        <v>23.640969274646803</v>
      </c>
      <c r="BC258" s="231">
        <f t="shared" ca="1" si="208"/>
        <v>5062.675203977853</v>
      </c>
      <c r="BD258" s="231">
        <f t="shared" ca="1" si="209"/>
        <v>27237.687978349193</v>
      </c>
      <c r="BE258" s="231">
        <f t="shared" ca="1" si="210"/>
        <v>945.75305480379131</v>
      </c>
      <c r="BF258" s="231">
        <f t="shared" ca="1" si="176"/>
        <v>4198.8636682760325</v>
      </c>
      <c r="BG258" s="231">
        <f t="shared" ca="1" si="177"/>
        <v>37468.62087468151</v>
      </c>
      <c r="BH258" s="232">
        <f t="shared" ca="1" si="178"/>
        <v>74537.625413340502</v>
      </c>
      <c r="BI258" s="244">
        <f t="shared" ca="1" si="211"/>
        <v>0.23938003580598499</v>
      </c>
      <c r="BJ258" s="243">
        <f t="shared" ca="1" si="212"/>
        <v>2.046805634381228</v>
      </c>
      <c r="BK258" s="242">
        <f t="shared" ca="1" si="213"/>
        <v>2.2861856701872134</v>
      </c>
      <c r="BL258" s="241">
        <f t="shared" ca="1" si="214"/>
        <v>0.17235362578030916</v>
      </c>
      <c r="BM258" s="243">
        <f t="shared" ca="1" si="215"/>
        <v>0.90673489603088409</v>
      </c>
      <c r="BN258" s="243">
        <f t="shared" si="179"/>
        <v>0</v>
      </c>
      <c r="BO258" s="242">
        <f t="shared" ca="1" si="180"/>
        <v>1.0790885218111934</v>
      </c>
      <c r="BP258" s="67"/>
      <c r="BQ258" s="67"/>
      <c r="BR258" s="67"/>
      <c r="BS258" s="67"/>
      <c r="BT258" s="67"/>
      <c r="BU258" s="67"/>
      <c r="BV258" s="67"/>
      <c r="BW258" s="67"/>
      <c r="BX258" s="67"/>
      <c r="BY258" s="67"/>
      <c r="BZ258" s="67"/>
      <c r="CA258" s="67"/>
      <c r="CB258" s="67"/>
    </row>
    <row r="259" spans="1:80" ht="12" customHeight="1" x14ac:dyDescent="0.15">
      <c r="A259" s="213">
        <f t="shared" si="181"/>
        <v>253</v>
      </c>
      <c r="B259" s="67">
        <f t="shared" si="182"/>
        <v>1012</v>
      </c>
      <c r="C259" s="224">
        <f t="shared" si="183"/>
        <v>233.53846153846152</v>
      </c>
      <c r="D259" s="225">
        <f ca="1">IFERROR(OFFSET(extrapolation!P268,0,OS_dist_choice-1,1,1),0)</f>
        <v>3.9412974893084297E-2</v>
      </c>
      <c r="E259" s="225">
        <f ca="1">IFERROR(OFFSET(extrapolation!D268,0,PFS_dist_choice-1,1,1),0)</f>
        <v>4.0763642323887739E-3</v>
      </c>
      <c r="F259" s="214"/>
      <c r="G259" s="226">
        <f t="shared" ca="1" si="184"/>
        <v>4.0763642323887739</v>
      </c>
      <c r="H259" s="224">
        <f t="shared" ca="1" si="185"/>
        <v>35.336610660695555</v>
      </c>
      <c r="I259" s="224">
        <f t="shared" ca="1" si="162"/>
        <v>960.58702510691569</v>
      </c>
      <c r="J259" s="227">
        <f t="shared" ca="1" si="163"/>
        <v>1000</v>
      </c>
      <c r="K259" s="238">
        <f t="shared" ca="1" si="186"/>
        <v>6.0334735359712788E-2</v>
      </c>
      <c r="L259" s="239">
        <f t="shared" ca="1" si="187"/>
        <v>0.25728025745547711</v>
      </c>
      <c r="M259" s="238">
        <f t="shared" ca="1" si="188"/>
        <v>4.1065316000686298</v>
      </c>
      <c r="N259" s="238">
        <f t="shared" ca="1" si="189"/>
        <v>35.4350834217434</v>
      </c>
      <c r="O259" s="239">
        <f t="shared" ca="1" si="190"/>
        <v>960.45838497818795</v>
      </c>
      <c r="P259" s="217"/>
      <c r="Q259" s="217"/>
      <c r="R259" s="224"/>
      <c r="S259" s="230">
        <f t="shared" ca="1" si="191"/>
        <v>62026.274322837453</v>
      </c>
      <c r="T259" s="231">
        <f t="shared" ca="1" si="192"/>
        <v>386.16408855195692</v>
      </c>
      <c r="U259" s="231">
        <f t="shared" ca="1" si="193"/>
        <v>632.79735575644213</v>
      </c>
      <c r="V259" s="231"/>
      <c r="W259" s="231">
        <f t="shared" ca="1" si="194"/>
        <v>1546.4540960802449</v>
      </c>
      <c r="X259" s="231">
        <f t="shared" ca="1" si="195"/>
        <v>193.30676201003061</v>
      </c>
      <c r="Y259" s="231"/>
      <c r="Z259" s="232">
        <f t="shared" ca="1" si="164"/>
        <v>64784.996625236134</v>
      </c>
      <c r="AA259" s="231">
        <f t="shared" ca="1" si="165"/>
        <v>41.242585225184165</v>
      </c>
      <c r="AB259" s="231">
        <f t="shared" ca="1" si="196"/>
        <v>8929.099243477207</v>
      </c>
      <c r="AC259" s="231">
        <f t="shared" ca="1" si="197"/>
        <v>48039.427639057743</v>
      </c>
      <c r="AD259" s="231">
        <f t="shared" ca="1" si="198"/>
        <v>1668.0356819117271</v>
      </c>
      <c r="AE259" s="231">
        <f t="shared" ca="1" si="166"/>
        <v>7371.2131361052716</v>
      </c>
      <c r="AF259" s="231">
        <f t="shared" ca="1" si="167"/>
        <v>66049.018285777129</v>
      </c>
      <c r="AG259" s="232">
        <f t="shared" ca="1" si="168"/>
        <v>130834.01491101326</v>
      </c>
      <c r="AH259" s="244">
        <f t="shared" ca="1" si="199"/>
        <v>0.31480598166166091</v>
      </c>
      <c r="AI259" s="243">
        <f t="shared" ca="1" si="200"/>
        <v>2.7164471890727317</v>
      </c>
      <c r="AJ259" s="242">
        <f t="shared" ca="1" si="201"/>
        <v>3.0312531707343928</v>
      </c>
      <c r="AK259" s="241">
        <f t="shared" ca="1" si="202"/>
        <v>0.22666030679639584</v>
      </c>
      <c r="AL259" s="243">
        <f t="shared" ca="1" si="203"/>
        <v>1.2033861047592203</v>
      </c>
      <c r="AM259" s="243"/>
      <c r="AN259" s="242">
        <f t="shared" ca="1" si="169"/>
        <v>1.4300464115556162</v>
      </c>
      <c r="AO259" s="224"/>
      <c r="AP259" s="235">
        <f t="shared" si="204"/>
        <v>19.46153846153846</v>
      </c>
      <c r="AQ259" s="235">
        <f t="shared" si="170"/>
        <v>0.56255871580331052</v>
      </c>
      <c r="AR259" s="235">
        <f t="shared" si="171"/>
        <v>0.74844668657040325</v>
      </c>
      <c r="AT259" s="230">
        <f t="shared" ca="1" si="172"/>
        <v>34893.421229119289</v>
      </c>
      <c r="AU259" s="231">
        <f t="shared" ca="1" si="173"/>
        <v>217.23997374514477</v>
      </c>
      <c r="AV259" s="231">
        <f t="shared" ca="1" si="205"/>
        <v>355.98566781807472</v>
      </c>
      <c r="AW259" s="231"/>
      <c r="AX259" s="231">
        <f t="shared" ca="1" si="206"/>
        <v>869.97123033967193</v>
      </c>
      <c r="AY259" s="231">
        <f t="shared" ca="1" si="207"/>
        <v>108.74640379245899</v>
      </c>
      <c r="AZ259" s="231"/>
      <c r="BA259" s="232">
        <f t="shared" ca="1" si="174"/>
        <v>36445.364504814643</v>
      </c>
      <c r="BB259" s="231">
        <f t="shared" ca="1" si="175"/>
        <v>23.201375780688192</v>
      </c>
      <c r="BC259" s="231">
        <f t="shared" ca="1" si="208"/>
        <v>5023.1426036908488</v>
      </c>
      <c r="BD259" s="231">
        <f t="shared" ca="1" si="209"/>
        <v>27024.998720554384</v>
      </c>
      <c r="BE259" s="231">
        <f t="shared" ca="1" si="210"/>
        <v>938.36801113036051</v>
      </c>
      <c r="BF259" s="231">
        <f t="shared" ca="1" si="176"/>
        <v>4146.740195759875</v>
      </c>
      <c r="BG259" s="231">
        <f t="shared" ca="1" si="177"/>
        <v>37156.450906916158</v>
      </c>
      <c r="BH259" s="232">
        <f t="shared" ca="1" si="178"/>
        <v>73601.8154117308</v>
      </c>
      <c r="BI259" s="244">
        <f t="shared" ca="1" si="211"/>
        <v>0.23561549388721323</v>
      </c>
      <c r="BJ259" s="243">
        <f t="shared" ca="1" si="212"/>
        <v>2.0331158979049717</v>
      </c>
      <c r="BK259" s="242">
        <f t="shared" ca="1" si="213"/>
        <v>2.2687313917921852</v>
      </c>
      <c r="BL259" s="241">
        <f t="shared" ca="1" si="214"/>
        <v>0.16964315559879353</v>
      </c>
      <c r="BM259" s="243">
        <f t="shared" ca="1" si="215"/>
        <v>0.90067034277190261</v>
      </c>
      <c r="BN259" s="243">
        <f t="shared" si="179"/>
        <v>0</v>
      </c>
      <c r="BO259" s="242">
        <f t="shared" ca="1" si="180"/>
        <v>1.0703134983706961</v>
      </c>
      <c r="BP259" s="67"/>
      <c r="BQ259" s="67"/>
      <c r="BR259" s="67"/>
      <c r="BS259" s="67"/>
      <c r="BT259" s="67"/>
      <c r="BU259" s="67"/>
      <c r="BV259" s="67"/>
      <c r="BW259" s="67"/>
      <c r="BX259" s="67"/>
      <c r="BY259" s="67"/>
      <c r="BZ259" s="67"/>
      <c r="CA259" s="67"/>
      <c r="CB259" s="67"/>
    </row>
    <row r="260" spans="1:80" ht="12" customHeight="1" x14ac:dyDescent="0.15">
      <c r="A260" s="213">
        <f t="shared" si="181"/>
        <v>254</v>
      </c>
      <c r="B260" s="67">
        <f t="shared" si="182"/>
        <v>1016</v>
      </c>
      <c r="C260" s="224">
        <f t="shared" si="183"/>
        <v>234.46153846153848</v>
      </c>
      <c r="D260" s="225">
        <f ca="1">IFERROR(OFFSET(extrapolation!P269,0,OS_dist_choice-1,1,1),0)</f>
        <v>3.9158300651350411E-2</v>
      </c>
      <c r="E260" s="225">
        <f ca="1">IFERROR(OFFSET(extrapolation!D269,0,PFS_dist_choice-1,1,1),0)</f>
        <v>4.017014684730924E-3</v>
      </c>
      <c r="F260" s="214"/>
      <c r="G260" s="226">
        <f t="shared" ca="1" si="184"/>
        <v>4.017014684730924</v>
      </c>
      <c r="H260" s="224">
        <f t="shared" ca="1" si="185"/>
        <v>35.141285966619421</v>
      </c>
      <c r="I260" s="224">
        <f t="shared" ca="1" si="162"/>
        <v>960.84169934864963</v>
      </c>
      <c r="J260" s="227">
        <f t="shared" ca="1" si="163"/>
        <v>1000</v>
      </c>
      <c r="K260" s="238">
        <f t="shared" ca="1" si="186"/>
        <v>5.9349547657849833E-2</v>
      </c>
      <c r="L260" s="239">
        <f t="shared" ca="1" si="187"/>
        <v>0.25467424173393738</v>
      </c>
      <c r="M260" s="238">
        <f t="shared" ca="1" si="188"/>
        <v>4.0466894585598485</v>
      </c>
      <c r="N260" s="238">
        <f t="shared" ca="1" si="189"/>
        <v>35.238948313657488</v>
      </c>
      <c r="O260" s="239">
        <f t="shared" ca="1" si="190"/>
        <v>960.71436222778266</v>
      </c>
      <c r="P260" s="217"/>
      <c r="Q260" s="217"/>
      <c r="R260" s="224"/>
      <c r="S260" s="230">
        <f t="shared" ca="1" si="191"/>
        <v>61123.207002524694</v>
      </c>
      <c r="T260" s="231">
        <f t="shared" ca="1" si="192"/>
        <v>380.54175878192211</v>
      </c>
      <c r="U260" s="231">
        <f t="shared" ca="1" si="193"/>
        <v>623.57596101326601</v>
      </c>
      <c r="V260" s="231"/>
      <c r="W260" s="231">
        <f t="shared" ca="1" si="194"/>
        <v>1523.9185030623021</v>
      </c>
      <c r="X260" s="231">
        <f t="shared" ca="1" si="195"/>
        <v>190.48981288278776</v>
      </c>
      <c r="Y260" s="231"/>
      <c r="Z260" s="232">
        <f t="shared" ca="1" si="164"/>
        <v>63841.733038264974</v>
      </c>
      <c r="AA260" s="231">
        <f t="shared" ca="1" si="165"/>
        <v>40.569147486298895</v>
      </c>
      <c r="AB260" s="231">
        <f t="shared" ca="1" si="196"/>
        <v>8879.6761950146029</v>
      </c>
      <c r="AC260" s="231">
        <f t="shared" ca="1" si="197"/>
        <v>47773.526802301414</v>
      </c>
      <c r="AD260" s="231">
        <f t="shared" ca="1" si="198"/>
        <v>1658.803013968799</v>
      </c>
      <c r="AE260" s="231">
        <f t="shared" ca="1" si="166"/>
        <v>7296.5494308155839</v>
      </c>
      <c r="AF260" s="231">
        <f t="shared" ca="1" si="167"/>
        <v>65649.124589586703</v>
      </c>
      <c r="AG260" s="232">
        <f t="shared" ca="1" si="168"/>
        <v>129490.85762785168</v>
      </c>
      <c r="AH260" s="244">
        <f t="shared" ca="1" si="199"/>
        <v>0.31021849374312327</v>
      </c>
      <c r="AI260" s="243">
        <f t="shared" ca="1" si="200"/>
        <v>2.7014115065911284</v>
      </c>
      <c r="AJ260" s="242">
        <f t="shared" ca="1" si="201"/>
        <v>3.0116300003342515</v>
      </c>
      <c r="AK260" s="241">
        <f t="shared" ca="1" si="202"/>
        <v>0.22335731549504875</v>
      </c>
      <c r="AL260" s="243">
        <f t="shared" ca="1" si="203"/>
        <v>1.1967252974198699</v>
      </c>
      <c r="AM260" s="243"/>
      <c r="AN260" s="242">
        <f t="shared" ca="1" si="169"/>
        <v>1.4200826129149187</v>
      </c>
      <c r="AO260" s="224"/>
      <c r="AP260" s="235">
        <f t="shared" si="204"/>
        <v>19.53846153846154</v>
      </c>
      <c r="AQ260" s="235">
        <f t="shared" si="170"/>
        <v>0.56128104876330565</v>
      </c>
      <c r="AR260" s="235">
        <f t="shared" si="171"/>
        <v>0.74758999779981206</v>
      </c>
      <c r="AT260" s="230">
        <f t="shared" ca="1" si="172"/>
        <v>34307.297730153688</v>
      </c>
      <c r="AU260" s="231">
        <f t="shared" ca="1" si="173"/>
        <v>213.59087746735011</v>
      </c>
      <c r="AV260" s="231">
        <f t="shared" ca="1" si="205"/>
        <v>350.00136938111211</v>
      </c>
      <c r="AW260" s="231"/>
      <c r="AX260" s="231">
        <f t="shared" ca="1" si="206"/>
        <v>855.34657562861571</v>
      </c>
      <c r="AY260" s="231">
        <f t="shared" ca="1" si="207"/>
        <v>106.91832195357696</v>
      </c>
      <c r="AZ260" s="231"/>
      <c r="BA260" s="232">
        <f t="shared" ca="1" si="174"/>
        <v>35833.154874584347</v>
      </c>
      <c r="BB260" s="231">
        <f t="shared" ca="1" si="175"/>
        <v>22.77069364854307</v>
      </c>
      <c r="BC260" s="231">
        <f t="shared" ca="1" si="208"/>
        <v>4983.9939674163552</v>
      </c>
      <c r="BD260" s="231">
        <f t="shared" ca="1" si="209"/>
        <v>26814.375226717628</v>
      </c>
      <c r="BE260" s="231">
        <f t="shared" ca="1" si="210"/>
        <v>931.0546953721398</v>
      </c>
      <c r="BF260" s="231">
        <f t="shared" ca="1" si="176"/>
        <v>4095.414916881472</v>
      </c>
      <c r="BG260" s="231">
        <f t="shared" ca="1" si="177"/>
        <v>36847.609500036146</v>
      </c>
      <c r="BH260" s="232">
        <f t="shared" ca="1" si="178"/>
        <v>72680.764374620485</v>
      </c>
      <c r="BI260" s="244">
        <f t="shared" ca="1" si="211"/>
        <v>0.23191624305488254</v>
      </c>
      <c r="BJ260" s="243">
        <f t="shared" ca="1" si="212"/>
        <v>2.0195482222688486</v>
      </c>
      <c r="BK260" s="242">
        <f t="shared" ca="1" si="213"/>
        <v>2.251464465323731</v>
      </c>
      <c r="BL260" s="241">
        <f t="shared" ca="1" si="214"/>
        <v>0.16697969499951543</v>
      </c>
      <c r="BM260" s="243">
        <f t="shared" ca="1" si="215"/>
        <v>0.89465986246509999</v>
      </c>
      <c r="BN260" s="243">
        <f t="shared" si="179"/>
        <v>0</v>
      </c>
      <c r="BO260" s="242">
        <f t="shared" ca="1" si="180"/>
        <v>1.0616395574646154</v>
      </c>
      <c r="BP260" s="67"/>
      <c r="BQ260" s="67"/>
      <c r="BR260" s="67"/>
      <c r="BS260" s="67"/>
      <c r="BT260" s="67"/>
      <c r="BU260" s="67"/>
      <c r="BV260" s="67"/>
      <c r="BW260" s="67"/>
      <c r="BX260" s="67"/>
      <c r="BY260" s="67"/>
      <c r="BZ260" s="67"/>
      <c r="CA260" s="67"/>
      <c r="CB260" s="67"/>
    </row>
    <row r="261" spans="1:80" ht="12" customHeight="1" x14ac:dyDescent="0.15">
      <c r="A261" s="213">
        <f t="shared" si="181"/>
        <v>255</v>
      </c>
      <c r="B261" s="67">
        <f t="shared" si="182"/>
        <v>1020</v>
      </c>
      <c r="C261" s="224">
        <f t="shared" si="183"/>
        <v>235.38461538461542</v>
      </c>
      <c r="D261" s="225">
        <f ca="1">IFERROR(OFFSET(extrapolation!P270,0,OS_dist_choice-1,1,1),0)</f>
        <v>3.8906196788868502E-2</v>
      </c>
      <c r="E261" s="225">
        <f ca="1">IFERROR(OFFSET(extrapolation!D270,0,PFS_dist_choice-1,1,1),0)</f>
        <v>3.9586323579853255E-3</v>
      </c>
      <c r="F261" s="214"/>
      <c r="G261" s="226">
        <f t="shared" ca="1" si="184"/>
        <v>3.9586323579853255</v>
      </c>
      <c r="H261" s="224">
        <f t="shared" ca="1" si="185"/>
        <v>34.947564430883176</v>
      </c>
      <c r="I261" s="224">
        <f t="shared" ca="1" si="162"/>
        <v>961.09380321113144</v>
      </c>
      <c r="J261" s="227">
        <f t="shared" ca="1" si="163"/>
        <v>1000</v>
      </c>
      <c r="K261" s="238">
        <f t="shared" ca="1" si="186"/>
        <v>5.8382326745598512E-2</v>
      </c>
      <c r="L261" s="239">
        <f t="shared" ca="1" si="187"/>
        <v>0.25210386248181749</v>
      </c>
      <c r="M261" s="238">
        <f t="shared" ca="1" si="188"/>
        <v>3.9878235213581248</v>
      </c>
      <c r="N261" s="238">
        <f t="shared" ca="1" si="189"/>
        <v>35.044425198751298</v>
      </c>
      <c r="O261" s="239">
        <f t="shared" ca="1" si="190"/>
        <v>960.96775127989054</v>
      </c>
      <c r="P261" s="217"/>
      <c r="Q261" s="217"/>
      <c r="R261" s="224"/>
      <c r="S261" s="230">
        <f t="shared" ca="1" si="191"/>
        <v>60234.856990630404</v>
      </c>
      <c r="T261" s="231">
        <f t="shared" ca="1" si="192"/>
        <v>375.01105624652945</v>
      </c>
      <c r="U261" s="231">
        <f t="shared" ca="1" si="193"/>
        <v>614.50499479818734</v>
      </c>
      <c r="V261" s="231"/>
      <c r="W261" s="231">
        <f t="shared" ca="1" si="194"/>
        <v>1501.750532967128</v>
      </c>
      <c r="X261" s="231">
        <f t="shared" ca="1" si="195"/>
        <v>187.718816620891</v>
      </c>
      <c r="Y261" s="231"/>
      <c r="Z261" s="232">
        <f t="shared" ca="1" si="164"/>
        <v>62913.842391263141</v>
      </c>
      <c r="AA261" s="231">
        <f t="shared" ca="1" si="165"/>
        <v>39.907991177793036</v>
      </c>
      <c r="AB261" s="231">
        <f t="shared" ca="1" si="196"/>
        <v>8830.6593441869882</v>
      </c>
      <c r="AC261" s="231">
        <f t="shared" ca="1" si="197"/>
        <v>47509.811348567615</v>
      </c>
      <c r="AD261" s="231">
        <f t="shared" ca="1" si="198"/>
        <v>1649.6462273808199</v>
      </c>
      <c r="AE261" s="231">
        <f t="shared" ca="1" si="166"/>
        <v>7222.9067289021759</v>
      </c>
      <c r="AF261" s="231">
        <f t="shared" ca="1" si="167"/>
        <v>65252.931640215393</v>
      </c>
      <c r="AG261" s="232">
        <f t="shared" ca="1" si="168"/>
        <v>128166.77403147853</v>
      </c>
      <c r="AH261" s="244">
        <f t="shared" ca="1" si="199"/>
        <v>0.30570584147303903</v>
      </c>
      <c r="AI261" s="243">
        <f t="shared" ca="1" si="200"/>
        <v>2.6864993992198118</v>
      </c>
      <c r="AJ261" s="242">
        <f t="shared" ca="1" si="201"/>
        <v>2.9922052406928508</v>
      </c>
      <c r="AK261" s="241">
        <f t="shared" ca="1" si="202"/>
        <v>0.2201082058605881</v>
      </c>
      <c r="AL261" s="243">
        <f t="shared" ca="1" si="203"/>
        <v>1.1901192338543767</v>
      </c>
      <c r="AM261" s="243"/>
      <c r="AN261" s="242">
        <f t="shared" ca="1" si="169"/>
        <v>1.4102274397149648</v>
      </c>
      <c r="AO261" s="224"/>
      <c r="AP261" s="235">
        <f t="shared" si="204"/>
        <v>19.615384615384617</v>
      </c>
      <c r="AQ261" s="235">
        <f t="shared" si="170"/>
        <v>0.56000628352362702</v>
      </c>
      <c r="AR261" s="235">
        <f t="shared" si="171"/>
        <v>0.74673428961429489</v>
      </c>
      <c r="AT261" s="230">
        <f t="shared" ca="1" si="172"/>
        <v>33731.8984019001</v>
      </c>
      <c r="AU261" s="231">
        <f t="shared" ca="1" si="173"/>
        <v>210.00854788888881</v>
      </c>
      <c r="AV261" s="231">
        <f t="shared" ca="1" si="205"/>
        <v>344.12665834363867</v>
      </c>
      <c r="AW261" s="231"/>
      <c r="AX261" s="231">
        <f t="shared" ca="1" si="206"/>
        <v>840.98973474654747</v>
      </c>
      <c r="AY261" s="231">
        <f t="shared" ca="1" si="207"/>
        <v>105.12371684331843</v>
      </c>
      <c r="AZ261" s="231"/>
      <c r="BA261" s="232">
        <f t="shared" ca="1" si="174"/>
        <v>35232.147059722491</v>
      </c>
      <c r="BB261" s="231">
        <f t="shared" ca="1" si="175"/>
        <v>22.348725822369573</v>
      </c>
      <c r="BC261" s="231">
        <f t="shared" ca="1" si="208"/>
        <v>4945.2247204013447</v>
      </c>
      <c r="BD261" s="231">
        <f t="shared" ca="1" si="209"/>
        <v>26605.792884219987</v>
      </c>
      <c r="BE261" s="231">
        <f t="shared" ca="1" si="210"/>
        <v>923.8122529243052</v>
      </c>
      <c r="BF261" s="231">
        <f t="shared" ca="1" si="176"/>
        <v>4044.8731534903054</v>
      </c>
      <c r="BG261" s="231">
        <f t="shared" ca="1" si="177"/>
        <v>36542.051736858317</v>
      </c>
      <c r="BH261" s="232">
        <f t="shared" ca="1" si="178"/>
        <v>71774.198796580808</v>
      </c>
      <c r="BI261" s="244">
        <f t="shared" ca="1" si="211"/>
        <v>0.22828103436331004</v>
      </c>
      <c r="BJ261" s="243">
        <f t="shared" ca="1" si="212"/>
        <v>2.0061012204256361</v>
      </c>
      <c r="BK261" s="242">
        <f t="shared" ca="1" si="213"/>
        <v>2.234382254788946</v>
      </c>
      <c r="BL261" s="241">
        <f t="shared" ca="1" si="214"/>
        <v>0.16436234474158323</v>
      </c>
      <c r="BM261" s="243">
        <f t="shared" ca="1" si="215"/>
        <v>0.88870284064855687</v>
      </c>
      <c r="BN261" s="243">
        <f t="shared" si="179"/>
        <v>0</v>
      </c>
      <c r="BO261" s="242">
        <f t="shared" ca="1" si="180"/>
        <v>1.05306518539014</v>
      </c>
      <c r="BP261" s="67"/>
      <c r="BQ261" s="67"/>
      <c r="BR261" s="67"/>
      <c r="BS261" s="67"/>
      <c r="BT261" s="67"/>
      <c r="BU261" s="67"/>
      <c r="BV261" s="67"/>
      <c r="BW261" s="67"/>
      <c r="BX261" s="67"/>
      <c r="BY261" s="67"/>
      <c r="BZ261" s="67"/>
      <c r="CA261" s="67"/>
      <c r="CB261" s="67"/>
    </row>
    <row r="262" spans="1:80" ht="12" customHeight="1" x14ac:dyDescent="0.15">
      <c r="A262" s="213">
        <f t="shared" si="181"/>
        <v>256</v>
      </c>
      <c r="B262" s="67">
        <f t="shared" si="182"/>
        <v>1024</v>
      </c>
      <c r="C262" s="224">
        <f t="shared" si="183"/>
        <v>236.30769230769232</v>
      </c>
      <c r="D262" s="225">
        <f ca="1">IFERROR(OFFSET(extrapolation!P271,0,OS_dist_choice-1,1,1),0)</f>
        <v>3.8656628279448421E-2</v>
      </c>
      <c r="E262" s="225">
        <f ca="1">IFERROR(OFFSET(extrapolation!D271,0,PFS_dist_choice-1,1,1),0)</f>
        <v>3.9011996501459034E-3</v>
      </c>
      <c r="F262" s="214"/>
      <c r="G262" s="226">
        <f t="shared" ca="1" si="184"/>
        <v>3.9011996501459034</v>
      </c>
      <c r="H262" s="224">
        <f t="shared" ca="1" si="185"/>
        <v>34.755428629302401</v>
      </c>
      <c r="I262" s="224">
        <f t="shared" ca="1" si="162"/>
        <v>961.34337172055166</v>
      </c>
      <c r="J262" s="227">
        <f t="shared" ref="J262:J266" ca="1" si="216">G262+H262+I262</f>
        <v>1000</v>
      </c>
      <c r="K262" s="238">
        <f t="shared" ca="1" si="186"/>
        <v>5.7432707839422115E-2</v>
      </c>
      <c r="L262" s="239">
        <f t="shared" ca="1" si="187"/>
        <v>0.24956850942021447</v>
      </c>
      <c r="M262" s="238">
        <f t="shared" ca="1" si="188"/>
        <v>3.9299160040656145</v>
      </c>
      <c r="N262" s="238">
        <f t="shared" ca="1" si="189"/>
        <v>34.851496530092788</v>
      </c>
      <c r="O262" s="239">
        <f t="shared" ca="1" si="190"/>
        <v>961.21858746584155</v>
      </c>
      <c r="P262" s="217"/>
      <c r="Q262" s="217"/>
      <c r="R262" s="224"/>
      <c r="S262" s="230">
        <f t="shared" ca="1" si="191"/>
        <v>59360.956453664941</v>
      </c>
      <c r="T262" s="231">
        <f t="shared" ca="1" si="192"/>
        <v>369.5703134641102</v>
      </c>
      <c r="U262" s="231">
        <f t="shared" ca="1" si="193"/>
        <v>605.58171661849212</v>
      </c>
      <c r="V262" s="231"/>
      <c r="W262" s="231">
        <f t="shared" ca="1" si="194"/>
        <v>1479.9434884750453</v>
      </c>
      <c r="X262" s="231">
        <f t="shared" ca="1" si="195"/>
        <v>184.99293605938067</v>
      </c>
      <c r="Y262" s="231"/>
      <c r="Z262" s="232">
        <f t="shared" ref="Z262:Z266" ca="1" si="217">SUM(S262:Y262)</f>
        <v>62001.044908281969</v>
      </c>
      <c r="AA262" s="231">
        <f t="shared" ca="1" si="165"/>
        <v>39.258866947183122</v>
      </c>
      <c r="AB262" s="231">
        <f t="shared" ca="1" si="196"/>
        <v>8782.044269435768</v>
      </c>
      <c r="AC262" s="231">
        <f t="shared" ca="1" si="197"/>
        <v>47248.257489438467</v>
      </c>
      <c r="AD262" s="231">
        <f t="shared" ca="1" si="198"/>
        <v>1640.5644961610578</v>
      </c>
      <c r="AE262" s="231">
        <f t="shared" ca="1" si="166"/>
        <v>7150.2675455571925</v>
      </c>
      <c r="AF262" s="231">
        <f t="shared" ref="AF262:AF266" ca="1" si="218">SUM(AA262:AE262)</f>
        <v>64860.392667539672</v>
      </c>
      <c r="AG262" s="232">
        <f t="shared" ref="AG262:AG266" ca="1" si="219">Z262+AF262</f>
        <v>126861.43757582165</v>
      </c>
      <c r="AH262" s="244">
        <f t="shared" ca="1" si="199"/>
        <v>0.30126666150263437</v>
      </c>
      <c r="AI262" s="243">
        <f t="shared" ca="1" si="200"/>
        <v>2.6717095218140945</v>
      </c>
      <c r="AJ262" s="242">
        <f t="shared" ca="1" si="201"/>
        <v>2.972976183316729</v>
      </c>
      <c r="AK262" s="241">
        <f t="shared" ca="1" si="202"/>
        <v>0.21691199628189675</v>
      </c>
      <c r="AL262" s="243">
        <f t="shared" ca="1" si="203"/>
        <v>1.1835673181636439</v>
      </c>
      <c r="AM262" s="243"/>
      <c r="AN262" s="242">
        <f t="shared" ref="AN262:AN266" ca="1" si="220">AK262+AL262-AM262</f>
        <v>1.4004793144455407</v>
      </c>
      <c r="AO262" s="224"/>
      <c r="AP262" s="235">
        <f t="shared" si="204"/>
        <v>19.692307692307693</v>
      </c>
      <c r="AQ262" s="235">
        <f t="shared" ref="AQ262:AQ266" si="221">1/(1+cDR)^AP262</f>
        <v>0.55873441349379016</v>
      </c>
      <c r="AR262" s="235">
        <f t="shared" si="171"/>
        <v>0.74587956089145246</v>
      </c>
      <c r="AT262" s="230">
        <f t="shared" ca="1" si="172"/>
        <v>33167.009188568896</v>
      </c>
      <c r="AU262" s="231">
        <f t="shared" ca="1" si="173"/>
        <v>206.4916523380858</v>
      </c>
      <c r="AV262" s="231">
        <f t="shared" ca="1" si="205"/>
        <v>338.35934525739583</v>
      </c>
      <c r="AW262" s="231"/>
      <c r="AX262" s="231">
        <f t="shared" ca="1" si="206"/>
        <v>826.89535703705826</v>
      </c>
      <c r="AY262" s="231">
        <f t="shared" ca="1" si="207"/>
        <v>103.36191962963228</v>
      </c>
      <c r="AZ262" s="231"/>
      <c r="BA262" s="232">
        <f t="shared" ca="1" si="174"/>
        <v>34642.117462831069</v>
      </c>
      <c r="BB262" s="231">
        <f t="shared" ca="1" si="175"/>
        <v>21.935279998165107</v>
      </c>
      <c r="BC262" s="231">
        <f t="shared" ca="1" si="208"/>
        <v>4906.8303541596952</v>
      </c>
      <c r="BD262" s="231">
        <f t="shared" ca="1" si="209"/>
        <v>26399.227436964979</v>
      </c>
      <c r="BE262" s="231">
        <f t="shared" ca="1" si="210"/>
        <v>916.63984156128402</v>
      </c>
      <c r="BF262" s="231">
        <f t="shared" ca="1" si="176"/>
        <v>3995.1005433905807</v>
      </c>
      <c r="BG262" s="231">
        <f t="shared" ca="1" si="177"/>
        <v>36239.733456074704</v>
      </c>
      <c r="BH262" s="232">
        <f t="shared" ca="1" si="178"/>
        <v>70881.85091890578</v>
      </c>
      <c r="BI262" s="244">
        <f t="shared" ca="1" si="211"/>
        <v>0.22470864519281877</v>
      </c>
      <c r="BJ262" s="243">
        <f t="shared" ca="1" si="212"/>
        <v>1.9927735249602092</v>
      </c>
      <c r="BK262" s="242">
        <f t="shared" ca="1" si="213"/>
        <v>2.2174821701530281</v>
      </c>
      <c r="BL262" s="241">
        <f t="shared" ca="1" si="214"/>
        <v>0.16179022453882952</v>
      </c>
      <c r="BM262" s="243">
        <f t="shared" ca="1" si="215"/>
        <v>0.88279867155737268</v>
      </c>
      <c r="BN262" s="243">
        <f t="shared" si="179"/>
        <v>0</v>
      </c>
      <c r="BO262" s="242">
        <f t="shared" ca="1" si="180"/>
        <v>1.0445888960962022</v>
      </c>
      <c r="BP262" s="67"/>
      <c r="BQ262" s="67"/>
      <c r="BR262" s="67"/>
      <c r="BS262" s="67"/>
      <c r="BT262" s="67"/>
      <c r="BU262" s="67"/>
      <c r="BV262" s="67"/>
      <c r="BW262" s="67"/>
      <c r="BX262" s="67"/>
      <c r="BY262" s="67"/>
      <c r="BZ262" s="67"/>
      <c r="CA262" s="67"/>
      <c r="CB262" s="67"/>
    </row>
    <row r="263" spans="1:80" ht="12" customHeight="1" x14ac:dyDescent="0.15">
      <c r="A263" s="213">
        <f t="shared" si="181"/>
        <v>257</v>
      </c>
      <c r="B263" s="67">
        <f t="shared" ref="B263:B266" si="222">A263*cycle_length_days/7</f>
        <v>1028</v>
      </c>
      <c r="C263" s="224">
        <f t="shared" ref="C263:C266" si="223">B263/52*12</f>
        <v>237.23076923076923</v>
      </c>
      <c r="D263" s="225">
        <f ca="1">IFERROR(OFFSET(extrapolation!P272,0,OS_dist_choice-1,1,1),0)</f>
        <v>3.8409560694681016E-2</v>
      </c>
      <c r="E263" s="225">
        <f ca="1">IFERROR(OFFSET(extrapolation!D272,0,PFS_dist_choice-1,1,1),0)</f>
        <v>3.8446993157761344E-3</v>
      </c>
      <c r="F263" s="214"/>
      <c r="G263" s="226">
        <f t="shared" ca="1" si="184"/>
        <v>3.8446993157761344</v>
      </c>
      <c r="H263" s="224">
        <f t="shared" ref="H263:H266" ca="1" si="224">cohort_size-G263-I263</f>
        <v>34.564861378904993</v>
      </c>
      <c r="I263" s="224">
        <f t="shared" ca="1" si="162"/>
        <v>961.59043930531891</v>
      </c>
      <c r="J263" s="227">
        <f t="shared" ca="1" si="216"/>
        <v>1000</v>
      </c>
      <c r="K263" s="238">
        <f t="shared" ca="1" si="186"/>
        <v>5.6500334369768979E-2</v>
      </c>
      <c r="L263" s="239">
        <f t="shared" ca="1" si="187"/>
        <v>0.24706758476725099</v>
      </c>
      <c r="M263" s="238">
        <f t="shared" ca="1" si="188"/>
        <v>3.8729494829610189</v>
      </c>
      <c r="N263" s="238">
        <f t="shared" ca="1" si="189"/>
        <v>34.660145004103697</v>
      </c>
      <c r="O263" s="239">
        <f t="shared" ca="1" si="190"/>
        <v>961.46690551293523</v>
      </c>
      <c r="P263" s="217"/>
      <c r="Q263" s="217"/>
      <c r="R263" s="224"/>
      <c r="S263" s="230">
        <f t="shared" ca="1" si="191"/>
        <v>58501.242983728596</v>
      </c>
      <c r="T263" s="231">
        <f t="shared" ca="1" si="192"/>
        <v>364.2178967317131</v>
      </c>
      <c r="U263" s="231">
        <f t="shared" ca="1" si="193"/>
        <v>596.80344156003912</v>
      </c>
      <c r="V263" s="231"/>
      <c r="W263" s="231">
        <f t="shared" ca="1" si="194"/>
        <v>1458.4908080913924</v>
      </c>
      <c r="X263" s="231">
        <f t="shared" ca="1" si="195"/>
        <v>182.31135101142405</v>
      </c>
      <c r="Y263" s="231"/>
      <c r="Z263" s="232">
        <f t="shared" ca="1" si="217"/>
        <v>61103.066481123176</v>
      </c>
      <c r="AA263" s="231">
        <f t="shared" ca="1" si="165"/>
        <v>38.621531056760929</v>
      </c>
      <c r="AB263" s="231">
        <f t="shared" ca="1" si="196"/>
        <v>8733.8266105237817</v>
      </c>
      <c r="AC263" s="231">
        <f t="shared" ca="1" si="197"/>
        <v>46988.841766411395</v>
      </c>
      <c r="AD263" s="231">
        <f t="shared" ca="1" si="198"/>
        <v>1631.5570057781733</v>
      </c>
      <c r="AE263" s="231">
        <f t="shared" ca="1" si="166"/>
        <v>7078.6147540190623</v>
      </c>
      <c r="AF263" s="231">
        <f t="shared" ca="1" si="218"/>
        <v>64471.461667789175</v>
      </c>
      <c r="AG263" s="232">
        <f t="shared" ca="1" si="219"/>
        <v>125574.52814891236</v>
      </c>
      <c r="AH263" s="244">
        <f t="shared" ca="1" si="199"/>
        <v>0.29689961813253535</v>
      </c>
      <c r="AI263" s="243">
        <f t="shared" ca="1" si="200"/>
        <v>2.6570405478847463</v>
      </c>
      <c r="AJ263" s="242">
        <f t="shared" ref="AJ263:AJ266" ca="1" si="225">AH263+AI263</f>
        <v>2.9539401660172815</v>
      </c>
      <c r="AK263" s="241">
        <f t="shared" ca="1" si="202"/>
        <v>0.21376772505542543</v>
      </c>
      <c r="AL263" s="243">
        <f t="shared" ca="1" si="203"/>
        <v>1.1770689627129427</v>
      </c>
      <c r="AM263" s="243"/>
      <c r="AN263" s="242">
        <f t="shared" ca="1" si="220"/>
        <v>1.3908366877683682</v>
      </c>
      <c r="AO263" s="224"/>
      <c r="AP263" s="235">
        <f t="shared" si="204"/>
        <v>19.76923076923077</v>
      </c>
      <c r="AQ263" s="235">
        <f t="shared" si="221"/>
        <v>0.55746543209827815</v>
      </c>
      <c r="AR263" s="235">
        <f t="shared" si="171"/>
        <v>0.74502581051016981</v>
      </c>
      <c r="AT263" s="230">
        <f t="shared" ca="1" si="172"/>
        <v>32612.420698210626</v>
      </c>
      <c r="AU263" s="231">
        <f t="shared" ca="1" si="173"/>
        <v>203.03888717947049</v>
      </c>
      <c r="AV263" s="231">
        <f t="shared" ca="1" si="205"/>
        <v>332.6972884270067</v>
      </c>
      <c r="AW263" s="231"/>
      <c r="AX263" s="231">
        <f t="shared" ca="1" si="206"/>
        <v>813.05820854403498</v>
      </c>
      <c r="AY263" s="231">
        <f t="shared" ca="1" si="207"/>
        <v>101.63227606800437</v>
      </c>
      <c r="AZ263" s="231"/>
      <c r="BA263" s="232">
        <f t="shared" ca="1" si="174"/>
        <v>34062.84735842915</v>
      </c>
      <c r="BB263" s="231">
        <f t="shared" ca="1" si="175"/>
        <v>21.530168498854302</v>
      </c>
      <c r="BC263" s="231">
        <f t="shared" ca="1" si="208"/>
        <v>4868.8064253070797</v>
      </c>
      <c r="BD263" s="231">
        <f t="shared" ca="1" si="209"/>
        <v>26194.654979110146</v>
      </c>
      <c r="BE263" s="231">
        <f t="shared" ca="1" si="210"/>
        <v>909.53663121910233</v>
      </c>
      <c r="BF263" s="231">
        <f t="shared" ca="1" si="176"/>
        <v>3946.0830325064835</v>
      </c>
      <c r="BG263" s="231">
        <f t="shared" ca="1" si="177"/>
        <v>35940.611236641671</v>
      </c>
      <c r="BH263" s="232">
        <f t="shared" ca="1" si="178"/>
        <v>70003.458595070813</v>
      </c>
      <c r="BI263" s="244">
        <f t="shared" ca="1" si="211"/>
        <v>0.22119787863935206</v>
      </c>
      <c r="BJ263" s="243">
        <f t="shared" ca="1" si="212"/>
        <v>1.9795637877462187</v>
      </c>
      <c r="BK263" s="242">
        <f t="shared" ca="1" si="213"/>
        <v>2.2007616663855707</v>
      </c>
      <c r="BL263" s="241">
        <f t="shared" ca="1" si="214"/>
        <v>0.15926247262033347</v>
      </c>
      <c r="BM263" s="243">
        <f t="shared" ca="1" si="215"/>
        <v>0.87694675797157495</v>
      </c>
      <c r="BN263" s="243">
        <f t="shared" si="179"/>
        <v>0</v>
      </c>
      <c r="BO263" s="242">
        <f t="shared" ca="1" si="180"/>
        <v>1.0362092305919086</v>
      </c>
      <c r="BP263" s="67"/>
      <c r="BQ263" s="67"/>
      <c r="BR263" s="67"/>
      <c r="BS263" s="67"/>
      <c r="BT263" s="67"/>
      <c r="BU263" s="67"/>
      <c r="BV263" s="67"/>
      <c r="BW263" s="67"/>
      <c r="BX263" s="67"/>
      <c r="BY263" s="67"/>
      <c r="BZ263" s="67"/>
      <c r="CA263" s="67"/>
      <c r="CB263" s="67"/>
    </row>
    <row r="264" spans="1:80" ht="12" customHeight="1" x14ac:dyDescent="0.15">
      <c r="A264" s="213">
        <f t="shared" si="181"/>
        <v>258</v>
      </c>
      <c r="B264" s="67">
        <f t="shared" si="222"/>
        <v>1032</v>
      </c>
      <c r="C264" s="224">
        <f t="shared" si="223"/>
        <v>238.15384615384616</v>
      </c>
      <c r="D264" s="225">
        <f ca="1">IFERROR(OFFSET(extrapolation!P273,0,OS_dist_choice-1,1,1),0)</f>
        <v>3.8164960191736083E-2</v>
      </c>
      <c r="E264" s="225">
        <f ca="1">IFERROR(OFFSET(extrapolation!D273,0,PFS_dist_choice-1,1,1),0)</f>
        <v>3.7891144579998981E-3</v>
      </c>
      <c r="F264" s="214"/>
      <c r="G264" s="226">
        <f t="shared" ca="1" si="184"/>
        <v>3.7891144579998981</v>
      </c>
      <c r="H264" s="224">
        <f t="shared" ca="1" si="224"/>
        <v>34.375845733736242</v>
      </c>
      <c r="I264" s="224">
        <f t="shared" ca="1" si="162"/>
        <v>961.8350398082639</v>
      </c>
      <c r="J264" s="227">
        <f t="shared" ca="1" si="216"/>
        <v>1000</v>
      </c>
      <c r="K264" s="238">
        <f t="shared" ca="1" si="186"/>
        <v>5.558485777623634E-2</v>
      </c>
      <c r="L264" s="239">
        <f t="shared" ca="1" si="187"/>
        <v>0.24460050294499069</v>
      </c>
      <c r="M264" s="238">
        <f t="shared" ca="1" si="188"/>
        <v>3.8169068868880163</v>
      </c>
      <c r="N264" s="238">
        <f t="shared" ca="1" si="189"/>
        <v>34.470353556320617</v>
      </c>
      <c r="O264" s="239">
        <f t="shared" ca="1" si="190"/>
        <v>961.71273955679135</v>
      </c>
      <c r="P264" s="217"/>
      <c r="Q264" s="217"/>
      <c r="R264" s="224"/>
      <c r="S264" s="230">
        <f t="shared" ca="1" si="191"/>
        <v>57655.459476643817</v>
      </c>
      <c r="T264" s="231">
        <f t="shared" ca="1" si="192"/>
        <v>358.952205366378</v>
      </c>
      <c r="U264" s="231">
        <f t="shared" ca="1" si="193"/>
        <v>588.16753903730444</v>
      </c>
      <c r="V264" s="231"/>
      <c r="W264" s="231">
        <f t="shared" ca="1" si="194"/>
        <v>1437.3860630918368</v>
      </c>
      <c r="X264" s="231">
        <f t="shared" ca="1" si="195"/>
        <v>179.6732578864796</v>
      </c>
      <c r="Y264" s="231"/>
      <c r="Z264" s="232">
        <f t="shared" ca="1" si="217"/>
        <v>60219.638542025816</v>
      </c>
      <c r="AA264" s="231">
        <f t="shared" ca="1" si="165"/>
        <v>37.995745243575072</v>
      </c>
      <c r="AB264" s="231">
        <f t="shared" ca="1" si="196"/>
        <v>8686.0020674671559</v>
      </c>
      <c r="AC264" s="231">
        <f t="shared" ca="1" si="197"/>
        <v>46731.5410451524</v>
      </c>
      <c r="AD264" s="231">
        <f t="shared" ca="1" si="198"/>
        <v>1622.6229529566804</v>
      </c>
      <c r="AE264" s="231">
        <f t="shared" ca="1" si="166"/>
        <v>7007.9315771754655</v>
      </c>
      <c r="AF264" s="231">
        <f t="shared" ca="1" si="218"/>
        <v>64086.093387995272</v>
      </c>
      <c r="AG264" s="232">
        <f t="shared" ca="1" si="219"/>
        <v>124305.73193002108</v>
      </c>
      <c r="AH264" s="244">
        <f t="shared" ca="1" si="199"/>
        <v>0.29260340269093621</v>
      </c>
      <c r="AI264" s="243">
        <f t="shared" ca="1" si="200"/>
        <v>2.6424911692730384</v>
      </c>
      <c r="AJ264" s="242">
        <f t="shared" ca="1" si="225"/>
        <v>2.9350945719639747</v>
      </c>
      <c r="AK264" s="241">
        <f t="shared" ca="1" si="202"/>
        <v>0.21067444993747406</v>
      </c>
      <c r="AL264" s="243">
        <f t="shared" ca="1" si="203"/>
        <v>1.1706235879879561</v>
      </c>
      <c r="AM264" s="243"/>
      <c r="AN264" s="242">
        <f t="shared" ca="1" si="220"/>
        <v>1.38129803792543</v>
      </c>
      <c r="AO264" s="224"/>
      <c r="AP264" s="235">
        <f t="shared" si="204"/>
        <v>19.846153846153847</v>
      </c>
      <c r="AQ264" s="235">
        <f t="shared" si="221"/>
        <v>0.55619933277650879</v>
      </c>
      <c r="AR264" s="235">
        <f t="shared" si="171"/>
        <v>0.74417303735061546</v>
      </c>
      <c r="AT264" s="230">
        <f t="shared" ca="1" si="172"/>
        <v>32067.928091832331</v>
      </c>
      <c r="AU264" s="231">
        <f t="shared" ca="1" si="173"/>
        <v>199.6489771234358</v>
      </c>
      <c r="AV264" s="231">
        <f t="shared" ca="1" si="205"/>
        <v>327.13839277334989</v>
      </c>
      <c r="AW264" s="231"/>
      <c r="AX264" s="231">
        <f t="shared" ca="1" si="206"/>
        <v>799.47316923393237</v>
      </c>
      <c r="AY264" s="231">
        <f t="shared" ca="1" si="207"/>
        <v>99.934146154241546</v>
      </c>
      <c r="AZ264" s="231"/>
      <c r="BA264" s="232">
        <f t="shared" ca="1" si="174"/>
        <v>33494.122777117293</v>
      </c>
      <c r="BB264" s="231">
        <f t="shared" ca="1" si="175"/>
        <v>21.133208152822665</v>
      </c>
      <c r="BC264" s="231">
        <f t="shared" ca="1" si="208"/>
        <v>4831.148554420608</v>
      </c>
      <c r="BD264" s="231">
        <f t="shared" ca="1" si="209"/>
        <v>25992.051948931799</v>
      </c>
      <c r="BE264" s="231">
        <f t="shared" ca="1" si="210"/>
        <v>902.50180378235405</v>
      </c>
      <c r="BF264" s="231">
        <f t="shared" ca="1" si="176"/>
        <v>3897.8068673684206</v>
      </c>
      <c r="BG264" s="231">
        <f t="shared" ca="1" si="177"/>
        <v>35644.642382655999</v>
      </c>
      <c r="BH264" s="232">
        <f t="shared" ca="1" si="178"/>
        <v>69138.765159773291</v>
      </c>
      <c r="BI264" s="244">
        <f t="shared" ca="1" si="211"/>
        <v>0.21774756291963926</v>
      </c>
      <c r="BJ264" s="243">
        <f t="shared" ca="1" si="212"/>
        <v>1.9664706796100964</v>
      </c>
      <c r="BK264" s="242">
        <f t="shared" ca="1" si="213"/>
        <v>2.1842182425297358</v>
      </c>
      <c r="BL264" s="241">
        <f t="shared" ca="1" si="214"/>
        <v>0.15677824530214024</v>
      </c>
      <c r="BM264" s="243">
        <f t="shared" ca="1" si="215"/>
        <v>0.8711465110672727</v>
      </c>
      <c r="BN264" s="243">
        <f t="shared" si="179"/>
        <v>0</v>
      </c>
      <c r="BO264" s="242">
        <f t="shared" ca="1" si="180"/>
        <v>1.0279247563694129</v>
      </c>
      <c r="BP264" s="67"/>
      <c r="BQ264" s="67"/>
      <c r="BR264" s="67"/>
      <c r="BS264" s="67"/>
      <c r="BT264" s="67"/>
      <c r="BU264" s="67"/>
      <c r="BV264" s="67"/>
      <c r="BW264" s="67"/>
      <c r="BX264" s="67"/>
      <c r="BY264" s="67"/>
      <c r="BZ264" s="67"/>
      <c r="CA264" s="67"/>
      <c r="CB264" s="67"/>
    </row>
    <row r="265" spans="1:80" ht="12" customHeight="1" x14ac:dyDescent="0.15">
      <c r="A265" s="213">
        <f t="shared" si="181"/>
        <v>259</v>
      </c>
      <c r="B265" s="67">
        <f t="shared" si="222"/>
        <v>1036</v>
      </c>
      <c r="C265" s="224">
        <f t="shared" si="223"/>
        <v>239.07692307692309</v>
      </c>
      <c r="D265" s="225">
        <f ca="1">IFERROR(OFFSET(extrapolation!P274,0,OS_dist_choice-1,1,1),0)</f>
        <v>3.7922793501448969E-2</v>
      </c>
      <c r="E265" s="225">
        <f ca="1">IFERROR(OFFSET(extrapolation!D274,0,PFS_dist_choice-1,1,1),0)</f>
        <v>3.7344285206899475E-3</v>
      </c>
      <c r="F265" s="214"/>
      <c r="G265" s="226">
        <f t="shared" ca="1" si="184"/>
        <v>3.7344285206899475</v>
      </c>
      <c r="H265" s="224">
        <f t="shared" ca="1" si="224"/>
        <v>34.188364980759047</v>
      </c>
      <c r="I265" s="224">
        <f t="shared" ca="1" si="162"/>
        <v>962.07720649855105</v>
      </c>
      <c r="J265" s="227">
        <f t="shared" ca="1" si="216"/>
        <v>1000</v>
      </c>
      <c r="K265" s="238">
        <f t="shared" ca="1" si="186"/>
        <v>5.4685937309950639E-2</v>
      </c>
      <c r="L265" s="239">
        <f t="shared" ca="1" si="187"/>
        <v>0.24216669028714932</v>
      </c>
      <c r="M265" s="238">
        <f t="shared" ca="1" si="188"/>
        <v>3.7617714893449228</v>
      </c>
      <c r="N265" s="238">
        <f t="shared" ca="1" si="189"/>
        <v>34.282105357247644</v>
      </c>
      <c r="O265" s="239">
        <f t="shared" ca="1" si="190"/>
        <v>961.95612315340748</v>
      </c>
      <c r="P265" s="217"/>
      <c r="Q265" s="217"/>
      <c r="R265" s="224"/>
      <c r="S265" s="230">
        <f t="shared" ca="1" si="191"/>
        <v>56823.354013094307</v>
      </c>
      <c r="T265" s="231">
        <f t="shared" ca="1" si="192"/>
        <v>353.77167096513011</v>
      </c>
      <c r="U265" s="231">
        <f t="shared" ca="1" si="193"/>
        <v>579.67143157443559</v>
      </c>
      <c r="V265" s="231"/>
      <c r="W265" s="231">
        <f t="shared" ca="1" si="194"/>
        <v>1416.6229545434685</v>
      </c>
      <c r="X265" s="231">
        <f t="shared" ca="1" si="195"/>
        <v>177.07786931793356</v>
      </c>
      <c r="Y265" s="231"/>
      <c r="Z265" s="232">
        <f t="shared" ca="1" si="217"/>
        <v>59350.497939495268</v>
      </c>
      <c r="AA265" s="231">
        <f t="shared" ca="1" si="165"/>
        <v>37.381276584345557</v>
      </c>
      <c r="AB265" s="231">
        <f t="shared" ca="1" si="196"/>
        <v>8638.5663994902316</v>
      </c>
      <c r="AC265" s="231">
        <f t="shared" ca="1" si="197"/>
        <v>46476.332509873493</v>
      </c>
      <c r="AD265" s="231">
        <f t="shared" ca="1" si="198"/>
        <v>1613.7615454817185</v>
      </c>
      <c r="AE265" s="231">
        <f t="shared" ca="1" si="166"/>
        <v>6938.201579189109</v>
      </c>
      <c r="AF265" s="231">
        <f t="shared" ca="1" si="218"/>
        <v>63704.243310618898</v>
      </c>
      <c r="AG265" s="232">
        <f t="shared" ca="1" si="219"/>
        <v>123054.74125011417</v>
      </c>
      <c r="AH265" s="244">
        <f t="shared" ca="1" si="199"/>
        <v>0.28837673292719462</v>
      </c>
      <c r="AI265" s="243">
        <f t="shared" ca="1" si="200"/>
        <v>2.6280600958328106</v>
      </c>
      <c r="AJ265" s="242">
        <f t="shared" ca="1" si="225"/>
        <v>2.9164368287600051</v>
      </c>
      <c r="AK265" s="241">
        <f t="shared" ca="1" si="202"/>
        <v>0.20763124770758012</v>
      </c>
      <c r="AL265" s="243">
        <f t="shared" ca="1" si="203"/>
        <v>1.1642306224539352</v>
      </c>
      <c r="AM265" s="243"/>
      <c r="AN265" s="242">
        <f t="shared" ca="1" si="220"/>
        <v>1.3718618701615153</v>
      </c>
      <c r="AO265" s="224"/>
      <c r="AP265" s="235">
        <f t="shared" si="204"/>
        <v>19.923076923076923</v>
      </c>
      <c r="AQ265" s="235">
        <f t="shared" si="221"/>
        <v>0.55493610898279944</v>
      </c>
      <c r="AR265" s="235">
        <f t="shared" si="171"/>
        <v>0.74332124029423952</v>
      </c>
      <c r="AT265" s="230">
        <f t="shared" ca="1" si="172"/>
        <v>31533.330975378696</v>
      </c>
      <c r="AU265" s="231">
        <f t="shared" ca="1" si="173"/>
        <v>196.32067455373252</v>
      </c>
      <c r="AV265" s="231">
        <f t="shared" ca="1" si="205"/>
        <v>321.68060872640638</v>
      </c>
      <c r="AW265" s="231"/>
      <c r="AX265" s="231">
        <f t="shared" ca="1" si="206"/>
        <v>786.13523029006956</v>
      </c>
      <c r="AY265" s="231">
        <f t="shared" ca="1" si="207"/>
        <v>98.266903786258695</v>
      </c>
      <c r="AZ265" s="231"/>
      <c r="BA265" s="232">
        <f t="shared" ca="1" si="174"/>
        <v>32935.734392735161</v>
      </c>
      <c r="BB265" s="231">
        <f t="shared" ca="1" si="175"/>
        <v>20.744220176526554</v>
      </c>
      <c r="BC265" s="231">
        <f t="shared" ca="1" si="208"/>
        <v>4793.8524249226602</v>
      </c>
      <c r="BD265" s="231">
        <f t="shared" ca="1" si="209"/>
        <v>25791.39512281998</v>
      </c>
      <c r="BE265" s="231">
        <f t="shared" ca="1" si="210"/>
        <v>895.53455287569375</v>
      </c>
      <c r="BF265" s="231">
        <f t="shared" ca="1" si="176"/>
        <v>3850.2585876935186</v>
      </c>
      <c r="BG265" s="231">
        <f t="shared" ca="1" si="177"/>
        <v>35351.784908488378</v>
      </c>
      <c r="BH265" s="232">
        <f t="shared" ca="1" si="178"/>
        <v>68287.51930122354</v>
      </c>
      <c r="BI265" s="244">
        <f t="shared" ca="1" si="211"/>
        <v>0.21435655079144297</v>
      </c>
      <c r="BJ265" s="243">
        <f t="shared" ca="1" si="212"/>
        <v>1.9534928900022428</v>
      </c>
      <c r="BK265" s="242">
        <f t="shared" ca="1" si="213"/>
        <v>2.1678494407936855</v>
      </c>
      <c r="BL265" s="241">
        <f t="shared" ca="1" si="214"/>
        <v>0.15433671656983894</v>
      </c>
      <c r="BM265" s="243">
        <f t="shared" ca="1" si="215"/>
        <v>0.86539735027099363</v>
      </c>
      <c r="BN265" s="243">
        <f t="shared" si="179"/>
        <v>0</v>
      </c>
      <c r="BO265" s="242">
        <f t="shared" ca="1" si="180"/>
        <v>1.0197340668408326</v>
      </c>
      <c r="BP265" s="67"/>
      <c r="BQ265" s="67"/>
      <c r="BR265" s="67"/>
      <c r="BS265" s="67"/>
      <c r="BT265" s="67"/>
      <c r="BU265" s="67"/>
      <c r="BV265" s="67"/>
      <c r="BW265" s="67"/>
      <c r="BX265" s="67"/>
      <c r="BY265" s="67"/>
      <c r="BZ265" s="67"/>
      <c r="CA265" s="67"/>
      <c r="CB265" s="67"/>
    </row>
    <row r="266" spans="1:80" ht="12.75" customHeight="1" thickBot="1" x14ac:dyDescent="0.2">
      <c r="A266" s="213">
        <f t="shared" si="181"/>
        <v>260</v>
      </c>
      <c r="B266" s="67">
        <f t="shared" si="222"/>
        <v>1040</v>
      </c>
      <c r="C266" s="224">
        <f t="shared" si="223"/>
        <v>240</v>
      </c>
      <c r="D266" s="225">
        <f ca="1">IFERROR(OFFSET(extrapolation!P275,0,OS_dist_choice-1,1,1),0)</f>
        <v>3.7683027916688067E-2</v>
      </c>
      <c r="E266" s="225">
        <f ca="1">IFERROR(OFFSET(extrapolation!D275,0,PFS_dist_choice-1,1,1),0)</f>
        <v>3.6806252808501139E-3</v>
      </c>
      <c r="F266" s="214"/>
      <c r="G266" s="226">
        <f t="shared" ca="1" si="184"/>
        <v>3.6806252808501139</v>
      </c>
      <c r="H266" s="224">
        <f t="shared" ca="1" si="224"/>
        <v>34.002402635837939</v>
      </c>
      <c r="I266" s="224">
        <f t="shared" ca="1" si="162"/>
        <v>962.31697208331195</v>
      </c>
      <c r="J266" s="227">
        <f t="shared" ca="1" si="216"/>
        <v>1000</v>
      </c>
      <c r="K266" s="238">
        <f t="shared" ca="1" si="186"/>
        <v>5.3803239839833594E-2</v>
      </c>
      <c r="L266" s="239">
        <f t="shared" ca="1" si="187"/>
        <v>0.23976558476090304</v>
      </c>
      <c r="M266" s="238">
        <f t="shared" ca="1" si="188"/>
        <v>3.7075269007700307</v>
      </c>
      <c r="N266" s="238">
        <f t="shared" ca="1" si="189"/>
        <v>34.095383808298493</v>
      </c>
      <c r="O266" s="239">
        <f t="shared" ca="1" si="190"/>
        <v>962.19708929093144</v>
      </c>
      <c r="P266" s="217"/>
      <c r="Q266" s="217"/>
      <c r="R266" s="477"/>
      <c r="S266" s="245">
        <f t="shared" ca="1" si="191"/>
        <v>56004.67974271212</v>
      </c>
      <c r="T266" s="245">
        <f t="shared" ca="1" si="192"/>
        <v>348.67475668332747</v>
      </c>
      <c r="U266" s="245">
        <f t="shared" ca="1" si="193"/>
        <v>571.31259361645812</v>
      </c>
      <c r="V266" s="245"/>
      <c r="W266" s="245">
        <f t="shared" ca="1" si="194"/>
        <v>1396.1953103995813</v>
      </c>
      <c r="X266" s="245">
        <f t="shared" ca="1" si="195"/>
        <v>174.52441379994767</v>
      </c>
      <c r="Y266" s="245"/>
      <c r="Z266" s="246">
        <f t="shared" ca="1" si="217"/>
        <v>58495.386817211438</v>
      </c>
      <c r="AA266" s="245">
        <f t="shared" ca="1" si="165"/>
        <v>36.777897363034427</v>
      </c>
      <c r="AB266" s="245">
        <f t="shared" ca="1" si="196"/>
        <v>8591.5154240030479</v>
      </c>
      <c r="AC266" s="245">
        <f t="shared" ca="1" si="197"/>
        <v>46223.193657831413</v>
      </c>
      <c r="AD266" s="245">
        <f t="shared" ca="1" si="198"/>
        <v>1604.9720020080349</v>
      </c>
      <c r="AE266" s="245">
        <f t="shared" ca="1" si="166"/>
        <v>6869.4086575273896</v>
      </c>
      <c r="AF266" s="245">
        <f t="shared" ca="1" si="218"/>
        <v>63325.867638732918</v>
      </c>
      <c r="AG266" s="246">
        <f t="shared" ca="1" si="219"/>
        <v>121821.25445594435</v>
      </c>
      <c r="AH266" s="247">
        <f t="shared" ca="1" si="199"/>
        <v>0.2842183524204267</v>
      </c>
      <c r="AI266" s="248">
        <f t="shared" ca="1" si="200"/>
        <v>2.6137460551193916</v>
      </c>
      <c r="AJ266" s="249">
        <f t="shared" ca="1" si="225"/>
        <v>2.8979644075398183</v>
      </c>
      <c r="AK266" s="250">
        <f t="shared" ca="1" si="202"/>
        <v>0.20463721374270721</v>
      </c>
      <c r="AL266" s="248">
        <f t="shared" ca="1" si="203"/>
        <v>1.1578895024178906</v>
      </c>
      <c r="AM266" s="248"/>
      <c r="AN266" s="249">
        <f t="shared" ca="1" si="220"/>
        <v>1.3625267161605978</v>
      </c>
      <c r="AO266" s="224"/>
      <c r="AP266" s="235">
        <f t="shared" si="204"/>
        <v>20</v>
      </c>
      <c r="AQ266" s="235">
        <f t="shared" si="221"/>
        <v>0.55367575418633497</v>
      </c>
      <c r="AR266" s="235">
        <f t="shared" si="171"/>
        <v>0.74247041822377313</v>
      </c>
      <c r="AT266" s="245">
        <f t="shared" ca="1" si="172"/>
        <v>31008.433294510291</v>
      </c>
      <c r="AU266" s="245">
        <f t="shared" ca="1" si="173"/>
        <v>193.05275887237818</v>
      </c>
      <c r="AV266" s="245">
        <f t="shared" ca="1" si="205"/>
        <v>316.32193114674357</v>
      </c>
      <c r="AW266" s="245"/>
      <c r="AX266" s="245">
        <f t="shared" ca="1" si="206"/>
        <v>773.03949147691219</v>
      </c>
      <c r="AY266" s="245">
        <f t="shared" ca="1" si="207"/>
        <v>96.629936434614024</v>
      </c>
      <c r="AZ266" s="245"/>
      <c r="BA266" s="246">
        <f t="shared" ca="1" si="174"/>
        <v>32387.477412440938</v>
      </c>
      <c r="BB266" s="245">
        <f t="shared" ca="1" si="175"/>
        <v>20.363030059865707</v>
      </c>
      <c r="BC266" s="245">
        <f t="shared" ca="1" si="208"/>
        <v>4756.9137819884172</v>
      </c>
      <c r="BD266" s="245">
        <f t="shared" ca="1" si="209"/>
        <v>25592.661609400824</v>
      </c>
      <c r="BE266" s="245">
        <f t="shared" ca="1" si="210"/>
        <v>888.63408365975067</v>
      </c>
      <c r="BF266" s="245">
        <f t="shared" ca="1" si="176"/>
        <v>3803.4250192706163</v>
      </c>
      <c r="BG266" s="245">
        <f t="shared" ca="1" si="177"/>
        <v>35061.997524379469</v>
      </c>
      <c r="BH266" s="246">
        <f t="shared" ca="1" si="178"/>
        <v>67449.474936820407</v>
      </c>
      <c r="BI266" s="247">
        <f t="shared" ca="1" si="211"/>
        <v>0.21102371898846595</v>
      </c>
      <c r="BJ266" s="248">
        <f t="shared" ca="1" si="212"/>
        <v>1.9406291266752318</v>
      </c>
      <c r="BK266" s="249">
        <f t="shared" ca="1" si="213"/>
        <v>2.1516528456636976</v>
      </c>
      <c r="BL266" s="250">
        <f t="shared" ca="1" si="214"/>
        <v>0.15193707767169548</v>
      </c>
      <c r="BM266" s="248">
        <f t="shared" ca="1" si="215"/>
        <v>0.85969870311712782</v>
      </c>
      <c r="BN266" s="248">
        <f t="shared" si="179"/>
        <v>0</v>
      </c>
      <c r="BO266" s="249">
        <f t="shared" ca="1" si="180"/>
        <v>1.0116357807888232</v>
      </c>
      <c r="BP266" s="67"/>
      <c r="BQ266" s="67"/>
      <c r="BR266" s="67"/>
      <c r="BS266" s="67"/>
      <c r="BT266" s="67"/>
      <c r="BU266" s="67"/>
      <c r="BV266" s="67"/>
      <c r="BW266" s="67"/>
      <c r="BX266" s="67"/>
      <c r="BY266" s="67"/>
      <c r="BZ266" s="67"/>
      <c r="CA266" s="67"/>
      <c r="CB266" s="67"/>
    </row>
    <row r="267" spans="1:80" ht="12" customHeight="1" x14ac:dyDescent="0.15">
      <c r="A267" s="213"/>
      <c r="B267" s="67"/>
      <c r="C267" s="214"/>
      <c r="D267" s="214"/>
      <c r="E267" s="214"/>
      <c r="F267" s="214"/>
      <c r="G267" s="226"/>
      <c r="H267" s="224"/>
      <c r="I267" s="224"/>
      <c r="J267" s="216"/>
      <c r="K267" s="217"/>
      <c r="L267" s="216"/>
      <c r="M267" s="217"/>
      <c r="N267" s="217"/>
      <c r="O267" s="216"/>
      <c r="P267" s="217"/>
      <c r="Q267" s="217"/>
      <c r="R267" s="224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251"/>
      <c r="AH267" s="251"/>
      <c r="AI267" s="251"/>
      <c r="AJ267" s="127"/>
      <c r="AK267" s="127"/>
      <c r="AL267" s="127"/>
      <c r="AM267" s="127"/>
      <c r="AN267" s="127"/>
      <c r="AO267" s="224"/>
      <c r="BF267" s="67"/>
      <c r="BG267" s="67"/>
      <c r="BH267" s="251"/>
      <c r="BI267" s="251"/>
      <c r="BJ267" s="251"/>
      <c r="BK267" s="127"/>
      <c r="BL267" s="127"/>
      <c r="BM267" s="127"/>
      <c r="BN267" s="127"/>
      <c r="BO267" s="127"/>
      <c r="BP267" s="67"/>
      <c r="BQ267" s="67"/>
      <c r="BR267" s="67"/>
      <c r="BS267" s="67"/>
      <c r="BT267" s="67"/>
      <c r="BU267" s="67"/>
      <c r="BV267" s="67"/>
      <c r="BW267" s="67"/>
      <c r="BX267" s="67"/>
      <c r="BY267" s="67"/>
      <c r="BZ267" s="67"/>
      <c r="CA267" s="67"/>
      <c r="CB267" s="67"/>
    </row>
    <row r="268" spans="1:80" ht="12" customHeight="1" x14ac:dyDescent="0.15">
      <c r="A268" s="67"/>
      <c r="B268" s="67"/>
      <c r="C268" s="67"/>
      <c r="D268" s="67"/>
      <c r="E268" s="67"/>
      <c r="F268" s="67"/>
      <c r="G268" s="252"/>
      <c r="H268" s="67"/>
      <c r="I268" s="67"/>
      <c r="J268" s="216"/>
      <c r="K268" s="217"/>
      <c r="L268" s="216"/>
      <c r="M268" s="217"/>
      <c r="N268" s="217"/>
      <c r="O268" s="216"/>
      <c r="P268" s="217"/>
      <c r="Q268" s="217"/>
      <c r="R268" s="224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67"/>
      <c r="AE268" s="67"/>
      <c r="AF268" s="67"/>
      <c r="AG268" s="67"/>
      <c r="AH268" s="67"/>
      <c r="AI268" s="67"/>
      <c r="AJ268" s="67"/>
      <c r="AK268" s="67"/>
      <c r="AL268" s="67"/>
      <c r="AM268" s="67"/>
      <c r="AN268" s="67"/>
      <c r="AO268" s="224"/>
      <c r="BF268" s="67"/>
      <c r="BG268" s="67"/>
      <c r="BH268" s="67"/>
      <c r="BI268" s="67"/>
      <c r="BJ268" s="67"/>
      <c r="BK268" s="67"/>
      <c r="BL268" s="67"/>
      <c r="BM268" s="67"/>
      <c r="BN268" s="67"/>
      <c r="BO268" s="67"/>
      <c r="BP268" s="67"/>
      <c r="BQ268" s="67"/>
      <c r="BR268" s="67"/>
      <c r="BS268" s="67"/>
      <c r="BT268" s="67"/>
      <c r="BU268" s="67"/>
      <c r="BV268" s="67"/>
      <c r="BW268" s="67"/>
      <c r="BX268" s="67"/>
      <c r="BY268" s="67"/>
      <c r="BZ268" s="67"/>
      <c r="CA268" s="67"/>
      <c r="CB268" s="67"/>
    </row>
    <row r="269" spans="1:80" ht="12.75" customHeight="1" x14ac:dyDescent="0.15">
      <c r="A269" s="67"/>
      <c r="B269" s="67"/>
      <c r="C269" s="67"/>
      <c r="D269" s="67"/>
      <c r="E269" s="67"/>
      <c r="F269" s="67"/>
      <c r="G269" s="253">
        <f ca="1">COUNTIF(G6:G266,"&lt;0")</f>
        <v>0</v>
      </c>
      <c r="H269" s="254">
        <f ca="1">COUNTIF(H6:H266,"&lt;0")</f>
        <v>0</v>
      </c>
      <c r="I269" s="254">
        <f ca="1">COUNTIF(I6:I266,"&lt;0")</f>
        <v>0</v>
      </c>
      <c r="J269" s="255"/>
      <c r="K269" s="256">
        <f ca="1">SUM(K6:K266)/cohort_size</f>
        <v>0.99631937471914944</v>
      </c>
      <c r="L269" s="255">
        <f ca="1">SUM(L6:L266)/cohort_size</f>
        <v>0.96231697208331191</v>
      </c>
      <c r="M269" s="256">
        <f ca="1">SUM(M6:M266)/cohort_size</f>
        <v>32.883168219545858</v>
      </c>
      <c r="N269" s="256">
        <f ca="1">SUM(N6:N266)/cohort_size</f>
        <v>27.400039980292821</v>
      </c>
      <c r="O269" s="255">
        <f ca="1">SUM(O6:O266)/cohort_size</f>
        <v>199.7167918001613</v>
      </c>
      <c r="P269" s="256"/>
      <c r="Q269" s="256"/>
      <c r="R269" s="224"/>
      <c r="S269" s="257">
        <f t="shared" ref="S269:AN269" ca="1" si="226">SUM(S6:S266)/cohort_size</f>
        <v>508241.75916700857</v>
      </c>
      <c r="T269" s="257">
        <f t="shared" ca="1" si="226"/>
        <v>3255.5642385319561</v>
      </c>
      <c r="U269" s="257">
        <f t="shared" ca="1" si="226"/>
        <v>5067.1427678469881</v>
      </c>
      <c r="V269" s="257">
        <f t="shared" si="226"/>
        <v>13289.272776</v>
      </c>
      <c r="W269" s="257">
        <f t="shared" ca="1" si="226"/>
        <v>12383.275020789462</v>
      </c>
      <c r="X269" s="257">
        <f t="shared" ca="1" si="226"/>
        <v>1547.9093775986828</v>
      </c>
      <c r="Y269" s="257">
        <f t="shared" si="226"/>
        <v>244.61670901751995</v>
      </c>
      <c r="Z269" s="257">
        <f t="shared" ca="1" si="226"/>
        <v>544029.54005679348</v>
      </c>
      <c r="AA269" s="257">
        <f t="shared" ca="1" si="226"/>
        <v>681.04693719754391</v>
      </c>
      <c r="AB269" s="257">
        <f t="shared" ca="1" si="226"/>
        <v>6904.3911466891768</v>
      </c>
      <c r="AC269" s="257">
        <f t="shared" ca="1" si="226"/>
        <v>37146.299961378914</v>
      </c>
      <c r="AD269" s="257">
        <f t="shared" ca="1" si="226"/>
        <v>1289.8020819923242</v>
      </c>
      <c r="AE269" s="257">
        <f t="shared" ca="1" si="226"/>
        <v>27570.881558780675</v>
      </c>
      <c r="AF269" s="257">
        <f t="shared" ca="1" si="226"/>
        <v>73592.421686038666</v>
      </c>
      <c r="AG269" s="257">
        <f t="shared" ca="1" si="226"/>
        <v>617621.96174283186</v>
      </c>
      <c r="AH269" s="258">
        <f t="shared" ca="1" si="226"/>
        <v>2.5208178238118668</v>
      </c>
      <c r="AI269" s="258">
        <f t="shared" ca="1" si="226"/>
        <v>2.1004821887698815</v>
      </c>
      <c r="AJ269" s="258">
        <f t="shared" ca="1" si="226"/>
        <v>4.6213000125817505</v>
      </c>
      <c r="AK269" s="258">
        <f t="shared" ca="1" si="226"/>
        <v>1.814988833144545</v>
      </c>
      <c r="AL269" s="258">
        <f t="shared" ca="1" si="226"/>
        <v>0.93051360962505592</v>
      </c>
      <c r="AM269" s="258">
        <f t="shared" si="226"/>
        <v>3.0837563312799449E-3</v>
      </c>
      <c r="AN269" s="258">
        <f t="shared" ca="1" si="226"/>
        <v>2.7424186864383215</v>
      </c>
      <c r="AO269" s="224"/>
      <c r="AT269" s="257">
        <f t="shared" ref="AT269:BO269" ca="1" si="227">SUM(AT6:AT266)/cohort_size</f>
        <v>468183.96940652432</v>
      </c>
      <c r="AU269" s="257">
        <f t="shared" ca="1" si="227"/>
        <v>3006.1718634273398</v>
      </c>
      <c r="AV269" s="257">
        <f t="shared" ca="1" si="227"/>
        <v>4656.2175713032775</v>
      </c>
      <c r="AW269" s="257">
        <f t="shared" si="227"/>
        <v>13289.272776</v>
      </c>
      <c r="AX269" s="257">
        <f t="shared" ca="1" si="227"/>
        <v>11379.040493579765</v>
      </c>
      <c r="AY269" s="257">
        <f t="shared" ca="1" si="227"/>
        <v>1422.3800616974706</v>
      </c>
      <c r="AZ269" s="257">
        <f t="shared" si="227"/>
        <v>244.61670901751995</v>
      </c>
      <c r="BA269" s="257">
        <f t="shared" ca="1" si="227"/>
        <v>502181.66888155008</v>
      </c>
      <c r="BB269" s="257">
        <f t="shared" ca="1" si="227"/>
        <v>634.43026901303745</v>
      </c>
      <c r="BC269" s="257">
        <f t="shared" ca="1" si="227"/>
        <v>5711.0525060865466</v>
      </c>
      <c r="BD269" s="257">
        <f t="shared" ca="1" si="227"/>
        <v>30726.021307179806</v>
      </c>
      <c r="BE269" s="257">
        <f t="shared" ca="1" si="227"/>
        <v>1066.875739832632</v>
      </c>
      <c r="BF269" s="257">
        <f t="shared" ca="1" si="227"/>
        <v>24575.982950691479</v>
      </c>
      <c r="BG269" s="257">
        <f t="shared" ca="1" si="227"/>
        <v>62714.362772803477</v>
      </c>
      <c r="BH269" s="257">
        <f t="shared" ca="1" si="227"/>
        <v>564896.03165435349</v>
      </c>
      <c r="BI269" s="258">
        <f t="shared" ca="1" si="227"/>
        <v>2.4131125813380758</v>
      </c>
      <c r="BJ269" s="258">
        <f t="shared" ca="1" si="227"/>
        <v>1.9039556347350282</v>
      </c>
      <c r="BK269" s="258">
        <f t="shared" ca="1" si="227"/>
        <v>4.317068216073106</v>
      </c>
      <c r="BL269" s="258">
        <f t="shared" ca="1" si="227"/>
        <v>1.7374410585634175</v>
      </c>
      <c r="BM269" s="258">
        <f t="shared" ca="1" si="227"/>
        <v>0.84345234618761766</v>
      </c>
      <c r="BN269" s="258">
        <f t="shared" si="227"/>
        <v>3.0837563312799449E-3</v>
      </c>
      <c r="BO269" s="258">
        <f t="shared" ca="1" si="227"/>
        <v>2.5778096484197528</v>
      </c>
      <c r="BP269" s="67"/>
      <c r="BQ269" s="67"/>
      <c r="BR269" s="67"/>
      <c r="BS269" s="67"/>
      <c r="BT269" s="67"/>
      <c r="BU269" s="67"/>
      <c r="BV269" s="67"/>
      <c r="BW269" s="67"/>
      <c r="BX269" s="67"/>
      <c r="BY269" s="67"/>
      <c r="BZ269" s="67"/>
      <c r="CA269" s="67"/>
      <c r="CB269" s="67"/>
    </row>
    <row r="270" spans="1:80" ht="12" customHeight="1" x14ac:dyDescent="0.15">
      <c r="A270" s="67"/>
      <c r="B270" s="67"/>
      <c r="C270" s="67"/>
      <c r="D270" s="67"/>
      <c r="E270" s="67"/>
      <c r="F270" s="67"/>
      <c r="G270" s="259"/>
      <c r="H270" s="259"/>
      <c r="I270" s="259"/>
      <c r="J270" s="186"/>
      <c r="K270" s="186"/>
      <c r="L270" s="186"/>
      <c r="M270" s="186"/>
      <c r="N270" s="186"/>
      <c r="O270" s="186"/>
      <c r="P270" s="186"/>
      <c r="Q270" s="186"/>
      <c r="R270" s="224"/>
      <c r="S270" s="568" t="s">
        <v>696</v>
      </c>
      <c r="T270" s="517"/>
      <c r="U270" s="517"/>
      <c r="V270" s="517"/>
      <c r="W270" s="517"/>
      <c r="X270" s="517"/>
      <c r="Y270" s="517"/>
      <c r="Z270" s="517"/>
      <c r="AA270" s="517"/>
      <c r="AB270" s="517"/>
      <c r="AC270" s="517"/>
      <c r="AD270" s="517"/>
      <c r="AE270" s="517"/>
      <c r="AF270" s="517"/>
      <c r="AG270" s="517"/>
      <c r="AH270" s="517"/>
      <c r="AI270" s="517"/>
      <c r="AJ270" s="517"/>
      <c r="AK270" s="517"/>
      <c r="AL270" s="517"/>
      <c r="AM270" s="517"/>
      <c r="AN270" s="517"/>
      <c r="AO270" s="224"/>
      <c r="AT270" s="568" t="s">
        <v>696</v>
      </c>
      <c r="AU270" s="529"/>
      <c r="AV270" s="529"/>
      <c r="AW270" s="529"/>
      <c r="AX270" s="529"/>
      <c r="AY270" s="529"/>
      <c r="AZ270" s="529"/>
      <c r="BA270" s="529"/>
      <c r="BB270" s="529"/>
      <c r="BC270" s="529"/>
      <c r="BD270" s="529"/>
      <c r="BE270" s="529"/>
      <c r="BF270" s="517"/>
      <c r="BG270" s="517"/>
      <c r="BH270" s="517"/>
      <c r="BI270" s="517"/>
      <c r="BJ270" s="517"/>
      <c r="BK270" s="517"/>
      <c r="BL270" s="517"/>
      <c r="BM270" s="517"/>
      <c r="BN270" s="517"/>
      <c r="BO270" s="517"/>
      <c r="BP270" s="67"/>
      <c r="BQ270" s="67"/>
      <c r="BR270" s="67"/>
      <c r="BS270" s="67"/>
      <c r="BT270" s="67"/>
      <c r="BU270" s="67"/>
      <c r="BV270" s="67"/>
      <c r="BW270" s="67"/>
      <c r="BX270" s="67"/>
      <c r="BY270" s="67"/>
      <c r="BZ270" s="67"/>
      <c r="CA270" s="67"/>
      <c r="CB270" s="67"/>
    </row>
    <row r="271" spans="1:80" ht="12.75" customHeight="1" x14ac:dyDescent="0.15">
      <c r="A271" s="67"/>
      <c r="B271" s="67"/>
      <c r="C271" s="67"/>
      <c r="D271" s="67"/>
      <c r="E271" s="67"/>
      <c r="F271" s="67"/>
      <c r="G271" s="259"/>
      <c r="H271" s="259"/>
      <c r="I271" s="259"/>
      <c r="J271" s="186"/>
      <c r="K271" s="186"/>
      <c r="L271" s="186"/>
      <c r="M271" s="186"/>
      <c r="N271" s="186"/>
      <c r="O271" s="186"/>
      <c r="P271" s="186"/>
      <c r="Q271" s="186"/>
      <c r="R271" s="224"/>
      <c r="S271" s="517"/>
      <c r="T271" s="517"/>
      <c r="U271" s="517"/>
      <c r="V271" s="517"/>
      <c r="W271" s="517"/>
      <c r="X271" s="517"/>
      <c r="Y271" s="517"/>
      <c r="Z271" s="517"/>
      <c r="AA271" s="517"/>
      <c r="AB271" s="517"/>
      <c r="AC271" s="517"/>
      <c r="AD271" s="517"/>
      <c r="AE271" s="517"/>
      <c r="AF271" s="517"/>
      <c r="AG271" s="517"/>
      <c r="AH271" s="517"/>
      <c r="AI271" s="517"/>
      <c r="AJ271" s="517"/>
      <c r="AK271" s="517"/>
      <c r="AL271" s="517"/>
      <c r="AM271" s="517"/>
      <c r="AN271" s="517"/>
      <c r="AO271" s="224"/>
      <c r="AT271" s="529"/>
      <c r="AU271" s="529"/>
      <c r="AV271" s="529"/>
      <c r="AW271" s="529"/>
      <c r="AX271" s="529"/>
      <c r="AY271" s="529"/>
      <c r="AZ271" s="529"/>
      <c r="BA271" s="529"/>
      <c r="BB271" s="529"/>
      <c r="BC271" s="529"/>
      <c r="BD271" s="529"/>
      <c r="BE271" s="529"/>
      <c r="BF271" s="517"/>
      <c r="BG271" s="517"/>
      <c r="BH271" s="517"/>
      <c r="BI271" s="517"/>
      <c r="BJ271" s="517"/>
      <c r="BK271" s="517"/>
      <c r="BL271" s="517"/>
      <c r="BM271" s="517"/>
      <c r="BN271" s="517"/>
      <c r="BO271" s="517"/>
      <c r="BP271" s="67"/>
      <c r="BQ271" s="67"/>
      <c r="BR271" s="67"/>
      <c r="BS271" s="67"/>
      <c r="BT271" s="67"/>
      <c r="BU271" s="67"/>
      <c r="BV271" s="67"/>
      <c r="BW271" s="67"/>
      <c r="BX271" s="67"/>
      <c r="BY271" s="67"/>
      <c r="BZ271" s="67"/>
      <c r="CA271" s="67"/>
      <c r="CB271" s="67"/>
    </row>
    <row r="272" spans="1:80" ht="62.25" customHeight="1" x14ac:dyDescent="0.15">
      <c r="A272" s="67"/>
      <c r="B272" s="67"/>
      <c r="C272" s="67"/>
      <c r="D272" s="67"/>
      <c r="E272" s="67"/>
      <c r="F272" s="67"/>
      <c r="G272" s="67"/>
      <c r="H272" s="67"/>
      <c r="I272" s="67"/>
      <c r="J272" s="186"/>
      <c r="K272" s="186"/>
      <c r="L272" s="186"/>
      <c r="M272" s="186"/>
      <c r="N272" s="186"/>
      <c r="O272" s="186"/>
      <c r="P272" s="186"/>
      <c r="Q272" s="186"/>
      <c r="R272" s="224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67"/>
      <c r="AN272" s="67"/>
      <c r="AO272" s="224"/>
      <c r="AT272" s="260" t="s">
        <v>672</v>
      </c>
      <c r="AU272" s="260" t="s">
        <v>673</v>
      </c>
      <c r="AV272" s="260" t="s">
        <v>674</v>
      </c>
      <c r="AW272" s="260" t="s">
        <v>675</v>
      </c>
      <c r="AX272" s="260" t="s">
        <v>676</v>
      </c>
      <c r="AY272" s="260" t="s">
        <v>677</v>
      </c>
      <c r="AZ272" s="260" t="s">
        <v>678</v>
      </c>
      <c r="BA272" s="261" t="s">
        <v>679</v>
      </c>
      <c r="BB272" s="260" t="s">
        <v>680</v>
      </c>
      <c r="BC272" s="260" t="s">
        <v>681</v>
      </c>
      <c r="BD272" s="260" t="s">
        <v>682</v>
      </c>
      <c r="BE272" s="260" t="s">
        <v>683</v>
      </c>
      <c r="BF272" s="260" t="s">
        <v>684</v>
      </c>
      <c r="BG272" s="261" t="s">
        <v>685</v>
      </c>
      <c r="BH272" s="261" t="s">
        <v>686</v>
      </c>
      <c r="BI272" s="260" t="s">
        <v>687</v>
      </c>
      <c r="BJ272" s="260" t="s">
        <v>688</v>
      </c>
      <c r="BK272" s="261" t="s">
        <v>689</v>
      </c>
      <c r="BL272" s="260" t="s">
        <v>690</v>
      </c>
      <c r="BM272" s="260" t="s">
        <v>691</v>
      </c>
      <c r="BN272" s="260" t="s">
        <v>692</v>
      </c>
      <c r="BO272" s="261" t="s">
        <v>693</v>
      </c>
      <c r="BP272" s="67"/>
      <c r="BQ272" s="67"/>
      <c r="BR272" s="67"/>
      <c r="BS272" s="67"/>
      <c r="BT272" s="67"/>
      <c r="BU272" s="67"/>
      <c r="BV272" s="67"/>
      <c r="BW272" s="67"/>
      <c r="BX272" s="67"/>
      <c r="BY272" s="67"/>
      <c r="BZ272" s="67"/>
      <c r="CA272" s="67"/>
      <c r="CB272" s="67"/>
    </row>
    <row r="273" spans="1:80" ht="12" customHeight="1" x14ac:dyDescent="0.15">
      <c r="A273" s="67"/>
      <c r="B273" s="67"/>
      <c r="C273" s="67"/>
      <c r="D273" s="67"/>
      <c r="E273" s="67"/>
      <c r="F273" s="67"/>
      <c r="G273" s="67"/>
      <c r="H273" s="214"/>
      <c r="I273" s="214"/>
      <c r="J273" s="186"/>
      <c r="K273" s="186"/>
      <c r="L273" s="186"/>
      <c r="M273" s="186"/>
      <c r="N273" s="186"/>
      <c r="O273" s="186"/>
      <c r="P273" s="186"/>
      <c r="Q273" s="186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  <c r="AL273" s="67"/>
      <c r="AM273" s="67"/>
      <c r="AN273" s="67"/>
      <c r="AO273" s="67"/>
      <c r="BF273" s="67"/>
      <c r="BG273" s="67"/>
      <c r="BH273" s="67"/>
      <c r="BI273" s="67"/>
      <c r="BJ273" s="67"/>
      <c r="BK273" s="67"/>
      <c r="BL273" s="67"/>
      <c r="BM273" s="67"/>
      <c r="BN273" s="67"/>
      <c r="BO273" s="67"/>
      <c r="BP273" s="67"/>
      <c r="BQ273" s="67"/>
      <c r="BR273" s="67"/>
      <c r="BS273" s="67"/>
      <c r="BT273" s="67"/>
      <c r="BU273" s="67"/>
      <c r="BV273" s="67"/>
      <c r="BW273" s="67"/>
      <c r="BX273" s="67"/>
      <c r="BY273" s="67"/>
      <c r="BZ273" s="67"/>
      <c r="CA273" s="67"/>
      <c r="CB273" s="67"/>
    </row>
    <row r="274" spans="1:80" ht="12" customHeight="1" x14ac:dyDescent="0.15">
      <c r="A274" s="67"/>
      <c r="B274" s="67"/>
      <c r="C274" s="67"/>
      <c r="D274" s="67"/>
      <c r="E274" s="67"/>
      <c r="F274" s="67"/>
      <c r="G274" s="67"/>
      <c r="H274" s="214"/>
      <c r="I274" s="214"/>
      <c r="J274" s="186"/>
      <c r="K274" s="186"/>
      <c r="L274" s="186"/>
      <c r="M274" s="186"/>
      <c r="N274" s="186"/>
      <c r="O274" s="186"/>
      <c r="P274" s="186"/>
      <c r="Q274" s="186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67"/>
      <c r="AN274" s="67"/>
      <c r="AO274" s="67"/>
      <c r="BF274" s="67"/>
      <c r="BG274" s="67"/>
      <c r="BH274" s="67"/>
      <c r="BI274" s="67"/>
      <c r="BJ274" s="67"/>
      <c r="BK274" s="67"/>
      <c r="BL274" s="67"/>
      <c r="BM274" s="67"/>
      <c r="BN274" s="67"/>
      <c r="BO274" s="67"/>
      <c r="BP274" s="67"/>
      <c r="BQ274" s="67"/>
      <c r="BR274" s="67"/>
      <c r="BS274" s="67"/>
      <c r="BT274" s="67"/>
      <c r="BU274" s="67"/>
      <c r="BV274" s="67"/>
      <c r="BW274" s="67"/>
      <c r="BX274" s="67"/>
      <c r="BY274" s="67"/>
      <c r="BZ274" s="67"/>
      <c r="CA274" s="67"/>
      <c r="CB274" s="67"/>
    </row>
    <row r="275" spans="1:80" ht="12" customHeight="1" x14ac:dyDescent="0.15">
      <c r="A275" s="67"/>
      <c r="B275" s="67"/>
      <c r="C275" s="67"/>
      <c r="D275" s="67"/>
      <c r="E275" s="67"/>
      <c r="F275" s="67"/>
      <c r="G275" s="67"/>
      <c r="H275" s="214"/>
      <c r="I275" s="214"/>
      <c r="J275" s="186"/>
      <c r="K275" s="186"/>
      <c r="L275" s="186"/>
      <c r="M275" s="186"/>
      <c r="N275" s="186"/>
      <c r="O275" s="186"/>
      <c r="P275" s="186"/>
      <c r="Q275" s="186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7"/>
      <c r="AN275" s="67"/>
      <c r="AO275" s="67"/>
      <c r="BF275" s="67"/>
      <c r="BG275" s="67"/>
      <c r="BH275" s="67"/>
      <c r="BI275" s="67"/>
      <c r="BJ275" s="67"/>
      <c r="BK275" s="67"/>
      <c r="BL275" s="67"/>
      <c r="BM275" s="67"/>
      <c r="BN275" s="67"/>
      <c r="BO275" s="67"/>
      <c r="BP275" s="67"/>
      <c r="BQ275" s="67"/>
      <c r="BR275" s="67"/>
      <c r="BS275" s="67"/>
      <c r="BT275" s="67"/>
      <c r="BU275" s="67"/>
      <c r="BV275" s="67"/>
      <c r="BW275" s="67"/>
      <c r="BX275" s="67"/>
      <c r="BY275" s="67"/>
      <c r="BZ275" s="67"/>
      <c r="CA275" s="67"/>
      <c r="CB275" s="67"/>
    </row>
    <row r="276" spans="1:80" ht="12" customHeight="1" x14ac:dyDescent="0.15">
      <c r="A276" s="67"/>
      <c r="B276" s="67"/>
      <c r="C276" s="67"/>
      <c r="D276" s="67"/>
      <c r="E276" s="67"/>
      <c r="F276" s="67"/>
      <c r="G276" s="67"/>
      <c r="H276" s="214"/>
      <c r="I276" s="214"/>
      <c r="J276" s="186"/>
      <c r="K276" s="186"/>
      <c r="L276" s="186"/>
      <c r="M276" s="186"/>
      <c r="N276" s="186"/>
      <c r="O276" s="186"/>
      <c r="P276" s="186"/>
      <c r="Q276" s="186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  <c r="AL276" s="67"/>
      <c r="AM276" s="67"/>
      <c r="AN276" s="67"/>
      <c r="AO276" s="67"/>
      <c r="BF276" s="67"/>
      <c r="BG276" s="67"/>
      <c r="BH276" s="67"/>
      <c r="BI276" s="67"/>
      <c r="BJ276" s="67"/>
      <c r="BK276" s="67"/>
      <c r="BL276" s="67"/>
      <c r="BM276" s="67"/>
      <c r="BN276" s="67"/>
      <c r="BO276" s="67"/>
      <c r="BP276" s="67"/>
      <c r="BQ276" s="67"/>
      <c r="BR276" s="67"/>
      <c r="BS276" s="67"/>
      <c r="BT276" s="67"/>
      <c r="BU276" s="67"/>
      <c r="BV276" s="67"/>
      <c r="BW276" s="67"/>
      <c r="BX276" s="67"/>
      <c r="BY276" s="67"/>
      <c r="BZ276" s="67"/>
      <c r="CA276" s="67"/>
      <c r="CB276" s="67"/>
    </row>
    <row r="277" spans="1:80" ht="12" customHeight="1" x14ac:dyDescent="0.15">
      <c r="A277" s="67"/>
      <c r="B277" s="67"/>
      <c r="C277" s="67"/>
      <c r="D277" s="67"/>
      <c r="E277" s="67"/>
      <c r="F277" s="67"/>
      <c r="G277" s="67"/>
      <c r="H277" s="214"/>
      <c r="I277" s="214"/>
      <c r="J277" s="186"/>
      <c r="K277" s="186"/>
      <c r="L277" s="186"/>
      <c r="M277" s="186"/>
      <c r="N277" s="186"/>
      <c r="O277" s="186"/>
      <c r="P277" s="186"/>
      <c r="Q277" s="186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7"/>
      <c r="AM277" s="67"/>
      <c r="AN277" s="67"/>
      <c r="AO277" s="67"/>
      <c r="BF277" s="67"/>
      <c r="BG277" s="67"/>
      <c r="BH277" s="67"/>
      <c r="BI277" s="67"/>
      <c r="BJ277" s="67"/>
      <c r="BK277" s="67"/>
      <c r="BL277" s="67"/>
      <c r="BM277" s="67"/>
      <c r="BN277" s="67"/>
      <c r="BO277" s="67"/>
      <c r="BP277" s="67"/>
      <c r="BQ277" s="67"/>
      <c r="BR277" s="67"/>
      <c r="BS277" s="67"/>
      <c r="BT277" s="67"/>
      <c r="BU277" s="67"/>
      <c r="BV277" s="67"/>
      <c r="BW277" s="67"/>
      <c r="BX277" s="67"/>
      <c r="BY277" s="67"/>
      <c r="BZ277" s="67"/>
      <c r="CA277" s="67"/>
      <c r="CB277" s="67"/>
    </row>
    <row r="278" spans="1:80" ht="12" customHeight="1" x14ac:dyDescent="0.15">
      <c r="A278" s="67"/>
      <c r="B278" s="67"/>
      <c r="C278" s="67"/>
      <c r="D278" s="67"/>
      <c r="E278" s="67"/>
      <c r="F278" s="67"/>
      <c r="G278" s="67"/>
      <c r="H278" s="214"/>
      <c r="I278" s="214"/>
      <c r="J278" s="186"/>
      <c r="K278" s="186"/>
      <c r="L278" s="186"/>
      <c r="M278" s="186"/>
      <c r="N278" s="186"/>
      <c r="O278" s="186"/>
      <c r="P278" s="186"/>
      <c r="Q278" s="186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  <c r="AL278" s="67"/>
      <c r="AM278" s="67"/>
      <c r="AN278" s="67"/>
      <c r="AO278" s="67"/>
      <c r="BF278" s="67"/>
      <c r="BG278" s="67"/>
      <c r="BH278" s="67"/>
      <c r="BI278" s="67"/>
      <c r="BJ278" s="67"/>
      <c r="BK278" s="67"/>
      <c r="BL278" s="67"/>
      <c r="BM278" s="67"/>
      <c r="BN278" s="67"/>
      <c r="BO278" s="67"/>
      <c r="BP278" s="67"/>
      <c r="BQ278" s="67"/>
      <c r="BR278" s="67"/>
      <c r="BS278" s="67"/>
      <c r="BT278" s="67"/>
      <c r="BU278" s="67"/>
      <c r="BV278" s="67"/>
      <c r="BW278" s="67"/>
      <c r="BX278" s="67"/>
      <c r="BY278" s="67"/>
      <c r="BZ278" s="67"/>
      <c r="CA278" s="67"/>
      <c r="CB278" s="67"/>
    </row>
    <row r="279" spans="1:80" ht="12" customHeight="1" x14ac:dyDescent="0.15">
      <c r="A279" s="67"/>
      <c r="B279" s="67"/>
      <c r="C279" s="67"/>
      <c r="D279" s="67"/>
      <c r="E279" s="67"/>
      <c r="F279" s="67"/>
      <c r="G279" s="67"/>
      <c r="H279" s="67"/>
      <c r="I279" s="67"/>
      <c r="J279" s="186"/>
      <c r="K279" s="186"/>
      <c r="L279" s="186"/>
      <c r="M279" s="186"/>
      <c r="N279" s="186"/>
      <c r="O279" s="186"/>
      <c r="P279" s="186"/>
      <c r="Q279" s="186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BF279" s="67"/>
      <c r="BG279" s="67"/>
      <c r="BH279" s="67"/>
      <c r="BI279" s="67"/>
      <c r="BJ279" s="67"/>
      <c r="BK279" s="67"/>
      <c r="BL279" s="67"/>
      <c r="BM279" s="67"/>
      <c r="BN279" s="67"/>
      <c r="BO279" s="67"/>
      <c r="BP279" s="67"/>
      <c r="BQ279" s="67"/>
      <c r="BR279" s="67"/>
      <c r="BS279" s="67"/>
      <c r="BT279" s="67"/>
      <c r="BU279" s="67"/>
      <c r="BV279" s="67"/>
      <c r="BW279" s="67"/>
      <c r="BX279" s="67"/>
      <c r="BY279" s="67"/>
      <c r="BZ279" s="67"/>
      <c r="CA279" s="67"/>
      <c r="CB279" s="67"/>
    </row>
    <row r="280" spans="1:80" ht="12" customHeight="1" x14ac:dyDescent="0.15">
      <c r="A280" s="67"/>
      <c r="B280" s="67"/>
      <c r="C280" s="67"/>
      <c r="D280" s="67"/>
      <c r="E280" s="67"/>
      <c r="F280" s="67"/>
      <c r="G280" s="67"/>
      <c r="H280" s="67"/>
      <c r="I280" s="67"/>
      <c r="J280" s="186"/>
      <c r="K280" s="186"/>
      <c r="L280" s="186"/>
      <c r="M280" s="186"/>
      <c r="N280" s="186"/>
      <c r="O280" s="186"/>
      <c r="P280" s="186"/>
      <c r="Q280" s="186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BF280" s="67"/>
      <c r="BG280" s="67"/>
      <c r="BH280" s="67"/>
      <c r="BI280" s="67"/>
      <c r="BJ280" s="67"/>
      <c r="BK280" s="67"/>
      <c r="BL280" s="67"/>
      <c r="BM280" s="67"/>
      <c r="BN280" s="67"/>
      <c r="BO280" s="67"/>
      <c r="BP280" s="67"/>
      <c r="BQ280" s="67"/>
      <c r="BR280" s="67"/>
      <c r="BS280" s="67"/>
      <c r="BT280" s="67"/>
      <c r="BU280" s="67"/>
      <c r="BV280" s="67"/>
      <c r="BW280" s="67"/>
      <c r="BX280" s="67"/>
      <c r="BY280" s="67"/>
      <c r="BZ280" s="67"/>
      <c r="CA280" s="67"/>
      <c r="CB280" s="67"/>
    </row>
    <row r="281" spans="1:80" ht="12" customHeight="1" x14ac:dyDescent="0.15">
      <c r="A281" s="67"/>
      <c r="B281" s="67"/>
      <c r="C281" s="67"/>
      <c r="D281" s="67"/>
      <c r="E281" s="67"/>
      <c r="F281" s="67"/>
      <c r="G281" s="67"/>
      <c r="H281" s="67"/>
      <c r="I281" s="67"/>
      <c r="J281" s="186"/>
      <c r="K281" s="186"/>
      <c r="L281" s="186"/>
      <c r="M281" s="186"/>
      <c r="N281" s="186"/>
      <c r="O281" s="186"/>
      <c r="P281" s="186"/>
      <c r="Q281" s="186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BF281" s="67"/>
      <c r="BG281" s="67"/>
      <c r="BH281" s="67"/>
      <c r="BI281" s="67"/>
      <c r="BJ281" s="67"/>
      <c r="BK281" s="67"/>
      <c r="BL281" s="67"/>
      <c r="BM281" s="67"/>
      <c r="BN281" s="67"/>
      <c r="BO281" s="67"/>
      <c r="BP281" s="67"/>
      <c r="BQ281" s="67"/>
      <c r="BR281" s="67"/>
      <c r="BS281" s="67"/>
      <c r="BT281" s="67"/>
      <c r="BU281" s="67"/>
      <c r="BV281" s="67"/>
      <c r="BW281" s="67"/>
      <c r="BX281" s="67"/>
      <c r="BY281" s="67"/>
      <c r="BZ281" s="67"/>
      <c r="CA281" s="67"/>
      <c r="CB281" s="67"/>
    </row>
    <row r="282" spans="1:80" ht="12" customHeight="1" x14ac:dyDescent="0.15">
      <c r="A282" s="67"/>
      <c r="B282" s="67"/>
      <c r="C282" s="67"/>
      <c r="D282" s="67"/>
      <c r="E282" s="67"/>
      <c r="F282" s="67"/>
      <c r="G282" s="67"/>
      <c r="H282" s="214"/>
      <c r="I282" s="67"/>
      <c r="J282" s="186"/>
      <c r="K282" s="186"/>
      <c r="L282" s="186"/>
      <c r="M282" s="186"/>
      <c r="N282" s="186"/>
      <c r="O282" s="186"/>
      <c r="P282" s="186"/>
      <c r="Q282" s="186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AN282" s="67"/>
      <c r="AO282" s="67"/>
      <c r="BF282" s="67"/>
      <c r="BG282" s="67"/>
      <c r="BH282" s="67"/>
      <c r="BI282" s="67"/>
      <c r="BJ282" s="67"/>
      <c r="BK282" s="67"/>
      <c r="BL282" s="67"/>
      <c r="BM282" s="67"/>
      <c r="BN282" s="67"/>
      <c r="BO282" s="67"/>
      <c r="BP282" s="67"/>
      <c r="BQ282" s="67"/>
      <c r="BR282" s="67"/>
      <c r="BS282" s="67"/>
      <c r="BT282" s="67"/>
      <c r="BU282" s="67"/>
      <c r="BV282" s="67"/>
      <c r="BW282" s="67"/>
      <c r="BX282" s="67"/>
      <c r="BY282" s="67"/>
      <c r="BZ282" s="67"/>
      <c r="CA282" s="67"/>
      <c r="CB282" s="67"/>
    </row>
    <row r="283" spans="1:80" ht="12" customHeight="1" x14ac:dyDescent="0.15">
      <c r="A283" s="67"/>
      <c r="B283" s="67"/>
      <c r="C283" s="67"/>
      <c r="D283" s="67"/>
      <c r="E283" s="67"/>
      <c r="F283" s="67"/>
      <c r="G283" s="67"/>
      <c r="H283" s="214"/>
      <c r="I283" s="67"/>
      <c r="J283" s="186"/>
      <c r="K283" s="186"/>
      <c r="L283" s="186"/>
      <c r="M283" s="186"/>
      <c r="N283" s="186"/>
      <c r="O283" s="186"/>
      <c r="P283" s="186"/>
      <c r="Q283" s="186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7"/>
      <c r="AJ283" s="67"/>
      <c r="AK283" s="67"/>
      <c r="AL283" s="67"/>
      <c r="AM283" s="67"/>
      <c r="AN283" s="67"/>
      <c r="AO283" s="67"/>
      <c r="BF283" s="67"/>
      <c r="BG283" s="67"/>
      <c r="BH283" s="67"/>
      <c r="BI283" s="67"/>
      <c r="BJ283" s="67"/>
      <c r="BK283" s="67"/>
      <c r="BL283" s="67"/>
      <c r="BM283" s="67"/>
      <c r="BN283" s="67"/>
      <c r="BO283" s="67"/>
      <c r="BP283" s="67"/>
      <c r="BQ283" s="67"/>
      <c r="BR283" s="67"/>
      <c r="BS283" s="67"/>
      <c r="BT283" s="67"/>
      <c r="BU283" s="67"/>
      <c r="BV283" s="67"/>
      <c r="BW283" s="67"/>
      <c r="BX283" s="67"/>
      <c r="BY283" s="67"/>
      <c r="BZ283" s="67"/>
      <c r="CA283" s="67"/>
      <c r="CB283" s="67"/>
    </row>
    <row r="284" spans="1:80" ht="12" customHeight="1" x14ac:dyDescent="0.15">
      <c r="A284" s="67"/>
      <c r="B284" s="67"/>
      <c r="C284" s="67"/>
      <c r="D284" s="67"/>
      <c r="E284" s="67"/>
      <c r="F284" s="67"/>
      <c r="G284" s="67"/>
      <c r="H284" s="214"/>
      <c r="I284" s="67"/>
      <c r="J284" s="186"/>
      <c r="K284" s="186"/>
      <c r="L284" s="186"/>
      <c r="M284" s="186"/>
      <c r="N284" s="186"/>
      <c r="O284" s="186"/>
      <c r="P284" s="186"/>
      <c r="Q284" s="186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7"/>
      <c r="AJ284" s="67"/>
      <c r="AK284" s="67"/>
      <c r="AL284" s="67"/>
      <c r="AM284" s="67"/>
      <c r="AN284" s="67"/>
      <c r="AO284" s="67"/>
      <c r="BF284" s="67"/>
      <c r="BG284" s="67"/>
      <c r="BH284" s="67"/>
      <c r="BI284" s="67"/>
      <c r="BJ284" s="67"/>
      <c r="BK284" s="67"/>
      <c r="BL284" s="67"/>
      <c r="BM284" s="67"/>
      <c r="BN284" s="67"/>
      <c r="BO284" s="67"/>
      <c r="BP284" s="67"/>
      <c r="BQ284" s="67"/>
      <c r="BR284" s="67"/>
      <c r="BS284" s="67"/>
      <c r="BT284" s="67"/>
      <c r="BU284" s="67"/>
      <c r="BV284" s="67"/>
      <c r="BW284" s="67"/>
      <c r="BX284" s="67"/>
      <c r="BY284" s="67"/>
      <c r="BZ284" s="67"/>
      <c r="CA284" s="67"/>
      <c r="CB284" s="67"/>
    </row>
    <row r="285" spans="1:80" ht="12" customHeight="1" x14ac:dyDescent="0.15">
      <c r="A285" s="67"/>
      <c r="B285" s="67"/>
      <c r="C285" s="67"/>
      <c r="D285" s="67"/>
      <c r="E285" s="67"/>
      <c r="F285" s="67"/>
      <c r="G285" s="67"/>
      <c r="H285" s="214"/>
      <c r="I285" s="67"/>
      <c r="J285" s="186"/>
      <c r="K285" s="186"/>
      <c r="L285" s="186"/>
      <c r="M285" s="186"/>
      <c r="N285" s="186"/>
      <c r="O285" s="186"/>
      <c r="P285" s="186"/>
      <c r="Q285" s="186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7"/>
      <c r="AJ285" s="67"/>
      <c r="AK285" s="67"/>
      <c r="AL285" s="67"/>
      <c r="AM285" s="67"/>
      <c r="AN285" s="67"/>
      <c r="AO285" s="67"/>
      <c r="BF285" s="67"/>
      <c r="BG285" s="67"/>
      <c r="BH285" s="67"/>
      <c r="BI285" s="67"/>
      <c r="BJ285" s="67"/>
      <c r="BK285" s="67"/>
      <c r="BL285" s="67"/>
      <c r="BM285" s="67"/>
      <c r="BN285" s="67"/>
      <c r="BO285" s="67"/>
      <c r="BP285" s="67"/>
      <c r="BQ285" s="67"/>
      <c r="BR285" s="67"/>
      <c r="BS285" s="67"/>
      <c r="BT285" s="67"/>
      <c r="BU285" s="67"/>
      <c r="BV285" s="67"/>
      <c r="BW285" s="67"/>
      <c r="BX285" s="67"/>
      <c r="BY285" s="67"/>
      <c r="BZ285" s="67"/>
      <c r="CA285" s="67"/>
      <c r="CB285" s="67"/>
    </row>
    <row r="286" spans="1:80" ht="12" customHeight="1" x14ac:dyDescent="0.15">
      <c r="A286" s="67"/>
      <c r="B286" s="67"/>
      <c r="C286" s="67"/>
      <c r="D286" s="67"/>
      <c r="E286" s="67"/>
      <c r="F286" s="67"/>
      <c r="G286" s="67"/>
      <c r="H286" s="214"/>
      <c r="I286" s="67"/>
      <c r="J286" s="186"/>
      <c r="K286" s="186"/>
      <c r="L286" s="186"/>
      <c r="M286" s="186"/>
      <c r="N286" s="186"/>
      <c r="O286" s="186"/>
      <c r="P286" s="186"/>
      <c r="Q286" s="186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7"/>
      <c r="AJ286" s="67"/>
      <c r="AK286" s="67"/>
      <c r="AL286" s="67"/>
      <c r="AM286" s="67"/>
      <c r="AN286" s="67"/>
      <c r="AO286" s="67"/>
      <c r="BF286" s="67"/>
      <c r="BG286" s="67"/>
      <c r="BH286" s="67"/>
      <c r="BI286" s="67"/>
      <c r="BJ286" s="67"/>
      <c r="BK286" s="67"/>
      <c r="BL286" s="67"/>
      <c r="BM286" s="67"/>
      <c r="BN286" s="67"/>
      <c r="BO286" s="67"/>
      <c r="BP286" s="67"/>
      <c r="BQ286" s="67"/>
      <c r="BR286" s="67"/>
      <c r="BS286" s="67"/>
      <c r="BT286" s="67"/>
      <c r="BU286" s="67"/>
      <c r="BV286" s="67"/>
      <c r="BW286" s="67"/>
      <c r="BX286" s="67"/>
      <c r="BY286" s="67"/>
      <c r="BZ286" s="67"/>
      <c r="CA286" s="67"/>
      <c r="CB286" s="67"/>
    </row>
    <row r="287" spans="1:80" ht="12" customHeight="1" x14ac:dyDescent="0.15">
      <c r="A287" s="67"/>
      <c r="B287" s="67"/>
      <c r="C287" s="67"/>
      <c r="D287" s="67"/>
      <c r="E287" s="67"/>
      <c r="F287" s="67"/>
      <c r="G287" s="67"/>
      <c r="H287" s="214"/>
      <c r="I287" s="67"/>
      <c r="J287" s="186"/>
      <c r="K287" s="186"/>
      <c r="L287" s="186"/>
      <c r="M287" s="186"/>
      <c r="N287" s="186"/>
      <c r="O287" s="186"/>
      <c r="P287" s="186"/>
      <c r="Q287" s="186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  <c r="AJ287" s="67"/>
      <c r="AK287" s="67"/>
      <c r="AL287" s="67"/>
      <c r="AM287" s="67"/>
      <c r="AN287" s="67"/>
      <c r="AO287" s="67"/>
      <c r="BF287" s="67"/>
      <c r="BG287" s="67"/>
      <c r="BH287" s="67"/>
      <c r="BI287" s="67"/>
      <c r="BJ287" s="67"/>
      <c r="BK287" s="67"/>
      <c r="BL287" s="67"/>
      <c r="BM287" s="67"/>
      <c r="BN287" s="67"/>
      <c r="BO287" s="67"/>
      <c r="BP287" s="67"/>
      <c r="BQ287" s="67"/>
      <c r="BR287" s="67"/>
      <c r="BS287" s="67"/>
      <c r="BT287" s="67"/>
      <c r="BU287" s="67"/>
      <c r="BV287" s="67"/>
      <c r="BW287" s="67"/>
      <c r="BX287" s="67"/>
      <c r="BY287" s="67"/>
      <c r="BZ287" s="67"/>
      <c r="CA287" s="67"/>
      <c r="CB287" s="67"/>
    </row>
    <row r="288" spans="1:80" ht="12" customHeight="1" x14ac:dyDescent="0.15">
      <c r="A288" s="67"/>
      <c r="B288" s="67"/>
      <c r="C288" s="67"/>
      <c r="D288" s="67"/>
      <c r="E288" s="67"/>
      <c r="F288" s="67"/>
      <c r="G288" s="67"/>
      <c r="H288" s="67"/>
      <c r="I288" s="67"/>
      <c r="J288" s="186"/>
      <c r="K288" s="186"/>
      <c r="L288" s="186"/>
      <c r="M288" s="186"/>
      <c r="N288" s="186"/>
      <c r="O288" s="186"/>
      <c r="P288" s="186"/>
      <c r="Q288" s="186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  <c r="AJ288" s="67"/>
      <c r="AK288" s="67"/>
      <c r="AL288" s="67"/>
      <c r="AM288" s="67"/>
      <c r="AN288" s="67"/>
      <c r="AO288" s="67"/>
      <c r="BF288" s="67"/>
      <c r="BG288" s="67"/>
      <c r="BH288" s="67"/>
      <c r="BI288" s="67"/>
      <c r="BJ288" s="67"/>
      <c r="BK288" s="67"/>
      <c r="BL288" s="67"/>
      <c r="BM288" s="67"/>
      <c r="BN288" s="67"/>
      <c r="BO288" s="67"/>
      <c r="BP288" s="67"/>
      <c r="BQ288" s="67"/>
      <c r="BR288" s="67"/>
      <c r="BS288" s="67"/>
      <c r="BT288" s="67"/>
      <c r="BU288" s="67"/>
      <c r="BV288" s="67"/>
      <c r="BW288" s="67"/>
      <c r="BX288" s="67"/>
      <c r="BY288" s="67"/>
      <c r="BZ288" s="67"/>
      <c r="CA288" s="67"/>
      <c r="CB288" s="67"/>
    </row>
    <row r="289" spans="1:80" ht="12" customHeight="1" x14ac:dyDescent="0.15">
      <c r="A289" s="67"/>
      <c r="B289" s="67"/>
      <c r="C289" s="67"/>
      <c r="D289" s="67"/>
      <c r="E289" s="67"/>
      <c r="F289" s="67"/>
      <c r="G289" s="67"/>
      <c r="H289" s="67"/>
      <c r="I289" s="67"/>
      <c r="J289" s="186"/>
      <c r="K289" s="186"/>
      <c r="L289" s="186"/>
      <c r="M289" s="186"/>
      <c r="N289" s="186"/>
      <c r="O289" s="186"/>
      <c r="P289" s="186"/>
      <c r="Q289" s="186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  <c r="AN289" s="67"/>
      <c r="AO289" s="67"/>
      <c r="BF289" s="67"/>
      <c r="BG289" s="67"/>
      <c r="BH289" s="67"/>
      <c r="BI289" s="67"/>
      <c r="BJ289" s="67"/>
      <c r="BK289" s="67"/>
      <c r="BL289" s="67"/>
      <c r="BM289" s="67"/>
      <c r="BN289" s="67"/>
      <c r="BO289" s="67"/>
      <c r="BP289" s="67"/>
      <c r="BQ289" s="67"/>
      <c r="BR289" s="67"/>
      <c r="BS289" s="67"/>
      <c r="BT289" s="67"/>
      <c r="BU289" s="67"/>
      <c r="BV289" s="67"/>
      <c r="BW289" s="67"/>
      <c r="BX289" s="67"/>
      <c r="BY289" s="67"/>
      <c r="BZ289" s="67"/>
      <c r="CA289" s="67"/>
      <c r="CB289" s="67"/>
    </row>
    <row r="290" spans="1:80" ht="12" customHeight="1" x14ac:dyDescent="0.15">
      <c r="A290" s="67"/>
      <c r="B290" s="67"/>
      <c r="C290" s="67"/>
      <c r="D290" s="67"/>
      <c r="E290" s="67"/>
      <c r="F290" s="67"/>
      <c r="G290" s="67"/>
      <c r="H290" s="67"/>
      <c r="I290" s="67"/>
      <c r="J290" s="186"/>
      <c r="K290" s="186"/>
      <c r="L290" s="186"/>
      <c r="M290" s="186"/>
      <c r="N290" s="186"/>
      <c r="O290" s="186"/>
      <c r="P290" s="186"/>
      <c r="Q290" s="186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7"/>
      <c r="AN290" s="67"/>
      <c r="AO290" s="67"/>
      <c r="BF290" s="67"/>
      <c r="BG290" s="67"/>
      <c r="BH290" s="67"/>
      <c r="BI290" s="67"/>
      <c r="BJ290" s="67"/>
      <c r="BK290" s="67"/>
      <c r="BL290" s="67"/>
      <c r="BM290" s="67"/>
      <c r="BN290" s="67"/>
      <c r="BO290" s="67"/>
      <c r="BP290" s="67"/>
      <c r="BQ290" s="67"/>
      <c r="BR290" s="67"/>
      <c r="BS290" s="67"/>
      <c r="BT290" s="67"/>
      <c r="BU290" s="67"/>
      <c r="BV290" s="67"/>
      <c r="BW290" s="67"/>
      <c r="BX290" s="67"/>
      <c r="BY290" s="67"/>
      <c r="BZ290" s="67"/>
      <c r="CA290" s="67"/>
      <c r="CB290" s="67"/>
    </row>
    <row r="291" spans="1:80" ht="12" customHeight="1" x14ac:dyDescent="0.15">
      <c r="A291" s="67"/>
      <c r="B291" s="67"/>
      <c r="C291" s="67"/>
      <c r="D291" s="67"/>
      <c r="E291" s="67"/>
      <c r="F291" s="67"/>
      <c r="G291" s="67"/>
      <c r="H291" s="67"/>
      <c r="I291" s="67"/>
      <c r="J291" s="186"/>
      <c r="K291" s="186"/>
      <c r="L291" s="186"/>
      <c r="M291" s="186"/>
      <c r="N291" s="186"/>
      <c r="O291" s="186"/>
      <c r="P291" s="186"/>
      <c r="Q291" s="186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  <c r="AC291" s="67"/>
      <c r="AD291" s="67"/>
      <c r="AE291" s="67"/>
      <c r="AF291" s="67"/>
      <c r="AG291" s="67"/>
      <c r="AH291" s="67"/>
      <c r="AI291" s="67"/>
      <c r="AJ291" s="67"/>
      <c r="AK291" s="67"/>
      <c r="AL291" s="67"/>
      <c r="AM291" s="67"/>
      <c r="AN291" s="67"/>
      <c r="AO291" s="67"/>
      <c r="BF291" s="67"/>
      <c r="BG291" s="67"/>
      <c r="BH291" s="67"/>
      <c r="BI291" s="67"/>
      <c r="BJ291" s="67"/>
      <c r="BK291" s="67"/>
      <c r="BL291" s="67"/>
      <c r="BM291" s="67"/>
      <c r="BN291" s="67"/>
      <c r="BO291" s="67"/>
      <c r="BP291" s="67"/>
      <c r="BQ291" s="67"/>
      <c r="BR291" s="67"/>
      <c r="BS291" s="67"/>
      <c r="BT291" s="67"/>
      <c r="BU291" s="67"/>
      <c r="BV291" s="67"/>
      <c r="BW291" s="67"/>
      <c r="BX291" s="67"/>
      <c r="BY291" s="67"/>
      <c r="BZ291" s="67"/>
      <c r="CA291" s="67"/>
      <c r="CB291" s="67"/>
    </row>
    <row r="292" spans="1:80" ht="12" customHeight="1" x14ac:dyDescent="0.15">
      <c r="A292" s="67"/>
      <c r="B292" s="67"/>
      <c r="C292" s="67"/>
      <c r="D292" s="67"/>
      <c r="E292" s="67"/>
      <c r="F292" s="67"/>
      <c r="G292" s="67"/>
      <c r="H292" s="67"/>
      <c r="I292" s="67"/>
      <c r="J292" s="186"/>
      <c r="K292" s="186"/>
      <c r="L292" s="186"/>
      <c r="M292" s="186"/>
      <c r="N292" s="186"/>
      <c r="O292" s="186"/>
      <c r="P292" s="186"/>
      <c r="Q292" s="186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7"/>
      <c r="AJ292" s="67"/>
      <c r="AK292" s="67"/>
      <c r="AL292" s="67"/>
      <c r="AM292" s="67"/>
      <c r="AN292" s="67"/>
      <c r="AO292" s="67"/>
      <c r="BF292" s="67"/>
      <c r="BG292" s="67"/>
      <c r="BH292" s="67"/>
      <c r="BI292" s="67"/>
      <c r="BJ292" s="67"/>
      <c r="BK292" s="67"/>
      <c r="BL292" s="67"/>
      <c r="BM292" s="67"/>
      <c r="BN292" s="67"/>
      <c r="BO292" s="67"/>
      <c r="BP292" s="67"/>
      <c r="BQ292" s="67"/>
      <c r="BR292" s="67"/>
      <c r="BS292" s="67"/>
      <c r="BT292" s="67"/>
      <c r="BU292" s="67"/>
      <c r="BV292" s="67"/>
      <c r="BW292" s="67"/>
      <c r="BX292" s="67"/>
      <c r="BY292" s="67"/>
      <c r="BZ292" s="67"/>
      <c r="CA292" s="67"/>
      <c r="CB292" s="67"/>
    </row>
    <row r="293" spans="1:80" ht="12" customHeight="1" x14ac:dyDescent="0.15">
      <c r="A293" s="67"/>
      <c r="B293" s="67"/>
      <c r="C293" s="67"/>
      <c r="D293" s="67"/>
      <c r="E293" s="67"/>
      <c r="F293" s="67"/>
      <c r="G293" s="67"/>
      <c r="H293" s="67"/>
      <c r="I293" s="67"/>
      <c r="J293" s="186"/>
      <c r="K293" s="186"/>
      <c r="L293" s="186"/>
      <c r="M293" s="186"/>
      <c r="N293" s="186"/>
      <c r="O293" s="186"/>
      <c r="P293" s="186"/>
      <c r="Q293" s="186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  <c r="AL293" s="67"/>
      <c r="AM293" s="67"/>
      <c r="AN293" s="67"/>
      <c r="AO293" s="67"/>
      <c r="BG293" s="67"/>
      <c r="BH293" s="67"/>
      <c r="BI293" s="67"/>
      <c r="BJ293" s="67"/>
      <c r="BK293" s="67"/>
      <c r="BL293" s="67"/>
      <c r="BM293" s="67"/>
      <c r="BN293" s="67"/>
      <c r="BO293" s="67"/>
      <c r="BP293" s="67"/>
      <c r="BQ293" s="67"/>
      <c r="BR293" s="67"/>
      <c r="BS293" s="67"/>
      <c r="BT293" s="67"/>
      <c r="BU293" s="67"/>
      <c r="BV293" s="67"/>
      <c r="BW293" s="67"/>
      <c r="BX293" s="67"/>
      <c r="BY293" s="67"/>
      <c r="BZ293" s="67"/>
      <c r="CA293" s="67"/>
      <c r="CB293" s="67"/>
    </row>
    <row r="294" spans="1:80" ht="12" customHeight="1" x14ac:dyDescent="0.15">
      <c r="A294" s="67"/>
      <c r="B294" s="67"/>
      <c r="C294" s="67"/>
      <c r="D294" s="67"/>
      <c r="E294" s="67"/>
      <c r="F294" s="67"/>
      <c r="G294" s="67"/>
      <c r="H294" s="67"/>
      <c r="I294" s="67"/>
      <c r="J294" s="186"/>
      <c r="K294" s="186"/>
      <c r="L294" s="186"/>
      <c r="M294" s="186"/>
      <c r="N294" s="186"/>
      <c r="O294" s="186"/>
      <c r="P294" s="186"/>
      <c r="Q294" s="186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7"/>
      <c r="AN294" s="67"/>
      <c r="AO294" s="67"/>
      <c r="BF294" s="67"/>
      <c r="BG294" s="67"/>
      <c r="BH294" s="67"/>
      <c r="BI294" s="67"/>
      <c r="BJ294" s="67"/>
      <c r="BK294" s="67"/>
      <c r="BL294" s="67"/>
      <c r="BM294" s="67"/>
      <c r="BN294" s="67"/>
      <c r="BO294" s="67"/>
      <c r="BP294" s="67"/>
      <c r="BQ294" s="67"/>
      <c r="BR294" s="67"/>
      <c r="BS294" s="67"/>
      <c r="BT294" s="67"/>
    </row>
    <row r="295" spans="1:80" ht="12" customHeight="1" x14ac:dyDescent="0.15">
      <c r="A295" s="67"/>
      <c r="B295" s="67"/>
      <c r="C295" s="67"/>
      <c r="D295" s="67"/>
      <c r="E295" s="67"/>
      <c r="F295" s="67"/>
      <c r="G295" s="67"/>
      <c r="H295" s="67"/>
      <c r="I295" s="67"/>
      <c r="J295" s="186"/>
      <c r="K295" s="186"/>
      <c r="L295" s="186"/>
      <c r="M295" s="186"/>
      <c r="N295" s="186"/>
      <c r="O295" s="186"/>
      <c r="P295" s="186"/>
      <c r="Q295" s="186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BF295" s="67"/>
      <c r="BG295" s="67"/>
      <c r="BH295" s="67"/>
      <c r="BI295" s="67"/>
      <c r="BJ295" s="67"/>
      <c r="BK295" s="67"/>
      <c r="BL295" s="67"/>
      <c r="BM295" s="67"/>
      <c r="BN295" s="67"/>
      <c r="BO295" s="67"/>
      <c r="BP295" s="67"/>
      <c r="BQ295" s="67"/>
      <c r="BR295" s="67"/>
      <c r="BS295" s="67"/>
      <c r="BT295" s="67"/>
    </row>
    <row r="296" spans="1:80" ht="12" customHeight="1" x14ac:dyDescent="0.15">
      <c r="A296" s="67"/>
      <c r="B296" s="67"/>
      <c r="C296" s="67"/>
      <c r="D296" s="67"/>
      <c r="E296" s="67"/>
      <c r="F296" s="67"/>
      <c r="G296" s="67"/>
      <c r="H296" s="67"/>
      <c r="I296" s="67"/>
      <c r="J296" s="186"/>
      <c r="K296" s="186"/>
      <c r="L296" s="186"/>
      <c r="M296" s="186"/>
      <c r="N296" s="186"/>
      <c r="O296" s="186"/>
      <c r="P296" s="186"/>
      <c r="Q296" s="186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BF296" s="67"/>
      <c r="BG296" s="67"/>
      <c r="BH296" s="67"/>
      <c r="BI296" s="67"/>
      <c r="BJ296" s="67"/>
      <c r="BK296" s="67"/>
      <c r="BL296" s="67"/>
      <c r="BM296" s="67"/>
      <c r="BN296" s="67"/>
      <c r="BO296" s="67"/>
      <c r="BP296" s="67"/>
      <c r="BQ296" s="67"/>
      <c r="BR296" s="67"/>
      <c r="BS296" s="67"/>
      <c r="BT296" s="67"/>
    </row>
    <row r="297" spans="1:80" ht="12" customHeight="1" x14ac:dyDescent="0.15">
      <c r="A297" s="67"/>
      <c r="B297" s="67"/>
      <c r="C297" s="67"/>
      <c r="D297" s="67"/>
      <c r="E297" s="67"/>
      <c r="F297" s="67"/>
      <c r="G297" s="67"/>
      <c r="H297" s="67"/>
      <c r="I297" s="67"/>
      <c r="J297" s="186"/>
      <c r="K297" s="186"/>
      <c r="L297" s="186"/>
      <c r="M297" s="186"/>
      <c r="N297" s="186"/>
      <c r="O297" s="186"/>
      <c r="P297" s="186"/>
      <c r="Q297" s="186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BF297" s="67"/>
      <c r="BG297" s="67"/>
      <c r="BH297" s="67"/>
      <c r="BI297" s="67"/>
      <c r="BJ297" s="67"/>
      <c r="BK297" s="67"/>
      <c r="BL297" s="67"/>
      <c r="BM297" s="67"/>
      <c r="BN297" s="67"/>
      <c r="BO297" s="67"/>
      <c r="BP297" s="67"/>
      <c r="BQ297" s="67"/>
      <c r="BR297" s="67"/>
      <c r="BS297" s="67"/>
      <c r="BT297" s="67"/>
    </row>
    <row r="298" spans="1:80" ht="12" customHeight="1" x14ac:dyDescent="0.15">
      <c r="A298" s="67"/>
      <c r="B298" s="67"/>
      <c r="C298" s="67"/>
      <c r="D298" s="67"/>
      <c r="E298" s="67"/>
      <c r="F298" s="67"/>
      <c r="G298" s="67"/>
      <c r="H298" s="67"/>
      <c r="I298" s="67"/>
      <c r="J298" s="186"/>
      <c r="K298" s="186"/>
      <c r="L298" s="186"/>
      <c r="M298" s="186"/>
      <c r="N298" s="186"/>
      <c r="O298" s="186"/>
      <c r="P298" s="186"/>
      <c r="Q298" s="186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BF298" s="67"/>
      <c r="BG298" s="67"/>
      <c r="BH298" s="67"/>
      <c r="BI298" s="67"/>
      <c r="BJ298" s="67"/>
      <c r="BK298" s="67"/>
      <c r="BL298" s="67"/>
      <c r="BM298" s="67"/>
      <c r="BN298" s="67"/>
      <c r="BO298" s="67"/>
      <c r="BP298" s="67"/>
      <c r="BQ298" s="67"/>
      <c r="BR298" s="67"/>
      <c r="BS298" s="67"/>
      <c r="BT298" s="67"/>
    </row>
    <row r="299" spans="1:80" ht="12" customHeight="1" x14ac:dyDescent="0.15">
      <c r="A299" s="67"/>
      <c r="B299" s="67"/>
      <c r="C299" s="67"/>
      <c r="D299" s="67"/>
      <c r="E299" s="67"/>
      <c r="F299" s="67"/>
      <c r="G299" s="67"/>
      <c r="H299" s="67"/>
      <c r="I299" s="67"/>
      <c r="J299" s="186"/>
      <c r="K299" s="186"/>
      <c r="L299" s="186"/>
      <c r="M299" s="186"/>
      <c r="N299" s="186"/>
      <c r="O299" s="186"/>
      <c r="P299" s="186"/>
      <c r="Q299" s="186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BF299" s="67"/>
      <c r="BG299" s="67"/>
      <c r="BH299" s="67"/>
      <c r="BI299" s="67"/>
      <c r="BJ299" s="67"/>
      <c r="BK299" s="67"/>
      <c r="BL299" s="67"/>
      <c r="BM299" s="67"/>
      <c r="BN299" s="67"/>
      <c r="BO299" s="67"/>
      <c r="BP299" s="67"/>
      <c r="BQ299" s="67"/>
      <c r="BR299" s="67"/>
      <c r="BS299" s="67"/>
      <c r="BT299" s="67"/>
    </row>
    <row r="300" spans="1:80" ht="12" customHeight="1" x14ac:dyDescent="0.15">
      <c r="A300" s="67"/>
      <c r="B300" s="67"/>
      <c r="C300" s="67"/>
      <c r="D300" s="67"/>
      <c r="E300" s="67"/>
      <c r="F300" s="67"/>
      <c r="G300" s="67"/>
      <c r="H300" s="67"/>
      <c r="I300" s="67"/>
      <c r="J300" s="186"/>
      <c r="K300" s="186"/>
      <c r="L300" s="186"/>
      <c r="M300" s="186"/>
      <c r="N300" s="186"/>
      <c r="O300" s="186"/>
      <c r="P300" s="186"/>
      <c r="Q300" s="186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7"/>
      <c r="AJ300" s="67"/>
      <c r="AK300" s="67"/>
      <c r="AL300" s="67"/>
      <c r="AM300" s="67"/>
      <c r="AN300" s="67"/>
      <c r="AO300" s="67"/>
      <c r="BF300" s="67"/>
      <c r="BG300" s="67"/>
      <c r="BH300" s="67"/>
      <c r="BI300" s="67"/>
      <c r="BJ300" s="67"/>
      <c r="BK300" s="67"/>
      <c r="BL300" s="67"/>
      <c r="BM300" s="67"/>
      <c r="BN300" s="67"/>
      <c r="BO300" s="67"/>
      <c r="BP300" s="67"/>
      <c r="BQ300" s="67"/>
      <c r="BR300" s="67"/>
      <c r="BS300" s="67"/>
      <c r="BT300" s="67"/>
    </row>
    <row r="301" spans="1:80" ht="12" customHeight="1" x14ac:dyDescent="0.15">
      <c r="A301" s="67"/>
      <c r="B301" s="67"/>
      <c r="C301" s="67"/>
      <c r="D301" s="67"/>
      <c r="E301" s="67"/>
      <c r="F301" s="67"/>
      <c r="G301" s="67"/>
      <c r="H301" s="67"/>
      <c r="I301" s="67"/>
      <c r="J301" s="186"/>
      <c r="K301" s="186"/>
      <c r="L301" s="186"/>
      <c r="M301" s="186"/>
      <c r="N301" s="186"/>
      <c r="O301" s="186"/>
      <c r="P301" s="186"/>
      <c r="Q301" s="186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  <c r="AL301" s="67"/>
      <c r="AM301" s="67"/>
      <c r="AN301" s="67"/>
      <c r="AO301" s="67"/>
      <c r="BF301" s="67"/>
      <c r="BG301" s="67"/>
      <c r="BH301" s="67"/>
      <c r="BI301" s="67"/>
      <c r="BJ301" s="67"/>
      <c r="BK301" s="67"/>
      <c r="BL301" s="67"/>
      <c r="BM301" s="67"/>
      <c r="BN301" s="67"/>
      <c r="BO301" s="67"/>
      <c r="BP301" s="67"/>
      <c r="BQ301" s="67"/>
      <c r="BR301" s="67"/>
      <c r="BS301" s="67"/>
      <c r="BT301" s="67"/>
    </row>
    <row r="302" spans="1:80" ht="12" customHeight="1" x14ac:dyDescent="0.15">
      <c r="A302" s="67"/>
      <c r="B302" s="67"/>
      <c r="C302" s="67"/>
      <c r="D302" s="67"/>
      <c r="E302" s="67"/>
      <c r="F302" s="67"/>
      <c r="G302" s="67"/>
      <c r="H302" s="67"/>
      <c r="I302" s="67"/>
      <c r="J302" s="186"/>
      <c r="K302" s="186"/>
      <c r="L302" s="186"/>
      <c r="M302" s="186"/>
      <c r="N302" s="186"/>
      <c r="O302" s="186"/>
      <c r="P302" s="186"/>
      <c r="Q302" s="186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7"/>
      <c r="AJ302" s="67"/>
      <c r="AK302" s="67"/>
      <c r="AL302" s="67"/>
      <c r="AM302" s="67"/>
      <c r="AN302" s="67"/>
      <c r="AO302" s="67"/>
      <c r="BF302" s="67"/>
      <c r="BG302" s="67"/>
      <c r="BH302" s="67"/>
      <c r="BI302" s="67"/>
      <c r="BJ302" s="67"/>
      <c r="BK302" s="67"/>
      <c r="BL302" s="67"/>
      <c r="BM302" s="67"/>
      <c r="BN302" s="67"/>
      <c r="BO302" s="67"/>
      <c r="BP302" s="67"/>
      <c r="BQ302" s="67"/>
      <c r="BR302" s="67"/>
      <c r="BS302" s="67"/>
      <c r="BT302" s="67"/>
    </row>
    <row r="303" spans="1:80" ht="12" customHeight="1" x14ac:dyDescent="0.15">
      <c r="A303" s="67"/>
      <c r="B303" s="67"/>
      <c r="C303" s="67"/>
      <c r="D303" s="67"/>
      <c r="E303" s="67"/>
      <c r="F303" s="67"/>
      <c r="G303" s="67"/>
      <c r="H303" s="67"/>
      <c r="I303" s="67"/>
      <c r="J303" s="186"/>
      <c r="K303" s="186"/>
      <c r="L303" s="186"/>
      <c r="M303" s="186"/>
      <c r="N303" s="186"/>
      <c r="O303" s="186"/>
      <c r="P303" s="186"/>
      <c r="Q303" s="186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  <c r="AJ303" s="67"/>
      <c r="AK303" s="67"/>
      <c r="AL303" s="67"/>
      <c r="AM303" s="67"/>
      <c r="AN303" s="67"/>
      <c r="AO303" s="67"/>
      <c r="BF303" s="67"/>
      <c r="BG303" s="67"/>
      <c r="BH303" s="67"/>
      <c r="BI303" s="67"/>
      <c r="BJ303" s="67"/>
      <c r="BK303" s="67"/>
      <c r="BL303" s="67"/>
      <c r="BM303" s="67"/>
      <c r="BN303" s="67"/>
      <c r="BO303" s="67"/>
      <c r="BP303" s="67"/>
      <c r="BQ303" s="67"/>
      <c r="BR303" s="67"/>
      <c r="BS303" s="67"/>
      <c r="BT303" s="67"/>
    </row>
    <row r="304" spans="1:80" ht="12" customHeight="1" x14ac:dyDescent="0.15">
      <c r="A304" s="67"/>
      <c r="B304" s="67"/>
      <c r="C304" s="67"/>
      <c r="D304" s="67"/>
      <c r="E304" s="67"/>
      <c r="F304" s="67"/>
      <c r="G304" s="67"/>
      <c r="H304" s="67"/>
      <c r="I304" s="67"/>
      <c r="J304" s="186"/>
      <c r="K304" s="186"/>
      <c r="L304" s="186"/>
      <c r="M304" s="186"/>
      <c r="N304" s="186"/>
      <c r="O304" s="186"/>
      <c r="P304" s="186"/>
      <c r="Q304" s="186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/>
      <c r="AJ304" s="67"/>
      <c r="AK304" s="67"/>
      <c r="AL304" s="67"/>
      <c r="AM304" s="67"/>
      <c r="AN304" s="67"/>
      <c r="AO304" s="67"/>
      <c r="BF304" s="67"/>
      <c r="BG304" s="67"/>
      <c r="BH304" s="67"/>
      <c r="BI304" s="67"/>
      <c r="BJ304" s="67"/>
      <c r="BK304" s="67"/>
      <c r="BL304" s="67"/>
      <c r="BM304" s="67"/>
      <c r="BN304" s="67"/>
      <c r="BO304" s="67"/>
      <c r="BP304" s="67"/>
      <c r="BQ304" s="67"/>
      <c r="BR304" s="67"/>
      <c r="BS304" s="67"/>
      <c r="BT304" s="67"/>
    </row>
    <row r="305" spans="1:72" ht="12" customHeight="1" x14ac:dyDescent="0.15">
      <c r="A305" s="67"/>
      <c r="B305" s="67"/>
      <c r="C305" s="67"/>
      <c r="D305" s="67"/>
      <c r="E305" s="67"/>
      <c r="F305" s="67"/>
      <c r="G305" s="67"/>
      <c r="H305" s="67"/>
      <c r="I305" s="67"/>
      <c r="J305" s="186"/>
      <c r="K305" s="186"/>
      <c r="L305" s="186"/>
      <c r="M305" s="186"/>
      <c r="N305" s="186"/>
      <c r="O305" s="186"/>
      <c r="P305" s="186"/>
      <c r="Q305" s="186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67"/>
      <c r="AN305" s="67"/>
      <c r="AO305" s="67"/>
      <c r="BF305" s="67"/>
      <c r="BG305" s="67"/>
      <c r="BH305" s="67"/>
      <c r="BI305" s="67"/>
      <c r="BJ305" s="67"/>
      <c r="BK305" s="67"/>
      <c r="BL305" s="67"/>
      <c r="BM305" s="67"/>
      <c r="BN305" s="67"/>
      <c r="BO305" s="67"/>
      <c r="BP305" s="67"/>
      <c r="BQ305" s="67"/>
      <c r="BR305" s="67"/>
      <c r="BS305" s="67"/>
      <c r="BT305" s="67"/>
    </row>
    <row r="306" spans="1:72" ht="12" customHeight="1" x14ac:dyDescent="0.15">
      <c r="A306" s="67"/>
      <c r="B306" s="67"/>
      <c r="C306" s="67"/>
      <c r="D306" s="67"/>
      <c r="E306" s="67"/>
      <c r="F306" s="67"/>
      <c r="G306" s="67"/>
      <c r="H306" s="67"/>
      <c r="I306" s="67"/>
      <c r="J306" s="186"/>
      <c r="K306" s="186"/>
      <c r="L306" s="186"/>
      <c r="M306" s="186"/>
      <c r="N306" s="186"/>
      <c r="O306" s="186"/>
      <c r="P306" s="186"/>
      <c r="Q306" s="186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7"/>
      <c r="AJ306" s="67"/>
      <c r="AK306" s="67"/>
      <c r="AL306" s="67"/>
      <c r="AM306" s="67"/>
      <c r="AN306" s="67"/>
      <c r="AO306" s="67"/>
      <c r="BF306" s="67"/>
      <c r="BG306" s="67"/>
      <c r="BH306" s="67"/>
      <c r="BI306" s="67"/>
      <c r="BJ306" s="67"/>
      <c r="BK306" s="67"/>
      <c r="BL306" s="67"/>
      <c r="BM306" s="67"/>
      <c r="BN306" s="67"/>
      <c r="BO306" s="67"/>
      <c r="BP306" s="67"/>
      <c r="BQ306" s="67"/>
      <c r="BR306" s="67"/>
      <c r="BS306" s="67"/>
      <c r="BT306" s="67"/>
    </row>
    <row r="307" spans="1:72" ht="12" customHeight="1" x14ac:dyDescent="0.15">
      <c r="A307" s="67"/>
      <c r="B307" s="67"/>
      <c r="C307" s="67"/>
      <c r="D307" s="67"/>
      <c r="E307" s="67"/>
      <c r="F307" s="67"/>
      <c r="G307" s="67"/>
      <c r="H307" s="67"/>
      <c r="I307" s="67"/>
      <c r="J307" s="186"/>
      <c r="K307" s="186"/>
      <c r="L307" s="186"/>
      <c r="M307" s="186"/>
      <c r="N307" s="186"/>
      <c r="O307" s="186"/>
      <c r="P307" s="186"/>
      <c r="Q307" s="186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  <c r="AL307" s="67"/>
      <c r="AM307" s="67"/>
      <c r="AN307" s="67"/>
      <c r="AO307" s="67"/>
      <c r="BF307" s="67"/>
      <c r="BG307" s="67"/>
      <c r="BH307" s="67"/>
      <c r="BI307" s="67"/>
      <c r="BJ307" s="67"/>
      <c r="BK307" s="67"/>
      <c r="BL307" s="67"/>
      <c r="BM307" s="67"/>
      <c r="BN307" s="67"/>
      <c r="BO307" s="67"/>
      <c r="BP307" s="67"/>
      <c r="BQ307" s="67"/>
      <c r="BR307" s="67"/>
      <c r="BS307" s="67"/>
      <c r="BT307" s="67"/>
    </row>
    <row r="308" spans="1:72" ht="12" customHeight="1" x14ac:dyDescent="0.15">
      <c r="A308" s="67"/>
      <c r="B308" s="67"/>
      <c r="C308" s="67"/>
      <c r="D308" s="67"/>
      <c r="E308" s="67"/>
      <c r="F308" s="67"/>
      <c r="G308" s="67"/>
      <c r="H308" s="67"/>
      <c r="I308" s="67"/>
      <c r="J308" s="186"/>
      <c r="K308" s="186"/>
      <c r="L308" s="186"/>
      <c r="M308" s="186"/>
      <c r="N308" s="186"/>
      <c r="O308" s="186"/>
      <c r="P308" s="186"/>
      <c r="Q308" s="186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  <c r="AJ308" s="67"/>
      <c r="AK308" s="67"/>
      <c r="AL308" s="67"/>
      <c r="AM308" s="67"/>
      <c r="AN308" s="67"/>
      <c r="AO308" s="67"/>
      <c r="BF308" s="67"/>
      <c r="BG308" s="67"/>
      <c r="BH308" s="67"/>
      <c r="BI308" s="67"/>
      <c r="BJ308" s="67"/>
      <c r="BK308" s="67"/>
      <c r="BL308" s="67"/>
      <c r="BM308" s="67"/>
      <c r="BN308" s="67"/>
      <c r="BO308" s="67"/>
      <c r="BP308" s="67"/>
      <c r="BQ308" s="67"/>
      <c r="BR308" s="67"/>
      <c r="BS308" s="67"/>
      <c r="BT308" s="67"/>
    </row>
    <row r="309" spans="1:72" ht="12" customHeight="1" x14ac:dyDescent="0.15">
      <c r="A309" s="67"/>
      <c r="B309" s="67"/>
      <c r="C309" s="67"/>
      <c r="D309" s="67"/>
      <c r="E309" s="67"/>
      <c r="F309" s="67"/>
      <c r="G309" s="67"/>
      <c r="H309" s="67"/>
      <c r="I309" s="67"/>
      <c r="J309" s="186"/>
      <c r="K309" s="186"/>
      <c r="L309" s="186"/>
      <c r="M309" s="186"/>
      <c r="N309" s="186"/>
      <c r="O309" s="186"/>
      <c r="P309" s="186"/>
      <c r="Q309" s="186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AN309" s="67"/>
      <c r="AO309" s="67"/>
      <c r="BF309" s="67"/>
      <c r="BG309" s="67"/>
      <c r="BH309" s="67"/>
      <c r="BI309" s="67"/>
      <c r="BJ309" s="67"/>
      <c r="BK309" s="67"/>
      <c r="BL309" s="67"/>
      <c r="BM309" s="67"/>
      <c r="BN309" s="67"/>
      <c r="BO309" s="67"/>
      <c r="BP309" s="67"/>
      <c r="BQ309" s="67"/>
      <c r="BR309" s="67"/>
      <c r="BS309" s="67"/>
      <c r="BT309" s="67"/>
    </row>
    <row r="310" spans="1:72" ht="12" customHeight="1" x14ac:dyDescent="0.15">
      <c r="A310" s="67"/>
      <c r="B310" s="67"/>
      <c r="C310" s="67"/>
      <c r="D310" s="67"/>
      <c r="E310" s="67"/>
      <c r="F310" s="67"/>
      <c r="G310" s="67"/>
      <c r="H310" s="67"/>
      <c r="I310" s="67"/>
      <c r="J310" s="186"/>
      <c r="K310" s="186"/>
      <c r="L310" s="186"/>
      <c r="M310" s="186"/>
      <c r="N310" s="186"/>
      <c r="O310" s="186"/>
      <c r="P310" s="186"/>
      <c r="Q310" s="186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  <c r="AJ310" s="67"/>
      <c r="AK310" s="67"/>
      <c r="AL310" s="67"/>
      <c r="AM310" s="67"/>
      <c r="AN310" s="67"/>
      <c r="AO310" s="67"/>
      <c r="BF310" s="67"/>
      <c r="BG310" s="67"/>
      <c r="BH310" s="67"/>
      <c r="BI310" s="67"/>
      <c r="BJ310" s="67"/>
      <c r="BK310" s="67"/>
      <c r="BL310" s="67"/>
      <c r="BM310" s="67"/>
      <c r="BN310" s="67"/>
      <c r="BO310" s="67"/>
      <c r="BP310" s="67"/>
      <c r="BQ310" s="67"/>
      <c r="BR310" s="67"/>
      <c r="BS310" s="67"/>
      <c r="BT310" s="67"/>
    </row>
    <row r="311" spans="1:72" ht="12" customHeight="1" x14ac:dyDescent="0.15">
      <c r="A311" s="67"/>
      <c r="B311" s="67"/>
      <c r="C311" s="67"/>
      <c r="D311" s="67"/>
      <c r="E311" s="67"/>
      <c r="F311" s="67"/>
      <c r="G311" s="67"/>
      <c r="H311" s="67"/>
      <c r="I311" s="67"/>
      <c r="J311" s="186"/>
      <c r="K311" s="186"/>
      <c r="L311" s="186"/>
      <c r="M311" s="186"/>
      <c r="N311" s="186"/>
      <c r="O311" s="186"/>
      <c r="P311" s="186"/>
      <c r="Q311" s="186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7"/>
      <c r="AN311" s="67"/>
      <c r="AO311" s="67"/>
      <c r="BF311" s="67"/>
      <c r="BG311" s="67"/>
      <c r="BH311" s="67"/>
      <c r="BI311" s="67"/>
      <c r="BJ311" s="67"/>
      <c r="BK311" s="67"/>
      <c r="BL311" s="67"/>
      <c r="BM311" s="67"/>
      <c r="BN311" s="67"/>
      <c r="BO311" s="67"/>
      <c r="BP311" s="67"/>
      <c r="BQ311" s="67"/>
      <c r="BR311" s="67"/>
      <c r="BS311" s="67"/>
      <c r="BT311" s="67"/>
    </row>
    <row r="312" spans="1:72" ht="12" customHeight="1" x14ac:dyDescent="0.15">
      <c r="A312" s="67"/>
      <c r="B312" s="67"/>
      <c r="C312" s="67"/>
      <c r="D312" s="67"/>
      <c r="E312" s="67"/>
      <c r="F312" s="67"/>
      <c r="G312" s="67"/>
      <c r="H312" s="67"/>
      <c r="I312" s="67"/>
      <c r="J312" s="186"/>
      <c r="K312" s="186"/>
      <c r="L312" s="186"/>
      <c r="M312" s="186"/>
      <c r="N312" s="186"/>
      <c r="O312" s="186"/>
      <c r="P312" s="186"/>
      <c r="Q312" s="186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67"/>
      <c r="AE312" s="67"/>
      <c r="AF312" s="67"/>
      <c r="AG312" s="67"/>
      <c r="AH312" s="67"/>
      <c r="AI312" s="67"/>
      <c r="AJ312" s="67"/>
      <c r="AK312" s="67"/>
      <c r="AL312" s="67"/>
      <c r="AM312" s="67"/>
      <c r="AN312" s="67"/>
      <c r="AO312" s="67"/>
      <c r="BF312" s="67"/>
      <c r="BG312" s="67"/>
      <c r="BH312" s="67"/>
      <c r="BI312" s="67"/>
      <c r="BJ312" s="67"/>
      <c r="BK312" s="67"/>
      <c r="BL312" s="67"/>
      <c r="BM312" s="67"/>
      <c r="BN312" s="67"/>
      <c r="BO312" s="67"/>
      <c r="BP312" s="67"/>
      <c r="BQ312" s="67"/>
      <c r="BR312" s="67"/>
      <c r="BS312" s="67"/>
      <c r="BT312" s="67"/>
    </row>
    <row r="313" spans="1:72" ht="12" customHeight="1" x14ac:dyDescent="0.15">
      <c r="A313" s="67"/>
      <c r="B313" s="67"/>
      <c r="C313" s="67"/>
      <c r="D313" s="67"/>
      <c r="E313" s="67"/>
      <c r="F313" s="67"/>
      <c r="G313" s="67"/>
      <c r="H313" s="67"/>
      <c r="I313" s="67"/>
      <c r="J313" s="186"/>
      <c r="K313" s="186"/>
      <c r="L313" s="186"/>
      <c r="M313" s="186"/>
      <c r="N313" s="186"/>
      <c r="O313" s="186"/>
      <c r="P313" s="186"/>
      <c r="Q313" s="186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67"/>
      <c r="AE313" s="67"/>
      <c r="AF313" s="67"/>
      <c r="AG313" s="67"/>
      <c r="AH313" s="67"/>
      <c r="AI313" s="67"/>
      <c r="AJ313" s="67"/>
      <c r="AK313" s="67"/>
      <c r="AL313" s="67"/>
      <c r="AM313" s="67"/>
      <c r="AN313" s="67"/>
      <c r="AO313" s="67"/>
      <c r="BF313" s="67"/>
      <c r="BG313" s="67"/>
      <c r="BH313" s="67"/>
      <c r="BI313" s="67"/>
      <c r="BJ313" s="67"/>
      <c r="BK313" s="67"/>
      <c r="BL313" s="67"/>
      <c r="BM313" s="67"/>
      <c r="BN313" s="67"/>
      <c r="BO313" s="67"/>
      <c r="BP313" s="67"/>
      <c r="BQ313" s="67"/>
      <c r="BR313" s="67"/>
      <c r="BS313" s="67"/>
      <c r="BT313" s="67"/>
    </row>
    <row r="314" spans="1:72" ht="12" customHeight="1" x14ac:dyDescent="0.15">
      <c r="A314" s="67"/>
      <c r="B314" s="67"/>
      <c r="C314" s="67"/>
      <c r="D314" s="67"/>
      <c r="E314" s="67"/>
      <c r="F314" s="67"/>
      <c r="G314" s="67"/>
      <c r="H314" s="67"/>
      <c r="I314" s="67"/>
      <c r="J314" s="186"/>
      <c r="K314" s="186"/>
      <c r="L314" s="186"/>
      <c r="M314" s="186"/>
      <c r="N314" s="186"/>
      <c r="O314" s="186"/>
      <c r="P314" s="186"/>
      <c r="Q314" s="186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  <c r="AJ314" s="67"/>
      <c r="AK314" s="67"/>
      <c r="AL314" s="67"/>
      <c r="AM314" s="67"/>
      <c r="AN314" s="67"/>
      <c r="AO314" s="67"/>
      <c r="BF314" s="67"/>
      <c r="BG314" s="67"/>
      <c r="BH314" s="67"/>
      <c r="BI314" s="67"/>
      <c r="BJ314" s="67"/>
      <c r="BK314" s="67"/>
      <c r="BL314" s="67"/>
      <c r="BM314" s="67"/>
      <c r="BN314" s="67"/>
      <c r="BO314" s="67"/>
      <c r="BP314" s="67"/>
      <c r="BQ314" s="67"/>
      <c r="BR314" s="67"/>
      <c r="BS314" s="67"/>
      <c r="BT314" s="67"/>
    </row>
    <row r="315" spans="1:72" ht="12" customHeight="1" x14ac:dyDescent="0.15">
      <c r="A315" s="67"/>
      <c r="B315" s="67"/>
      <c r="C315" s="67"/>
      <c r="D315" s="67"/>
      <c r="E315" s="67"/>
      <c r="F315" s="67"/>
      <c r="G315" s="67"/>
      <c r="H315" s="67"/>
      <c r="I315" s="67"/>
      <c r="J315" s="186"/>
      <c r="K315" s="186"/>
      <c r="L315" s="186"/>
      <c r="M315" s="186"/>
      <c r="N315" s="186"/>
      <c r="O315" s="186"/>
      <c r="P315" s="186"/>
      <c r="Q315" s="186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  <c r="AN315" s="67"/>
      <c r="AO315" s="67"/>
      <c r="BF315" s="67"/>
      <c r="BG315" s="67"/>
      <c r="BH315" s="67"/>
      <c r="BI315" s="67"/>
      <c r="BJ315" s="67"/>
      <c r="BK315" s="67"/>
      <c r="BL315" s="67"/>
      <c r="BM315" s="67"/>
      <c r="BN315" s="67"/>
      <c r="BO315" s="67"/>
      <c r="BP315" s="67"/>
      <c r="BQ315" s="67"/>
      <c r="BR315" s="67"/>
      <c r="BS315" s="67"/>
      <c r="BT315" s="67"/>
    </row>
    <row r="316" spans="1:72" ht="12" customHeight="1" x14ac:dyDescent="0.15">
      <c r="A316" s="67"/>
      <c r="B316" s="67"/>
      <c r="C316" s="67"/>
      <c r="D316" s="67"/>
      <c r="E316" s="67"/>
      <c r="F316" s="67"/>
      <c r="G316" s="67"/>
      <c r="H316" s="67"/>
      <c r="I316" s="67"/>
      <c r="J316" s="186"/>
      <c r="K316" s="186"/>
      <c r="L316" s="186"/>
      <c r="M316" s="186"/>
      <c r="N316" s="186"/>
      <c r="O316" s="186"/>
      <c r="P316" s="186"/>
      <c r="Q316" s="186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BF316" s="67"/>
      <c r="BG316" s="67"/>
      <c r="BH316" s="67"/>
      <c r="BI316" s="67"/>
      <c r="BJ316" s="67"/>
      <c r="BK316" s="67"/>
      <c r="BL316" s="67"/>
      <c r="BM316" s="67"/>
      <c r="BN316" s="67"/>
      <c r="BO316" s="67"/>
      <c r="BP316" s="67"/>
      <c r="BQ316" s="67"/>
      <c r="BR316" s="67"/>
      <c r="BS316" s="67"/>
      <c r="BT316" s="67"/>
    </row>
    <row r="317" spans="1:72" ht="12" customHeight="1" x14ac:dyDescent="0.15">
      <c r="A317" s="67"/>
      <c r="B317" s="67"/>
      <c r="C317" s="67"/>
      <c r="D317" s="67"/>
      <c r="E317" s="67"/>
      <c r="F317" s="67"/>
      <c r="G317" s="67"/>
      <c r="H317" s="67"/>
      <c r="I317" s="67"/>
      <c r="J317" s="186"/>
      <c r="K317" s="186"/>
      <c r="L317" s="186"/>
      <c r="M317" s="186"/>
      <c r="N317" s="186"/>
      <c r="O317" s="186"/>
      <c r="P317" s="186"/>
      <c r="Q317" s="186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BF317" s="67"/>
      <c r="BG317" s="67"/>
      <c r="BH317" s="67"/>
      <c r="BI317" s="67"/>
      <c r="BJ317" s="67"/>
      <c r="BK317" s="67"/>
      <c r="BL317" s="67"/>
      <c r="BM317" s="67"/>
      <c r="BN317" s="67"/>
      <c r="BO317" s="67"/>
      <c r="BP317" s="67"/>
      <c r="BQ317" s="67"/>
      <c r="BR317" s="67"/>
      <c r="BS317" s="67"/>
      <c r="BT317" s="67"/>
    </row>
    <row r="318" spans="1:72" ht="12" customHeight="1" x14ac:dyDescent="0.15">
      <c r="A318" s="67"/>
      <c r="B318" s="67"/>
      <c r="C318" s="67"/>
      <c r="D318" s="67"/>
      <c r="E318" s="67"/>
      <c r="F318" s="67"/>
      <c r="G318" s="67"/>
      <c r="H318" s="67"/>
      <c r="I318" s="67"/>
      <c r="J318" s="186"/>
      <c r="K318" s="186"/>
      <c r="L318" s="186"/>
      <c r="M318" s="186"/>
      <c r="N318" s="186"/>
      <c r="O318" s="186"/>
      <c r="P318" s="186"/>
      <c r="Q318" s="186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BF318" s="67"/>
      <c r="BG318" s="67"/>
      <c r="BH318" s="67"/>
      <c r="BI318" s="67"/>
      <c r="BJ318" s="67"/>
      <c r="BK318" s="67"/>
      <c r="BL318" s="67"/>
      <c r="BM318" s="67"/>
      <c r="BN318" s="67"/>
      <c r="BO318" s="67"/>
      <c r="BP318" s="67"/>
      <c r="BQ318" s="67"/>
      <c r="BR318" s="67"/>
      <c r="BS318" s="67"/>
      <c r="BT318" s="67"/>
    </row>
    <row r="319" spans="1:72" ht="12" customHeight="1" x14ac:dyDescent="0.15">
      <c r="A319" s="67"/>
      <c r="B319" s="67"/>
      <c r="C319" s="67"/>
      <c r="D319" s="67"/>
      <c r="E319" s="67"/>
      <c r="F319" s="67"/>
      <c r="G319" s="67"/>
      <c r="H319" s="67"/>
      <c r="I319" s="67"/>
      <c r="J319" s="186"/>
      <c r="K319" s="186"/>
      <c r="L319" s="186"/>
      <c r="M319" s="186"/>
      <c r="N319" s="186"/>
      <c r="O319" s="186"/>
      <c r="P319" s="186"/>
      <c r="Q319" s="186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BF319" s="67"/>
      <c r="BG319" s="67"/>
      <c r="BH319" s="67"/>
      <c r="BI319" s="67"/>
      <c r="BJ319" s="67"/>
      <c r="BK319" s="67"/>
      <c r="BL319" s="67"/>
      <c r="BM319" s="67"/>
      <c r="BN319" s="67"/>
      <c r="BO319" s="67"/>
      <c r="BP319" s="67"/>
      <c r="BQ319" s="67"/>
      <c r="BR319" s="67"/>
      <c r="BS319" s="67"/>
      <c r="BT319" s="67"/>
    </row>
    <row r="320" spans="1:72" ht="12" customHeight="1" x14ac:dyDescent="0.15">
      <c r="A320" s="67"/>
      <c r="B320" s="67"/>
      <c r="C320" s="67"/>
      <c r="D320" s="67"/>
      <c r="E320" s="67"/>
      <c r="F320" s="67"/>
      <c r="G320" s="67"/>
      <c r="H320" s="67"/>
      <c r="I320" s="67"/>
      <c r="J320" s="186"/>
      <c r="K320" s="186"/>
      <c r="L320" s="186"/>
      <c r="M320" s="186"/>
      <c r="N320" s="186"/>
      <c r="O320" s="186"/>
      <c r="P320" s="186"/>
      <c r="Q320" s="186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  <c r="AN320" s="67"/>
      <c r="AO320" s="67"/>
      <c r="BF320" s="67"/>
      <c r="BG320" s="67"/>
      <c r="BH320" s="67"/>
      <c r="BI320" s="67"/>
      <c r="BJ320" s="67"/>
      <c r="BK320" s="67"/>
      <c r="BL320" s="67"/>
      <c r="BM320" s="67"/>
      <c r="BN320" s="67"/>
      <c r="BO320" s="67"/>
      <c r="BP320" s="67"/>
      <c r="BQ320" s="67"/>
      <c r="BR320" s="67"/>
      <c r="BS320" s="67"/>
      <c r="BT320" s="67"/>
    </row>
    <row r="321" spans="1:72" ht="12" customHeight="1" x14ac:dyDescent="0.15">
      <c r="A321" s="67"/>
      <c r="B321" s="67"/>
      <c r="C321" s="67"/>
      <c r="D321" s="67"/>
      <c r="E321" s="67"/>
      <c r="F321" s="67"/>
      <c r="G321" s="67"/>
      <c r="H321" s="67"/>
      <c r="I321" s="67"/>
      <c r="J321" s="186"/>
      <c r="K321" s="186"/>
      <c r="L321" s="186"/>
      <c r="M321" s="186"/>
      <c r="N321" s="186"/>
      <c r="O321" s="186"/>
      <c r="P321" s="186"/>
      <c r="Q321" s="186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  <c r="AJ321" s="67"/>
      <c r="AK321" s="67"/>
      <c r="AL321" s="67"/>
      <c r="AM321" s="67"/>
      <c r="AN321" s="67"/>
      <c r="AO321" s="67"/>
      <c r="BF321" s="67"/>
      <c r="BG321" s="67"/>
      <c r="BH321" s="67"/>
      <c r="BI321" s="67"/>
      <c r="BJ321" s="67"/>
      <c r="BK321" s="67"/>
      <c r="BL321" s="67"/>
      <c r="BM321" s="67"/>
      <c r="BN321" s="67"/>
      <c r="BO321" s="67"/>
      <c r="BP321" s="67"/>
      <c r="BQ321" s="67"/>
      <c r="BR321" s="67"/>
      <c r="BS321" s="67"/>
      <c r="BT321" s="67"/>
    </row>
    <row r="322" spans="1:72" ht="12" customHeight="1" x14ac:dyDescent="0.15">
      <c r="A322" s="67"/>
      <c r="B322" s="67"/>
      <c r="C322" s="67"/>
      <c r="D322" s="67"/>
      <c r="E322" s="67"/>
      <c r="F322" s="67"/>
      <c r="G322" s="67"/>
      <c r="H322" s="67"/>
      <c r="I322" s="67"/>
      <c r="J322" s="186"/>
      <c r="K322" s="186"/>
      <c r="L322" s="186"/>
      <c r="M322" s="186"/>
      <c r="N322" s="186"/>
      <c r="O322" s="186"/>
      <c r="P322" s="186"/>
      <c r="Q322" s="186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7"/>
      <c r="AJ322" s="67"/>
      <c r="AK322" s="67"/>
      <c r="AL322" s="67"/>
      <c r="AM322" s="67"/>
      <c r="AN322" s="67"/>
      <c r="AO322" s="67"/>
      <c r="BF322" s="67"/>
      <c r="BG322" s="67"/>
      <c r="BH322" s="67"/>
      <c r="BI322" s="67"/>
      <c r="BJ322" s="67"/>
      <c r="BK322" s="67"/>
      <c r="BL322" s="67"/>
      <c r="BM322" s="67"/>
      <c r="BN322" s="67"/>
      <c r="BO322" s="67"/>
      <c r="BP322" s="67"/>
      <c r="BQ322" s="67"/>
      <c r="BR322" s="67"/>
      <c r="BS322" s="67"/>
      <c r="BT322" s="67"/>
    </row>
    <row r="323" spans="1:72" ht="12" customHeight="1" x14ac:dyDescent="0.15">
      <c r="A323" s="67"/>
      <c r="B323" s="67"/>
      <c r="C323" s="67"/>
      <c r="D323" s="67"/>
      <c r="E323" s="67"/>
      <c r="F323" s="67"/>
      <c r="G323" s="67"/>
      <c r="H323" s="67"/>
      <c r="I323" s="67"/>
      <c r="J323" s="186"/>
      <c r="K323" s="186"/>
      <c r="L323" s="186"/>
      <c r="M323" s="186"/>
      <c r="N323" s="186"/>
      <c r="O323" s="186"/>
      <c r="P323" s="186"/>
      <c r="Q323" s="186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  <c r="AJ323" s="67"/>
      <c r="AK323" s="67"/>
      <c r="AL323" s="67"/>
      <c r="AM323" s="67"/>
      <c r="AN323" s="67"/>
      <c r="AO323" s="67"/>
      <c r="BF323" s="67"/>
      <c r="BG323" s="67"/>
      <c r="BH323" s="67"/>
      <c r="BI323" s="67"/>
      <c r="BJ323" s="67"/>
      <c r="BK323" s="67"/>
      <c r="BL323" s="67"/>
      <c r="BM323" s="67"/>
      <c r="BN323" s="67"/>
      <c r="BO323" s="67"/>
      <c r="BP323" s="67"/>
      <c r="BQ323" s="67"/>
      <c r="BR323" s="67"/>
      <c r="BS323" s="67"/>
      <c r="BT323" s="67"/>
    </row>
    <row r="324" spans="1:72" ht="12" customHeight="1" x14ac:dyDescent="0.15">
      <c r="A324" s="67"/>
      <c r="B324" s="67"/>
      <c r="C324" s="67"/>
      <c r="D324" s="67"/>
      <c r="E324" s="67"/>
      <c r="F324" s="67"/>
      <c r="G324" s="67"/>
      <c r="H324" s="67"/>
      <c r="I324" s="67"/>
      <c r="J324" s="186"/>
      <c r="K324" s="186"/>
      <c r="L324" s="186"/>
      <c r="M324" s="186"/>
      <c r="N324" s="186"/>
      <c r="O324" s="186"/>
      <c r="P324" s="186"/>
      <c r="Q324" s="186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  <c r="AL324" s="67"/>
      <c r="AM324" s="67"/>
      <c r="AN324" s="67"/>
      <c r="AO324" s="67"/>
      <c r="BF324" s="67"/>
      <c r="BG324" s="67"/>
      <c r="BH324" s="67"/>
      <c r="BI324" s="67"/>
      <c r="BJ324" s="67"/>
      <c r="BK324" s="67"/>
      <c r="BL324" s="67"/>
      <c r="BM324" s="67"/>
      <c r="BN324" s="67"/>
      <c r="BO324" s="67"/>
      <c r="BP324" s="67"/>
      <c r="BQ324" s="67"/>
      <c r="BR324" s="67"/>
      <c r="BS324" s="67"/>
      <c r="BT324" s="67"/>
    </row>
    <row r="325" spans="1:72" ht="12" customHeight="1" x14ac:dyDescent="0.15">
      <c r="A325" s="67"/>
      <c r="B325" s="67"/>
      <c r="C325" s="67"/>
      <c r="D325" s="67"/>
      <c r="E325" s="67"/>
      <c r="F325" s="67"/>
      <c r="G325" s="67"/>
      <c r="H325" s="67"/>
      <c r="I325" s="67"/>
      <c r="J325" s="186"/>
      <c r="K325" s="186"/>
      <c r="L325" s="186"/>
      <c r="M325" s="186"/>
      <c r="N325" s="186"/>
      <c r="O325" s="186"/>
      <c r="P325" s="186"/>
      <c r="Q325" s="186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7"/>
      <c r="AN325" s="67"/>
      <c r="AO325" s="67"/>
      <c r="BF325" s="67"/>
      <c r="BG325" s="67"/>
      <c r="BH325" s="67"/>
      <c r="BI325" s="67"/>
      <c r="BJ325" s="67"/>
      <c r="BK325" s="67"/>
      <c r="BL325" s="67"/>
      <c r="BM325" s="67"/>
      <c r="BN325" s="67"/>
      <c r="BO325" s="67"/>
      <c r="BP325" s="67"/>
      <c r="BQ325" s="67"/>
      <c r="BR325" s="67"/>
      <c r="BS325" s="67"/>
      <c r="BT325" s="67"/>
    </row>
    <row r="326" spans="1:72" ht="12" customHeight="1" x14ac:dyDescent="0.15">
      <c r="A326" s="67"/>
      <c r="B326" s="67"/>
      <c r="C326" s="67"/>
      <c r="D326" s="67"/>
      <c r="E326" s="67"/>
      <c r="F326" s="67"/>
      <c r="G326" s="67"/>
      <c r="H326" s="67"/>
      <c r="I326" s="67"/>
      <c r="J326" s="186"/>
      <c r="K326" s="186"/>
      <c r="L326" s="186"/>
      <c r="M326" s="186"/>
      <c r="N326" s="186"/>
      <c r="O326" s="186"/>
      <c r="P326" s="186"/>
      <c r="Q326" s="186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  <c r="AL326" s="67"/>
      <c r="AM326" s="67"/>
      <c r="AN326" s="67"/>
      <c r="AO326" s="67"/>
      <c r="BF326" s="67"/>
      <c r="BG326" s="67"/>
      <c r="BH326" s="67"/>
      <c r="BI326" s="67"/>
      <c r="BJ326" s="67"/>
      <c r="BK326" s="67"/>
      <c r="BL326" s="67"/>
      <c r="BM326" s="67"/>
      <c r="BN326" s="67"/>
      <c r="BO326" s="67"/>
      <c r="BP326" s="67"/>
      <c r="BQ326" s="67"/>
      <c r="BR326" s="67"/>
      <c r="BS326" s="67"/>
      <c r="BT326" s="67"/>
    </row>
    <row r="327" spans="1:72" ht="12" customHeight="1" x14ac:dyDescent="0.15">
      <c r="A327" s="67"/>
      <c r="B327" s="67"/>
      <c r="C327" s="67"/>
      <c r="D327" s="67"/>
      <c r="E327" s="67"/>
      <c r="F327" s="67"/>
      <c r="G327" s="67"/>
      <c r="H327" s="67"/>
      <c r="I327" s="67"/>
      <c r="J327" s="186"/>
      <c r="K327" s="186"/>
      <c r="L327" s="186"/>
      <c r="M327" s="186"/>
      <c r="N327" s="186"/>
      <c r="O327" s="186"/>
      <c r="P327" s="186"/>
      <c r="Q327" s="186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  <c r="AJ327" s="67"/>
      <c r="AK327" s="67"/>
      <c r="AL327" s="67"/>
      <c r="AM327" s="67"/>
      <c r="AN327" s="67"/>
      <c r="AO327" s="67"/>
      <c r="BF327" s="67"/>
      <c r="BG327" s="67"/>
      <c r="BH327" s="67"/>
      <c r="BI327" s="67"/>
      <c r="BJ327" s="67"/>
      <c r="BK327" s="67"/>
      <c r="BL327" s="67"/>
      <c r="BM327" s="67"/>
      <c r="BN327" s="67"/>
      <c r="BO327" s="67"/>
      <c r="BP327" s="67"/>
      <c r="BQ327" s="67"/>
      <c r="BR327" s="67"/>
      <c r="BS327" s="67"/>
      <c r="BT327" s="67"/>
    </row>
    <row r="328" spans="1:72" ht="12" customHeight="1" x14ac:dyDescent="0.15">
      <c r="A328" s="67"/>
      <c r="B328" s="67"/>
      <c r="C328" s="67"/>
      <c r="D328" s="67"/>
      <c r="E328" s="67"/>
      <c r="F328" s="67"/>
      <c r="G328" s="67"/>
      <c r="H328" s="67"/>
      <c r="I328" s="67"/>
      <c r="J328" s="186"/>
      <c r="K328" s="186"/>
      <c r="L328" s="186"/>
      <c r="M328" s="186"/>
      <c r="N328" s="186"/>
      <c r="O328" s="186"/>
      <c r="P328" s="186"/>
      <c r="Q328" s="186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  <c r="AJ328" s="67"/>
      <c r="AK328" s="67"/>
      <c r="AL328" s="67"/>
      <c r="AM328" s="67"/>
      <c r="AN328" s="67"/>
      <c r="AO328" s="67"/>
      <c r="BF328" s="67"/>
      <c r="BG328" s="67"/>
      <c r="BH328" s="67"/>
      <c r="BI328" s="67"/>
      <c r="BJ328" s="67"/>
      <c r="BK328" s="67"/>
      <c r="BL328" s="67"/>
      <c r="BM328" s="67"/>
      <c r="BN328" s="67"/>
      <c r="BO328" s="67"/>
      <c r="BP328" s="67"/>
      <c r="BQ328" s="67"/>
      <c r="BR328" s="67"/>
      <c r="BS328" s="67"/>
      <c r="BT328" s="67"/>
    </row>
    <row r="329" spans="1:72" ht="12" customHeight="1" x14ac:dyDescent="0.15">
      <c r="A329" s="67"/>
      <c r="B329" s="67"/>
      <c r="C329" s="67"/>
      <c r="D329" s="67"/>
      <c r="E329" s="67"/>
      <c r="F329" s="67"/>
      <c r="G329" s="67"/>
      <c r="H329" s="67"/>
      <c r="I329" s="67"/>
      <c r="J329" s="186"/>
      <c r="K329" s="186"/>
      <c r="L329" s="186"/>
      <c r="M329" s="186"/>
      <c r="N329" s="186"/>
      <c r="O329" s="186"/>
      <c r="P329" s="186"/>
      <c r="Q329" s="186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  <c r="AL329" s="67"/>
      <c r="AM329" s="67"/>
      <c r="AN329" s="67"/>
      <c r="AO329" s="67"/>
      <c r="BF329" s="67"/>
      <c r="BG329" s="67"/>
      <c r="BH329" s="67"/>
      <c r="BI329" s="67"/>
      <c r="BJ329" s="67"/>
      <c r="BK329" s="67"/>
      <c r="BL329" s="67"/>
      <c r="BM329" s="67"/>
      <c r="BN329" s="67"/>
      <c r="BO329" s="67"/>
      <c r="BP329" s="67"/>
      <c r="BQ329" s="67"/>
      <c r="BR329" s="67"/>
      <c r="BS329" s="67"/>
      <c r="BT329" s="67"/>
    </row>
    <row r="330" spans="1:72" ht="12" customHeight="1" x14ac:dyDescent="0.15">
      <c r="A330" s="67"/>
      <c r="B330" s="67"/>
      <c r="C330" s="67"/>
      <c r="D330" s="67"/>
      <c r="E330" s="67"/>
      <c r="F330" s="67"/>
      <c r="G330" s="67"/>
      <c r="H330" s="67"/>
      <c r="I330" s="67"/>
      <c r="J330" s="186"/>
      <c r="K330" s="186"/>
      <c r="L330" s="186"/>
      <c r="M330" s="186"/>
      <c r="N330" s="186"/>
      <c r="O330" s="186"/>
      <c r="P330" s="186"/>
      <c r="Q330" s="186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7"/>
      <c r="AJ330" s="67"/>
      <c r="AK330" s="67"/>
      <c r="AL330" s="67"/>
      <c r="AM330" s="67"/>
      <c r="AN330" s="67"/>
      <c r="AO330" s="67"/>
      <c r="BF330" s="67"/>
      <c r="BG330" s="67"/>
      <c r="BH330" s="67"/>
      <c r="BI330" s="67"/>
      <c r="BJ330" s="67"/>
      <c r="BK330" s="67"/>
      <c r="BL330" s="67"/>
      <c r="BM330" s="67"/>
      <c r="BN330" s="67"/>
      <c r="BO330" s="67"/>
      <c r="BP330" s="67"/>
      <c r="BQ330" s="67"/>
      <c r="BR330" s="67"/>
      <c r="BS330" s="67"/>
      <c r="BT330" s="67"/>
    </row>
    <row r="331" spans="1:72" ht="12" customHeight="1" x14ac:dyDescent="0.15">
      <c r="A331" s="67"/>
      <c r="B331" s="67"/>
      <c r="C331" s="67"/>
      <c r="D331" s="67"/>
      <c r="E331" s="67"/>
      <c r="F331" s="67"/>
      <c r="G331" s="67"/>
      <c r="H331" s="67"/>
      <c r="I331" s="67"/>
      <c r="J331" s="186"/>
      <c r="K331" s="186"/>
      <c r="L331" s="186"/>
      <c r="M331" s="186"/>
      <c r="N331" s="186"/>
      <c r="O331" s="186"/>
      <c r="P331" s="186"/>
      <c r="Q331" s="186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7"/>
      <c r="AJ331" s="67"/>
      <c r="AK331" s="67"/>
      <c r="AL331" s="67"/>
      <c r="AM331" s="67"/>
      <c r="AN331" s="67"/>
      <c r="AO331" s="67"/>
      <c r="BF331" s="67"/>
      <c r="BG331" s="67"/>
      <c r="BH331" s="67"/>
      <c r="BI331" s="67"/>
      <c r="BJ331" s="67"/>
      <c r="BK331" s="67"/>
      <c r="BL331" s="67"/>
      <c r="BM331" s="67"/>
      <c r="BN331" s="67"/>
      <c r="BO331" s="67"/>
      <c r="BP331" s="67"/>
      <c r="BQ331" s="67"/>
      <c r="BR331" s="67"/>
      <c r="BS331" s="67"/>
      <c r="BT331" s="67"/>
    </row>
    <row r="332" spans="1:72" ht="12" customHeight="1" x14ac:dyDescent="0.15">
      <c r="A332" s="67"/>
      <c r="B332" s="67"/>
      <c r="C332" s="67"/>
      <c r="D332" s="67"/>
      <c r="E332" s="67"/>
      <c r="F332" s="67"/>
      <c r="G332" s="67"/>
      <c r="H332" s="67"/>
      <c r="I332" s="67"/>
      <c r="J332" s="186"/>
      <c r="K332" s="186"/>
      <c r="L332" s="186"/>
      <c r="M332" s="186"/>
      <c r="N332" s="186"/>
      <c r="O332" s="186"/>
      <c r="P332" s="186"/>
      <c r="Q332" s="186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67"/>
      <c r="AE332" s="67"/>
      <c r="AF332" s="67"/>
      <c r="AG332" s="67"/>
      <c r="AH332" s="67"/>
      <c r="AI332" s="67"/>
      <c r="AJ332" s="67"/>
      <c r="AK332" s="67"/>
      <c r="AL332" s="67"/>
      <c r="AM332" s="67"/>
      <c r="AN332" s="67"/>
      <c r="AO332" s="67"/>
      <c r="BF332" s="67"/>
      <c r="BG332" s="67"/>
      <c r="BH332" s="67"/>
      <c r="BI332" s="67"/>
      <c r="BJ332" s="67"/>
      <c r="BK332" s="67"/>
      <c r="BL332" s="67"/>
      <c r="BM332" s="67"/>
      <c r="BN332" s="67"/>
      <c r="BO332" s="67"/>
      <c r="BP332" s="67"/>
      <c r="BQ332" s="67"/>
      <c r="BR332" s="67"/>
      <c r="BS332" s="67"/>
      <c r="BT332" s="67"/>
    </row>
    <row r="333" spans="1:72" ht="12" customHeight="1" x14ac:dyDescent="0.15">
      <c r="A333" s="67"/>
      <c r="B333" s="67"/>
      <c r="C333" s="67"/>
      <c r="D333" s="67"/>
      <c r="E333" s="67"/>
      <c r="F333" s="67"/>
      <c r="G333" s="67"/>
      <c r="H333" s="67"/>
      <c r="I333" s="67"/>
      <c r="J333" s="186"/>
      <c r="K333" s="186"/>
      <c r="L333" s="186"/>
      <c r="M333" s="186"/>
      <c r="N333" s="186"/>
      <c r="O333" s="186"/>
      <c r="P333" s="186"/>
      <c r="Q333" s="186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7"/>
      <c r="AJ333" s="67"/>
      <c r="AK333" s="67"/>
      <c r="AL333" s="67"/>
      <c r="AM333" s="67"/>
      <c r="AN333" s="67"/>
      <c r="AO333" s="67"/>
      <c r="BF333" s="67"/>
      <c r="BG333" s="67"/>
      <c r="BH333" s="67"/>
      <c r="BI333" s="67"/>
      <c r="BJ333" s="67"/>
      <c r="BK333" s="67"/>
      <c r="BL333" s="67"/>
      <c r="BM333" s="67"/>
      <c r="BN333" s="67"/>
      <c r="BO333" s="67"/>
      <c r="BP333" s="67"/>
      <c r="BQ333" s="67"/>
      <c r="BR333" s="67"/>
      <c r="BS333" s="67"/>
      <c r="BT333" s="67"/>
    </row>
    <row r="334" spans="1:72" ht="12" customHeight="1" x14ac:dyDescent="0.15">
      <c r="A334" s="67"/>
      <c r="B334" s="67"/>
      <c r="C334" s="67"/>
      <c r="D334" s="67"/>
      <c r="E334" s="67"/>
      <c r="F334" s="67"/>
      <c r="G334" s="67"/>
      <c r="H334" s="67"/>
      <c r="I334" s="67"/>
      <c r="J334" s="186"/>
      <c r="K334" s="186"/>
      <c r="L334" s="186"/>
      <c r="M334" s="186"/>
      <c r="N334" s="186"/>
      <c r="O334" s="186"/>
      <c r="P334" s="186"/>
      <c r="Q334" s="186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7"/>
      <c r="AH334" s="67"/>
      <c r="AI334" s="67"/>
      <c r="AJ334" s="67"/>
      <c r="AK334" s="67"/>
      <c r="AL334" s="67"/>
      <c r="AM334" s="67"/>
      <c r="AN334" s="67"/>
      <c r="AO334" s="67"/>
      <c r="BF334" s="67"/>
      <c r="BG334" s="67"/>
      <c r="BH334" s="67"/>
      <c r="BI334" s="67"/>
      <c r="BJ334" s="67"/>
      <c r="BK334" s="67"/>
      <c r="BL334" s="67"/>
      <c r="BM334" s="67"/>
      <c r="BN334" s="67"/>
      <c r="BO334" s="67"/>
      <c r="BP334" s="67"/>
      <c r="BQ334" s="67"/>
      <c r="BR334" s="67"/>
      <c r="BS334" s="67"/>
      <c r="BT334" s="67"/>
    </row>
    <row r="335" spans="1:72" ht="12" customHeight="1" x14ac:dyDescent="0.15">
      <c r="A335" s="67"/>
      <c r="B335" s="67"/>
      <c r="C335" s="67"/>
      <c r="D335" s="67"/>
      <c r="E335" s="67"/>
      <c r="F335" s="67"/>
      <c r="G335" s="67"/>
      <c r="H335" s="67"/>
      <c r="I335" s="67"/>
      <c r="J335" s="186"/>
      <c r="K335" s="186"/>
      <c r="L335" s="186"/>
      <c r="M335" s="186"/>
      <c r="N335" s="186"/>
      <c r="O335" s="186"/>
      <c r="P335" s="186"/>
      <c r="Q335" s="186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7"/>
      <c r="AJ335" s="67"/>
      <c r="AK335" s="67"/>
      <c r="AL335" s="67"/>
      <c r="AM335" s="67"/>
      <c r="AN335" s="67"/>
      <c r="AO335" s="67"/>
      <c r="BF335" s="67"/>
      <c r="BG335" s="67"/>
      <c r="BH335" s="67"/>
      <c r="BI335" s="67"/>
      <c r="BJ335" s="67"/>
      <c r="BK335" s="67"/>
      <c r="BL335" s="67"/>
      <c r="BM335" s="67"/>
      <c r="BN335" s="67"/>
      <c r="BO335" s="67"/>
      <c r="BP335" s="67"/>
      <c r="BQ335" s="67"/>
      <c r="BR335" s="67"/>
      <c r="BS335" s="67"/>
      <c r="BT335" s="67"/>
    </row>
    <row r="336" spans="1:72" ht="12" customHeight="1" x14ac:dyDescent="0.15">
      <c r="A336" s="67"/>
      <c r="B336" s="67"/>
      <c r="C336" s="67"/>
      <c r="D336" s="67"/>
      <c r="E336" s="67"/>
      <c r="F336" s="67"/>
      <c r="G336" s="67"/>
      <c r="H336" s="67"/>
      <c r="I336" s="67"/>
      <c r="J336" s="186"/>
      <c r="K336" s="186"/>
      <c r="L336" s="186"/>
      <c r="M336" s="186"/>
      <c r="N336" s="186"/>
      <c r="O336" s="186"/>
      <c r="P336" s="186"/>
      <c r="Q336" s="186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67"/>
      <c r="AE336" s="67"/>
      <c r="AF336" s="67"/>
      <c r="AG336" s="67"/>
      <c r="AH336" s="67"/>
      <c r="AI336" s="67"/>
      <c r="AJ336" s="67"/>
      <c r="AK336" s="67"/>
      <c r="AL336" s="67"/>
      <c r="AM336" s="67"/>
      <c r="AN336" s="67"/>
      <c r="AO336" s="67"/>
      <c r="BF336" s="67"/>
      <c r="BG336" s="67"/>
      <c r="BH336" s="67"/>
      <c r="BI336" s="67"/>
      <c r="BJ336" s="67"/>
      <c r="BK336" s="67"/>
      <c r="BL336" s="67"/>
      <c r="BM336" s="67"/>
      <c r="BN336" s="67"/>
      <c r="BO336" s="67"/>
      <c r="BP336" s="67"/>
      <c r="BQ336" s="67"/>
      <c r="BR336" s="67"/>
      <c r="BS336" s="67"/>
      <c r="BT336" s="67"/>
    </row>
    <row r="337" spans="1:72" ht="12" customHeight="1" x14ac:dyDescent="0.15">
      <c r="A337" s="67"/>
      <c r="B337" s="67"/>
      <c r="C337" s="67"/>
      <c r="D337" s="67"/>
      <c r="E337" s="67"/>
      <c r="F337" s="67"/>
      <c r="G337" s="67"/>
      <c r="H337" s="67"/>
      <c r="I337" s="67"/>
      <c r="J337" s="186"/>
      <c r="K337" s="186"/>
      <c r="L337" s="186"/>
      <c r="M337" s="186"/>
      <c r="N337" s="186"/>
      <c r="O337" s="186"/>
      <c r="P337" s="186"/>
      <c r="Q337" s="186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  <c r="AJ337" s="67"/>
      <c r="AK337" s="67"/>
      <c r="AL337" s="67"/>
      <c r="AM337" s="67"/>
      <c r="AN337" s="67"/>
      <c r="AO337" s="67"/>
      <c r="BF337" s="67"/>
      <c r="BG337" s="67"/>
      <c r="BH337" s="67"/>
      <c r="BI337" s="67"/>
      <c r="BJ337" s="67"/>
      <c r="BK337" s="67"/>
      <c r="BL337" s="67"/>
      <c r="BM337" s="67"/>
      <c r="BN337" s="67"/>
      <c r="BO337" s="67"/>
      <c r="BP337" s="67"/>
      <c r="BQ337" s="67"/>
      <c r="BR337" s="67"/>
      <c r="BS337" s="67"/>
      <c r="BT337" s="67"/>
    </row>
    <row r="338" spans="1:72" ht="12" customHeight="1" x14ac:dyDescent="0.15">
      <c r="A338" s="67"/>
      <c r="B338" s="67"/>
      <c r="C338" s="67"/>
      <c r="D338" s="67"/>
      <c r="E338" s="67"/>
      <c r="F338" s="67"/>
      <c r="G338" s="67"/>
      <c r="H338" s="67"/>
      <c r="I338" s="67"/>
      <c r="J338" s="186"/>
      <c r="K338" s="186"/>
      <c r="L338" s="186"/>
      <c r="M338" s="186"/>
      <c r="N338" s="186"/>
      <c r="O338" s="186"/>
      <c r="P338" s="186"/>
      <c r="Q338" s="186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7"/>
      <c r="AN338" s="67"/>
      <c r="AO338" s="67"/>
      <c r="BF338" s="67"/>
      <c r="BG338" s="67"/>
      <c r="BH338" s="67"/>
      <c r="BI338" s="67"/>
      <c r="BJ338" s="67"/>
      <c r="BK338" s="67"/>
      <c r="BL338" s="67"/>
      <c r="BM338" s="67"/>
      <c r="BN338" s="67"/>
      <c r="BO338" s="67"/>
      <c r="BP338" s="67"/>
      <c r="BQ338" s="67"/>
      <c r="BR338" s="67"/>
      <c r="BS338" s="67"/>
      <c r="BT338" s="67"/>
    </row>
    <row r="339" spans="1:72" ht="12" customHeight="1" x14ac:dyDescent="0.15">
      <c r="A339" s="67"/>
      <c r="B339" s="67"/>
      <c r="C339" s="67"/>
      <c r="D339" s="67"/>
      <c r="E339" s="67"/>
      <c r="F339" s="67"/>
      <c r="G339" s="67"/>
      <c r="H339" s="67"/>
      <c r="I339" s="67"/>
      <c r="J339" s="186"/>
      <c r="K339" s="186"/>
      <c r="L339" s="186"/>
      <c r="M339" s="186"/>
      <c r="N339" s="186"/>
      <c r="O339" s="186"/>
      <c r="P339" s="186"/>
      <c r="Q339" s="186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BF339" s="67"/>
      <c r="BG339" s="67"/>
      <c r="BH339" s="67"/>
      <c r="BI339" s="67"/>
      <c r="BJ339" s="67"/>
      <c r="BK339" s="67"/>
      <c r="BL339" s="67"/>
      <c r="BM339" s="67"/>
      <c r="BN339" s="67"/>
      <c r="BO339" s="67"/>
      <c r="BP339" s="67"/>
      <c r="BQ339" s="67"/>
      <c r="BR339" s="67"/>
      <c r="BS339" s="67"/>
      <c r="BT339" s="67"/>
    </row>
    <row r="340" spans="1:72" ht="12" customHeight="1" x14ac:dyDescent="0.15">
      <c r="A340" s="67"/>
      <c r="B340" s="67"/>
      <c r="C340" s="67"/>
      <c r="D340" s="67"/>
      <c r="E340" s="67"/>
      <c r="F340" s="67"/>
      <c r="G340" s="67"/>
      <c r="H340" s="67"/>
      <c r="I340" s="67"/>
      <c r="J340" s="186"/>
      <c r="K340" s="186"/>
      <c r="L340" s="186"/>
      <c r="M340" s="186"/>
      <c r="N340" s="186"/>
      <c r="O340" s="186"/>
      <c r="P340" s="186"/>
      <c r="Q340" s="186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  <c r="AN340" s="67"/>
      <c r="AO340" s="67"/>
      <c r="BF340" s="67"/>
      <c r="BG340" s="67"/>
      <c r="BH340" s="67"/>
      <c r="BI340" s="67"/>
      <c r="BJ340" s="67"/>
      <c r="BK340" s="67"/>
      <c r="BL340" s="67"/>
      <c r="BM340" s="67"/>
      <c r="BN340" s="67"/>
      <c r="BO340" s="67"/>
      <c r="BP340" s="67"/>
      <c r="BQ340" s="67"/>
      <c r="BR340" s="67"/>
      <c r="BS340" s="67"/>
      <c r="BT340" s="67"/>
    </row>
    <row r="341" spans="1:72" ht="12" customHeight="1" x14ac:dyDescent="0.15">
      <c r="A341" s="67"/>
      <c r="B341" s="67"/>
      <c r="C341" s="67"/>
      <c r="D341" s="67"/>
      <c r="E341" s="67"/>
      <c r="F341" s="67"/>
      <c r="G341" s="67"/>
      <c r="H341" s="67"/>
      <c r="I341" s="67"/>
      <c r="J341" s="186"/>
      <c r="K341" s="186"/>
      <c r="L341" s="186"/>
      <c r="M341" s="186"/>
      <c r="N341" s="186"/>
      <c r="O341" s="186"/>
      <c r="P341" s="186"/>
      <c r="Q341" s="186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BF341" s="67"/>
      <c r="BG341" s="67"/>
      <c r="BH341" s="67"/>
      <c r="BI341" s="67"/>
      <c r="BJ341" s="67"/>
      <c r="BK341" s="67"/>
      <c r="BL341" s="67"/>
      <c r="BM341" s="67"/>
      <c r="BN341" s="67"/>
      <c r="BO341" s="67"/>
      <c r="BP341" s="67"/>
      <c r="BQ341" s="67"/>
      <c r="BR341" s="67"/>
      <c r="BS341" s="67"/>
      <c r="BT341" s="67"/>
    </row>
    <row r="342" spans="1:72" ht="12" customHeight="1" x14ac:dyDescent="0.15">
      <c r="A342" s="67"/>
      <c r="B342" s="67"/>
      <c r="C342" s="67"/>
      <c r="D342" s="67"/>
      <c r="E342" s="67"/>
      <c r="F342" s="67"/>
      <c r="G342" s="67"/>
      <c r="H342" s="67"/>
      <c r="I342" s="67"/>
      <c r="J342" s="186"/>
      <c r="K342" s="186"/>
      <c r="L342" s="186"/>
      <c r="M342" s="186"/>
      <c r="N342" s="186"/>
      <c r="O342" s="186"/>
      <c r="P342" s="186"/>
      <c r="Q342" s="186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BF342" s="67"/>
      <c r="BG342" s="67"/>
      <c r="BH342" s="67"/>
      <c r="BI342" s="67"/>
      <c r="BJ342" s="67"/>
      <c r="BK342" s="67"/>
      <c r="BL342" s="67"/>
      <c r="BM342" s="67"/>
      <c r="BN342" s="67"/>
      <c r="BO342" s="67"/>
      <c r="BP342" s="67"/>
      <c r="BQ342" s="67"/>
      <c r="BR342" s="67"/>
      <c r="BS342" s="67"/>
      <c r="BT342" s="67"/>
    </row>
    <row r="343" spans="1:72" ht="12" customHeight="1" x14ac:dyDescent="0.15">
      <c r="A343" s="67"/>
      <c r="B343" s="67"/>
      <c r="C343" s="67"/>
      <c r="D343" s="67"/>
      <c r="E343" s="67"/>
      <c r="F343" s="67"/>
      <c r="G343" s="67"/>
      <c r="H343" s="67"/>
      <c r="I343" s="67"/>
      <c r="J343" s="186"/>
      <c r="K343" s="186"/>
      <c r="L343" s="186"/>
      <c r="M343" s="186"/>
      <c r="N343" s="186"/>
      <c r="O343" s="186"/>
      <c r="P343" s="186"/>
      <c r="Q343" s="186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BF343" s="67"/>
      <c r="BG343" s="67"/>
      <c r="BH343" s="67"/>
      <c r="BI343" s="67"/>
      <c r="BJ343" s="67"/>
      <c r="BK343" s="67"/>
      <c r="BL343" s="67"/>
      <c r="BM343" s="67"/>
      <c r="BN343" s="67"/>
      <c r="BO343" s="67"/>
      <c r="BP343" s="67"/>
      <c r="BQ343" s="67"/>
      <c r="BR343" s="67"/>
      <c r="BS343" s="67"/>
      <c r="BT343" s="67"/>
    </row>
    <row r="344" spans="1:72" ht="12" customHeight="1" x14ac:dyDescent="0.15">
      <c r="A344" s="67"/>
      <c r="B344" s="67"/>
      <c r="C344" s="67"/>
      <c r="D344" s="67"/>
      <c r="E344" s="67"/>
      <c r="F344" s="67"/>
      <c r="G344" s="67"/>
      <c r="H344" s="67"/>
      <c r="I344" s="67"/>
      <c r="J344" s="186"/>
      <c r="K344" s="186"/>
      <c r="L344" s="186"/>
      <c r="M344" s="186"/>
      <c r="N344" s="186"/>
      <c r="O344" s="186"/>
      <c r="P344" s="186"/>
      <c r="Q344" s="186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  <c r="AN344" s="67"/>
      <c r="AO344" s="67"/>
      <c r="BF344" s="67"/>
      <c r="BG344" s="67"/>
      <c r="BH344" s="67"/>
      <c r="BI344" s="67"/>
      <c r="BJ344" s="67"/>
      <c r="BK344" s="67"/>
      <c r="BL344" s="67"/>
      <c r="BM344" s="67"/>
      <c r="BN344" s="67"/>
      <c r="BO344" s="67"/>
      <c r="BP344" s="67"/>
      <c r="BQ344" s="67"/>
      <c r="BR344" s="67"/>
      <c r="BS344" s="67"/>
      <c r="BT344" s="67"/>
    </row>
    <row r="345" spans="1:72" ht="12" customHeight="1" x14ac:dyDescent="0.15">
      <c r="A345" s="67"/>
      <c r="B345" s="67"/>
      <c r="C345" s="67"/>
      <c r="D345" s="67"/>
      <c r="E345" s="67"/>
      <c r="F345" s="67"/>
      <c r="G345" s="67"/>
      <c r="H345" s="67"/>
      <c r="I345" s="67"/>
      <c r="J345" s="186"/>
      <c r="K345" s="186"/>
      <c r="L345" s="186"/>
      <c r="M345" s="186"/>
      <c r="N345" s="186"/>
      <c r="O345" s="186"/>
      <c r="P345" s="186"/>
      <c r="Q345" s="186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  <c r="AN345" s="67"/>
      <c r="AO345" s="67"/>
      <c r="BF345" s="67"/>
      <c r="BG345" s="67"/>
      <c r="BH345" s="67"/>
      <c r="BI345" s="67"/>
      <c r="BJ345" s="67"/>
      <c r="BK345" s="67"/>
      <c r="BL345" s="67"/>
      <c r="BM345" s="67"/>
      <c r="BN345" s="67"/>
      <c r="BO345" s="67"/>
      <c r="BP345" s="67"/>
      <c r="BQ345" s="67"/>
      <c r="BR345" s="67"/>
      <c r="BS345" s="67"/>
      <c r="BT345" s="67"/>
    </row>
    <row r="346" spans="1:72" ht="12" customHeight="1" x14ac:dyDescent="0.15">
      <c r="A346" s="67"/>
      <c r="B346" s="67"/>
      <c r="C346" s="67"/>
      <c r="D346" s="67"/>
      <c r="E346" s="67"/>
      <c r="F346" s="67"/>
      <c r="G346" s="67"/>
      <c r="H346" s="67"/>
      <c r="I346" s="67"/>
      <c r="J346" s="186"/>
      <c r="K346" s="186"/>
      <c r="L346" s="186"/>
      <c r="M346" s="186"/>
      <c r="N346" s="186"/>
      <c r="O346" s="186"/>
      <c r="P346" s="186"/>
      <c r="Q346" s="186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7"/>
      <c r="AJ346" s="67"/>
      <c r="AK346" s="67"/>
      <c r="AL346" s="67"/>
      <c r="AM346" s="67"/>
      <c r="AN346" s="67"/>
      <c r="AO346" s="67"/>
      <c r="BF346" s="67"/>
      <c r="BG346" s="67"/>
      <c r="BH346" s="67"/>
      <c r="BI346" s="67"/>
      <c r="BJ346" s="67"/>
      <c r="BK346" s="67"/>
      <c r="BL346" s="67"/>
      <c r="BM346" s="67"/>
      <c r="BN346" s="67"/>
      <c r="BO346" s="67"/>
      <c r="BP346" s="67"/>
      <c r="BQ346" s="67"/>
      <c r="BR346" s="67"/>
      <c r="BS346" s="67"/>
      <c r="BT346" s="67"/>
    </row>
    <row r="347" spans="1:72" ht="12" customHeight="1" x14ac:dyDescent="0.15">
      <c r="A347" s="67"/>
      <c r="B347" s="67"/>
      <c r="C347" s="67"/>
      <c r="D347" s="67"/>
      <c r="E347" s="67"/>
      <c r="F347" s="67"/>
      <c r="G347" s="67"/>
      <c r="H347" s="67"/>
      <c r="I347" s="67"/>
      <c r="J347" s="186"/>
      <c r="K347" s="186"/>
      <c r="L347" s="186"/>
      <c r="M347" s="186"/>
      <c r="N347" s="186"/>
      <c r="O347" s="186"/>
      <c r="P347" s="186"/>
      <c r="Q347" s="186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7"/>
      <c r="AJ347" s="67"/>
      <c r="AK347" s="67"/>
      <c r="AL347" s="67"/>
      <c r="AM347" s="67"/>
      <c r="AN347" s="67"/>
      <c r="AO347" s="67"/>
      <c r="BF347" s="67"/>
      <c r="BG347" s="67"/>
      <c r="BH347" s="67"/>
      <c r="BI347" s="67"/>
      <c r="BJ347" s="67"/>
      <c r="BK347" s="67"/>
      <c r="BL347" s="67"/>
      <c r="BM347" s="67"/>
      <c r="BN347" s="67"/>
      <c r="BO347" s="67"/>
      <c r="BP347" s="67"/>
      <c r="BQ347" s="67"/>
      <c r="BR347" s="67"/>
      <c r="BS347" s="67"/>
      <c r="BT347" s="67"/>
    </row>
    <row r="348" spans="1:72" ht="12" customHeight="1" x14ac:dyDescent="0.15">
      <c r="A348" s="67"/>
      <c r="B348" s="67"/>
      <c r="C348" s="67"/>
      <c r="D348" s="67"/>
      <c r="E348" s="67"/>
      <c r="F348" s="67"/>
      <c r="G348" s="67"/>
      <c r="H348" s="67"/>
      <c r="I348" s="67"/>
      <c r="J348" s="186"/>
      <c r="K348" s="186"/>
      <c r="L348" s="186"/>
      <c r="M348" s="186"/>
      <c r="N348" s="186"/>
      <c r="O348" s="186"/>
      <c r="P348" s="186"/>
      <c r="Q348" s="186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  <c r="AC348" s="67"/>
      <c r="AD348" s="67"/>
      <c r="AE348" s="67"/>
      <c r="AF348" s="67"/>
      <c r="AG348" s="67"/>
      <c r="AH348" s="67"/>
      <c r="AI348" s="67"/>
      <c r="AJ348" s="67"/>
      <c r="AK348" s="67"/>
      <c r="AL348" s="67"/>
      <c r="AM348" s="67"/>
      <c r="AN348" s="67"/>
      <c r="AO348" s="67"/>
      <c r="BF348" s="67"/>
      <c r="BG348" s="67"/>
      <c r="BH348" s="67"/>
      <c r="BI348" s="67"/>
      <c r="BJ348" s="67"/>
      <c r="BK348" s="67"/>
      <c r="BL348" s="67"/>
      <c r="BM348" s="67"/>
      <c r="BN348" s="67"/>
      <c r="BO348" s="67"/>
      <c r="BP348" s="67"/>
      <c r="BQ348" s="67"/>
      <c r="BR348" s="67"/>
      <c r="BS348" s="67"/>
      <c r="BT348" s="67"/>
    </row>
    <row r="349" spans="1:72" ht="12" customHeight="1" x14ac:dyDescent="0.15">
      <c r="A349" s="67"/>
      <c r="B349" s="67"/>
      <c r="C349" s="67"/>
      <c r="D349" s="67"/>
      <c r="E349" s="67"/>
      <c r="F349" s="67"/>
      <c r="G349" s="67"/>
      <c r="H349" s="67"/>
      <c r="I349" s="67"/>
      <c r="J349" s="186"/>
      <c r="K349" s="186"/>
      <c r="L349" s="186"/>
      <c r="M349" s="186"/>
      <c r="N349" s="186"/>
      <c r="O349" s="186"/>
      <c r="P349" s="186"/>
      <c r="Q349" s="186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  <c r="AD349" s="67"/>
      <c r="AE349" s="67"/>
      <c r="AF349" s="67"/>
      <c r="AG349" s="67"/>
      <c r="AH349" s="67"/>
      <c r="AI349" s="67"/>
      <c r="AJ349" s="67"/>
      <c r="AK349" s="67"/>
      <c r="AL349" s="67"/>
      <c r="AM349" s="67"/>
      <c r="AN349" s="67"/>
      <c r="AO349" s="67"/>
      <c r="BF349" s="67"/>
      <c r="BG349" s="67"/>
      <c r="BH349" s="67"/>
      <c r="BI349" s="67"/>
      <c r="BJ349" s="67"/>
      <c r="BK349" s="67"/>
      <c r="BL349" s="67"/>
      <c r="BM349" s="67"/>
      <c r="BN349" s="67"/>
      <c r="BO349" s="67"/>
      <c r="BP349" s="67"/>
      <c r="BQ349" s="67"/>
      <c r="BR349" s="67"/>
      <c r="BS349" s="67"/>
      <c r="BT349" s="67"/>
    </row>
    <row r="350" spans="1:72" ht="12" customHeight="1" x14ac:dyDescent="0.15">
      <c r="A350" s="67"/>
      <c r="B350" s="67"/>
      <c r="C350" s="67"/>
      <c r="D350" s="67"/>
      <c r="E350" s="67"/>
      <c r="F350" s="67"/>
      <c r="G350" s="67"/>
      <c r="H350" s="67"/>
      <c r="I350" s="67"/>
      <c r="J350" s="186"/>
      <c r="K350" s="186"/>
      <c r="L350" s="186"/>
      <c r="M350" s="186"/>
      <c r="N350" s="186"/>
      <c r="O350" s="186"/>
      <c r="P350" s="186"/>
      <c r="Q350" s="186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  <c r="AL350" s="67"/>
      <c r="AM350" s="67"/>
      <c r="AN350" s="67"/>
      <c r="AO350" s="67"/>
      <c r="BF350" s="67"/>
      <c r="BG350" s="67"/>
      <c r="BH350" s="67"/>
      <c r="BI350" s="67"/>
      <c r="BJ350" s="67"/>
      <c r="BK350" s="67"/>
      <c r="BL350" s="67"/>
      <c r="BM350" s="67"/>
      <c r="BN350" s="67"/>
      <c r="BO350" s="67"/>
      <c r="BP350" s="67"/>
      <c r="BQ350" s="67"/>
      <c r="BR350" s="67"/>
      <c r="BS350" s="67"/>
      <c r="BT350" s="67"/>
    </row>
    <row r="351" spans="1:72" ht="12" customHeight="1" x14ac:dyDescent="0.15">
      <c r="A351" s="67"/>
      <c r="B351" s="67"/>
      <c r="C351" s="67"/>
      <c r="D351" s="67"/>
      <c r="E351" s="67"/>
      <c r="F351" s="67"/>
      <c r="G351" s="67"/>
      <c r="H351" s="67"/>
      <c r="I351" s="67"/>
      <c r="J351" s="186"/>
      <c r="K351" s="186"/>
      <c r="L351" s="186"/>
      <c r="M351" s="186"/>
      <c r="N351" s="186"/>
      <c r="O351" s="186"/>
      <c r="P351" s="186"/>
      <c r="Q351" s="186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  <c r="AN351" s="67"/>
      <c r="AO351" s="67"/>
      <c r="BF351" s="67"/>
      <c r="BG351" s="67"/>
      <c r="BH351" s="67"/>
      <c r="BI351" s="67"/>
      <c r="BJ351" s="67"/>
      <c r="BK351" s="67"/>
      <c r="BL351" s="67"/>
      <c r="BM351" s="67"/>
      <c r="BN351" s="67"/>
      <c r="BO351" s="67"/>
      <c r="BP351" s="67"/>
      <c r="BQ351" s="67"/>
      <c r="BR351" s="67"/>
      <c r="BS351" s="67"/>
      <c r="BT351" s="67"/>
    </row>
    <row r="352" spans="1:72" ht="12" customHeight="1" x14ac:dyDescent="0.15">
      <c r="A352" s="67"/>
      <c r="B352" s="67"/>
      <c r="C352" s="67"/>
      <c r="D352" s="67"/>
      <c r="E352" s="67"/>
      <c r="F352" s="67"/>
      <c r="G352" s="67"/>
      <c r="H352" s="67"/>
      <c r="I352" s="67"/>
      <c r="J352" s="186"/>
      <c r="K352" s="186"/>
      <c r="L352" s="186"/>
      <c r="M352" s="186"/>
      <c r="N352" s="186"/>
      <c r="O352" s="186"/>
      <c r="P352" s="186"/>
      <c r="Q352" s="186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  <c r="AN352" s="67"/>
      <c r="AO352" s="67"/>
      <c r="BF352" s="67"/>
      <c r="BG352" s="67"/>
      <c r="BH352" s="67"/>
      <c r="BI352" s="67"/>
      <c r="BJ352" s="67"/>
      <c r="BK352" s="67"/>
      <c r="BL352" s="67"/>
      <c r="BM352" s="67"/>
      <c r="BN352" s="67"/>
      <c r="BO352" s="67"/>
      <c r="BP352" s="67"/>
      <c r="BQ352" s="67"/>
      <c r="BR352" s="67"/>
      <c r="BS352" s="67"/>
      <c r="BT352" s="67"/>
    </row>
    <row r="353" spans="1:72" ht="12" customHeight="1" x14ac:dyDescent="0.15">
      <c r="A353" s="67"/>
      <c r="B353" s="67"/>
      <c r="C353" s="67"/>
      <c r="D353" s="67"/>
      <c r="E353" s="67"/>
      <c r="F353" s="67"/>
      <c r="G353" s="67"/>
      <c r="H353" s="67"/>
      <c r="I353" s="67"/>
      <c r="J353" s="186"/>
      <c r="K353" s="186"/>
      <c r="L353" s="186"/>
      <c r="M353" s="186"/>
      <c r="N353" s="186"/>
      <c r="O353" s="186"/>
      <c r="P353" s="186"/>
      <c r="Q353" s="186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  <c r="AL353" s="67"/>
      <c r="AM353" s="67"/>
      <c r="AN353" s="67"/>
      <c r="AO353" s="67"/>
      <c r="BF353" s="67"/>
      <c r="BG353" s="67"/>
      <c r="BH353" s="67"/>
      <c r="BI353" s="67"/>
      <c r="BJ353" s="67"/>
      <c r="BK353" s="67"/>
      <c r="BL353" s="67"/>
      <c r="BM353" s="67"/>
      <c r="BN353" s="67"/>
      <c r="BO353" s="67"/>
      <c r="BP353" s="67"/>
      <c r="BQ353" s="67"/>
      <c r="BR353" s="67"/>
      <c r="BS353" s="67"/>
      <c r="BT353" s="67"/>
    </row>
    <row r="354" spans="1:72" ht="12" customHeight="1" x14ac:dyDescent="0.15">
      <c r="A354" s="67"/>
      <c r="B354" s="67"/>
      <c r="C354" s="67"/>
      <c r="D354" s="67"/>
      <c r="E354" s="67"/>
      <c r="F354" s="67"/>
      <c r="G354" s="67"/>
      <c r="H354" s="67"/>
      <c r="I354" s="67"/>
      <c r="J354" s="186"/>
      <c r="K354" s="186"/>
      <c r="L354" s="186"/>
      <c r="M354" s="186"/>
      <c r="N354" s="186"/>
      <c r="O354" s="186"/>
      <c r="P354" s="186"/>
      <c r="Q354" s="186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  <c r="AL354" s="67"/>
      <c r="AM354" s="67"/>
      <c r="AN354" s="67"/>
      <c r="AO354" s="67"/>
      <c r="BF354" s="67"/>
      <c r="BG354" s="67"/>
      <c r="BH354" s="67"/>
      <c r="BI354" s="67"/>
      <c r="BJ354" s="67"/>
      <c r="BK354" s="67"/>
      <c r="BL354" s="67"/>
      <c r="BM354" s="67"/>
      <c r="BN354" s="67"/>
      <c r="BO354" s="67"/>
      <c r="BP354" s="67"/>
      <c r="BQ354" s="67"/>
      <c r="BR354" s="67"/>
      <c r="BS354" s="67"/>
      <c r="BT354" s="67"/>
    </row>
    <row r="355" spans="1:72" ht="12" customHeight="1" x14ac:dyDescent="0.15">
      <c r="A355" s="67"/>
      <c r="B355" s="67"/>
      <c r="C355" s="67"/>
      <c r="D355" s="67"/>
      <c r="E355" s="67"/>
      <c r="F355" s="67"/>
      <c r="G355" s="67"/>
      <c r="H355" s="67"/>
      <c r="I355" s="67"/>
      <c r="J355" s="186"/>
      <c r="K355" s="186"/>
      <c r="L355" s="186"/>
      <c r="M355" s="186"/>
      <c r="N355" s="186"/>
      <c r="O355" s="186"/>
      <c r="P355" s="186"/>
      <c r="Q355" s="186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  <c r="AN355" s="67"/>
      <c r="AO355" s="67"/>
      <c r="BF355" s="67"/>
      <c r="BG355" s="67"/>
      <c r="BH355" s="67"/>
      <c r="BI355" s="67"/>
      <c r="BJ355" s="67"/>
      <c r="BK355" s="67"/>
      <c r="BL355" s="67"/>
      <c r="BM355" s="67"/>
      <c r="BN355" s="67"/>
      <c r="BO355" s="67"/>
      <c r="BP355" s="67"/>
      <c r="BQ355" s="67"/>
      <c r="BR355" s="67"/>
      <c r="BS355" s="67"/>
      <c r="BT355" s="67"/>
    </row>
    <row r="356" spans="1:72" ht="12" customHeight="1" x14ac:dyDescent="0.15">
      <c r="A356" s="67"/>
      <c r="B356" s="67"/>
      <c r="C356" s="67"/>
      <c r="D356" s="67"/>
      <c r="E356" s="67"/>
      <c r="F356" s="67"/>
      <c r="G356" s="67"/>
      <c r="H356" s="67"/>
      <c r="I356" s="67"/>
      <c r="J356" s="186"/>
      <c r="K356" s="186"/>
      <c r="L356" s="186"/>
      <c r="M356" s="186"/>
      <c r="N356" s="186"/>
      <c r="O356" s="186"/>
      <c r="P356" s="186"/>
      <c r="Q356" s="186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  <c r="AL356" s="67"/>
      <c r="AM356" s="67"/>
      <c r="AN356" s="67"/>
      <c r="AO356" s="67"/>
      <c r="BF356" s="67"/>
      <c r="BG356" s="67"/>
      <c r="BH356" s="67"/>
      <c r="BI356" s="67"/>
      <c r="BJ356" s="67"/>
      <c r="BK356" s="67"/>
      <c r="BL356" s="67"/>
      <c r="BM356" s="67"/>
      <c r="BN356" s="67"/>
      <c r="BO356" s="67"/>
      <c r="BP356" s="67"/>
      <c r="BQ356" s="67"/>
      <c r="BR356" s="67"/>
      <c r="BS356" s="67"/>
      <c r="BT356" s="67"/>
    </row>
    <row r="357" spans="1:72" ht="12" customHeight="1" x14ac:dyDescent="0.15">
      <c r="A357" s="67"/>
      <c r="B357" s="67"/>
      <c r="C357" s="67"/>
      <c r="D357" s="67"/>
      <c r="E357" s="67"/>
      <c r="F357" s="67"/>
      <c r="G357" s="67"/>
      <c r="H357" s="67"/>
      <c r="I357" s="67"/>
      <c r="J357" s="186"/>
      <c r="K357" s="186"/>
      <c r="L357" s="186"/>
      <c r="M357" s="186"/>
      <c r="N357" s="186"/>
      <c r="O357" s="186"/>
      <c r="P357" s="186"/>
      <c r="Q357" s="186"/>
      <c r="R357" s="67"/>
      <c r="S357" s="67"/>
      <c r="T357" s="67"/>
      <c r="U357" s="67"/>
      <c r="V357" s="67"/>
      <c r="W357" s="67"/>
      <c r="X357" s="67"/>
      <c r="Y357" s="67"/>
      <c r="Z357" s="67"/>
      <c r="AA357" s="67"/>
      <c r="AB357" s="67"/>
      <c r="AC357" s="67"/>
      <c r="AD357" s="67"/>
      <c r="AE357" s="67"/>
      <c r="AF357" s="67"/>
      <c r="AG357" s="67"/>
      <c r="AH357" s="67"/>
      <c r="AI357" s="67"/>
      <c r="AJ357" s="67"/>
      <c r="AK357" s="67"/>
      <c r="AL357" s="67"/>
      <c r="AM357" s="67"/>
      <c r="AN357" s="67"/>
      <c r="AO357" s="67"/>
      <c r="BF357" s="67"/>
      <c r="BG357" s="67"/>
      <c r="BH357" s="67"/>
      <c r="BI357" s="67"/>
      <c r="BJ357" s="67"/>
      <c r="BK357" s="67"/>
      <c r="BL357" s="67"/>
      <c r="BM357" s="67"/>
      <c r="BN357" s="67"/>
      <c r="BO357" s="67"/>
      <c r="BP357" s="67"/>
      <c r="BQ357" s="67"/>
      <c r="BR357" s="67"/>
      <c r="BS357" s="67"/>
      <c r="BT357" s="67"/>
    </row>
    <row r="358" spans="1:72" ht="12" customHeight="1" x14ac:dyDescent="0.15">
      <c r="A358" s="67"/>
      <c r="B358" s="67"/>
      <c r="C358" s="67"/>
      <c r="D358" s="67"/>
      <c r="E358" s="67"/>
      <c r="F358" s="67"/>
      <c r="G358" s="67"/>
      <c r="H358" s="67"/>
      <c r="I358" s="67"/>
      <c r="J358" s="186"/>
      <c r="K358" s="186"/>
      <c r="L358" s="186"/>
      <c r="M358" s="186"/>
      <c r="N358" s="186"/>
      <c r="O358" s="186"/>
      <c r="P358" s="186"/>
      <c r="Q358" s="186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BF358" s="67"/>
      <c r="BG358" s="67"/>
      <c r="BH358" s="67"/>
      <c r="BI358" s="67"/>
      <c r="BJ358" s="67"/>
      <c r="BK358" s="67"/>
      <c r="BL358" s="67"/>
      <c r="BM358" s="67"/>
      <c r="BN358" s="67"/>
      <c r="BO358" s="67"/>
      <c r="BP358" s="67"/>
      <c r="BQ358" s="67"/>
      <c r="BR358" s="67"/>
      <c r="BS358" s="67"/>
      <c r="BT358" s="67"/>
    </row>
    <row r="359" spans="1:72" ht="12" customHeight="1" x14ac:dyDescent="0.15">
      <c r="A359" s="67"/>
      <c r="B359" s="67"/>
      <c r="C359" s="67"/>
      <c r="D359" s="67"/>
      <c r="E359" s="67"/>
      <c r="F359" s="67"/>
      <c r="G359" s="67"/>
      <c r="H359" s="67"/>
      <c r="I359" s="67"/>
      <c r="J359" s="186"/>
      <c r="K359" s="186"/>
      <c r="L359" s="186"/>
      <c r="M359" s="186"/>
      <c r="N359" s="186"/>
      <c r="O359" s="186"/>
      <c r="P359" s="186"/>
      <c r="Q359" s="186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BF359" s="67"/>
      <c r="BG359" s="67"/>
      <c r="BH359" s="67"/>
      <c r="BI359" s="67"/>
      <c r="BJ359" s="67"/>
      <c r="BK359" s="67"/>
      <c r="BL359" s="67"/>
      <c r="BM359" s="67"/>
      <c r="BN359" s="67"/>
      <c r="BO359" s="67"/>
      <c r="BP359" s="67"/>
      <c r="BQ359" s="67"/>
      <c r="BR359" s="67"/>
      <c r="BS359" s="67"/>
      <c r="BT359" s="67"/>
    </row>
    <row r="360" spans="1:72" ht="12" customHeight="1" x14ac:dyDescent="0.15">
      <c r="A360" s="67"/>
      <c r="B360" s="67"/>
      <c r="C360" s="67"/>
      <c r="D360" s="67"/>
      <c r="E360" s="67"/>
      <c r="F360" s="67"/>
      <c r="G360" s="67"/>
      <c r="H360" s="67"/>
      <c r="I360" s="67"/>
      <c r="J360" s="186"/>
      <c r="K360" s="186"/>
      <c r="L360" s="186"/>
      <c r="M360" s="186"/>
      <c r="N360" s="186"/>
      <c r="O360" s="186"/>
      <c r="P360" s="186"/>
      <c r="Q360" s="186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BF360" s="67"/>
      <c r="BG360" s="67"/>
      <c r="BH360" s="67"/>
      <c r="BI360" s="67"/>
      <c r="BJ360" s="67"/>
      <c r="BK360" s="67"/>
      <c r="BL360" s="67"/>
      <c r="BM360" s="67"/>
      <c r="BN360" s="67"/>
      <c r="BO360" s="67"/>
      <c r="BP360" s="67"/>
      <c r="BQ360" s="67"/>
      <c r="BR360" s="67"/>
      <c r="BS360" s="67"/>
      <c r="BT360" s="67"/>
    </row>
    <row r="361" spans="1:72" ht="12" customHeight="1" x14ac:dyDescent="0.15">
      <c r="A361" s="67"/>
      <c r="B361" s="67"/>
      <c r="C361" s="67"/>
      <c r="D361" s="67"/>
      <c r="E361" s="67"/>
      <c r="F361" s="67"/>
      <c r="G361" s="67"/>
      <c r="H361" s="67"/>
      <c r="I361" s="67"/>
      <c r="J361" s="186"/>
      <c r="K361" s="186"/>
      <c r="L361" s="186"/>
      <c r="M361" s="186"/>
      <c r="N361" s="186"/>
      <c r="O361" s="186"/>
      <c r="P361" s="186"/>
      <c r="Q361" s="186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7"/>
      <c r="AJ361" s="67"/>
      <c r="AK361" s="67"/>
      <c r="AL361" s="67"/>
      <c r="AM361" s="67"/>
      <c r="AN361" s="67"/>
      <c r="AO361" s="67"/>
      <c r="BF361" s="67"/>
      <c r="BG361" s="67"/>
      <c r="BH361" s="67"/>
      <c r="BI361" s="67"/>
      <c r="BJ361" s="67"/>
      <c r="BK361" s="67"/>
      <c r="BL361" s="67"/>
      <c r="BM361" s="67"/>
      <c r="BN361" s="67"/>
      <c r="BO361" s="67"/>
      <c r="BP361" s="67"/>
      <c r="BQ361" s="67"/>
      <c r="BR361" s="67"/>
      <c r="BS361" s="67"/>
      <c r="BT361" s="67"/>
    </row>
    <row r="362" spans="1:72" ht="12" customHeight="1" x14ac:dyDescent="0.15">
      <c r="A362" s="67"/>
      <c r="B362" s="67"/>
      <c r="C362" s="67"/>
      <c r="D362" s="67"/>
      <c r="E362" s="67"/>
      <c r="F362" s="67"/>
      <c r="G362" s="67"/>
      <c r="H362" s="67"/>
      <c r="I362" s="67"/>
      <c r="J362" s="186"/>
      <c r="K362" s="186"/>
      <c r="L362" s="186"/>
      <c r="M362" s="186"/>
      <c r="N362" s="186"/>
      <c r="O362" s="186"/>
      <c r="P362" s="186"/>
      <c r="Q362" s="186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BF362" s="67"/>
      <c r="BG362" s="67"/>
      <c r="BH362" s="67"/>
      <c r="BI362" s="67"/>
      <c r="BJ362" s="67"/>
      <c r="BK362" s="67"/>
      <c r="BL362" s="67"/>
      <c r="BM362" s="67"/>
      <c r="BN362" s="67"/>
      <c r="BO362" s="67"/>
      <c r="BP362" s="67"/>
      <c r="BQ362" s="67"/>
      <c r="BR362" s="67"/>
      <c r="BS362" s="67"/>
      <c r="BT362" s="67"/>
    </row>
    <row r="363" spans="1:72" ht="12" customHeight="1" x14ac:dyDescent="0.15">
      <c r="A363" s="67"/>
      <c r="B363" s="67"/>
      <c r="C363" s="67"/>
      <c r="D363" s="67"/>
      <c r="E363" s="67"/>
      <c r="F363" s="67"/>
      <c r="G363" s="67"/>
      <c r="H363" s="67"/>
      <c r="I363" s="67"/>
      <c r="J363" s="186"/>
      <c r="K363" s="186"/>
      <c r="L363" s="186"/>
      <c r="M363" s="186"/>
      <c r="N363" s="186"/>
      <c r="O363" s="186"/>
      <c r="P363" s="186"/>
      <c r="Q363" s="186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  <c r="AN363" s="67"/>
      <c r="AO363" s="67"/>
      <c r="BF363" s="67"/>
      <c r="BG363" s="67"/>
      <c r="BH363" s="67"/>
      <c r="BI363" s="67"/>
      <c r="BJ363" s="67"/>
      <c r="BK363" s="67"/>
      <c r="BL363" s="67"/>
      <c r="BM363" s="67"/>
      <c r="BN363" s="67"/>
      <c r="BO363" s="67"/>
      <c r="BP363" s="67"/>
      <c r="BQ363" s="67"/>
      <c r="BR363" s="67"/>
      <c r="BS363" s="67"/>
      <c r="BT363" s="67"/>
    </row>
    <row r="364" spans="1:72" ht="12" customHeight="1" x14ac:dyDescent="0.15">
      <c r="A364" s="67"/>
      <c r="B364" s="67"/>
      <c r="C364" s="67"/>
      <c r="D364" s="67"/>
      <c r="E364" s="67"/>
      <c r="F364" s="67"/>
      <c r="G364" s="67"/>
      <c r="H364" s="67"/>
      <c r="I364" s="67"/>
      <c r="J364" s="186"/>
      <c r="K364" s="186"/>
      <c r="L364" s="186"/>
      <c r="M364" s="186"/>
      <c r="N364" s="186"/>
      <c r="O364" s="186"/>
      <c r="P364" s="186"/>
      <c r="Q364" s="186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  <c r="AJ364" s="67"/>
      <c r="AK364" s="67"/>
      <c r="AL364" s="67"/>
      <c r="AM364" s="67"/>
      <c r="AN364" s="67"/>
      <c r="AO364" s="67"/>
      <c r="BF364" s="67"/>
      <c r="BG364" s="67"/>
      <c r="BH364" s="67"/>
      <c r="BI364" s="67"/>
      <c r="BJ364" s="67"/>
      <c r="BK364" s="67"/>
      <c r="BL364" s="67"/>
      <c r="BM364" s="67"/>
      <c r="BN364" s="67"/>
      <c r="BO364" s="67"/>
      <c r="BP364" s="67"/>
      <c r="BQ364" s="67"/>
      <c r="BR364" s="67"/>
      <c r="BS364" s="67"/>
      <c r="BT364" s="67"/>
    </row>
    <row r="365" spans="1:72" ht="12" customHeight="1" x14ac:dyDescent="0.15">
      <c r="A365" s="67"/>
      <c r="B365" s="67"/>
      <c r="C365" s="67"/>
      <c r="D365" s="67"/>
      <c r="E365" s="67"/>
      <c r="F365" s="67"/>
      <c r="G365" s="67"/>
      <c r="H365" s="67"/>
      <c r="I365" s="67"/>
      <c r="J365" s="186"/>
      <c r="K365" s="186"/>
      <c r="L365" s="186"/>
      <c r="M365" s="186"/>
      <c r="N365" s="186"/>
      <c r="O365" s="186"/>
      <c r="P365" s="186"/>
      <c r="Q365" s="186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BF365" s="67"/>
      <c r="BG365" s="67"/>
      <c r="BH365" s="67"/>
      <c r="BI365" s="67"/>
      <c r="BJ365" s="67"/>
      <c r="BK365" s="67"/>
      <c r="BL365" s="67"/>
      <c r="BM365" s="67"/>
      <c r="BN365" s="67"/>
      <c r="BO365" s="67"/>
      <c r="BP365" s="67"/>
      <c r="BQ365" s="67"/>
      <c r="BR365" s="67"/>
      <c r="BS365" s="67"/>
      <c r="BT365" s="67"/>
    </row>
    <row r="366" spans="1:72" ht="12" customHeight="1" x14ac:dyDescent="0.15">
      <c r="A366" s="67"/>
      <c r="B366" s="67"/>
      <c r="C366" s="67"/>
      <c r="D366" s="67"/>
      <c r="E366" s="67"/>
      <c r="F366" s="67"/>
      <c r="G366" s="67"/>
      <c r="H366" s="67"/>
      <c r="I366" s="67"/>
      <c r="J366" s="186"/>
      <c r="K366" s="186"/>
      <c r="L366" s="186"/>
      <c r="M366" s="186"/>
      <c r="N366" s="186"/>
      <c r="O366" s="186"/>
      <c r="P366" s="186"/>
      <c r="Q366" s="186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BF366" s="67"/>
      <c r="BG366" s="67"/>
      <c r="BH366" s="67"/>
      <c r="BI366" s="67"/>
      <c r="BJ366" s="67"/>
      <c r="BK366" s="67"/>
      <c r="BL366" s="67"/>
      <c r="BM366" s="67"/>
      <c r="BN366" s="67"/>
      <c r="BO366" s="67"/>
      <c r="BP366" s="67"/>
      <c r="BQ366" s="67"/>
      <c r="BR366" s="67"/>
      <c r="BS366" s="67"/>
      <c r="BT366" s="67"/>
    </row>
    <row r="367" spans="1:72" ht="12" customHeight="1" x14ac:dyDescent="0.15">
      <c r="A367" s="67"/>
      <c r="B367" s="67"/>
      <c r="C367" s="67"/>
      <c r="D367" s="67"/>
      <c r="E367" s="67"/>
      <c r="F367" s="67"/>
      <c r="G367" s="67"/>
      <c r="H367" s="67"/>
      <c r="I367" s="67"/>
      <c r="J367" s="186"/>
      <c r="K367" s="186"/>
      <c r="L367" s="186"/>
      <c r="M367" s="186"/>
      <c r="N367" s="186"/>
      <c r="O367" s="186"/>
      <c r="P367" s="186"/>
      <c r="Q367" s="186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BF367" s="67"/>
      <c r="BG367" s="67"/>
      <c r="BH367" s="67"/>
      <c r="BI367" s="67"/>
      <c r="BJ367" s="67"/>
      <c r="BK367" s="67"/>
      <c r="BL367" s="67"/>
      <c r="BM367" s="67"/>
      <c r="BN367" s="67"/>
      <c r="BO367" s="67"/>
      <c r="BP367" s="67"/>
      <c r="BQ367" s="67"/>
      <c r="BR367" s="67"/>
      <c r="BS367" s="67"/>
      <c r="BT367" s="67"/>
    </row>
    <row r="368" spans="1:72" ht="12" customHeight="1" x14ac:dyDescent="0.15">
      <c r="A368" s="67"/>
      <c r="B368" s="67"/>
      <c r="C368" s="67"/>
      <c r="D368" s="67"/>
      <c r="E368" s="67"/>
      <c r="F368" s="67"/>
      <c r="G368" s="67"/>
      <c r="H368" s="67"/>
      <c r="I368" s="67"/>
      <c r="J368" s="186"/>
      <c r="K368" s="186"/>
      <c r="L368" s="186"/>
      <c r="M368" s="186"/>
      <c r="N368" s="186"/>
      <c r="O368" s="186"/>
      <c r="P368" s="186"/>
      <c r="Q368" s="186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BF368" s="67"/>
      <c r="BG368" s="67"/>
      <c r="BH368" s="67"/>
      <c r="BI368" s="67"/>
      <c r="BJ368" s="67"/>
      <c r="BK368" s="67"/>
      <c r="BL368" s="67"/>
      <c r="BM368" s="67"/>
      <c r="BN368" s="67"/>
      <c r="BO368" s="67"/>
      <c r="BP368" s="67"/>
      <c r="BQ368" s="67"/>
      <c r="BR368" s="67"/>
      <c r="BS368" s="67"/>
      <c r="BT368" s="67"/>
    </row>
    <row r="369" spans="1:72" ht="12" customHeight="1" x14ac:dyDescent="0.15">
      <c r="A369" s="67"/>
      <c r="B369" s="67"/>
      <c r="C369" s="67"/>
      <c r="D369" s="67"/>
      <c r="E369" s="67"/>
      <c r="F369" s="67"/>
      <c r="G369" s="67"/>
      <c r="H369" s="67"/>
      <c r="I369" s="67"/>
      <c r="J369" s="186"/>
      <c r="K369" s="186"/>
      <c r="L369" s="186"/>
      <c r="M369" s="186"/>
      <c r="N369" s="186"/>
      <c r="O369" s="186"/>
      <c r="P369" s="186"/>
      <c r="Q369" s="186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BF369" s="67"/>
      <c r="BG369" s="67"/>
      <c r="BH369" s="67"/>
      <c r="BI369" s="67"/>
      <c r="BJ369" s="67"/>
      <c r="BK369" s="67"/>
      <c r="BL369" s="67"/>
      <c r="BM369" s="67"/>
      <c r="BN369" s="67"/>
      <c r="BO369" s="67"/>
      <c r="BP369" s="67"/>
      <c r="BQ369" s="67"/>
      <c r="BR369" s="67"/>
      <c r="BS369" s="67"/>
      <c r="BT369" s="67"/>
    </row>
    <row r="370" spans="1:72" ht="12" customHeight="1" x14ac:dyDescent="0.15">
      <c r="A370" s="67"/>
      <c r="B370" s="67"/>
      <c r="C370" s="67"/>
      <c r="D370" s="67"/>
      <c r="E370" s="67"/>
      <c r="F370" s="67"/>
      <c r="G370" s="67"/>
      <c r="H370" s="67"/>
      <c r="I370" s="67"/>
      <c r="J370" s="186"/>
      <c r="K370" s="186"/>
      <c r="L370" s="186"/>
      <c r="M370" s="186"/>
      <c r="N370" s="186"/>
      <c r="O370" s="186"/>
      <c r="P370" s="186"/>
      <c r="Q370" s="186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  <c r="AN370" s="67"/>
      <c r="AO370" s="67"/>
      <c r="BF370" s="67"/>
      <c r="BG370" s="67"/>
      <c r="BH370" s="67"/>
      <c r="BI370" s="67"/>
      <c r="BJ370" s="67"/>
      <c r="BK370" s="67"/>
      <c r="BL370" s="67"/>
      <c r="BM370" s="67"/>
      <c r="BN370" s="67"/>
      <c r="BO370" s="67"/>
      <c r="BP370" s="67"/>
      <c r="BQ370" s="67"/>
      <c r="BR370" s="67"/>
      <c r="BS370" s="67"/>
      <c r="BT370" s="67"/>
    </row>
    <row r="371" spans="1:72" ht="12" customHeight="1" x14ac:dyDescent="0.15">
      <c r="A371" s="67"/>
      <c r="B371" s="67"/>
      <c r="C371" s="67"/>
      <c r="D371" s="67"/>
      <c r="E371" s="67"/>
      <c r="F371" s="67"/>
      <c r="G371" s="67"/>
      <c r="H371" s="67"/>
      <c r="I371" s="67"/>
      <c r="J371" s="186"/>
      <c r="K371" s="186"/>
      <c r="L371" s="186"/>
      <c r="M371" s="186"/>
      <c r="N371" s="186"/>
      <c r="O371" s="186"/>
      <c r="P371" s="186"/>
      <c r="Q371" s="186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  <c r="AD371" s="67"/>
      <c r="AE371" s="67"/>
      <c r="AF371" s="67"/>
      <c r="AG371" s="67"/>
      <c r="AH371" s="67"/>
      <c r="AI371" s="67"/>
      <c r="AJ371" s="67"/>
      <c r="AK371" s="67"/>
      <c r="AL371" s="67"/>
      <c r="AM371" s="67"/>
      <c r="AN371" s="67"/>
      <c r="AO371" s="67"/>
      <c r="BF371" s="67"/>
      <c r="BG371" s="67"/>
      <c r="BH371" s="67"/>
      <c r="BI371" s="67"/>
      <c r="BJ371" s="67"/>
      <c r="BK371" s="67"/>
      <c r="BL371" s="67"/>
      <c r="BM371" s="67"/>
      <c r="BN371" s="67"/>
      <c r="BO371" s="67"/>
      <c r="BP371" s="67"/>
      <c r="BQ371" s="67"/>
      <c r="BR371" s="67"/>
      <c r="BS371" s="67"/>
      <c r="BT371" s="67"/>
    </row>
    <row r="372" spans="1:72" ht="12" customHeight="1" x14ac:dyDescent="0.15">
      <c r="A372" s="67"/>
      <c r="B372" s="67"/>
      <c r="C372" s="67"/>
      <c r="D372" s="67"/>
      <c r="E372" s="67"/>
      <c r="F372" s="67"/>
      <c r="G372" s="67"/>
      <c r="H372" s="67"/>
      <c r="I372" s="67"/>
      <c r="J372" s="186"/>
      <c r="K372" s="186"/>
      <c r="L372" s="186"/>
      <c r="M372" s="186"/>
      <c r="N372" s="186"/>
      <c r="O372" s="186"/>
      <c r="P372" s="186"/>
      <c r="Q372" s="186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BF372" s="67"/>
      <c r="BG372" s="67"/>
      <c r="BH372" s="67"/>
      <c r="BI372" s="67"/>
      <c r="BJ372" s="67"/>
      <c r="BK372" s="67"/>
      <c r="BL372" s="67"/>
      <c r="BM372" s="67"/>
      <c r="BN372" s="67"/>
      <c r="BO372" s="67"/>
      <c r="BP372" s="67"/>
      <c r="BQ372" s="67"/>
      <c r="BR372" s="67"/>
      <c r="BS372" s="67"/>
      <c r="BT372" s="67"/>
    </row>
    <row r="373" spans="1:72" ht="12" customHeight="1" x14ac:dyDescent="0.15">
      <c r="A373" s="67"/>
      <c r="B373" s="67"/>
      <c r="C373" s="67"/>
      <c r="D373" s="67"/>
      <c r="E373" s="67"/>
      <c r="F373" s="67"/>
      <c r="G373" s="67"/>
      <c r="H373" s="67"/>
      <c r="I373" s="67"/>
      <c r="J373" s="186"/>
      <c r="K373" s="186"/>
      <c r="L373" s="186"/>
      <c r="M373" s="186"/>
      <c r="N373" s="186"/>
      <c r="O373" s="186"/>
      <c r="P373" s="186"/>
      <c r="Q373" s="186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BF373" s="67"/>
      <c r="BG373" s="67"/>
      <c r="BH373" s="67"/>
      <c r="BI373" s="67"/>
      <c r="BJ373" s="67"/>
      <c r="BK373" s="67"/>
      <c r="BL373" s="67"/>
      <c r="BM373" s="67"/>
      <c r="BN373" s="67"/>
      <c r="BO373" s="67"/>
      <c r="BP373" s="67"/>
      <c r="BQ373" s="67"/>
      <c r="BR373" s="67"/>
      <c r="BS373" s="67"/>
      <c r="BT373" s="67"/>
    </row>
    <row r="374" spans="1:72" ht="12" customHeight="1" x14ac:dyDescent="0.15">
      <c r="A374" s="67"/>
      <c r="B374" s="67"/>
      <c r="C374" s="67"/>
      <c r="D374" s="67"/>
      <c r="E374" s="67"/>
      <c r="F374" s="67"/>
      <c r="G374" s="67"/>
      <c r="H374" s="67"/>
      <c r="I374" s="67"/>
      <c r="J374" s="186"/>
      <c r="K374" s="186"/>
      <c r="L374" s="186"/>
      <c r="M374" s="186"/>
      <c r="N374" s="186"/>
      <c r="O374" s="186"/>
      <c r="P374" s="186"/>
      <c r="Q374" s="186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BF374" s="67"/>
      <c r="BG374" s="67"/>
      <c r="BH374" s="67"/>
      <c r="BI374" s="67"/>
      <c r="BJ374" s="67"/>
      <c r="BK374" s="67"/>
      <c r="BL374" s="67"/>
      <c r="BM374" s="67"/>
      <c r="BN374" s="67"/>
      <c r="BO374" s="67"/>
      <c r="BP374" s="67"/>
      <c r="BQ374" s="67"/>
      <c r="BR374" s="67"/>
      <c r="BS374" s="67"/>
      <c r="BT374" s="67"/>
    </row>
    <row r="375" spans="1:72" ht="12" customHeight="1" x14ac:dyDescent="0.15">
      <c r="A375" s="67"/>
      <c r="B375" s="67"/>
      <c r="C375" s="67"/>
      <c r="D375" s="67"/>
      <c r="E375" s="67"/>
      <c r="F375" s="67"/>
      <c r="G375" s="67"/>
      <c r="H375" s="67"/>
      <c r="I375" s="67"/>
      <c r="J375" s="186"/>
      <c r="K375" s="186"/>
      <c r="L375" s="186"/>
      <c r="M375" s="186"/>
      <c r="N375" s="186"/>
      <c r="O375" s="186"/>
      <c r="P375" s="186"/>
      <c r="Q375" s="186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  <c r="AN375" s="67"/>
      <c r="AO375" s="67"/>
      <c r="BF375" s="67"/>
      <c r="BG375" s="67"/>
      <c r="BH375" s="67"/>
      <c r="BI375" s="67"/>
      <c r="BJ375" s="67"/>
      <c r="BK375" s="67"/>
      <c r="BL375" s="67"/>
      <c r="BM375" s="67"/>
      <c r="BN375" s="67"/>
      <c r="BO375" s="67"/>
      <c r="BP375" s="67"/>
      <c r="BQ375" s="67"/>
      <c r="BR375" s="67"/>
      <c r="BS375" s="67"/>
      <c r="BT375" s="67"/>
    </row>
    <row r="376" spans="1:72" ht="12" customHeight="1" x14ac:dyDescent="0.15">
      <c r="A376" s="67"/>
      <c r="B376" s="67"/>
      <c r="C376" s="67"/>
      <c r="D376" s="67"/>
      <c r="E376" s="67"/>
      <c r="F376" s="67"/>
      <c r="G376" s="67"/>
      <c r="H376" s="67"/>
      <c r="I376" s="67"/>
      <c r="J376" s="186"/>
      <c r="K376" s="186"/>
      <c r="L376" s="186"/>
      <c r="M376" s="186"/>
      <c r="N376" s="186"/>
      <c r="O376" s="186"/>
      <c r="P376" s="186"/>
      <c r="Q376" s="186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7"/>
      <c r="AJ376" s="67"/>
      <c r="AK376" s="67"/>
      <c r="AL376" s="67"/>
      <c r="AM376" s="67"/>
      <c r="AN376" s="67"/>
      <c r="AO376" s="67"/>
      <c r="BF376" s="67"/>
      <c r="BG376" s="67"/>
      <c r="BH376" s="67"/>
      <c r="BI376" s="67"/>
      <c r="BJ376" s="67"/>
      <c r="BK376" s="67"/>
      <c r="BL376" s="67"/>
      <c r="BM376" s="67"/>
      <c r="BN376" s="67"/>
      <c r="BO376" s="67"/>
      <c r="BP376" s="67"/>
      <c r="BQ376" s="67"/>
      <c r="BR376" s="67"/>
      <c r="BS376" s="67"/>
      <c r="BT376" s="67"/>
    </row>
    <row r="377" spans="1:72" ht="12" customHeight="1" x14ac:dyDescent="0.15">
      <c r="A377" s="67"/>
      <c r="B377" s="67"/>
      <c r="C377" s="67"/>
      <c r="D377" s="67"/>
      <c r="E377" s="67"/>
      <c r="F377" s="67"/>
      <c r="G377" s="67"/>
      <c r="H377" s="67"/>
      <c r="I377" s="67"/>
      <c r="J377" s="186"/>
      <c r="K377" s="186"/>
      <c r="L377" s="186"/>
      <c r="M377" s="186"/>
      <c r="N377" s="186"/>
      <c r="O377" s="186"/>
      <c r="P377" s="186"/>
      <c r="Q377" s="186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7"/>
      <c r="AH377" s="67"/>
      <c r="AI377" s="67"/>
      <c r="AJ377" s="67"/>
      <c r="AK377" s="67"/>
      <c r="AL377" s="67"/>
      <c r="AM377" s="67"/>
      <c r="AN377" s="67"/>
      <c r="AO377" s="67"/>
      <c r="BF377" s="67"/>
      <c r="BG377" s="67"/>
      <c r="BH377" s="67"/>
      <c r="BI377" s="67"/>
      <c r="BJ377" s="67"/>
      <c r="BK377" s="67"/>
      <c r="BL377" s="67"/>
      <c r="BM377" s="67"/>
      <c r="BN377" s="67"/>
      <c r="BO377" s="67"/>
      <c r="BP377" s="67"/>
      <c r="BQ377" s="67"/>
      <c r="BR377" s="67"/>
      <c r="BS377" s="67"/>
      <c r="BT377" s="67"/>
    </row>
    <row r="378" spans="1:72" ht="12" customHeight="1" x14ac:dyDescent="0.15">
      <c r="A378" s="67"/>
      <c r="B378" s="67"/>
      <c r="C378" s="67"/>
      <c r="D378" s="67"/>
      <c r="E378" s="67"/>
      <c r="F378" s="67"/>
      <c r="G378" s="67"/>
      <c r="H378" s="67"/>
      <c r="I378" s="67"/>
      <c r="J378" s="186"/>
      <c r="K378" s="186"/>
      <c r="L378" s="186"/>
      <c r="M378" s="186"/>
      <c r="N378" s="186"/>
      <c r="O378" s="186"/>
      <c r="P378" s="186"/>
      <c r="Q378" s="186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  <c r="AC378" s="67"/>
      <c r="AD378" s="67"/>
      <c r="AE378" s="67"/>
      <c r="AF378" s="67"/>
      <c r="AG378" s="67"/>
      <c r="AH378" s="67"/>
      <c r="AI378" s="67"/>
      <c r="AJ378" s="67"/>
      <c r="AK378" s="67"/>
      <c r="AL378" s="67"/>
      <c r="AM378" s="67"/>
      <c r="AN378" s="67"/>
      <c r="AO378" s="67"/>
      <c r="BF378" s="67"/>
      <c r="BG378" s="67"/>
      <c r="BH378" s="67"/>
      <c r="BI378" s="67"/>
      <c r="BJ378" s="67"/>
      <c r="BK378" s="67"/>
      <c r="BL378" s="67"/>
      <c r="BM378" s="67"/>
      <c r="BN378" s="67"/>
      <c r="BO378" s="67"/>
      <c r="BP378" s="67"/>
      <c r="BQ378" s="67"/>
      <c r="BR378" s="67"/>
      <c r="BS378" s="67"/>
      <c r="BT378" s="67"/>
    </row>
    <row r="379" spans="1:72" ht="12" customHeight="1" x14ac:dyDescent="0.15">
      <c r="A379" s="67"/>
      <c r="B379" s="67"/>
      <c r="C379" s="67"/>
      <c r="D379" s="67"/>
      <c r="E379" s="67"/>
      <c r="F379" s="67"/>
      <c r="G379" s="67"/>
      <c r="H379" s="67"/>
      <c r="I379" s="67"/>
      <c r="J379" s="186"/>
      <c r="K379" s="186"/>
      <c r="L379" s="186"/>
      <c r="M379" s="186"/>
      <c r="N379" s="186"/>
      <c r="O379" s="186"/>
      <c r="P379" s="186"/>
      <c r="Q379" s="186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  <c r="AC379" s="67"/>
      <c r="AD379" s="67"/>
      <c r="AE379" s="67"/>
      <c r="AF379" s="67"/>
      <c r="AG379" s="67"/>
      <c r="AH379" s="67"/>
      <c r="AI379" s="67"/>
      <c r="AJ379" s="67"/>
      <c r="AK379" s="67"/>
      <c r="AL379" s="67"/>
      <c r="AM379" s="67"/>
      <c r="AN379" s="67"/>
      <c r="AO379" s="67"/>
      <c r="BF379" s="67"/>
      <c r="BG379" s="67"/>
      <c r="BH379" s="67"/>
      <c r="BI379" s="67"/>
      <c r="BJ379" s="67"/>
      <c r="BK379" s="67"/>
      <c r="BL379" s="67"/>
      <c r="BM379" s="67"/>
      <c r="BN379" s="67"/>
      <c r="BO379" s="67"/>
      <c r="BP379" s="67"/>
      <c r="BQ379" s="67"/>
      <c r="BR379" s="67"/>
      <c r="BS379" s="67"/>
      <c r="BT379" s="67"/>
    </row>
    <row r="380" spans="1:72" ht="12" customHeight="1" x14ac:dyDescent="0.15">
      <c r="A380" s="67"/>
      <c r="B380" s="67"/>
      <c r="C380" s="67"/>
      <c r="D380" s="67"/>
      <c r="E380" s="67"/>
      <c r="F380" s="67"/>
      <c r="G380" s="67"/>
      <c r="H380" s="67"/>
      <c r="I380" s="67"/>
      <c r="J380" s="186"/>
      <c r="K380" s="186"/>
      <c r="L380" s="186"/>
      <c r="M380" s="186"/>
      <c r="N380" s="186"/>
      <c r="O380" s="186"/>
      <c r="P380" s="186"/>
      <c r="Q380" s="186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  <c r="AL380" s="67"/>
      <c r="AM380" s="67"/>
      <c r="AN380" s="67"/>
      <c r="AO380" s="67"/>
      <c r="BF380" s="67"/>
      <c r="BG380" s="67"/>
      <c r="BH380" s="67"/>
      <c r="BI380" s="67"/>
      <c r="BJ380" s="67"/>
      <c r="BK380" s="67"/>
      <c r="BL380" s="67"/>
      <c r="BM380" s="67"/>
      <c r="BN380" s="67"/>
      <c r="BO380" s="67"/>
      <c r="BP380" s="67"/>
      <c r="BQ380" s="67"/>
      <c r="BR380" s="67"/>
      <c r="BS380" s="67"/>
      <c r="BT380" s="67"/>
    </row>
    <row r="381" spans="1:72" ht="12" customHeight="1" x14ac:dyDescent="0.15">
      <c r="A381" s="67"/>
      <c r="B381" s="67"/>
      <c r="C381" s="67"/>
      <c r="D381" s="67"/>
      <c r="E381" s="67"/>
      <c r="F381" s="67"/>
      <c r="G381" s="67"/>
      <c r="H381" s="67"/>
      <c r="I381" s="67"/>
      <c r="J381" s="186"/>
      <c r="K381" s="186"/>
      <c r="L381" s="186"/>
      <c r="M381" s="186"/>
      <c r="N381" s="186"/>
      <c r="O381" s="186"/>
      <c r="P381" s="186"/>
      <c r="Q381" s="186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  <c r="AL381" s="67"/>
      <c r="AM381" s="67"/>
      <c r="AN381" s="67"/>
      <c r="AO381" s="67"/>
      <c r="BF381" s="67"/>
      <c r="BG381" s="67"/>
      <c r="BH381" s="67"/>
      <c r="BI381" s="67"/>
      <c r="BJ381" s="67"/>
      <c r="BK381" s="67"/>
      <c r="BL381" s="67"/>
      <c r="BM381" s="67"/>
      <c r="BN381" s="67"/>
      <c r="BO381" s="67"/>
      <c r="BP381" s="67"/>
      <c r="BQ381" s="67"/>
      <c r="BR381" s="67"/>
      <c r="BS381" s="67"/>
      <c r="BT381" s="67"/>
    </row>
    <row r="382" spans="1:72" ht="12" customHeight="1" x14ac:dyDescent="0.15">
      <c r="A382" s="67"/>
      <c r="B382" s="67"/>
      <c r="C382" s="67"/>
      <c r="D382" s="67"/>
      <c r="E382" s="67"/>
      <c r="F382" s="67"/>
      <c r="G382" s="67"/>
      <c r="H382" s="67"/>
      <c r="I382" s="67"/>
      <c r="J382" s="186"/>
      <c r="K382" s="186"/>
      <c r="L382" s="186"/>
      <c r="M382" s="186"/>
      <c r="N382" s="186"/>
      <c r="O382" s="186"/>
      <c r="P382" s="186"/>
      <c r="Q382" s="186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  <c r="AL382" s="67"/>
      <c r="AM382" s="67"/>
      <c r="AN382" s="67"/>
      <c r="AO382" s="67"/>
      <c r="BF382" s="67"/>
      <c r="BG382" s="67"/>
      <c r="BH382" s="67"/>
      <c r="BI382" s="67"/>
      <c r="BJ382" s="67"/>
      <c r="BK382" s="67"/>
      <c r="BL382" s="67"/>
      <c r="BM382" s="67"/>
      <c r="BN382" s="67"/>
      <c r="BO382" s="67"/>
      <c r="BP382" s="67"/>
      <c r="BQ382" s="67"/>
      <c r="BR382" s="67"/>
      <c r="BS382" s="67"/>
      <c r="BT382" s="67"/>
    </row>
    <row r="383" spans="1:72" ht="12" customHeight="1" x14ac:dyDescent="0.15">
      <c r="A383" s="67"/>
      <c r="B383" s="67"/>
      <c r="C383" s="67"/>
      <c r="D383" s="67"/>
      <c r="E383" s="67"/>
      <c r="F383" s="67"/>
      <c r="G383" s="67"/>
      <c r="H383" s="67"/>
      <c r="I383" s="67"/>
      <c r="J383" s="186"/>
      <c r="K383" s="186"/>
      <c r="L383" s="186"/>
      <c r="M383" s="186"/>
      <c r="N383" s="186"/>
      <c r="O383" s="186"/>
      <c r="P383" s="186"/>
      <c r="Q383" s="186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7"/>
      <c r="AN383" s="67"/>
      <c r="AO383" s="67"/>
      <c r="BF383" s="67"/>
      <c r="BG383" s="67"/>
      <c r="BH383" s="67"/>
      <c r="BI383" s="67"/>
      <c r="BJ383" s="67"/>
      <c r="BK383" s="67"/>
      <c r="BL383" s="67"/>
      <c r="BM383" s="67"/>
      <c r="BN383" s="67"/>
      <c r="BO383" s="67"/>
      <c r="BP383" s="67"/>
      <c r="BQ383" s="67"/>
      <c r="BR383" s="67"/>
      <c r="BS383" s="67"/>
      <c r="BT383" s="67"/>
    </row>
    <row r="384" spans="1:72" ht="12" customHeight="1" x14ac:dyDescent="0.15">
      <c r="A384" s="67"/>
      <c r="B384" s="67"/>
      <c r="C384" s="67"/>
      <c r="D384" s="67"/>
      <c r="E384" s="67"/>
      <c r="F384" s="67"/>
      <c r="G384" s="67"/>
      <c r="H384" s="67"/>
      <c r="I384" s="67"/>
      <c r="J384" s="186"/>
      <c r="K384" s="186"/>
      <c r="L384" s="186"/>
      <c r="M384" s="186"/>
      <c r="N384" s="186"/>
      <c r="O384" s="186"/>
      <c r="P384" s="186"/>
      <c r="Q384" s="186"/>
      <c r="R384" s="67"/>
      <c r="S384" s="67"/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67"/>
      <c r="AE384" s="67"/>
      <c r="AF384" s="67"/>
      <c r="AG384" s="67"/>
      <c r="AH384" s="67"/>
      <c r="AI384" s="67"/>
      <c r="AJ384" s="67"/>
      <c r="AK384" s="67"/>
      <c r="AL384" s="67"/>
      <c r="AM384" s="67"/>
      <c r="AN384" s="67"/>
      <c r="AO384" s="67"/>
      <c r="BF384" s="67"/>
      <c r="BG384" s="67"/>
      <c r="BH384" s="67"/>
      <c r="BI384" s="67"/>
      <c r="BJ384" s="67"/>
      <c r="BK384" s="67"/>
      <c r="BL384" s="67"/>
      <c r="BM384" s="67"/>
      <c r="BN384" s="67"/>
      <c r="BO384" s="67"/>
      <c r="BP384" s="67"/>
      <c r="BQ384" s="67"/>
      <c r="BR384" s="67"/>
      <c r="BS384" s="67"/>
      <c r="BT384" s="67"/>
    </row>
    <row r="385" spans="1:72" ht="12" customHeight="1" x14ac:dyDescent="0.15">
      <c r="A385" s="67"/>
      <c r="B385" s="67"/>
      <c r="C385" s="67"/>
      <c r="D385" s="67"/>
      <c r="E385" s="67"/>
      <c r="F385" s="67"/>
      <c r="G385" s="67"/>
      <c r="H385" s="67"/>
      <c r="I385" s="67"/>
      <c r="J385" s="186"/>
      <c r="K385" s="186"/>
      <c r="L385" s="186"/>
      <c r="M385" s="186"/>
      <c r="N385" s="186"/>
      <c r="O385" s="186"/>
      <c r="P385" s="186"/>
      <c r="Q385" s="186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BF385" s="67"/>
      <c r="BG385" s="67"/>
      <c r="BH385" s="67"/>
      <c r="BI385" s="67"/>
      <c r="BJ385" s="67"/>
      <c r="BK385" s="67"/>
      <c r="BL385" s="67"/>
      <c r="BM385" s="67"/>
      <c r="BN385" s="67"/>
      <c r="BO385" s="67"/>
      <c r="BP385" s="67"/>
      <c r="BQ385" s="67"/>
      <c r="BR385" s="67"/>
      <c r="BS385" s="67"/>
      <c r="BT385" s="67"/>
    </row>
    <row r="386" spans="1:72" ht="12" customHeight="1" x14ac:dyDescent="0.15">
      <c r="A386" s="67"/>
      <c r="B386" s="67"/>
      <c r="C386" s="67"/>
      <c r="D386" s="67"/>
      <c r="E386" s="67"/>
      <c r="F386" s="67"/>
      <c r="G386" s="67"/>
      <c r="H386" s="67"/>
      <c r="I386" s="67"/>
      <c r="J386" s="186"/>
      <c r="K386" s="186"/>
      <c r="L386" s="186"/>
      <c r="M386" s="186"/>
      <c r="N386" s="186"/>
      <c r="O386" s="186"/>
      <c r="P386" s="186"/>
      <c r="Q386" s="186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  <c r="AL386" s="67"/>
      <c r="AM386" s="67"/>
      <c r="AN386" s="67"/>
      <c r="AO386" s="67"/>
      <c r="BF386" s="67"/>
      <c r="BG386" s="67"/>
      <c r="BH386" s="67"/>
      <c r="BI386" s="67"/>
      <c r="BJ386" s="67"/>
      <c r="BK386" s="67"/>
      <c r="BL386" s="67"/>
      <c r="BM386" s="67"/>
      <c r="BN386" s="67"/>
      <c r="BO386" s="67"/>
      <c r="BP386" s="67"/>
      <c r="BQ386" s="67"/>
      <c r="BR386" s="67"/>
      <c r="BS386" s="67"/>
      <c r="BT386" s="67"/>
    </row>
    <row r="387" spans="1:72" ht="12" customHeight="1" x14ac:dyDescent="0.15">
      <c r="A387" s="67"/>
      <c r="B387" s="67"/>
      <c r="C387" s="67"/>
      <c r="D387" s="67"/>
      <c r="E387" s="67"/>
      <c r="F387" s="67"/>
      <c r="G387" s="67"/>
      <c r="H387" s="67"/>
      <c r="I387" s="67"/>
      <c r="J387" s="186"/>
      <c r="K387" s="186"/>
      <c r="L387" s="186"/>
      <c r="M387" s="186"/>
      <c r="N387" s="186"/>
      <c r="O387" s="186"/>
      <c r="P387" s="186"/>
      <c r="Q387" s="186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  <c r="AN387" s="67"/>
      <c r="AO387" s="67"/>
      <c r="BF387" s="67"/>
      <c r="BG387" s="67"/>
      <c r="BH387" s="67"/>
      <c r="BI387" s="67"/>
      <c r="BJ387" s="67"/>
      <c r="BK387" s="67"/>
      <c r="BL387" s="67"/>
      <c r="BM387" s="67"/>
      <c r="BN387" s="67"/>
      <c r="BO387" s="67"/>
      <c r="BP387" s="67"/>
      <c r="BQ387" s="67"/>
      <c r="BR387" s="67"/>
      <c r="BS387" s="67"/>
      <c r="BT387" s="67"/>
    </row>
    <row r="388" spans="1:72" ht="12" customHeight="1" x14ac:dyDescent="0.15">
      <c r="A388" s="67"/>
      <c r="B388" s="67"/>
      <c r="C388" s="67"/>
      <c r="D388" s="67"/>
      <c r="E388" s="67"/>
      <c r="F388" s="67"/>
      <c r="G388" s="67"/>
      <c r="H388" s="67"/>
      <c r="I388" s="67"/>
      <c r="J388" s="186"/>
      <c r="K388" s="186"/>
      <c r="L388" s="186"/>
      <c r="M388" s="186"/>
      <c r="N388" s="186"/>
      <c r="O388" s="186"/>
      <c r="P388" s="186"/>
      <c r="Q388" s="186"/>
      <c r="R388" s="67"/>
      <c r="S388" s="67"/>
      <c r="T388" s="67"/>
      <c r="U388" s="67"/>
      <c r="V388" s="67"/>
      <c r="W388" s="67"/>
      <c r="X388" s="67"/>
      <c r="Y388" s="67"/>
      <c r="Z388" s="67"/>
      <c r="AA388" s="67"/>
      <c r="AB388" s="67"/>
      <c r="AC388" s="67"/>
      <c r="AD388" s="67"/>
      <c r="AE388" s="67"/>
      <c r="AF388" s="67"/>
      <c r="AG388" s="67"/>
      <c r="AH388" s="67"/>
      <c r="AI388" s="67"/>
      <c r="AJ388" s="67"/>
      <c r="AK388" s="67"/>
      <c r="AL388" s="67"/>
      <c r="AM388" s="67"/>
      <c r="AN388" s="67"/>
      <c r="AO388" s="67"/>
      <c r="BF388" s="67"/>
      <c r="BG388" s="67"/>
      <c r="BH388" s="67"/>
      <c r="BI388" s="67"/>
      <c r="BJ388" s="67"/>
      <c r="BK388" s="67"/>
      <c r="BL388" s="67"/>
      <c r="BM388" s="67"/>
      <c r="BN388" s="67"/>
      <c r="BO388" s="67"/>
      <c r="BP388" s="67"/>
      <c r="BQ388" s="67"/>
      <c r="BR388" s="67"/>
      <c r="BS388" s="67"/>
      <c r="BT388" s="67"/>
    </row>
    <row r="389" spans="1:72" ht="12" customHeight="1" x14ac:dyDescent="0.15">
      <c r="A389" s="67"/>
      <c r="B389" s="67"/>
      <c r="C389" s="67"/>
      <c r="D389" s="67"/>
      <c r="E389" s="67"/>
      <c r="F389" s="67"/>
      <c r="G389" s="67"/>
      <c r="H389" s="67"/>
      <c r="I389" s="67"/>
      <c r="J389" s="186"/>
      <c r="K389" s="186"/>
      <c r="L389" s="186"/>
      <c r="M389" s="186"/>
      <c r="N389" s="186"/>
      <c r="O389" s="186"/>
      <c r="P389" s="186"/>
      <c r="Q389" s="186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  <c r="AD389" s="67"/>
      <c r="AE389" s="67"/>
      <c r="AF389" s="67"/>
      <c r="AG389" s="67"/>
      <c r="AH389" s="67"/>
      <c r="AI389" s="67"/>
      <c r="AJ389" s="67"/>
      <c r="AK389" s="67"/>
      <c r="AL389" s="67"/>
      <c r="AM389" s="67"/>
      <c r="AN389" s="67"/>
      <c r="AO389" s="67"/>
      <c r="BF389" s="67"/>
      <c r="BG389" s="67"/>
      <c r="BH389" s="67"/>
      <c r="BI389" s="67"/>
      <c r="BJ389" s="67"/>
      <c r="BK389" s="67"/>
      <c r="BL389" s="67"/>
      <c r="BM389" s="67"/>
      <c r="BN389" s="67"/>
      <c r="BO389" s="67"/>
      <c r="BP389" s="67"/>
      <c r="BQ389" s="67"/>
      <c r="BR389" s="67"/>
      <c r="BS389" s="67"/>
      <c r="BT389" s="67"/>
    </row>
    <row r="390" spans="1:72" ht="12" customHeight="1" x14ac:dyDescent="0.15">
      <c r="A390" s="67"/>
      <c r="B390" s="67"/>
      <c r="C390" s="67"/>
      <c r="D390" s="67"/>
      <c r="E390" s="67"/>
      <c r="F390" s="67"/>
      <c r="G390" s="67"/>
      <c r="H390" s="67"/>
      <c r="I390" s="67"/>
      <c r="J390" s="186"/>
      <c r="K390" s="186"/>
      <c r="L390" s="186"/>
      <c r="M390" s="186"/>
      <c r="N390" s="186"/>
      <c r="O390" s="186"/>
      <c r="P390" s="186"/>
      <c r="Q390" s="186"/>
      <c r="R390" s="67"/>
      <c r="S390" s="67"/>
      <c r="T390" s="67"/>
      <c r="U390" s="67"/>
      <c r="V390" s="67"/>
      <c r="W390" s="67"/>
      <c r="X390" s="67"/>
      <c r="Y390" s="67"/>
      <c r="Z390" s="67"/>
      <c r="AA390" s="67"/>
      <c r="AB390" s="67"/>
      <c r="AC390" s="67"/>
      <c r="AD390" s="67"/>
      <c r="AE390" s="67"/>
      <c r="AF390" s="67"/>
      <c r="AG390" s="67"/>
      <c r="AH390" s="67"/>
      <c r="AI390" s="67"/>
      <c r="AJ390" s="67"/>
      <c r="AK390" s="67"/>
      <c r="AL390" s="67"/>
      <c r="AM390" s="67"/>
      <c r="AN390" s="67"/>
      <c r="AO390" s="67"/>
      <c r="BF390" s="67"/>
      <c r="BG390" s="67"/>
      <c r="BH390" s="67"/>
      <c r="BI390" s="67"/>
      <c r="BJ390" s="67"/>
      <c r="BK390" s="67"/>
      <c r="BL390" s="67"/>
      <c r="BM390" s="67"/>
      <c r="BN390" s="67"/>
      <c r="BO390" s="67"/>
      <c r="BP390" s="67"/>
      <c r="BQ390" s="67"/>
      <c r="BR390" s="67"/>
      <c r="BS390" s="67"/>
      <c r="BT390" s="67"/>
    </row>
    <row r="391" spans="1:72" ht="12" customHeight="1" x14ac:dyDescent="0.15">
      <c r="A391" s="67"/>
      <c r="B391" s="67"/>
      <c r="C391" s="67"/>
      <c r="D391" s="67"/>
      <c r="E391" s="67"/>
      <c r="F391" s="67"/>
      <c r="G391" s="67"/>
      <c r="H391" s="67"/>
      <c r="I391" s="67"/>
      <c r="J391" s="186"/>
      <c r="K391" s="186"/>
      <c r="L391" s="186"/>
      <c r="M391" s="186"/>
      <c r="N391" s="186"/>
      <c r="O391" s="186"/>
      <c r="P391" s="186"/>
      <c r="Q391" s="186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7"/>
      <c r="AN391" s="67"/>
      <c r="AO391" s="67"/>
      <c r="BF391" s="67"/>
      <c r="BG391" s="67"/>
      <c r="BH391" s="67"/>
      <c r="BI391" s="67"/>
      <c r="BJ391" s="67"/>
      <c r="BK391" s="67"/>
      <c r="BL391" s="67"/>
      <c r="BM391" s="67"/>
      <c r="BN391" s="67"/>
      <c r="BO391" s="67"/>
      <c r="BP391" s="67"/>
      <c r="BQ391" s="67"/>
      <c r="BR391" s="67"/>
      <c r="BS391" s="67"/>
      <c r="BT391" s="67"/>
    </row>
    <row r="392" spans="1:72" ht="12" customHeight="1" x14ac:dyDescent="0.15">
      <c r="A392" s="67"/>
      <c r="B392" s="67"/>
      <c r="C392" s="67"/>
      <c r="D392" s="67"/>
      <c r="E392" s="67"/>
      <c r="F392" s="67"/>
      <c r="G392" s="67"/>
      <c r="H392" s="67"/>
      <c r="I392" s="67"/>
      <c r="J392" s="186"/>
      <c r="K392" s="186"/>
      <c r="L392" s="186"/>
      <c r="M392" s="186"/>
      <c r="N392" s="186"/>
      <c r="O392" s="186"/>
      <c r="P392" s="186"/>
      <c r="Q392" s="186"/>
      <c r="R392" s="67"/>
      <c r="S392" s="67"/>
      <c r="T392" s="67"/>
      <c r="U392" s="67"/>
      <c r="V392" s="67"/>
      <c r="W392" s="67"/>
      <c r="X392" s="67"/>
      <c r="Y392" s="67"/>
      <c r="Z392" s="67"/>
      <c r="AA392" s="67"/>
      <c r="AB392" s="67"/>
      <c r="AC392" s="67"/>
      <c r="AD392" s="67"/>
      <c r="AE392" s="67"/>
      <c r="AF392" s="67"/>
      <c r="AG392" s="67"/>
      <c r="AH392" s="67"/>
      <c r="AI392" s="67"/>
      <c r="AJ392" s="67"/>
      <c r="AK392" s="67"/>
      <c r="AL392" s="67"/>
      <c r="AM392" s="67"/>
      <c r="AN392" s="67"/>
      <c r="AO392" s="67"/>
      <c r="BF392" s="67"/>
      <c r="BG392" s="67"/>
      <c r="BH392" s="67"/>
      <c r="BI392" s="67"/>
      <c r="BJ392" s="67"/>
      <c r="BK392" s="67"/>
      <c r="BL392" s="67"/>
      <c r="BM392" s="67"/>
      <c r="BN392" s="67"/>
      <c r="BO392" s="67"/>
      <c r="BP392" s="67"/>
      <c r="BQ392" s="67"/>
      <c r="BR392" s="67"/>
      <c r="BS392" s="67"/>
      <c r="BT392" s="67"/>
    </row>
    <row r="393" spans="1:72" ht="12" customHeight="1" x14ac:dyDescent="0.15">
      <c r="A393" s="67"/>
      <c r="B393" s="67"/>
      <c r="C393" s="67"/>
      <c r="D393" s="67"/>
      <c r="E393" s="67"/>
      <c r="F393" s="67"/>
      <c r="G393" s="67"/>
      <c r="H393" s="67"/>
      <c r="I393" s="67"/>
      <c r="J393" s="186"/>
      <c r="K393" s="186"/>
      <c r="L393" s="186"/>
      <c r="M393" s="186"/>
      <c r="N393" s="186"/>
      <c r="O393" s="186"/>
      <c r="P393" s="186"/>
      <c r="Q393" s="186"/>
      <c r="R393" s="67"/>
      <c r="S393" s="67"/>
      <c r="T393" s="67"/>
      <c r="U393" s="67"/>
      <c r="V393" s="67"/>
      <c r="W393" s="67"/>
      <c r="X393" s="67"/>
      <c r="Y393" s="67"/>
      <c r="Z393" s="67"/>
      <c r="AA393" s="67"/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  <c r="AL393" s="67"/>
      <c r="AM393" s="67"/>
      <c r="AN393" s="67"/>
      <c r="AO393" s="67"/>
      <c r="BF393" s="67"/>
      <c r="BG393" s="67"/>
      <c r="BH393" s="67"/>
      <c r="BI393" s="67"/>
      <c r="BJ393" s="67"/>
      <c r="BK393" s="67"/>
      <c r="BL393" s="67"/>
      <c r="BM393" s="67"/>
      <c r="BN393" s="67"/>
      <c r="BO393" s="67"/>
      <c r="BP393" s="67"/>
      <c r="BQ393" s="67"/>
      <c r="BR393" s="67"/>
      <c r="BS393" s="67"/>
      <c r="BT393" s="67"/>
    </row>
    <row r="394" spans="1:72" ht="12" customHeight="1" x14ac:dyDescent="0.15">
      <c r="A394" s="67"/>
      <c r="B394" s="67"/>
      <c r="C394" s="67"/>
      <c r="D394" s="67"/>
      <c r="E394" s="67"/>
      <c r="F394" s="67"/>
      <c r="G394" s="67"/>
      <c r="H394" s="67"/>
      <c r="I394" s="67"/>
      <c r="J394" s="186"/>
      <c r="K394" s="186"/>
      <c r="L394" s="186"/>
      <c r="M394" s="186"/>
      <c r="N394" s="186"/>
      <c r="O394" s="186"/>
      <c r="P394" s="186"/>
      <c r="Q394" s="186"/>
      <c r="R394" s="67"/>
      <c r="S394" s="67"/>
      <c r="T394" s="67"/>
      <c r="U394" s="67"/>
      <c r="V394" s="67"/>
      <c r="W394" s="67"/>
      <c r="X394" s="67"/>
      <c r="Y394" s="67"/>
      <c r="Z394" s="67"/>
      <c r="AA394" s="67"/>
      <c r="AB394" s="67"/>
      <c r="AC394" s="67"/>
      <c r="AD394" s="67"/>
      <c r="AE394" s="67"/>
      <c r="AF394" s="67"/>
      <c r="AG394" s="67"/>
      <c r="AH394" s="67"/>
      <c r="AI394" s="67"/>
      <c r="AJ394" s="67"/>
      <c r="AK394" s="67"/>
      <c r="AL394" s="67"/>
      <c r="AM394" s="67"/>
      <c r="AN394" s="67"/>
      <c r="AO394" s="67"/>
      <c r="BF394" s="67"/>
      <c r="BG394" s="67"/>
      <c r="BH394" s="67"/>
      <c r="BI394" s="67"/>
      <c r="BJ394" s="67"/>
      <c r="BK394" s="67"/>
      <c r="BL394" s="67"/>
      <c r="BM394" s="67"/>
      <c r="BN394" s="67"/>
      <c r="BO394" s="67"/>
      <c r="BP394" s="67"/>
      <c r="BQ394" s="67"/>
      <c r="BR394" s="67"/>
      <c r="BS394" s="67"/>
      <c r="BT394" s="67"/>
    </row>
    <row r="395" spans="1:72" ht="12" customHeight="1" x14ac:dyDescent="0.15">
      <c r="A395" s="67"/>
      <c r="B395" s="67"/>
      <c r="C395" s="67"/>
      <c r="D395" s="67"/>
      <c r="E395" s="67"/>
      <c r="F395" s="67"/>
      <c r="G395" s="67"/>
      <c r="H395" s="67"/>
      <c r="I395" s="67"/>
      <c r="J395" s="186"/>
      <c r="K395" s="186"/>
      <c r="L395" s="186"/>
      <c r="M395" s="186"/>
      <c r="N395" s="186"/>
      <c r="O395" s="186"/>
      <c r="P395" s="186"/>
      <c r="Q395" s="186"/>
      <c r="R395" s="67"/>
      <c r="S395" s="67"/>
      <c r="T395" s="67"/>
      <c r="U395" s="67"/>
      <c r="V395" s="67"/>
      <c r="W395" s="67"/>
      <c r="X395" s="67"/>
      <c r="Y395" s="67"/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  <c r="AN395" s="67"/>
      <c r="AO395" s="67"/>
      <c r="BF395" s="67"/>
      <c r="BG395" s="67"/>
      <c r="BH395" s="67"/>
      <c r="BI395" s="67"/>
      <c r="BJ395" s="67"/>
      <c r="BK395" s="67"/>
      <c r="BL395" s="67"/>
      <c r="BM395" s="67"/>
      <c r="BN395" s="67"/>
      <c r="BO395" s="67"/>
      <c r="BP395" s="67"/>
      <c r="BQ395" s="67"/>
      <c r="BR395" s="67"/>
      <c r="BS395" s="67"/>
      <c r="BT395" s="67"/>
    </row>
    <row r="396" spans="1:72" ht="12" customHeight="1" x14ac:dyDescent="0.15">
      <c r="A396" s="67"/>
      <c r="B396" s="67"/>
      <c r="C396" s="67"/>
      <c r="D396" s="67"/>
      <c r="E396" s="67"/>
      <c r="F396" s="67"/>
      <c r="G396" s="67"/>
      <c r="H396" s="67"/>
      <c r="I396" s="67"/>
      <c r="J396" s="186"/>
      <c r="K396" s="186"/>
      <c r="L396" s="186"/>
      <c r="M396" s="186"/>
      <c r="N396" s="186"/>
      <c r="O396" s="186"/>
      <c r="P396" s="186"/>
      <c r="Q396" s="186"/>
      <c r="R396" s="67"/>
      <c r="S396" s="67"/>
      <c r="T396" s="67"/>
      <c r="U396" s="67"/>
      <c r="V396" s="67"/>
      <c r="W396" s="67"/>
      <c r="X396" s="67"/>
      <c r="Y396" s="67"/>
      <c r="Z396" s="67"/>
      <c r="AA396" s="67"/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  <c r="AL396" s="67"/>
      <c r="AM396" s="67"/>
      <c r="AN396" s="67"/>
      <c r="AO396" s="67"/>
      <c r="BF396" s="67"/>
      <c r="BG396" s="67"/>
      <c r="BH396" s="67"/>
      <c r="BI396" s="67"/>
      <c r="BJ396" s="67"/>
      <c r="BK396" s="67"/>
      <c r="BL396" s="67"/>
      <c r="BM396" s="67"/>
      <c r="BN396" s="67"/>
      <c r="BO396" s="67"/>
      <c r="BP396" s="67"/>
      <c r="BQ396" s="67"/>
      <c r="BR396" s="67"/>
      <c r="BS396" s="67"/>
      <c r="BT396" s="67"/>
    </row>
    <row r="397" spans="1:72" ht="12" customHeight="1" x14ac:dyDescent="0.15">
      <c r="A397" s="67"/>
      <c r="B397" s="67"/>
      <c r="C397" s="67"/>
      <c r="D397" s="67"/>
      <c r="E397" s="67"/>
      <c r="F397" s="67"/>
      <c r="G397" s="67"/>
      <c r="H397" s="67"/>
      <c r="I397" s="67"/>
      <c r="J397" s="186"/>
      <c r="K397" s="186"/>
      <c r="L397" s="186"/>
      <c r="M397" s="186"/>
      <c r="N397" s="186"/>
      <c r="O397" s="186"/>
      <c r="P397" s="186"/>
      <c r="Q397" s="186"/>
      <c r="R397" s="67"/>
      <c r="S397" s="67"/>
      <c r="T397" s="67"/>
      <c r="U397" s="67"/>
      <c r="V397" s="67"/>
      <c r="W397" s="67"/>
      <c r="X397" s="67"/>
      <c r="Y397" s="67"/>
      <c r="Z397" s="67"/>
      <c r="AA397" s="67"/>
      <c r="AB397" s="67"/>
      <c r="AC397" s="67"/>
      <c r="AD397" s="67"/>
      <c r="AE397" s="67"/>
      <c r="AF397" s="67"/>
      <c r="AG397" s="67"/>
      <c r="AH397" s="67"/>
      <c r="AI397" s="67"/>
      <c r="AJ397" s="67"/>
      <c r="AK397" s="67"/>
      <c r="AL397" s="67"/>
      <c r="AM397" s="67"/>
      <c r="AN397" s="67"/>
      <c r="AO397" s="67"/>
      <c r="BF397" s="67"/>
      <c r="BG397" s="67"/>
      <c r="BH397" s="67"/>
      <c r="BI397" s="67"/>
      <c r="BJ397" s="67"/>
      <c r="BK397" s="67"/>
      <c r="BL397" s="67"/>
      <c r="BM397" s="67"/>
      <c r="BN397" s="67"/>
      <c r="BO397" s="67"/>
      <c r="BP397" s="67"/>
      <c r="BQ397" s="67"/>
      <c r="BR397" s="67"/>
      <c r="BS397" s="67"/>
      <c r="BT397" s="67"/>
    </row>
    <row r="398" spans="1:72" ht="12" customHeight="1" x14ac:dyDescent="0.15">
      <c r="A398" s="67"/>
      <c r="B398" s="67"/>
      <c r="C398" s="67"/>
      <c r="D398" s="67"/>
      <c r="E398" s="67"/>
      <c r="F398" s="67"/>
      <c r="G398" s="67"/>
      <c r="H398" s="67"/>
      <c r="I398" s="67"/>
      <c r="J398" s="186"/>
      <c r="K398" s="186"/>
      <c r="L398" s="186"/>
      <c r="M398" s="186"/>
      <c r="N398" s="186"/>
      <c r="O398" s="186"/>
      <c r="P398" s="186"/>
      <c r="Q398" s="186"/>
      <c r="R398" s="67"/>
      <c r="S398" s="67"/>
      <c r="T398" s="67"/>
      <c r="U398" s="67"/>
      <c r="V398" s="67"/>
      <c r="W398" s="67"/>
      <c r="X398" s="67"/>
      <c r="Y398" s="67"/>
      <c r="Z398" s="67"/>
      <c r="AA398" s="67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  <c r="AN398" s="67"/>
      <c r="AO398" s="67"/>
      <c r="BF398" s="67"/>
      <c r="BG398" s="67"/>
      <c r="BH398" s="67"/>
      <c r="BI398" s="67"/>
      <c r="BJ398" s="67"/>
      <c r="BK398" s="67"/>
      <c r="BL398" s="67"/>
      <c r="BM398" s="67"/>
      <c r="BN398" s="67"/>
      <c r="BO398" s="67"/>
      <c r="BP398" s="67"/>
      <c r="BQ398" s="67"/>
      <c r="BR398" s="67"/>
      <c r="BS398" s="67"/>
      <c r="BT398" s="67"/>
    </row>
    <row r="399" spans="1:72" ht="12" customHeight="1" x14ac:dyDescent="0.15">
      <c r="A399" s="67"/>
      <c r="B399" s="67"/>
      <c r="C399" s="67"/>
      <c r="D399" s="67"/>
      <c r="E399" s="67"/>
      <c r="F399" s="67"/>
      <c r="G399" s="67"/>
      <c r="H399" s="67"/>
      <c r="I399" s="67"/>
      <c r="J399" s="186"/>
      <c r="K399" s="186"/>
      <c r="L399" s="186"/>
      <c r="M399" s="186"/>
      <c r="N399" s="186"/>
      <c r="O399" s="186"/>
      <c r="P399" s="186"/>
      <c r="Q399" s="186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BF399" s="67"/>
      <c r="BG399" s="67"/>
      <c r="BH399" s="67"/>
      <c r="BI399" s="67"/>
      <c r="BJ399" s="67"/>
      <c r="BK399" s="67"/>
      <c r="BL399" s="67"/>
      <c r="BM399" s="67"/>
      <c r="BN399" s="67"/>
      <c r="BO399" s="67"/>
      <c r="BP399" s="67"/>
      <c r="BQ399" s="67"/>
      <c r="BR399" s="67"/>
      <c r="BS399" s="67"/>
      <c r="BT399" s="67"/>
    </row>
    <row r="400" spans="1:72" ht="12" customHeight="1" x14ac:dyDescent="0.15">
      <c r="A400" s="67"/>
      <c r="B400" s="67"/>
      <c r="C400" s="67"/>
      <c r="D400" s="67"/>
      <c r="E400" s="67"/>
      <c r="F400" s="67"/>
      <c r="G400" s="67"/>
      <c r="H400" s="67"/>
      <c r="I400" s="67"/>
      <c r="J400" s="186"/>
      <c r="K400" s="186"/>
      <c r="L400" s="186"/>
      <c r="M400" s="186"/>
      <c r="N400" s="186"/>
      <c r="O400" s="186"/>
      <c r="P400" s="186"/>
      <c r="Q400" s="186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  <c r="AN400" s="67"/>
      <c r="AO400" s="67"/>
      <c r="BF400" s="67"/>
      <c r="BG400" s="67"/>
      <c r="BH400" s="67"/>
      <c r="BI400" s="67"/>
      <c r="BJ400" s="67"/>
      <c r="BK400" s="67"/>
      <c r="BL400" s="67"/>
      <c r="BM400" s="67"/>
      <c r="BN400" s="67"/>
      <c r="BO400" s="67"/>
      <c r="BP400" s="67"/>
      <c r="BQ400" s="67"/>
      <c r="BR400" s="67"/>
      <c r="BS400" s="67"/>
      <c r="BT400" s="67"/>
    </row>
    <row r="401" spans="1:72" ht="12" customHeight="1" x14ac:dyDescent="0.15">
      <c r="A401" s="67"/>
      <c r="B401" s="67"/>
      <c r="C401" s="67"/>
      <c r="D401" s="67"/>
      <c r="E401" s="67"/>
      <c r="F401" s="67"/>
      <c r="G401" s="67"/>
      <c r="H401" s="67"/>
      <c r="I401" s="67"/>
      <c r="J401" s="186"/>
      <c r="K401" s="186"/>
      <c r="L401" s="186"/>
      <c r="M401" s="186"/>
      <c r="N401" s="186"/>
      <c r="O401" s="186"/>
      <c r="P401" s="186"/>
      <c r="Q401" s="186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  <c r="AD401" s="67"/>
      <c r="AE401" s="67"/>
      <c r="AF401" s="67"/>
      <c r="AG401" s="67"/>
      <c r="AH401" s="67"/>
      <c r="AI401" s="67"/>
      <c r="AJ401" s="67"/>
      <c r="AK401" s="67"/>
      <c r="AL401" s="67"/>
      <c r="AM401" s="67"/>
      <c r="AN401" s="67"/>
      <c r="AO401" s="67"/>
      <c r="BF401" s="67"/>
      <c r="BG401" s="67"/>
      <c r="BH401" s="67"/>
      <c r="BI401" s="67"/>
      <c r="BJ401" s="67"/>
      <c r="BK401" s="67"/>
      <c r="BL401" s="67"/>
      <c r="BM401" s="67"/>
      <c r="BN401" s="67"/>
      <c r="BO401" s="67"/>
      <c r="BP401" s="67"/>
      <c r="BQ401" s="67"/>
      <c r="BR401" s="67"/>
      <c r="BS401" s="67"/>
      <c r="BT401" s="67"/>
    </row>
    <row r="402" spans="1:72" ht="12" customHeight="1" x14ac:dyDescent="0.15">
      <c r="A402" s="67"/>
      <c r="B402" s="67"/>
      <c r="C402" s="67"/>
      <c r="D402" s="67"/>
      <c r="E402" s="67"/>
      <c r="F402" s="67"/>
      <c r="G402" s="67"/>
      <c r="H402" s="67"/>
      <c r="I402" s="67"/>
      <c r="J402" s="186"/>
      <c r="K402" s="186"/>
      <c r="L402" s="186"/>
      <c r="M402" s="186"/>
      <c r="N402" s="186"/>
      <c r="O402" s="186"/>
      <c r="P402" s="186"/>
      <c r="Q402" s="186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  <c r="AN402" s="67"/>
      <c r="AO402" s="67"/>
      <c r="BF402" s="67"/>
      <c r="BG402" s="67"/>
      <c r="BH402" s="67"/>
      <c r="BI402" s="67"/>
      <c r="BJ402" s="67"/>
      <c r="BK402" s="67"/>
      <c r="BL402" s="67"/>
      <c r="BM402" s="67"/>
      <c r="BN402" s="67"/>
      <c r="BO402" s="67"/>
      <c r="BP402" s="67"/>
      <c r="BQ402" s="67"/>
      <c r="BR402" s="67"/>
      <c r="BS402" s="67"/>
      <c r="BT402" s="67"/>
    </row>
    <row r="403" spans="1:72" ht="12" customHeight="1" x14ac:dyDescent="0.15">
      <c r="A403" s="67"/>
      <c r="B403" s="67"/>
      <c r="C403" s="67"/>
      <c r="D403" s="67"/>
      <c r="E403" s="67"/>
      <c r="F403" s="67"/>
      <c r="G403" s="67"/>
      <c r="H403" s="67"/>
      <c r="I403" s="67"/>
      <c r="J403" s="186"/>
      <c r="K403" s="186"/>
      <c r="L403" s="186"/>
      <c r="M403" s="186"/>
      <c r="N403" s="186"/>
      <c r="O403" s="186"/>
      <c r="P403" s="186"/>
      <c r="Q403" s="186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  <c r="AL403" s="67"/>
      <c r="AM403" s="67"/>
      <c r="AN403" s="67"/>
      <c r="AO403" s="67"/>
      <c r="BF403" s="67"/>
      <c r="BG403" s="67"/>
      <c r="BH403" s="67"/>
      <c r="BI403" s="67"/>
      <c r="BJ403" s="67"/>
      <c r="BK403" s="67"/>
      <c r="BL403" s="67"/>
      <c r="BM403" s="67"/>
      <c r="BN403" s="67"/>
      <c r="BO403" s="67"/>
      <c r="BP403" s="67"/>
      <c r="BQ403" s="67"/>
      <c r="BR403" s="67"/>
      <c r="BS403" s="67"/>
      <c r="BT403" s="67"/>
    </row>
    <row r="404" spans="1:72" ht="12" customHeight="1" x14ac:dyDescent="0.15">
      <c r="A404" s="67"/>
      <c r="B404" s="67"/>
      <c r="C404" s="67"/>
      <c r="D404" s="67"/>
      <c r="E404" s="67"/>
      <c r="F404" s="67"/>
      <c r="G404" s="67"/>
      <c r="H404" s="67"/>
      <c r="I404" s="67"/>
      <c r="J404" s="186"/>
      <c r="K404" s="186"/>
      <c r="L404" s="186"/>
      <c r="M404" s="186"/>
      <c r="N404" s="186"/>
      <c r="O404" s="186"/>
      <c r="P404" s="186"/>
      <c r="Q404" s="186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  <c r="AC404" s="67"/>
      <c r="AD404" s="67"/>
      <c r="AE404" s="67"/>
      <c r="AF404" s="67"/>
      <c r="AG404" s="67"/>
      <c r="AH404" s="67"/>
      <c r="AI404" s="67"/>
      <c r="AJ404" s="67"/>
      <c r="AK404" s="67"/>
      <c r="AL404" s="67"/>
      <c r="AM404" s="67"/>
      <c r="AN404" s="67"/>
      <c r="AO404" s="67"/>
      <c r="BF404" s="67"/>
      <c r="BG404" s="67"/>
      <c r="BH404" s="67"/>
      <c r="BI404" s="67"/>
      <c r="BJ404" s="67"/>
      <c r="BK404" s="67"/>
      <c r="BL404" s="67"/>
      <c r="BM404" s="67"/>
      <c r="BN404" s="67"/>
      <c r="BO404" s="67"/>
      <c r="BP404" s="67"/>
      <c r="BQ404" s="67"/>
      <c r="BR404" s="67"/>
      <c r="BS404" s="67"/>
      <c r="BT404" s="67"/>
    </row>
    <row r="405" spans="1:72" ht="12" customHeight="1" x14ac:dyDescent="0.15">
      <c r="A405" s="67"/>
      <c r="B405" s="67"/>
      <c r="C405" s="67"/>
      <c r="D405" s="67"/>
      <c r="E405" s="67"/>
      <c r="F405" s="67"/>
      <c r="G405" s="67"/>
      <c r="H405" s="67"/>
      <c r="I405" s="67"/>
      <c r="J405" s="186"/>
      <c r="K405" s="186"/>
      <c r="L405" s="186"/>
      <c r="M405" s="186"/>
      <c r="N405" s="186"/>
      <c r="O405" s="186"/>
      <c r="P405" s="186"/>
      <c r="Q405" s="186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7"/>
      <c r="AN405" s="67"/>
      <c r="AO405" s="67"/>
      <c r="BF405" s="67"/>
      <c r="BG405" s="67"/>
      <c r="BH405" s="67"/>
      <c r="BI405" s="67"/>
      <c r="BJ405" s="67"/>
      <c r="BK405" s="67"/>
      <c r="BL405" s="67"/>
      <c r="BM405" s="67"/>
      <c r="BN405" s="67"/>
      <c r="BO405" s="67"/>
      <c r="BP405" s="67"/>
      <c r="BQ405" s="67"/>
      <c r="BR405" s="67"/>
      <c r="BS405" s="67"/>
      <c r="BT405" s="67"/>
    </row>
    <row r="406" spans="1:72" ht="12" customHeight="1" x14ac:dyDescent="0.15">
      <c r="A406" s="67"/>
      <c r="B406" s="67"/>
      <c r="C406" s="67"/>
      <c r="D406" s="67"/>
      <c r="E406" s="67"/>
      <c r="F406" s="67"/>
      <c r="G406" s="67"/>
      <c r="H406" s="67"/>
      <c r="I406" s="67"/>
      <c r="J406" s="186"/>
      <c r="K406" s="186"/>
      <c r="L406" s="186"/>
      <c r="M406" s="186"/>
      <c r="N406" s="186"/>
      <c r="O406" s="186"/>
      <c r="P406" s="186"/>
      <c r="Q406" s="186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BF406" s="67"/>
      <c r="BG406" s="67"/>
      <c r="BH406" s="67"/>
      <c r="BI406" s="67"/>
      <c r="BJ406" s="67"/>
      <c r="BK406" s="67"/>
      <c r="BL406" s="67"/>
      <c r="BM406" s="67"/>
      <c r="BN406" s="67"/>
      <c r="BO406" s="67"/>
      <c r="BP406" s="67"/>
      <c r="BQ406" s="67"/>
      <c r="BR406" s="67"/>
      <c r="BS406" s="67"/>
      <c r="BT406" s="67"/>
    </row>
    <row r="407" spans="1:72" ht="12" customHeight="1" x14ac:dyDescent="0.15">
      <c r="A407" s="67"/>
      <c r="B407" s="67"/>
      <c r="C407" s="67"/>
      <c r="D407" s="67"/>
      <c r="E407" s="67"/>
      <c r="F407" s="67"/>
      <c r="G407" s="67"/>
      <c r="H407" s="67"/>
      <c r="I407" s="67"/>
      <c r="J407" s="186"/>
      <c r="K407" s="186"/>
      <c r="L407" s="186"/>
      <c r="M407" s="186"/>
      <c r="N407" s="186"/>
      <c r="O407" s="186"/>
      <c r="P407" s="186"/>
      <c r="Q407" s="186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BF407" s="67"/>
      <c r="BG407" s="67"/>
      <c r="BH407" s="67"/>
      <c r="BI407" s="67"/>
      <c r="BJ407" s="67"/>
      <c r="BK407" s="67"/>
      <c r="BL407" s="67"/>
      <c r="BM407" s="67"/>
      <c r="BN407" s="67"/>
      <c r="BO407" s="67"/>
      <c r="BP407" s="67"/>
      <c r="BQ407" s="67"/>
      <c r="BR407" s="67"/>
      <c r="BS407" s="67"/>
      <c r="BT407" s="67"/>
    </row>
    <row r="408" spans="1:72" ht="12" customHeight="1" x14ac:dyDescent="0.15">
      <c r="A408" s="67"/>
      <c r="B408" s="67"/>
      <c r="C408" s="67"/>
      <c r="D408" s="67"/>
      <c r="E408" s="67"/>
      <c r="F408" s="67"/>
      <c r="G408" s="67"/>
      <c r="H408" s="67"/>
      <c r="I408" s="67"/>
      <c r="J408" s="186"/>
      <c r="K408" s="186"/>
      <c r="L408" s="186"/>
      <c r="M408" s="186"/>
      <c r="N408" s="186"/>
      <c r="O408" s="186"/>
      <c r="P408" s="186"/>
      <c r="Q408" s="186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BF408" s="67"/>
      <c r="BG408" s="67"/>
      <c r="BH408" s="67"/>
      <c r="BI408" s="67"/>
      <c r="BJ408" s="67"/>
      <c r="BK408" s="67"/>
      <c r="BL408" s="67"/>
      <c r="BM408" s="67"/>
      <c r="BN408" s="67"/>
      <c r="BO408" s="67"/>
      <c r="BP408" s="67"/>
      <c r="BQ408" s="67"/>
      <c r="BR408" s="67"/>
      <c r="BS408" s="67"/>
      <c r="BT408" s="67"/>
    </row>
    <row r="409" spans="1:72" ht="12" customHeight="1" x14ac:dyDescent="0.15">
      <c r="A409" s="67"/>
      <c r="B409" s="67"/>
      <c r="C409" s="67"/>
      <c r="D409" s="67"/>
      <c r="E409" s="67"/>
      <c r="F409" s="67"/>
      <c r="G409" s="67"/>
      <c r="H409" s="67"/>
      <c r="I409" s="67"/>
      <c r="J409" s="186"/>
      <c r="K409" s="186"/>
      <c r="L409" s="186"/>
      <c r="M409" s="186"/>
      <c r="N409" s="186"/>
      <c r="O409" s="186"/>
      <c r="P409" s="186"/>
      <c r="Q409" s="186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BF409" s="67"/>
      <c r="BG409" s="67"/>
      <c r="BH409" s="67"/>
      <c r="BI409" s="67"/>
      <c r="BJ409" s="67"/>
      <c r="BK409" s="67"/>
      <c r="BL409" s="67"/>
      <c r="BM409" s="67"/>
      <c r="BN409" s="67"/>
      <c r="BO409" s="67"/>
      <c r="BP409" s="67"/>
      <c r="BQ409" s="67"/>
      <c r="BR409" s="67"/>
      <c r="BS409" s="67"/>
      <c r="BT409" s="67"/>
    </row>
    <row r="410" spans="1:72" ht="12" customHeight="1" x14ac:dyDescent="0.15">
      <c r="A410" s="67"/>
      <c r="B410" s="67"/>
      <c r="C410" s="67"/>
      <c r="D410" s="67"/>
      <c r="E410" s="67"/>
      <c r="F410" s="67"/>
      <c r="G410" s="67"/>
      <c r="H410" s="67"/>
      <c r="I410" s="67"/>
      <c r="J410" s="186"/>
      <c r="K410" s="186"/>
      <c r="L410" s="186"/>
      <c r="M410" s="186"/>
      <c r="N410" s="186"/>
      <c r="O410" s="186"/>
      <c r="P410" s="186"/>
      <c r="Q410" s="186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  <c r="AD410" s="67"/>
      <c r="AE410" s="67"/>
      <c r="AF410" s="67"/>
      <c r="AG410" s="67"/>
      <c r="AH410" s="67"/>
      <c r="AI410" s="67"/>
      <c r="AJ410" s="67"/>
      <c r="AK410" s="67"/>
      <c r="AL410" s="67"/>
      <c r="AM410" s="67"/>
      <c r="AN410" s="67"/>
      <c r="AO410" s="67"/>
      <c r="BF410" s="67"/>
      <c r="BG410" s="67"/>
      <c r="BH410" s="67"/>
      <c r="BI410" s="67"/>
      <c r="BJ410" s="67"/>
      <c r="BK410" s="67"/>
      <c r="BL410" s="67"/>
      <c r="BM410" s="67"/>
      <c r="BN410" s="67"/>
      <c r="BO410" s="67"/>
      <c r="BP410" s="67"/>
      <c r="BQ410" s="67"/>
      <c r="BR410" s="67"/>
      <c r="BS410" s="67"/>
      <c r="BT410" s="67"/>
    </row>
    <row r="411" spans="1:72" ht="12" customHeight="1" x14ac:dyDescent="0.15">
      <c r="A411" s="67"/>
      <c r="B411" s="67"/>
      <c r="C411" s="67"/>
      <c r="D411" s="67"/>
      <c r="E411" s="67"/>
      <c r="F411" s="67"/>
      <c r="G411" s="67"/>
      <c r="H411" s="67"/>
      <c r="I411" s="67"/>
      <c r="J411" s="186"/>
      <c r="K411" s="186"/>
      <c r="L411" s="186"/>
      <c r="M411" s="186"/>
      <c r="N411" s="186"/>
      <c r="O411" s="186"/>
      <c r="P411" s="186"/>
      <c r="Q411" s="186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  <c r="AF411" s="67"/>
      <c r="AG411" s="67"/>
      <c r="AH411" s="67"/>
      <c r="AI411" s="67"/>
      <c r="AJ411" s="67"/>
      <c r="AK411" s="67"/>
      <c r="AL411" s="67"/>
      <c r="AM411" s="67"/>
      <c r="AN411" s="67"/>
      <c r="AO411" s="67"/>
      <c r="BF411" s="67"/>
      <c r="BG411" s="67"/>
      <c r="BH411" s="67"/>
      <c r="BI411" s="67"/>
      <c r="BJ411" s="67"/>
      <c r="BK411" s="67"/>
      <c r="BL411" s="67"/>
      <c r="BM411" s="67"/>
      <c r="BN411" s="67"/>
      <c r="BO411" s="67"/>
      <c r="BP411" s="67"/>
      <c r="BQ411" s="67"/>
      <c r="BR411" s="67"/>
      <c r="BS411" s="67"/>
      <c r="BT411" s="67"/>
    </row>
    <row r="412" spans="1:72" ht="12" customHeight="1" x14ac:dyDescent="0.15">
      <c r="A412" s="67"/>
      <c r="B412" s="67"/>
      <c r="C412" s="67"/>
      <c r="D412" s="67"/>
      <c r="E412" s="67"/>
      <c r="F412" s="67"/>
      <c r="G412" s="67"/>
      <c r="H412" s="67"/>
      <c r="I412" s="67"/>
      <c r="J412" s="186"/>
      <c r="K412" s="186"/>
      <c r="L412" s="186"/>
      <c r="M412" s="186"/>
      <c r="N412" s="186"/>
      <c r="O412" s="186"/>
      <c r="P412" s="186"/>
      <c r="Q412" s="186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BF412" s="67"/>
      <c r="BG412" s="67"/>
      <c r="BH412" s="67"/>
      <c r="BI412" s="67"/>
      <c r="BJ412" s="67"/>
      <c r="BK412" s="67"/>
      <c r="BL412" s="67"/>
      <c r="BM412" s="67"/>
      <c r="BN412" s="67"/>
      <c r="BO412" s="67"/>
      <c r="BP412" s="67"/>
      <c r="BQ412" s="67"/>
      <c r="BR412" s="67"/>
      <c r="BS412" s="67"/>
      <c r="BT412" s="67"/>
    </row>
    <row r="413" spans="1:72" ht="12" customHeight="1" x14ac:dyDescent="0.15">
      <c r="A413" s="67"/>
      <c r="B413" s="67"/>
      <c r="C413" s="67"/>
      <c r="D413" s="67"/>
      <c r="E413" s="67"/>
      <c r="F413" s="67"/>
      <c r="G413" s="67"/>
      <c r="H413" s="67"/>
      <c r="I413" s="67"/>
      <c r="J413" s="186"/>
      <c r="K413" s="186"/>
      <c r="L413" s="186"/>
      <c r="M413" s="186"/>
      <c r="N413" s="186"/>
      <c r="O413" s="186"/>
      <c r="P413" s="186"/>
      <c r="Q413" s="186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BF413" s="67"/>
      <c r="BG413" s="67"/>
      <c r="BH413" s="67"/>
      <c r="BI413" s="67"/>
      <c r="BJ413" s="67"/>
      <c r="BK413" s="67"/>
      <c r="BL413" s="67"/>
      <c r="BM413" s="67"/>
      <c r="BN413" s="67"/>
      <c r="BO413" s="67"/>
      <c r="BP413" s="67"/>
      <c r="BQ413" s="67"/>
      <c r="BR413" s="67"/>
      <c r="BS413" s="67"/>
      <c r="BT413" s="67"/>
    </row>
    <row r="414" spans="1:72" ht="12" customHeight="1" x14ac:dyDescent="0.15">
      <c r="A414" s="67"/>
      <c r="B414" s="67"/>
      <c r="C414" s="67"/>
      <c r="D414" s="67"/>
      <c r="E414" s="67"/>
      <c r="F414" s="67"/>
      <c r="G414" s="67"/>
      <c r="H414" s="67"/>
      <c r="I414" s="67"/>
      <c r="J414" s="186"/>
      <c r="K414" s="186"/>
      <c r="L414" s="186"/>
      <c r="M414" s="186"/>
      <c r="N414" s="186"/>
      <c r="O414" s="186"/>
      <c r="P414" s="186"/>
      <c r="Q414" s="186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  <c r="AN414" s="67"/>
      <c r="AO414" s="67"/>
      <c r="BF414" s="67"/>
      <c r="BG414" s="67"/>
      <c r="BH414" s="67"/>
      <c r="BI414" s="67"/>
      <c r="BJ414" s="67"/>
      <c r="BK414" s="67"/>
      <c r="BL414" s="67"/>
      <c r="BM414" s="67"/>
      <c r="BN414" s="67"/>
      <c r="BO414" s="67"/>
      <c r="BP414" s="67"/>
      <c r="BQ414" s="67"/>
      <c r="BR414" s="67"/>
      <c r="BS414" s="67"/>
      <c r="BT414" s="67"/>
    </row>
    <row r="415" spans="1:72" ht="12" customHeight="1" x14ac:dyDescent="0.15">
      <c r="A415" s="67"/>
      <c r="B415" s="67"/>
      <c r="C415" s="67"/>
      <c r="D415" s="67"/>
      <c r="E415" s="67"/>
      <c r="F415" s="67"/>
      <c r="G415" s="67"/>
      <c r="H415" s="67"/>
      <c r="I415" s="67"/>
      <c r="J415" s="186"/>
      <c r="K415" s="186"/>
      <c r="L415" s="186"/>
      <c r="M415" s="186"/>
      <c r="N415" s="186"/>
      <c r="O415" s="186"/>
      <c r="P415" s="186"/>
      <c r="Q415" s="186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  <c r="AD415" s="67"/>
      <c r="AE415" s="67"/>
      <c r="AF415" s="67"/>
      <c r="AG415" s="67"/>
      <c r="AH415" s="67"/>
      <c r="AI415" s="67"/>
      <c r="AJ415" s="67"/>
      <c r="AK415" s="67"/>
      <c r="AL415" s="67"/>
      <c r="AM415" s="67"/>
      <c r="AN415" s="67"/>
      <c r="AO415" s="67"/>
      <c r="BF415" s="67"/>
      <c r="BG415" s="67"/>
      <c r="BH415" s="67"/>
      <c r="BI415" s="67"/>
      <c r="BJ415" s="67"/>
      <c r="BK415" s="67"/>
      <c r="BL415" s="67"/>
      <c r="BM415" s="67"/>
      <c r="BN415" s="67"/>
      <c r="BO415" s="67"/>
      <c r="BP415" s="67"/>
      <c r="BQ415" s="67"/>
      <c r="BR415" s="67"/>
      <c r="BS415" s="67"/>
      <c r="BT415" s="67"/>
    </row>
    <row r="416" spans="1:72" ht="12" customHeight="1" x14ac:dyDescent="0.15">
      <c r="A416" s="67"/>
      <c r="B416" s="67"/>
      <c r="C416" s="67"/>
      <c r="D416" s="67"/>
      <c r="E416" s="67"/>
      <c r="F416" s="67"/>
      <c r="G416" s="67"/>
      <c r="H416" s="67"/>
      <c r="I416" s="67"/>
      <c r="J416" s="186"/>
      <c r="K416" s="186"/>
      <c r="L416" s="186"/>
      <c r="M416" s="186"/>
      <c r="N416" s="186"/>
      <c r="O416" s="186"/>
      <c r="P416" s="186"/>
      <c r="Q416" s="186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/>
      <c r="AF416" s="67"/>
      <c r="AG416" s="67"/>
      <c r="AH416" s="67"/>
      <c r="AI416" s="67"/>
      <c r="AJ416" s="67"/>
      <c r="AK416" s="67"/>
      <c r="AL416" s="67"/>
      <c r="AM416" s="67"/>
      <c r="AN416" s="67"/>
      <c r="AO416" s="67"/>
      <c r="BF416" s="67"/>
      <c r="BG416" s="67"/>
      <c r="BH416" s="67"/>
      <c r="BI416" s="67"/>
      <c r="BJ416" s="67"/>
      <c r="BK416" s="67"/>
      <c r="BL416" s="67"/>
      <c r="BM416" s="67"/>
      <c r="BN416" s="67"/>
      <c r="BO416" s="67"/>
      <c r="BP416" s="67"/>
      <c r="BQ416" s="67"/>
      <c r="BR416" s="67"/>
      <c r="BS416" s="67"/>
      <c r="BT416" s="67"/>
    </row>
    <row r="417" spans="1:72" ht="12" customHeight="1" x14ac:dyDescent="0.15">
      <c r="A417" s="67"/>
      <c r="B417" s="67"/>
      <c r="C417" s="67"/>
      <c r="D417" s="67"/>
      <c r="E417" s="67"/>
      <c r="F417" s="67"/>
      <c r="G417" s="67"/>
      <c r="H417" s="67"/>
      <c r="I417" s="67"/>
      <c r="J417" s="186"/>
      <c r="K417" s="186"/>
      <c r="L417" s="186"/>
      <c r="M417" s="186"/>
      <c r="N417" s="186"/>
      <c r="O417" s="186"/>
      <c r="P417" s="186"/>
      <c r="Q417" s="186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67"/>
      <c r="AE417" s="67"/>
      <c r="AF417" s="67"/>
      <c r="AG417" s="67"/>
      <c r="AH417" s="67"/>
      <c r="AI417" s="67"/>
      <c r="AJ417" s="67"/>
      <c r="AK417" s="67"/>
      <c r="AL417" s="67"/>
      <c r="AM417" s="67"/>
      <c r="AN417" s="67"/>
      <c r="AO417" s="67"/>
      <c r="BF417" s="67"/>
      <c r="BG417" s="67"/>
      <c r="BH417" s="67"/>
      <c r="BI417" s="67"/>
      <c r="BJ417" s="67"/>
      <c r="BK417" s="67"/>
      <c r="BL417" s="67"/>
      <c r="BM417" s="67"/>
      <c r="BN417" s="67"/>
      <c r="BO417" s="67"/>
      <c r="BP417" s="67"/>
      <c r="BQ417" s="67"/>
      <c r="BR417" s="67"/>
      <c r="BS417" s="67"/>
      <c r="BT417" s="67"/>
    </row>
    <row r="418" spans="1:72" ht="12" customHeight="1" x14ac:dyDescent="0.15">
      <c r="A418" s="67"/>
      <c r="B418" s="67"/>
      <c r="C418" s="67"/>
      <c r="D418" s="67"/>
      <c r="E418" s="67"/>
      <c r="F418" s="67"/>
      <c r="G418" s="67"/>
      <c r="H418" s="67"/>
      <c r="I418" s="67"/>
      <c r="J418" s="186"/>
      <c r="K418" s="186"/>
      <c r="L418" s="186"/>
      <c r="M418" s="186"/>
      <c r="N418" s="186"/>
      <c r="O418" s="186"/>
      <c r="P418" s="186"/>
      <c r="Q418" s="186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67"/>
      <c r="AE418" s="67"/>
      <c r="AF418" s="67"/>
      <c r="AG418" s="67"/>
      <c r="AH418" s="67"/>
      <c r="AI418" s="67"/>
      <c r="AJ418" s="67"/>
      <c r="AK418" s="67"/>
      <c r="AL418" s="67"/>
      <c r="AM418" s="67"/>
      <c r="AN418" s="67"/>
      <c r="AO418" s="67"/>
      <c r="BF418" s="67"/>
      <c r="BG418" s="67"/>
      <c r="BH418" s="67"/>
      <c r="BI418" s="67"/>
      <c r="BJ418" s="67"/>
      <c r="BK418" s="67"/>
      <c r="BL418" s="67"/>
      <c r="BM418" s="67"/>
      <c r="BN418" s="67"/>
      <c r="BO418" s="67"/>
      <c r="BP418" s="67"/>
      <c r="BQ418" s="67"/>
      <c r="BR418" s="67"/>
      <c r="BS418" s="67"/>
      <c r="BT418" s="67"/>
    </row>
    <row r="419" spans="1:72" ht="12" customHeight="1" x14ac:dyDescent="0.15">
      <c r="A419" s="67"/>
      <c r="B419" s="67"/>
      <c r="C419" s="67"/>
      <c r="D419" s="67"/>
      <c r="E419" s="67"/>
      <c r="F419" s="67"/>
      <c r="G419" s="67"/>
      <c r="H419" s="67"/>
      <c r="I419" s="67"/>
      <c r="J419" s="186"/>
      <c r="K419" s="186"/>
      <c r="L419" s="186"/>
      <c r="M419" s="186"/>
      <c r="N419" s="186"/>
      <c r="O419" s="186"/>
      <c r="P419" s="186"/>
      <c r="Q419" s="186"/>
      <c r="R419" s="67"/>
      <c r="S419" s="67"/>
      <c r="T419" s="67"/>
      <c r="U419" s="67"/>
      <c r="V419" s="67"/>
      <c r="W419" s="67"/>
      <c r="X419" s="67"/>
      <c r="Y419" s="67"/>
      <c r="Z419" s="67"/>
      <c r="AA419" s="67"/>
      <c r="AB419" s="67"/>
      <c r="AC419" s="67"/>
      <c r="AD419" s="67"/>
      <c r="AE419" s="67"/>
      <c r="AF419" s="67"/>
      <c r="AG419" s="67"/>
      <c r="AH419" s="67"/>
      <c r="AI419" s="67"/>
      <c r="AJ419" s="67"/>
      <c r="AK419" s="67"/>
      <c r="AL419" s="67"/>
      <c r="AM419" s="67"/>
      <c r="AN419" s="67"/>
      <c r="AO419" s="67"/>
      <c r="BF419" s="67"/>
      <c r="BG419" s="67"/>
      <c r="BH419" s="67"/>
      <c r="BI419" s="67"/>
      <c r="BJ419" s="67"/>
      <c r="BK419" s="67"/>
      <c r="BL419" s="67"/>
      <c r="BM419" s="67"/>
      <c r="BN419" s="67"/>
      <c r="BO419" s="67"/>
      <c r="BP419" s="67"/>
      <c r="BQ419" s="67"/>
      <c r="BR419" s="67"/>
      <c r="BS419" s="67"/>
      <c r="BT419" s="67"/>
    </row>
    <row r="420" spans="1:72" ht="12" customHeight="1" x14ac:dyDescent="0.15">
      <c r="A420" s="67"/>
      <c r="B420" s="67"/>
      <c r="C420" s="67"/>
      <c r="D420" s="67"/>
      <c r="E420" s="67"/>
      <c r="F420" s="67"/>
      <c r="G420" s="67"/>
      <c r="H420" s="67"/>
      <c r="I420" s="67"/>
      <c r="J420" s="186"/>
      <c r="K420" s="186"/>
      <c r="L420" s="186"/>
      <c r="M420" s="186"/>
      <c r="N420" s="186"/>
      <c r="O420" s="186"/>
      <c r="P420" s="186"/>
      <c r="Q420" s="186"/>
      <c r="R420" s="67"/>
      <c r="S420" s="67"/>
      <c r="T420" s="67"/>
      <c r="U420" s="67"/>
      <c r="V420" s="67"/>
      <c r="W420" s="67"/>
      <c r="X420" s="67"/>
      <c r="Y420" s="67"/>
      <c r="Z420" s="67"/>
      <c r="AA420" s="67"/>
      <c r="AB420" s="67"/>
      <c r="AC420" s="67"/>
      <c r="AD420" s="67"/>
      <c r="AE420" s="67"/>
      <c r="AF420" s="67"/>
      <c r="AG420" s="67"/>
      <c r="AH420" s="67"/>
      <c r="AI420" s="67"/>
      <c r="AJ420" s="67"/>
      <c r="AK420" s="67"/>
      <c r="AL420" s="67"/>
      <c r="AM420" s="67"/>
      <c r="AN420" s="67"/>
      <c r="AO420" s="67"/>
      <c r="BF420" s="67"/>
      <c r="BG420" s="67"/>
      <c r="BH420" s="67"/>
      <c r="BI420" s="67"/>
      <c r="BJ420" s="67"/>
      <c r="BK420" s="67"/>
      <c r="BL420" s="67"/>
      <c r="BM420" s="67"/>
      <c r="BN420" s="67"/>
      <c r="BO420" s="67"/>
      <c r="BP420" s="67"/>
      <c r="BQ420" s="67"/>
      <c r="BR420" s="67"/>
      <c r="BS420" s="67"/>
      <c r="BT420" s="67"/>
    </row>
    <row r="421" spans="1:72" ht="12" customHeight="1" x14ac:dyDescent="0.15">
      <c r="A421" s="67"/>
      <c r="B421" s="67"/>
      <c r="C421" s="67"/>
      <c r="D421" s="67"/>
      <c r="E421" s="67"/>
      <c r="F421" s="67"/>
      <c r="G421" s="67"/>
      <c r="H421" s="67"/>
      <c r="I421" s="67"/>
      <c r="J421" s="186"/>
      <c r="K421" s="186"/>
      <c r="L421" s="186"/>
      <c r="M421" s="186"/>
      <c r="N421" s="186"/>
      <c r="O421" s="186"/>
      <c r="P421" s="186"/>
      <c r="Q421" s="186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67"/>
      <c r="AF421" s="67"/>
      <c r="AG421" s="67"/>
      <c r="AH421" s="67"/>
      <c r="AI421" s="67"/>
      <c r="AJ421" s="67"/>
      <c r="AK421" s="67"/>
      <c r="AL421" s="67"/>
      <c r="AM421" s="67"/>
      <c r="AN421" s="67"/>
      <c r="AO421" s="67"/>
      <c r="BF421" s="67"/>
      <c r="BG421" s="67"/>
      <c r="BH421" s="67"/>
      <c r="BI421" s="67"/>
      <c r="BJ421" s="67"/>
      <c r="BK421" s="67"/>
      <c r="BL421" s="67"/>
      <c r="BM421" s="67"/>
      <c r="BN421" s="67"/>
      <c r="BO421" s="67"/>
      <c r="BP421" s="67"/>
      <c r="BQ421" s="67"/>
      <c r="BR421" s="67"/>
      <c r="BS421" s="67"/>
      <c r="BT421" s="67"/>
    </row>
    <row r="422" spans="1:72" ht="12" customHeight="1" x14ac:dyDescent="0.15">
      <c r="A422" s="67"/>
      <c r="B422" s="67"/>
      <c r="C422" s="67"/>
      <c r="D422" s="67"/>
      <c r="E422" s="67"/>
      <c r="F422" s="67"/>
      <c r="G422" s="67"/>
      <c r="H422" s="67"/>
      <c r="I422" s="67"/>
      <c r="J422" s="186"/>
      <c r="K422" s="186"/>
      <c r="L422" s="186"/>
      <c r="M422" s="186"/>
      <c r="N422" s="186"/>
      <c r="O422" s="186"/>
      <c r="P422" s="186"/>
      <c r="Q422" s="186"/>
      <c r="R422" s="67"/>
      <c r="S422" s="67"/>
      <c r="T422" s="67"/>
      <c r="U422" s="67"/>
      <c r="V422" s="67"/>
      <c r="W422" s="67"/>
      <c r="X422" s="67"/>
      <c r="Y422" s="67"/>
      <c r="Z422" s="67"/>
      <c r="AA422" s="67"/>
      <c r="AB422" s="67"/>
      <c r="AC422" s="67"/>
      <c r="AD422" s="67"/>
      <c r="AE422" s="67"/>
      <c r="AF422" s="67"/>
      <c r="AG422" s="67"/>
      <c r="AH422" s="67"/>
      <c r="AI422" s="67"/>
      <c r="AJ422" s="67"/>
      <c r="AK422" s="67"/>
      <c r="AL422" s="67"/>
      <c r="AM422" s="67"/>
      <c r="AN422" s="67"/>
      <c r="AO422" s="67"/>
      <c r="BF422" s="67"/>
      <c r="BG422" s="67"/>
      <c r="BH422" s="67"/>
      <c r="BI422" s="67"/>
      <c r="BJ422" s="67"/>
      <c r="BK422" s="67"/>
      <c r="BL422" s="67"/>
      <c r="BM422" s="67"/>
      <c r="BN422" s="67"/>
      <c r="BO422" s="67"/>
      <c r="BP422" s="67"/>
      <c r="BQ422" s="67"/>
      <c r="BR422" s="67"/>
      <c r="BS422" s="67"/>
      <c r="BT422" s="67"/>
    </row>
    <row r="423" spans="1:72" ht="12" customHeight="1" x14ac:dyDescent="0.15">
      <c r="A423" s="67"/>
      <c r="B423" s="67"/>
      <c r="C423" s="67"/>
      <c r="D423" s="67"/>
      <c r="E423" s="67"/>
      <c r="F423" s="67"/>
      <c r="G423" s="67"/>
      <c r="H423" s="67"/>
      <c r="I423" s="67"/>
      <c r="J423" s="186"/>
      <c r="K423" s="186"/>
      <c r="L423" s="186"/>
      <c r="M423" s="186"/>
      <c r="N423" s="186"/>
      <c r="O423" s="186"/>
      <c r="P423" s="186"/>
      <c r="Q423" s="186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  <c r="AC423" s="67"/>
      <c r="AD423" s="67"/>
      <c r="AE423" s="67"/>
      <c r="AF423" s="67"/>
      <c r="AG423" s="67"/>
      <c r="AH423" s="67"/>
      <c r="AI423" s="67"/>
      <c r="AJ423" s="67"/>
      <c r="AK423" s="67"/>
      <c r="AL423" s="67"/>
      <c r="AM423" s="67"/>
      <c r="AN423" s="67"/>
      <c r="AO423" s="67"/>
      <c r="BF423" s="67"/>
      <c r="BG423" s="67"/>
      <c r="BH423" s="67"/>
      <c r="BI423" s="67"/>
      <c r="BJ423" s="67"/>
      <c r="BK423" s="67"/>
      <c r="BL423" s="67"/>
      <c r="BM423" s="67"/>
      <c r="BN423" s="67"/>
      <c r="BO423" s="67"/>
      <c r="BP423" s="67"/>
      <c r="BQ423" s="67"/>
      <c r="BR423" s="67"/>
      <c r="BS423" s="67"/>
      <c r="BT423" s="67"/>
    </row>
    <row r="424" spans="1:72" ht="12" customHeight="1" x14ac:dyDescent="0.15">
      <c r="A424" s="67"/>
      <c r="B424" s="67"/>
      <c r="C424" s="67"/>
      <c r="D424" s="67"/>
      <c r="E424" s="67"/>
      <c r="F424" s="67"/>
      <c r="G424" s="67"/>
      <c r="H424" s="67"/>
      <c r="I424" s="67"/>
      <c r="J424" s="186"/>
      <c r="K424" s="186"/>
      <c r="L424" s="186"/>
      <c r="M424" s="186"/>
      <c r="N424" s="186"/>
      <c r="O424" s="186"/>
      <c r="P424" s="186"/>
      <c r="Q424" s="186"/>
      <c r="R424" s="67"/>
      <c r="S424" s="67"/>
      <c r="T424" s="67"/>
      <c r="U424" s="67"/>
      <c r="V424" s="67"/>
      <c r="W424" s="67"/>
      <c r="X424" s="67"/>
      <c r="Y424" s="67"/>
      <c r="Z424" s="67"/>
      <c r="AA424" s="67"/>
      <c r="AB424" s="67"/>
      <c r="AC424" s="67"/>
      <c r="AD424" s="67"/>
      <c r="AE424" s="67"/>
      <c r="AF424" s="67"/>
      <c r="AG424" s="67"/>
      <c r="AH424" s="67"/>
      <c r="AI424" s="67"/>
      <c r="AJ424" s="67"/>
      <c r="AK424" s="67"/>
      <c r="AL424" s="67"/>
      <c r="AM424" s="67"/>
      <c r="AN424" s="67"/>
      <c r="AO424" s="67"/>
      <c r="BF424" s="67"/>
      <c r="BG424" s="67"/>
      <c r="BH424" s="67"/>
      <c r="BI424" s="67"/>
      <c r="BJ424" s="67"/>
      <c r="BK424" s="67"/>
      <c r="BL424" s="67"/>
      <c r="BM424" s="67"/>
      <c r="BN424" s="67"/>
      <c r="BO424" s="67"/>
      <c r="BP424" s="67"/>
      <c r="BQ424" s="67"/>
      <c r="BR424" s="67"/>
      <c r="BS424" s="67"/>
      <c r="BT424" s="67"/>
    </row>
    <row r="425" spans="1:72" ht="12" customHeight="1" x14ac:dyDescent="0.15">
      <c r="A425" s="67"/>
      <c r="B425" s="67"/>
      <c r="C425" s="67"/>
      <c r="D425" s="67"/>
      <c r="E425" s="67"/>
      <c r="F425" s="67"/>
      <c r="G425" s="67"/>
      <c r="H425" s="67"/>
      <c r="I425" s="67"/>
      <c r="J425" s="186"/>
      <c r="K425" s="186"/>
      <c r="L425" s="186"/>
      <c r="M425" s="186"/>
      <c r="N425" s="186"/>
      <c r="O425" s="186"/>
      <c r="P425" s="186"/>
      <c r="Q425" s="186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  <c r="AC425" s="67"/>
      <c r="AD425" s="67"/>
      <c r="AE425" s="67"/>
      <c r="AF425" s="67"/>
      <c r="AG425" s="67"/>
      <c r="AH425" s="67"/>
      <c r="AI425" s="67"/>
      <c r="AJ425" s="67"/>
      <c r="AK425" s="67"/>
      <c r="AL425" s="67"/>
      <c r="AM425" s="67"/>
      <c r="AN425" s="67"/>
      <c r="AO425" s="67"/>
      <c r="BF425" s="67"/>
      <c r="BG425" s="67"/>
      <c r="BH425" s="67"/>
      <c r="BI425" s="67"/>
      <c r="BJ425" s="67"/>
      <c r="BK425" s="67"/>
      <c r="BL425" s="67"/>
      <c r="BM425" s="67"/>
      <c r="BN425" s="67"/>
      <c r="BO425" s="67"/>
      <c r="BP425" s="67"/>
      <c r="BQ425" s="67"/>
      <c r="BR425" s="67"/>
      <c r="BS425" s="67"/>
      <c r="BT425" s="67"/>
    </row>
    <row r="426" spans="1:72" ht="12" customHeight="1" x14ac:dyDescent="0.15">
      <c r="A426" s="67"/>
      <c r="B426" s="67"/>
      <c r="C426" s="67"/>
      <c r="D426" s="67"/>
      <c r="E426" s="67"/>
      <c r="F426" s="67"/>
      <c r="G426" s="67"/>
      <c r="H426" s="67"/>
      <c r="I426" s="67"/>
      <c r="J426" s="186"/>
      <c r="K426" s="186"/>
      <c r="L426" s="186"/>
      <c r="M426" s="186"/>
      <c r="N426" s="186"/>
      <c r="O426" s="186"/>
      <c r="P426" s="186"/>
      <c r="Q426" s="186"/>
      <c r="R426" s="67"/>
      <c r="S426" s="67"/>
      <c r="T426" s="67"/>
      <c r="U426" s="67"/>
      <c r="V426" s="67"/>
      <c r="W426" s="67"/>
      <c r="X426" s="67"/>
      <c r="Y426" s="67"/>
      <c r="Z426" s="67"/>
      <c r="AA426" s="67"/>
      <c r="AB426" s="67"/>
      <c r="AC426" s="67"/>
      <c r="AD426" s="67"/>
      <c r="AE426" s="67"/>
      <c r="AF426" s="67"/>
      <c r="AG426" s="67"/>
      <c r="AH426" s="67"/>
      <c r="AI426" s="67"/>
      <c r="AJ426" s="67"/>
      <c r="AK426" s="67"/>
      <c r="AL426" s="67"/>
      <c r="AM426" s="67"/>
      <c r="AN426" s="67"/>
      <c r="AO426" s="67"/>
      <c r="BF426" s="67"/>
      <c r="BG426" s="67"/>
      <c r="BH426" s="67"/>
      <c r="BI426" s="67"/>
      <c r="BJ426" s="67"/>
      <c r="BK426" s="67"/>
      <c r="BL426" s="67"/>
      <c r="BM426" s="67"/>
      <c r="BN426" s="67"/>
      <c r="BO426" s="67"/>
      <c r="BP426" s="67"/>
      <c r="BQ426" s="67"/>
      <c r="BR426" s="67"/>
      <c r="BS426" s="67"/>
      <c r="BT426" s="67"/>
    </row>
    <row r="427" spans="1:72" ht="12" customHeight="1" x14ac:dyDescent="0.15">
      <c r="A427" s="67"/>
      <c r="B427" s="67"/>
      <c r="C427" s="67"/>
      <c r="D427" s="67"/>
      <c r="E427" s="67"/>
      <c r="F427" s="67"/>
      <c r="G427" s="67"/>
      <c r="H427" s="67"/>
      <c r="I427" s="67"/>
      <c r="J427" s="186"/>
      <c r="K427" s="186"/>
      <c r="L427" s="186"/>
      <c r="M427" s="186"/>
      <c r="N427" s="186"/>
      <c r="O427" s="186"/>
      <c r="P427" s="186"/>
      <c r="Q427" s="186"/>
      <c r="R427" s="67"/>
      <c r="S427" s="67"/>
      <c r="T427" s="67"/>
      <c r="U427" s="67"/>
      <c r="V427" s="67"/>
      <c r="W427" s="67"/>
      <c r="X427" s="67"/>
      <c r="Y427" s="67"/>
      <c r="Z427" s="67"/>
      <c r="AA427" s="67"/>
      <c r="AB427" s="67"/>
      <c r="AC427" s="67"/>
      <c r="AD427" s="67"/>
      <c r="AE427" s="67"/>
      <c r="AF427" s="67"/>
      <c r="AG427" s="67"/>
      <c r="AH427" s="67"/>
      <c r="AI427" s="67"/>
      <c r="AJ427" s="67"/>
      <c r="AK427" s="67"/>
      <c r="AL427" s="67"/>
      <c r="AM427" s="67"/>
      <c r="AN427" s="67"/>
      <c r="AO427" s="67"/>
      <c r="BF427" s="67"/>
      <c r="BG427" s="67"/>
      <c r="BH427" s="67"/>
      <c r="BI427" s="67"/>
      <c r="BJ427" s="67"/>
      <c r="BK427" s="67"/>
      <c r="BL427" s="67"/>
      <c r="BM427" s="67"/>
      <c r="BN427" s="67"/>
      <c r="BO427" s="67"/>
      <c r="BP427" s="67"/>
      <c r="BQ427" s="67"/>
      <c r="BR427" s="67"/>
      <c r="BS427" s="67"/>
      <c r="BT427" s="67"/>
    </row>
    <row r="428" spans="1:72" ht="12" customHeight="1" x14ac:dyDescent="0.15">
      <c r="A428" s="67"/>
      <c r="B428" s="67"/>
      <c r="C428" s="67"/>
      <c r="D428" s="67"/>
      <c r="E428" s="67"/>
      <c r="F428" s="67"/>
      <c r="G428" s="67"/>
      <c r="H428" s="67"/>
      <c r="I428" s="67"/>
      <c r="J428" s="186"/>
      <c r="K428" s="186"/>
      <c r="L428" s="186"/>
      <c r="M428" s="186"/>
      <c r="N428" s="186"/>
      <c r="O428" s="186"/>
      <c r="P428" s="186"/>
      <c r="Q428" s="186"/>
      <c r="R428" s="67"/>
      <c r="S428" s="67"/>
      <c r="T428" s="67"/>
      <c r="U428" s="67"/>
      <c r="V428" s="67"/>
      <c r="W428" s="67"/>
      <c r="X428" s="67"/>
      <c r="Y428" s="67"/>
      <c r="Z428" s="67"/>
      <c r="AA428" s="67"/>
      <c r="AB428" s="67"/>
      <c r="AC428" s="67"/>
      <c r="AD428" s="67"/>
      <c r="AE428" s="67"/>
      <c r="AF428" s="67"/>
      <c r="AG428" s="67"/>
      <c r="AH428" s="67"/>
      <c r="AI428" s="67"/>
      <c r="AJ428" s="67"/>
      <c r="AK428" s="67"/>
      <c r="AL428" s="67"/>
      <c r="AM428" s="67"/>
      <c r="AN428" s="67"/>
      <c r="AO428" s="67"/>
      <c r="BF428" s="67"/>
      <c r="BG428" s="67"/>
      <c r="BH428" s="67"/>
      <c r="BI428" s="67"/>
      <c r="BJ428" s="67"/>
      <c r="BK428" s="67"/>
      <c r="BL428" s="67"/>
      <c r="BM428" s="67"/>
      <c r="BN428" s="67"/>
      <c r="BO428" s="67"/>
      <c r="BP428" s="67"/>
      <c r="BQ428" s="67"/>
      <c r="BR428" s="67"/>
      <c r="BS428" s="67"/>
      <c r="BT428" s="67"/>
    </row>
    <row r="429" spans="1:72" ht="12" customHeight="1" x14ac:dyDescent="0.15">
      <c r="A429" s="67"/>
      <c r="B429" s="67"/>
      <c r="C429" s="67"/>
      <c r="D429" s="67"/>
      <c r="E429" s="67"/>
      <c r="F429" s="67"/>
      <c r="G429" s="67"/>
      <c r="H429" s="67"/>
      <c r="I429" s="67"/>
      <c r="J429" s="186"/>
      <c r="K429" s="186"/>
      <c r="L429" s="186"/>
      <c r="M429" s="186"/>
      <c r="N429" s="186"/>
      <c r="O429" s="186"/>
      <c r="P429" s="186"/>
      <c r="Q429" s="186"/>
      <c r="R429" s="67"/>
      <c r="S429" s="67"/>
      <c r="T429" s="67"/>
      <c r="U429" s="67"/>
      <c r="V429" s="67"/>
      <c r="W429" s="67"/>
      <c r="X429" s="67"/>
      <c r="Y429" s="67"/>
      <c r="Z429" s="67"/>
      <c r="AA429" s="67"/>
      <c r="AB429" s="67"/>
      <c r="AC429" s="67"/>
      <c r="AD429" s="67"/>
      <c r="AE429" s="67"/>
      <c r="AF429" s="67"/>
      <c r="AG429" s="67"/>
      <c r="AH429" s="67"/>
      <c r="AI429" s="67"/>
      <c r="AJ429" s="67"/>
      <c r="AK429" s="67"/>
      <c r="AL429" s="67"/>
      <c r="AM429" s="67"/>
      <c r="AN429" s="67"/>
      <c r="AO429" s="67"/>
      <c r="BF429" s="67"/>
      <c r="BG429" s="67"/>
      <c r="BH429" s="67"/>
      <c r="BI429" s="67"/>
      <c r="BJ429" s="67"/>
      <c r="BK429" s="67"/>
      <c r="BL429" s="67"/>
      <c r="BM429" s="67"/>
      <c r="BN429" s="67"/>
      <c r="BO429" s="67"/>
      <c r="BP429" s="67"/>
      <c r="BQ429" s="67"/>
      <c r="BR429" s="67"/>
      <c r="BS429" s="67"/>
      <c r="BT429" s="67"/>
    </row>
    <row r="430" spans="1:72" ht="12" customHeight="1" x14ac:dyDescent="0.15">
      <c r="A430" s="67"/>
      <c r="B430" s="67"/>
      <c r="C430" s="67"/>
      <c r="D430" s="67"/>
      <c r="E430" s="67"/>
      <c r="F430" s="67"/>
      <c r="G430" s="67"/>
      <c r="H430" s="67"/>
      <c r="I430" s="67"/>
      <c r="J430" s="186"/>
      <c r="K430" s="186"/>
      <c r="L430" s="186"/>
      <c r="M430" s="186"/>
      <c r="N430" s="186"/>
      <c r="O430" s="186"/>
      <c r="P430" s="186"/>
      <c r="Q430" s="186"/>
      <c r="R430" s="67"/>
      <c r="S430" s="67"/>
      <c r="T430" s="67"/>
      <c r="U430" s="67"/>
      <c r="V430" s="67"/>
      <c r="W430" s="67"/>
      <c r="X430" s="67"/>
      <c r="Y430" s="67"/>
      <c r="Z430" s="67"/>
      <c r="AA430" s="67"/>
      <c r="AB430" s="67"/>
      <c r="AC430" s="67"/>
      <c r="AD430" s="67"/>
      <c r="AE430" s="67"/>
      <c r="AF430" s="67"/>
      <c r="AG430" s="67"/>
      <c r="AH430" s="67"/>
      <c r="AI430" s="67"/>
      <c r="AJ430" s="67"/>
      <c r="AK430" s="67"/>
      <c r="AL430" s="67"/>
      <c r="AM430" s="67"/>
      <c r="AN430" s="67"/>
      <c r="AO430" s="67"/>
      <c r="BF430" s="67"/>
      <c r="BG430" s="67"/>
      <c r="BH430" s="67"/>
      <c r="BI430" s="67"/>
      <c r="BJ430" s="67"/>
      <c r="BK430" s="67"/>
      <c r="BL430" s="67"/>
      <c r="BM430" s="67"/>
      <c r="BN430" s="67"/>
      <c r="BO430" s="67"/>
      <c r="BP430" s="67"/>
      <c r="BQ430" s="67"/>
      <c r="BR430" s="67"/>
      <c r="BS430" s="67"/>
      <c r="BT430" s="67"/>
    </row>
    <row r="431" spans="1:72" ht="12" customHeight="1" x14ac:dyDescent="0.15">
      <c r="A431" s="67"/>
      <c r="B431" s="67"/>
      <c r="C431" s="67"/>
      <c r="D431" s="67"/>
      <c r="E431" s="67"/>
      <c r="F431" s="67"/>
      <c r="G431" s="67"/>
      <c r="H431" s="67"/>
      <c r="I431" s="67"/>
      <c r="J431" s="186"/>
      <c r="K431" s="186"/>
      <c r="L431" s="186"/>
      <c r="M431" s="186"/>
      <c r="N431" s="186"/>
      <c r="O431" s="186"/>
      <c r="P431" s="186"/>
      <c r="Q431" s="186"/>
      <c r="R431" s="67"/>
      <c r="S431" s="67"/>
      <c r="T431" s="67"/>
      <c r="U431" s="67"/>
      <c r="V431" s="67"/>
      <c r="W431" s="67"/>
      <c r="X431" s="67"/>
      <c r="Y431" s="67"/>
      <c r="Z431" s="67"/>
      <c r="AA431" s="67"/>
      <c r="AB431" s="67"/>
      <c r="AC431" s="67"/>
      <c r="AD431" s="67"/>
      <c r="AE431" s="67"/>
      <c r="AF431" s="67"/>
      <c r="AG431" s="67"/>
      <c r="AH431" s="67"/>
      <c r="AI431" s="67"/>
      <c r="AJ431" s="67"/>
      <c r="AK431" s="67"/>
      <c r="AL431" s="67"/>
      <c r="AM431" s="67"/>
      <c r="AN431" s="67"/>
      <c r="AO431" s="67"/>
      <c r="BF431" s="67"/>
      <c r="BG431" s="67"/>
      <c r="BH431" s="67"/>
      <c r="BI431" s="67"/>
      <c r="BJ431" s="67"/>
      <c r="BK431" s="67"/>
      <c r="BL431" s="67"/>
      <c r="BM431" s="67"/>
      <c r="BN431" s="67"/>
      <c r="BO431" s="67"/>
      <c r="BP431" s="67"/>
      <c r="BQ431" s="67"/>
      <c r="BR431" s="67"/>
      <c r="BS431" s="67"/>
      <c r="BT431" s="67"/>
    </row>
    <row r="432" spans="1:72" ht="12" customHeight="1" x14ac:dyDescent="0.15">
      <c r="A432" s="67"/>
      <c r="B432" s="67"/>
      <c r="C432" s="67"/>
      <c r="D432" s="67"/>
      <c r="E432" s="67"/>
      <c r="F432" s="67"/>
      <c r="G432" s="67"/>
      <c r="H432" s="67"/>
      <c r="I432" s="67"/>
      <c r="J432" s="186"/>
      <c r="K432" s="186"/>
      <c r="L432" s="186"/>
      <c r="M432" s="186"/>
      <c r="N432" s="186"/>
      <c r="O432" s="186"/>
      <c r="P432" s="186"/>
      <c r="Q432" s="186"/>
      <c r="R432" s="67"/>
      <c r="S432" s="67"/>
      <c r="T432" s="67"/>
      <c r="U432" s="67"/>
      <c r="V432" s="67"/>
      <c r="W432" s="67"/>
      <c r="X432" s="67"/>
      <c r="Y432" s="67"/>
      <c r="Z432" s="67"/>
      <c r="AA432" s="67"/>
      <c r="AB432" s="67"/>
      <c r="AC432" s="67"/>
      <c r="AD432" s="67"/>
      <c r="AE432" s="67"/>
      <c r="AF432" s="67"/>
      <c r="AG432" s="67"/>
      <c r="AH432" s="67"/>
      <c r="AI432" s="67"/>
      <c r="AJ432" s="67"/>
      <c r="AK432" s="67"/>
      <c r="AL432" s="67"/>
      <c r="AM432" s="67"/>
      <c r="AN432" s="67"/>
      <c r="AO432" s="67"/>
      <c r="BF432" s="67"/>
      <c r="BG432" s="67"/>
      <c r="BH432" s="67"/>
      <c r="BI432" s="67"/>
      <c r="BJ432" s="67"/>
      <c r="BK432" s="67"/>
      <c r="BL432" s="67"/>
      <c r="BM432" s="67"/>
      <c r="BN432" s="67"/>
      <c r="BO432" s="67"/>
      <c r="BP432" s="67"/>
      <c r="BQ432" s="67"/>
      <c r="BR432" s="67"/>
      <c r="BS432" s="67"/>
      <c r="BT432" s="67"/>
    </row>
    <row r="433" spans="1:72" ht="12" customHeight="1" x14ac:dyDescent="0.15">
      <c r="A433" s="67"/>
      <c r="B433" s="67"/>
      <c r="C433" s="67"/>
      <c r="D433" s="67"/>
      <c r="E433" s="67"/>
      <c r="F433" s="67"/>
      <c r="G433" s="67"/>
      <c r="H433" s="67"/>
      <c r="I433" s="67"/>
      <c r="J433" s="186"/>
      <c r="K433" s="186"/>
      <c r="L433" s="186"/>
      <c r="M433" s="186"/>
      <c r="N433" s="186"/>
      <c r="O433" s="186"/>
      <c r="P433" s="186"/>
      <c r="Q433" s="186"/>
      <c r="R433" s="67"/>
      <c r="S433" s="67"/>
      <c r="T433" s="67"/>
      <c r="U433" s="67"/>
      <c r="V433" s="67"/>
      <c r="W433" s="67"/>
      <c r="X433" s="67"/>
      <c r="Y433" s="67"/>
      <c r="Z433" s="67"/>
      <c r="AA433" s="67"/>
      <c r="AB433" s="67"/>
      <c r="AC433" s="67"/>
      <c r="AD433" s="67"/>
      <c r="AE433" s="67"/>
      <c r="AF433" s="67"/>
      <c r="AG433" s="67"/>
      <c r="AH433" s="67"/>
      <c r="AI433" s="67"/>
      <c r="AJ433" s="67"/>
      <c r="AK433" s="67"/>
      <c r="AL433" s="67"/>
      <c r="AM433" s="67"/>
      <c r="AN433" s="67"/>
      <c r="AO433" s="67"/>
      <c r="BF433" s="67"/>
      <c r="BG433" s="67"/>
      <c r="BH433" s="67"/>
      <c r="BI433" s="67"/>
      <c r="BJ433" s="67"/>
      <c r="BK433" s="67"/>
      <c r="BL433" s="67"/>
      <c r="BM433" s="67"/>
      <c r="BN433" s="67"/>
      <c r="BO433" s="67"/>
      <c r="BP433" s="67"/>
      <c r="BQ433" s="67"/>
      <c r="BR433" s="67"/>
      <c r="BS433" s="67"/>
      <c r="BT433" s="67"/>
    </row>
    <row r="434" spans="1:72" ht="12" customHeight="1" x14ac:dyDescent="0.15">
      <c r="A434" s="67"/>
      <c r="B434" s="67"/>
      <c r="C434" s="67"/>
      <c r="D434" s="67"/>
      <c r="E434" s="67"/>
      <c r="F434" s="67"/>
      <c r="G434" s="67"/>
      <c r="H434" s="67"/>
      <c r="I434" s="67"/>
      <c r="J434" s="186"/>
      <c r="K434" s="186"/>
      <c r="L434" s="186"/>
      <c r="M434" s="186"/>
      <c r="N434" s="186"/>
      <c r="O434" s="186"/>
      <c r="P434" s="186"/>
      <c r="Q434" s="186"/>
      <c r="R434" s="67"/>
      <c r="S434" s="67"/>
      <c r="T434" s="67"/>
      <c r="U434" s="67"/>
      <c r="V434" s="67"/>
      <c r="W434" s="67"/>
      <c r="X434" s="67"/>
      <c r="Y434" s="67"/>
      <c r="Z434" s="67"/>
      <c r="AA434" s="67"/>
      <c r="AB434" s="67"/>
      <c r="AC434" s="67"/>
      <c r="AD434" s="67"/>
      <c r="AE434" s="67"/>
      <c r="AF434" s="67"/>
      <c r="AG434" s="67"/>
      <c r="AH434" s="67"/>
      <c r="AI434" s="67"/>
      <c r="AJ434" s="67"/>
      <c r="AK434" s="67"/>
      <c r="AL434" s="67"/>
      <c r="AM434" s="67"/>
      <c r="AN434" s="67"/>
      <c r="AO434" s="67"/>
      <c r="BF434" s="67"/>
      <c r="BG434" s="67"/>
      <c r="BH434" s="67"/>
      <c r="BI434" s="67"/>
      <c r="BJ434" s="67"/>
      <c r="BK434" s="67"/>
      <c r="BL434" s="67"/>
      <c r="BM434" s="67"/>
      <c r="BN434" s="67"/>
      <c r="BO434" s="67"/>
      <c r="BP434" s="67"/>
      <c r="BQ434" s="67"/>
      <c r="BR434" s="67"/>
      <c r="BS434" s="67"/>
      <c r="BT434" s="67"/>
    </row>
    <row r="435" spans="1:72" ht="12" customHeight="1" x14ac:dyDescent="0.15">
      <c r="A435" s="67"/>
      <c r="B435" s="67"/>
      <c r="C435" s="67"/>
      <c r="D435" s="67"/>
      <c r="E435" s="67"/>
      <c r="F435" s="67"/>
      <c r="G435" s="67"/>
      <c r="H435" s="67"/>
      <c r="I435" s="67"/>
      <c r="J435" s="186"/>
      <c r="K435" s="186"/>
      <c r="L435" s="186"/>
      <c r="M435" s="186"/>
      <c r="N435" s="186"/>
      <c r="O435" s="186"/>
      <c r="P435" s="186"/>
      <c r="Q435" s="186"/>
      <c r="R435" s="67"/>
      <c r="S435" s="67"/>
      <c r="T435" s="67"/>
      <c r="U435" s="67"/>
      <c r="V435" s="67"/>
      <c r="W435" s="67"/>
      <c r="X435" s="67"/>
      <c r="Y435" s="67"/>
      <c r="Z435" s="67"/>
      <c r="AA435" s="67"/>
      <c r="AB435" s="67"/>
      <c r="AC435" s="67"/>
      <c r="AD435" s="67"/>
      <c r="AE435" s="67"/>
      <c r="AF435" s="67"/>
      <c r="AG435" s="67"/>
      <c r="AH435" s="67"/>
      <c r="AI435" s="67"/>
      <c r="AJ435" s="67"/>
      <c r="AK435" s="67"/>
      <c r="AL435" s="67"/>
      <c r="AM435" s="67"/>
      <c r="AN435" s="67"/>
      <c r="AO435" s="67"/>
    </row>
    <row r="436" spans="1:72" ht="12" customHeight="1" x14ac:dyDescent="0.15">
      <c r="A436" s="67"/>
      <c r="B436" s="67"/>
      <c r="C436" s="67"/>
      <c r="D436" s="67"/>
      <c r="E436" s="67"/>
      <c r="F436" s="67"/>
      <c r="G436" s="67"/>
      <c r="H436" s="67"/>
      <c r="I436" s="67"/>
      <c r="J436" s="186"/>
      <c r="K436" s="186"/>
      <c r="L436" s="186"/>
      <c r="M436" s="186"/>
      <c r="N436" s="186"/>
      <c r="O436" s="186"/>
      <c r="P436" s="186"/>
      <c r="Q436" s="186"/>
      <c r="R436" s="67"/>
      <c r="S436" s="67"/>
      <c r="T436" s="67"/>
      <c r="U436" s="67"/>
      <c r="V436" s="67"/>
      <c r="W436" s="67"/>
      <c r="X436" s="67"/>
      <c r="Y436" s="67"/>
      <c r="Z436" s="67"/>
      <c r="AA436" s="67"/>
      <c r="AB436" s="67"/>
      <c r="AC436" s="67"/>
      <c r="AD436" s="67"/>
      <c r="AE436" s="67"/>
      <c r="AF436" s="67"/>
      <c r="AG436" s="67"/>
      <c r="AH436" s="67"/>
      <c r="AI436" s="67"/>
      <c r="AJ436" s="67"/>
      <c r="AK436" s="67"/>
      <c r="AL436" s="67"/>
      <c r="AM436" s="67"/>
      <c r="AN436" s="67"/>
      <c r="AO436" s="67"/>
    </row>
  </sheetData>
  <mergeCells count="18">
    <mergeCell ref="AT270:BO271"/>
    <mergeCell ref="AT3:BA3"/>
    <mergeCell ref="S3:Z3"/>
    <mergeCell ref="G3:J3"/>
    <mergeCell ref="S270:AN271"/>
    <mergeCell ref="BL3:BO3"/>
    <mergeCell ref="BI3:BK3"/>
    <mergeCell ref="BB3:BH3"/>
    <mergeCell ref="R1:AC1"/>
    <mergeCell ref="AQ3:AR3"/>
    <mergeCell ref="M3:O3"/>
    <mergeCell ref="AN1:AO1"/>
    <mergeCell ref="AA3:AG3"/>
    <mergeCell ref="AK3:AN3"/>
    <mergeCell ref="AH3:AJ3"/>
    <mergeCell ref="A1:Q1"/>
    <mergeCell ref="K3:L3"/>
    <mergeCell ref="AD1:AM1"/>
  </mergeCells>
  <pageMargins left="0.75" right="0.75" top="1" bottom="1" header="0.511811023622047" footer="0.511811023622047"/>
  <pageSetup paperSize="9" orientation="portrait" horizontalDpi="300" verticalDpi="300"/>
  <drawing r:id="rId1"/>
  <mc:AlternateContent xmlns:mc="http://schemas.openxmlformats.org/markup-compatibility/2006">
    <mc:Choice Requires="v">
      <legacyDrawing r:id="rId2"/>
    </mc:Choice>
  </mc:AlternateContent>
</worksheet>
</file>

<file path=xl/worksheets/sheet8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BABA"/>
  </sheetPr>
  <dimension ref="A1:BU436"/>
  <sheetViews>
    <sheetView topLeftCell="A2" zoomScale="78" zoomScaleNormal="78" workbookViewId="0">
      <selection activeCell="AF9" sqref="AF9"/>
    </sheetView>
  </sheetViews>
  <sheetFormatPr baseColWidth="10" defaultColWidth="8.83203125" defaultRowHeight="13" x14ac:dyDescent="0.15"/>
  <cols>
    <col min="2" max="2" width="9.33203125" customWidth="1"/>
    <col min="3" max="6" width="10.33203125" customWidth="1"/>
    <col min="7" max="7" width="15.1640625" customWidth="1"/>
    <col min="8" max="8" width="14" customWidth="1"/>
    <col min="9" max="9" width="12" customWidth="1"/>
    <col min="10" max="12" width="14.5" style="182" customWidth="1"/>
    <col min="13" max="13" width="16.6640625" style="182" customWidth="1"/>
    <col min="14" max="14" width="15.5" style="182" customWidth="1"/>
    <col min="15" max="15" width="16.83203125" style="182" customWidth="1"/>
    <col min="16" max="16" width="10.5" style="182" customWidth="1"/>
    <col min="17" max="17" width="8.6640625" style="182" customWidth="1"/>
    <col min="18" max="39" width="13.5" customWidth="1"/>
    <col min="40" max="43" width="9.1640625" style="67" customWidth="1"/>
    <col min="44" max="44" width="14.1640625" style="67" customWidth="1"/>
    <col min="45" max="45" width="12.5" style="67" customWidth="1"/>
    <col min="46" max="48" width="11.83203125" style="67" customWidth="1"/>
    <col min="49" max="49" width="13" style="67" customWidth="1"/>
    <col min="50" max="50" width="10.33203125" style="67" customWidth="1"/>
    <col min="51" max="51" width="9.33203125" style="67" customWidth="1"/>
    <col min="52" max="52" width="11" style="67" customWidth="1"/>
    <col min="53" max="53" width="13" style="67" customWidth="1"/>
    <col min="54" max="54" width="9.1640625" style="67" customWidth="1"/>
    <col min="55" max="55" width="10.33203125" style="67" customWidth="1"/>
    <col min="56" max="56" width="11.6640625" style="67" customWidth="1"/>
    <col min="57" max="57" width="9.1640625" style="67" customWidth="1"/>
    <col min="58" max="58" width="10.33203125" style="67" customWidth="1"/>
    <col min="59" max="59" width="11.83203125" customWidth="1"/>
    <col min="60" max="60" width="13" customWidth="1"/>
    <col min="61" max="61" width="12.5" customWidth="1"/>
    <col min="62" max="62" width="11.5" customWidth="1"/>
    <col min="63" max="63" width="11.1640625" customWidth="1"/>
    <col min="64" max="64" width="9.1640625" customWidth="1"/>
    <col min="65" max="66" width="11.5" customWidth="1"/>
    <col min="67" max="68" width="9.1640625" customWidth="1"/>
  </cols>
  <sheetData>
    <row r="1" spans="1:73" s="185" customFormat="1" ht="18" customHeight="1" x14ac:dyDescent="0.2">
      <c r="A1" s="564" t="s">
        <v>697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59"/>
      <c r="S1" s="560"/>
      <c r="T1" s="560"/>
      <c r="U1" s="560"/>
      <c r="V1" s="560"/>
      <c r="W1" s="560"/>
      <c r="X1" s="560"/>
      <c r="Y1" s="560"/>
      <c r="Z1" s="560"/>
      <c r="AA1" s="560"/>
      <c r="AB1" s="564"/>
      <c r="AC1" s="560"/>
      <c r="AD1" s="560"/>
      <c r="AE1" s="560"/>
      <c r="AF1" s="560"/>
      <c r="AG1" s="560"/>
      <c r="AH1" s="560"/>
      <c r="AI1" s="560"/>
      <c r="AJ1" s="560"/>
      <c r="AK1" s="560"/>
      <c r="AL1" s="564"/>
      <c r="AM1" s="560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4"/>
      <c r="BA1" s="184"/>
      <c r="BB1" s="184"/>
      <c r="BC1" s="184"/>
      <c r="BD1" s="184"/>
      <c r="BE1" s="184"/>
      <c r="BF1" s="184"/>
      <c r="BG1" s="184"/>
      <c r="BH1" s="184"/>
      <c r="BI1" s="184"/>
      <c r="BJ1" s="184"/>
      <c r="BK1" s="184"/>
      <c r="BL1" s="184"/>
      <c r="BM1" s="184"/>
      <c r="BN1" s="184"/>
      <c r="BO1" s="184"/>
      <c r="BP1" s="184"/>
    </row>
    <row r="2" spans="1:73" ht="19.5" customHeight="1" x14ac:dyDescent="0.25">
      <c r="A2" s="67"/>
      <c r="B2" s="67"/>
      <c r="C2" s="67"/>
      <c r="D2" s="67"/>
      <c r="E2" s="67"/>
      <c r="F2" s="67"/>
      <c r="G2" s="67"/>
      <c r="H2" s="67"/>
      <c r="I2" s="67"/>
      <c r="J2" s="186"/>
      <c r="K2" s="186"/>
      <c r="L2" s="186"/>
      <c r="M2" s="186"/>
      <c r="N2" s="186"/>
      <c r="O2" s="186"/>
      <c r="P2" s="186"/>
      <c r="Q2" s="186"/>
      <c r="R2" s="187"/>
      <c r="S2" s="188" t="s">
        <v>698</v>
      </c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R2" s="188" t="s">
        <v>699</v>
      </c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</row>
    <row r="3" spans="1:73" s="194" customFormat="1" ht="57" customHeight="1" thickBot="1" x14ac:dyDescent="0.25">
      <c r="A3" s="189"/>
      <c r="B3" s="190"/>
      <c r="C3" s="190"/>
      <c r="D3" s="190"/>
      <c r="E3" s="190"/>
      <c r="F3" s="190"/>
      <c r="G3" s="569" t="s">
        <v>654</v>
      </c>
      <c r="H3" s="562"/>
      <c r="I3" s="562"/>
      <c r="J3" s="562"/>
      <c r="K3" s="563" t="s">
        <v>655</v>
      </c>
      <c r="L3" s="562"/>
      <c r="M3" s="563" t="s">
        <v>656</v>
      </c>
      <c r="N3" s="562"/>
      <c r="O3" s="562"/>
      <c r="P3" s="192"/>
      <c r="Q3" s="193"/>
      <c r="R3" s="191"/>
      <c r="S3" s="565" t="s">
        <v>657</v>
      </c>
      <c r="T3" s="566"/>
      <c r="U3" s="566"/>
      <c r="V3" s="566"/>
      <c r="W3" s="566"/>
      <c r="X3" s="566"/>
      <c r="Y3" s="566"/>
      <c r="Z3" s="566"/>
      <c r="AA3" s="565" t="s">
        <v>658</v>
      </c>
      <c r="AB3" s="566"/>
      <c r="AC3" s="566"/>
      <c r="AD3" s="566"/>
      <c r="AE3" s="566"/>
      <c r="AF3" s="566"/>
      <c r="AG3" s="566"/>
      <c r="AH3" s="567" t="s">
        <v>80</v>
      </c>
      <c r="AI3" s="566"/>
      <c r="AJ3" s="566"/>
      <c r="AK3" s="569" t="s">
        <v>659</v>
      </c>
      <c r="AL3" s="562"/>
      <c r="AM3" s="562"/>
      <c r="AN3" s="562"/>
      <c r="AO3" s="262"/>
      <c r="AP3" s="570" t="s">
        <v>660</v>
      </c>
      <c r="AQ3" s="562"/>
      <c r="AR3" s="562"/>
      <c r="AS3" s="263"/>
      <c r="AT3" s="565" t="s">
        <v>657</v>
      </c>
      <c r="AU3" s="566"/>
      <c r="AV3" s="566"/>
      <c r="AW3" s="566"/>
      <c r="AX3" s="566"/>
      <c r="AY3" s="566"/>
      <c r="AZ3" s="566"/>
      <c r="BA3" s="566"/>
      <c r="BB3" s="565" t="s">
        <v>658</v>
      </c>
      <c r="BC3" s="566"/>
      <c r="BD3" s="566"/>
      <c r="BE3" s="566"/>
      <c r="BF3" s="566"/>
      <c r="BG3" s="566"/>
      <c r="BH3" s="566"/>
      <c r="BI3" s="264"/>
      <c r="BJ3" s="265" t="s">
        <v>80</v>
      </c>
      <c r="BK3" s="265"/>
      <c r="BL3" s="265"/>
      <c r="BM3" s="565" t="s">
        <v>659</v>
      </c>
      <c r="BN3" s="566"/>
      <c r="BO3" s="566"/>
      <c r="BP3" s="266"/>
    </row>
    <row r="4" spans="1:73" s="194" customFormat="1" ht="65.25" customHeight="1" thickBot="1" x14ac:dyDescent="0.2">
      <c r="A4" s="196" t="s">
        <v>661</v>
      </c>
      <c r="B4" s="197" t="s">
        <v>662</v>
      </c>
      <c r="C4" s="197" t="s">
        <v>663</v>
      </c>
      <c r="D4" s="197" t="s">
        <v>664</v>
      </c>
      <c r="E4" s="197" t="s">
        <v>665</v>
      </c>
      <c r="F4" s="190"/>
      <c r="G4" s="198" t="s">
        <v>666</v>
      </c>
      <c r="H4" s="199" t="s">
        <v>667</v>
      </c>
      <c r="I4" s="200" t="s">
        <v>668</v>
      </c>
      <c r="J4" s="201" t="s">
        <v>669</v>
      </c>
      <c r="K4" s="202" t="s">
        <v>670</v>
      </c>
      <c r="L4" s="203" t="s">
        <v>671</v>
      </c>
      <c r="M4" s="202" t="s">
        <v>666</v>
      </c>
      <c r="N4" s="204" t="s">
        <v>667</v>
      </c>
      <c r="O4" s="203" t="s">
        <v>668</v>
      </c>
      <c r="R4" s="202"/>
      <c r="S4" s="205" t="s">
        <v>672</v>
      </c>
      <c r="T4" s="206" t="s">
        <v>673</v>
      </c>
      <c r="U4" s="207" t="s">
        <v>674</v>
      </c>
      <c r="V4" s="206" t="s">
        <v>675</v>
      </c>
      <c r="W4" s="207" t="s">
        <v>676</v>
      </c>
      <c r="X4" s="207" t="s">
        <v>677</v>
      </c>
      <c r="Y4" s="208" t="s">
        <v>678</v>
      </c>
      <c r="Z4" s="209" t="s">
        <v>679</v>
      </c>
      <c r="AA4" s="208" t="s">
        <v>680</v>
      </c>
      <c r="AB4" s="207" t="s">
        <v>681</v>
      </c>
      <c r="AC4" s="207" t="s">
        <v>682</v>
      </c>
      <c r="AD4" s="207" t="s">
        <v>683</v>
      </c>
      <c r="AE4" s="208" t="s">
        <v>684</v>
      </c>
      <c r="AF4" s="208" t="s">
        <v>685</v>
      </c>
      <c r="AG4" s="209" t="s">
        <v>686</v>
      </c>
      <c r="AH4" s="210" t="s">
        <v>687</v>
      </c>
      <c r="AI4" s="205" t="s">
        <v>688</v>
      </c>
      <c r="AJ4" s="211" t="s">
        <v>689</v>
      </c>
      <c r="AK4" s="206" t="s">
        <v>690</v>
      </c>
      <c r="AL4" s="210" t="s">
        <v>691</v>
      </c>
      <c r="AM4" s="205" t="s">
        <v>692</v>
      </c>
      <c r="AN4" s="210" t="s">
        <v>693</v>
      </c>
      <c r="AO4" s="202"/>
      <c r="AP4" s="212" t="s">
        <v>694</v>
      </c>
      <c r="AQ4" s="212" t="s">
        <v>9</v>
      </c>
      <c r="AR4" s="212" t="s">
        <v>695</v>
      </c>
      <c r="AS4" s="267"/>
      <c r="AT4" s="205" t="s">
        <v>672</v>
      </c>
      <c r="AU4" s="206" t="s">
        <v>673</v>
      </c>
      <c r="AV4" s="207" t="s">
        <v>674</v>
      </c>
      <c r="AW4" s="206" t="s">
        <v>675</v>
      </c>
      <c r="AX4" s="207" t="s">
        <v>676</v>
      </c>
      <c r="AY4" s="207" t="s">
        <v>677</v>
      </c>
      <c r="AZ4" s="208" t="s">
        <v>678</v>
      </c>
      <c r="BA4" s="209" t="s">
        <v>679</v>
      </c>
      <c r="BB4" s="208" t="s">
        <v>680</v>
      </c>
      <c r="BC4" s="207" t="s">
        <v>681</v>
      </c>
      <c r="BD4" s="207" t="s">
        <v>682</v>
      </c>
      <c r="BE4" s="207" t="s">
        <v>683</v>
      </c>
      <c r="BF4" s="208" t="s">
        <v>684</v>
      </c>
      <c r="BG4" s="208" t="s">
        <v>685</v>
      </c>
      <c r="BH4" s="209" t="s">
        <v>686</v>
      </c>
      <c r="BI4" s="210" t="s">
        <v>687</v>
      </c>
      <c r="BJ4" s="205" t="s">
        <v>688</v>
      </c>
      <c r="BK4" s="211" t="s">
        <v>689</v>
      </c>
      <c r="BL4" s="206" t="s">
        <v>690</v>
      </c>
      <c r="BM4" s="210" t="s">
        <v>691</v>
      </c>
      <c r="BN4" s="205" t="s">
        <v>692</v>
      </c>
      <c r="BO4" s="210" t="s">
        <v>693</v>
      </c>
    </row>
    <row r="5" spans="1:73" ht="12" customHeight="1" x14ac:dyDescent="0.15">
      <c r="A5" s="213"/>
      <c r="B5" s="67"/>
      <c r="C5" s="214"/>
      <c r="D5" s="214"/>
      <c r="E5" s="214"/>
      <c r="F5" s="214"/>
      <c r="G5" s="215"/>
      <c r="H5" s="214"/>
      <c r="I5" s="214"/>
      <c r="J5" s="216"/>
      <c r="K5" s="217"/>
      <c r="L5" s="216"/>
      <c r="M5" s="217"/>
      <c r="N5" s="217"/>
      <c r="O5" s="216"/>
      <c r="P5" s="217"/>
      <c r="Q5" s="217"/>
      <c r="R5" s="67"/>
      <c r="S5" s="218"/>
      <c r="T5" s="219"/>
      <c r="U5" s="219"/>
      <c r="V5" s="219"/>
      <c r="W5" s="219"/>
      <c r="X5" s="219"/>
      <c r="Y5" s="219"/>
      <c r="Z5" s="220"/>
      <c r="AA5" s="219"/>
      <c r="AB5" s="219"/>
      <c r="AC5" s="219"/>
      <c r="AD5" s="219"/>
      <c r="AE5" s="219"/>
      <c r="AF5" s="219"/>
      <c r="AG5" s="220"/>
      <c r="AH5" s="218"/>
      <c r="AI5" s="127"/>
      <c r="AJ5" s="220"/>
      <c r="AK5" s="219"/>
      <c r="AL5" s="127"/>
      <c r="AM5" s="221"/>
      <c r="AN5" s="222"/>
      <c r="AT5" s="218"/>
      <c r="AU5" s="219"/>
      <c r="AV5" s="219"/>
      <c r="AW5" s="219"/>
      <c r="AX5" s="219"/>
      <c r="AY5" s="219"/>
      <c r="AZ5" s="219"/>
      <c r="BA5" s="220"/>
      <c r="BB5" s="219"/>
      <c r="BC5" s="219"/>
      <c r="BD5" s="219"/>
      <c r="BE5" s="219"/>
      <c r="BF5" s="219"/>
      <c r="BG5" s="219"/>
      <c r="BH5" s="220"/>
      <c r="BI5" s="218"/>
      <c r="BJ5" s="127"/>
      <c r="BK5" s="220"/>
      <c r="BL5" s="219"/>
      <c r="BM5" s="127"/>
      <c r="BN5" s="221"/>
      <c r="BO5" s="222"/>
      <c r="BP5" s="67"/>
      <c r="BQ5" s="223"/>
      <c r="BR5" s="67"/>
      <c r="BS5" s="67"/>
      <c r="BT5" s="67"/>
      <c r="BU5" s="67"/>
    </row>
    <row r="6" spans="1:73" ht="12" customHeight="1" x14ac:dyDescent="0.15">
      <c r="A6" s="213">
        <v>0</v>
      </c>
      <c r="B6" s="67">
        <v>0</v>
      </c>
      <c r="C6" s="224">
        <v>0</v>
      </c>
      <c r="D6" s="225">
        <f ca="1">IFERROR(OFFSET(extrapolation!V15,0,OS_dist_choice-1,1,1),0)</f>
        <v>1</v>
      </c>
      <c r="E6" s="225">
        <f ca="1">IFERROR(OFFSET(extrapolation!J15,0,PFS_dist_choice-1,1,1),0)</f>
        <v>1</v>
      </c>
      <c r="F6" s="214"/>
      <c r="G6" s="226">
        <f>cohort_size</f>
        <v>1000</v>
      </c>
      <c r="H6" s="224">
        <f ca="1">cohort_size*MAX(0,D6-G6/cohort_size)</f>
        <v>0</v>
      </c>
      <c r="I6" s="224">
        <f t="shared" ref="I6:I69" ca="1" si="0">cohort_size*(1-D6)</f>
        <v>0</v>
      </c>
      <c r="J6" s="227">
        <f t="shared" ref="J6:J69" ca="1" si="1">G6+H6+I6</f>
        <v>1000</v>
      </c>
      <c r="K6" s="228"/>
      <c r="L6" s="228"/>
      <c r="M6" s="228"/>
      <c r="N6" s="228"/>
      <c r="O6" s="228"/>
      <c r="P6" s="217"/>
      <c r="Q6" s="217"/>
      <c r="R6" s="229"/>
      <c r="S6" s="230">
        <f>SD_drugacq_c1_placebo*G6</f>
        <v>1769080.4000000001</v>
      </c>
      <c r="T6" s="231">
        <f>SD_admin_c1_placebo*G6</f>
        <v>186997.37152000002</v>
      </c>
      <c r="U6" s="228"/>
      <c r="V6" s="231">
        <f>Productivity_lumpsum*G6</f>
        <v>13289272.776000001</v>
      </c>
      <c r="W6" s="228"/>
      <c r="X6" s="228"/>
      <c r="Y6" s="231">
        <f>AE_lumpsum_placebo*G6</f>
        <v>163353.90045807997</v>
      </c>
      <c r="Z6" s="232">
        <f t="shared" ref="Z6:Z69" si="2">SUM(S6:Y6)</f>
        <v>15408704.447978081</v>
      </c>
      <c r="AA6" s="231">
        <f t="shared" ref="AA6:AA69" si="3">PD_lumpsum_placebo*K6</f>
        <v>0</v>
      </c>
      <c r="AB6" s="228"/>
      <c r="AC6" s="228"/>
      <c r="AD6" s="228"/>
      <c r="AE6" s="231">
        <f t="shared" ref="AE6:AE69" si="4">End_of_life_costs_per_patient*L6</f>
        <v>0</v>
      </c>
      <c r="AF6" s="231">
        <f t="shared" ref="AF6:AF69" si="5">SUM(AA6:AE6)</f>
        <v>0</v>
      </c>
      <c r="AG6" s="232">
        <f t="shared" ref="AG6:AG69" si="6">Z6+AF6</f>
        <v>15408704.447978081</v>
      </c>
      <c r="AH6" s="228"/>
      <c r="AI6" s="228"/>
      <c r="AJ6" s="478"/>
      <c r="AK6" s="479"/>
      <c r="AL6" s="228"/>
      <c r="AM6" s="233">
        <f>QALY_lost_AE_placebo_lumpsum*G6</f>
        <v>2.3877618069815187</v>
      </c>
      <c r="AN6" s="234">
        <f t="shared" ref="AN6:AN69" si="7">AK6+AL6-AM6</f>
        <v>-2.3877618069815187</v>
      </c>
      <c r="AO6" s="229"/>
      <c r="AP6" s="235">
        <v>0</v>
      </c>
      <c r="AQ6" s="235">
        <f t="shared" ref="AQ6:AQ69" si="8">1/(1+cDR)^AP6</f>
        <v>1</v>
      </c>
      <c r="AR6" s="235">
        <f t="shared" ref="AR6:AR69" si="9">1/(1+oDR)^AP6</f>
        <v>1</v>
      </c>
      <c r="AT6" s="230">
        <f t="shared" ref="AT6:AT69" si="10">S6*AQ6</f>
        <v>1769080.4000000001</v>
      </c>
      <c r="AU6" s="231">
        <f t="shared" ref="AU6:AU69" si="11">T6*AQ6</f>
        <v>186997.37152000002</v>
      </c>
      <c r="AV6" s="228"/>
      <c r="AW6" s="231">
        <f>V6*AQ6</f>
        <v>13289272.776000001</v>
      </c>
      <c r="AX6" s="228"/>
      <c r="AY6" s="228"/>
      <c r="AZ6" s="231">
        <f>Y6*AQ6</f>
        <v>163353.90045807997</v>
      </c>
      <c r="BA6" s="232">
        <f t="shared" ref="BA6:BA69" si="12">Z6*AQ6</f>
        <v>15408704.447978081</v>
      </c>
      <c r="BB6" s="231">
        <f t="shared" ref="BB6:BB69" si="13">AA6*AQ6</f>
        <v>0</v>
      </c>
      <c r="BC6" s="228"/>
      <c r="BD6" s="228"/>
      <c r="BE6" s="228"/>
      <c r="BF6" s="231">
        <f t="shared" ref="BF6:BF69" si="14">AE6*AQ6</f>
        <v>0</v>
      </c>
      <c r="BG6" s="231">
        <f t="shared" ref="BG6:BG69" si="15">AF6*AQ6</f>
        <v>0</v>
      </c>
      <c r="BH6" s="232">
        <f t="shared" ref="BH6:BH69" si="16">AG6*AQ6</f>
        <v>15408704.447978081</v>
      </c>
      <c r="BI6" s="228"/>
      <c r="BJ6" s="228"/>
      <c r="BK6" s="480"/>
      <c r="BL6" s="228"/>
      <c r="BM6" s="228"/>
      <c r="BN6" s="233">
        <f t="shared" ref="BN6:BN69" si="17">AM6*AR6</f>
        <v>2.3877618069815187</v>
      </c>
      <c r="BO6" s="234">
        <f t="shared" ref="BO6:BO69" si="18">AN6*AR6</f>
        <v>-2.3877618069815187</v>
      </c>
      <c r="BP6" s="67"/>
      <c r="BQ6" s="67"/>
      <c r="BR6" s="67"/>
      <c r="BS6" s="67"/>
      <c r="BT6" s="67"/>
      <c r="BU6" s="67"/>
    </row>
    <row r="7" spans="1:73" ht="12" customHeight="1" x14ac:dyDescent="0.15">
      <c r="A7" s="213">
        <f t="shared" ref="A7:A70" si="19">A6+1</f>
        <v>1</v>
      </c>
      <c r="B7" s="67">
        <f t="shared" ref="B7:B70" si="20">A7*cycle_length_days/7</f>
        <v>4</v>
      </c>
      <c r="C7" s="224">
        <f t="shared" ref="C7:C70" si="21">B7/52*12</f>
        <v>0.92307692307692313</v>
      </c>
      <c r="D7" s="225">
        <f ca="1">IFERROR(OFFSET(extrapolation!V16,0,OS_dist_choice-1,1,1),0)</f>
        <v>0.99363874963062504</v>
      </c>
      <c r="E7" s="225">
        <f ca="1">IFERROR(OFFSET(extrapolation!J16,0,PFS_dist_choice-1,1,1),0)</f>
        <v>0.98999998263377065</v>
      </c>
      <c r="F7" s="214"/>
      <c r="G7" s="226">
        <f t="shared" ref="G7:G70" ca="1" si="22">cohort_size*IF(E7&gt;D7,D7,E7)</f>
        <v>989.99998263377063</v>
      </c>
      <c r="H7" s="224">
        <f t="shared" ref="H7:H70" ca="1" si="23">cohort_size-G7-I7</f>
        <v>3.6387669968544119</v>
      </c>
      <c r="I7" s="224">
        <f t="shared" ca="1" si="0"/>
        <v>6.36125036937496</v>
      </c>
      <c r="J7" s="227">
        <f t="shared" ca="1" si="1"/>
        <v>1000</v>
      </c>
      <c r="K7" s="236">
        <f t="shared" ref="K7:K70" ca="1" si="24">MAX(0,G6-G7)</f>
        <v>10.000017366229372</v>
      </c>
      <c r="L7" s="237">
        <f t="shared" ref="L7:L70" ca="1" si="25">I7-I6</f>
        <v>6.36125036937496</v>
      </c>
      <c r="M7" s="236">
        <f t="shared" ref="M7:M70" ca="1" si="26">(G7+G6)/2</f>
        <v>994.99999131688537</v>
      </c>
      <c r="N7" s="236">
        <f t="shared" ref="N7:N70" ca="1" si="27">(H7+H6)/2</f>
        <v>1.8193834984272059</v>
      </c>
      <c r="O7" s="237">
        <f t="shared" ref="O7:O70" ca="1" si="28">(I7+I6)/2</f>
        <v>3.18062518468748</v>
      </c>
      <c r="P7" s="217"/>
      <c r="Q7" s="217"/>
      <c r="R7" s="127"/>
      <c r="S7" s="230">
        <f t="shared" ref="S7:S70" ca="1" si="29">SD_drugacq_c2_placebo*G7</f>
        <v>1501038.3696693161</v>
      </c>
      <c r="T7" s="231">
        <f t="shared" ref="T7:T70" ca="1" si="30">SD_admin_c2_placebo*G7</f>
        <v>93432.938489032458</v>
      </c>
      <c r="U7" s="231">
        <f ca="1">SD_hcru_c2_placebo*G7</f>
        <v>149897.87737054445</v>
      </c>
      <c r="V7" s="231"/>
      <c r="W7" s="231">
        <f t="shared" ref="W7:W70" ca="1" si="31">Societal_informal_PFS_per_cycle*M7</f>
        <v>374701.07673007797</v>
      </c>
      <c r="X7" s="231">
        <f t="shared" ref="X7:X70" ca="1" si="32">Patient_time_c2plus*M7</f>
        <v>46837.634591259746</v>
      </c>
      <c r="Y7" s="231"/>
      <c r="Z7" s="232">
        <f t="shared" ca="1" si="2"/>
        <v>2165907.8968502306</v>
      </c>
      <c r="AA7" s="231">
        <f t="shared" ca="1" si="3"/>
        <v>8688.8381932094981</v>
      </c>
      <c r="AB7" s="231">
        <f t="shared" ref="AB7:AB70" ca="1" si="33">PD_ongoing_placebo*N7</f>
        <v>459.49377115151486</v>
      </c>
      <c r="AC7" s="231">
        <f t="shared" ref="AC7:AC70" ca="1" si="34">Societal_informal_PD_per_cycle*N7</f>
        <v>2466.5425753381596</v>
      </c>
      <c r="AD7" s="231">
        <f t="shared" ref="AD7:AD70" ca="1" si="35">Patient_time_PD_per_cycle*N7</f>
        <v>85.643839421463866</v>
      </c>
      <c r="AE7" s="231">
        <f t="shared" ca="1" si="4"/>
        <v>182253.13029665966</v>
      </c>
      <c r="AF7" s="231">
        <f t="shared" ca="1" si="5"/>
        <v>193953.64867578028</v>
      </c>
      <c r="AG7" s="232">
        <f t="shared" ca="1" si="6"/>
        <v>2359861.5455260109</v>
      </c>
      <c r="AH7" s="240">
        <f t="shared" ref="AH7:AH70" ca="1" si="36">M7*cycle_length_days/365.25</f>
        <v>76.276522263854332</v>
      </c>
      <c r="AI7" s="241">
        <f t="shared" ref="AI7:AI70" ca="1" si="37">N7*cycle_length_days/365.25</f>
        <v>0.13947361521139429</v>
      </c>
      <c r="AJ7" s="242">
        <f t="shared" ref="AJ7:AJ70" ca="1" si="38">AH7+AI7</f>
        <v>76.415995879065733</v>
      </c>
      <c r="AK7" s="241">
        <f t="shared" ref="AK7:AK70" ca="1" si="39">AH7*utility_pfs</f>
        <v>54.919096029975115</v>
      </c>
      <c r="AL7" s="243">
        <f t="shared" ref="AL7:AL70" ca="1" si="40">AI7*utility_pd</f>
        <v>6.1786811538647672E-2</v>
      </c>
      <c r="AM7" s="241"/>
      <c r="AN7" s="242">
        <f t="shared" ca="1" si="7"/>
        <v>54.980882841513761</v>
      </c>
      <c r="AO7" s="127"/>
      <c r="AP7" s="235">
        <f t="shared" ref="AP7:AP70" si="41">B7/52</f>
        <v>7.6923076923076927E-2</v>
      </c>
      <c r="AQ7" s="235">
        <f t="shared" si="8"/>
        <v>0.99772882900199933</v>
      </c>
      <c r="AR7" s="235">
        <f t="shared" si="9"/>
        <v>0.99885537769628352</v>
      </c>
      <c r="AT7" s="230">
        <f t="shared" ca="1" si="10"/>
        <v>1497629.254857237</v>
      </c>
      <c r="AU7" s="231">
        <f t="shared" ca="1" si="11"/>
        <v>93220.736308878186</v>
      </c>
      <c r="AV7" s="231">
        <f t="shared" ref="AV7:AV70" ca="1" si="42">U7*AQ7</f>
        <v>149557.4336587986</v>
      </c>
      <c r="AW7" s="231"/>
      <c r="AX7" s="231">
        <f t="shared" ref="AX7:AX70" ca="1" si="43">W7*AQ7</f>
        <v>373850.06651168899</v>
      </c>
      <c r="AY7" s="231">
        <f t="shared" ref="AY7:AY70" ca="1" si="44">X7*AQ7</f>
        <v>46731.258313961123</v>
      </c>
      <c r="AZ7" s="231"/>
      <c r="BA7" s="232">
        <f t="shared" ca="1" si="12"/>
        <v>2160988.7496505636</v>
      </c>
      <c r="BB7" s="231">
        <f t="shared" ca="1" si="13"/>
        <v>8669.1043558987603</v>
      </c>
      <c r="BC7" s="231">
        <f t="shared" ref="BC7:BC70" ca="1" si="45">AB7*AQ7</f>
        <v>458.45018222471356</v>
      </c>
      <c r="BD7" s="231">
        <f t="shared" ref="BD7:BD70" ca="1" si="46">AC7*AQ7</f>
        <v>2460.9406353757176</v>
      </c>
      <c r="BE7" s="231">
        <f t="shared" ref="BE7:BE70" ca="1" si="47">AD7*AQ7</f>
        <v>85.449327617212404</v>
      </c>
      <c r="BF7" s="231">
        <f t="shared" ca="1" si="14"/>
        <v>181839.20227283504</v>
      </c>
      <c r="BG7" s="231">
        <f t="shared" ca="1" si="15"/>
        <v>193513.14677395145</v>
      </c>
      <c r="BH7" s="232">
        <f t="shared" ca="1" si="16"/>
        <v>2354501.8964245152</v>
      </c>
      <c r="BI7" s="240">
        <f t="shared" ref="BI7:BI70" ca="1" si="48">AH7*AR7</f>
        <v>76.189214455221205</v>
      </c>
      <c r="BJ7" s="241">
        <f t="shared" ref="BJ7:BJ70" ca="1" si="49">AI7*AR7</f>
        <v>0.13931397060064335</v>
      </c>
      <c r="BK7" s="242">
        <f t="shared" ref="BK7:BK70" ca="1" si="50">AJ7*AR7</f>
        <v>76.328528425821844</v>
      </c>
      <c r="BL7" s="241">
        <f t="shared" ref="BL7:BL70" ca="1" si="51">AK7*AR7</f>
        <v>54.85623440775926</v>
      </c>
      <c r="BM7" s="243">
        <f t="shared" ref="BM7:BM70" ca="1" si="52">AL7*AR7</f>
        <v>6.1716088976085007E-2</v>
      </c>
      <c r="BN7" s="241">
        <f t="shared" si="17"/>
        <v>0</v>
      </c>
      <c r="BO7" s="242">
        <f t="shared" ca="1" si="18"/>
        <v>54.917950496735344</v>
      </c>
      <c r="BP7" s="67"/>
      <c r="BQ7" s="67"/>
      <c r="BR7" s="67"/>
      <c r="BS7" s="67"/>
      <c r="BT7" s="67"/>
      <c r="BU7" s="67"/>
    </row>
    <row r="8" spans="1:73" ht="12" customHeight="1" x14ac:dyDescent="0.15">
      <c r="A8" s="213">
        <f t="shared" si="19"/>
        <v>2</v>
      </c>
      <c r="B8" s="67">
        <f t="shared" si="20"/>
        <v>8</v>
      </c>
      <c r="C8" s="224">
        <f t="shared" si="21"/>
        <v>1.8461538461538463</v>
      </c>
      <c r="D8" s="225">
        <f ca="1">IFERROR(OFFSET(extrapolation!V17,0,OS_dist_choice-1,1,1),0)</f>
        <v>0.98261860727270411</v>
      </c>
      <c r="E8" s="225">
        <f ca="1">IFERROR(OFFSET(extrapolation!J17,0,PFS_dist_choice-1,1,1),0)</f>
        <v>0.91091689025863065</v>
      </c>
      <c r="F8" s="214"/>
      <c r="G8" s="226">
        <f t="shared" ca="1" si="22"/>
        <v>910.9168902586307</v>
      </c>
      <c r="H8" s="224">
        <f t="shared" ca="1" si="23"/>
        <v>71.701717014073409</v>
      </c>
      <c r="I8" s="224">
        <f t="shared" ca="1" si="0"/>
        <v>17.381392727295886</v>
      </c>
      <c r="J8" s="227">
        <f t="shared" ca="1" si="1"/>
        <v>1000</v>
      </c>
      <c r="K8" s="238">
        <f t="shared" ca="1" si="24"/>
        <v>79.083092375139927</v>
      </c>
      <c r="L8" s="239">
        <f t="shared" ca="1" si="25"/>
        <v>11.020142357920925</v>
      </c>
      <c r="M8" s="238">
        <f t="shared" ca="1" si="26"/>
        <v>950.45843644620072</v>
      </c>
      <c r="N8" s="238">
        <f t="shared" ca="1" si="27"/>
        <v>37.670242005463912</v>
      </c>
      <c r="O8" s="239">
        <f t="shared" ca="1" si="28"/>
        <v>11.871321548335423</v>
      </c>
      <c r="P8" s="217"/>
      <c r="Q8" s="217"/>
      <c r="R8" s="224"/>
      <c r="S8" s="230">
        <f t="shared" ca="1" si="29"/>
        <v>1381132.5533768919</v>
      </c>
      <c r="T8" s="231">
        <f t="shared" ca="1" si="30"/>
        <v>85969.336635473315</v>
      </c>
      <c r="U8" s="231">
        <f t="shared" ref="U8:U71" ca="1" si="53">SD_hcru_c3plus_placebo*G8</f>
        <v>129497.76695294744</v>
      </c>
      <c r="V8" s="231"/>
      <c r="W8" s="231">
        <f t="shared" ca="1" si="31"/>
        <v>357927.43983065605</v>
      </c>
      <c r="X8" s="231">
        <f t="shared" ca="1" si="32"/>
        <v>44740.929978832006</v>
      </c>
      <c r="Y8" s="231"/>
      <c r="Z8" s="232">
        <f t="shared" ca="1" si="2"/>
        <v>1999268.0267748006</v>
      </c>
      <c r="AA8" s="231">
        <f t="shared" ca="1" si="3"/>
        <v>68713.900016488187</v>
      </c>
      <c r="AB8" s="231">
        <f t="shared" ca="1" si="33"/>
        <v>9513.7949608996987</v>
      </c>
      <c r="AC8" s="231">
        <f t="shared" ca="1" si="34"/>
        <v>51069.63749538824</v>
      </c>
      <c r="AD8" s="231">
        <f t="shared" ca="1" si="35"/>
        <v>1773.2513019232028</v>
      </c>
      <c r="AE8" s="231">
        <f t="shared" ca="1" si="4"/>
        <v>315732.80792644643</v>
      </c>
      <c r="AF8" s="231">
        <f t="shared" ca="1" si="5"/>
        <v>446803.39170114574</v>
      </c>
      <c r="AG8" s="232">
        <f t="shared" ca="1" si="6"/>
        <v>2446071.4184759464</v>
      </c>
      <c r="AH8" s="244">
        <f t="shared" ca="1" si="36"/>
        <v>72.861974594096154</v>
      </c>
      <c r="AI8" s="243">
        <f t="shared" ca="1" si="37"/>
        <v>2.887794048331251</v>
      </c>
      <c r="AJ8" s="242">
        <f t="shared" ca="1" si="38"/>
        <v>75.749768642427398</v>
      </c>
      <c r="AK8" s="241">
        <f t="shared" ca="1" si="39"/>
        <v>52.460621707749226</v>
      </c>
      <c r="AL8" s="243">
        <f t="shared" ca="1" si="40"/>
        <v>1.2792927634107443</v>
      </c>
      <c r="AM8" s="243"/>
      <c r="AN8" s="242">
        <f t="shared" ca="1" si="7"/>
        <v>53.73991447115997</v>
      </c>
      <c r="AO8" s="224"/>
      <c r="AP8" s="235">
        <f t="shared" si="41"/>
        <v>0.15384615384615385</v>
      </c>
      <c r="AQ8" s="235">
        <f t="shared" si="8"/>
        <v>0.99546281622170096</v>
      </c>
      <c r="AR8" s="235">
        <f t="shared" si="9"/>
        <v>0.99771206555278502</v>
      </c>
      <c r="AT8" s="230">
        <f t="shared" ca="1" si="10"/>
        <v>1374866.1011600294</v>
      </c>
      <c r="AU8" s="231">
        <f t="shared" ca="1" si="11"/>
        <v>85579.27795585971</v>
      </c>
      <c r="AV8" s="231">
        <f t="shared" ca="1" si="42"/>
        <v>128910.21178540257</v>
      </c>
      <c r="AW8" s="231"/>
      <c r="AX8" s="231">
        <f t="shared" ca="1" si="43"/>
        <v>356303.45725684828</v>
      </c>
      <c r="AY8" s="231">
        <f t="shared" ca="1" si="44"/>
        <v>44537.932157106035</v>
      </c>
      <c r="AZ8" s="231"/>
      <c r="BA8" s="232">
        <f t="shared" ca="1" si="12"/>
        <v>1990196.9803152462</v>
      </c>
      <c r="BB8" s="231">
        <f t="shared" ca="1" si="13"/>
        <v>68402.132423989722</v>
      </c>
      <c r="BC8" s="231">
        <f t="shared" ca="1" si="45"/>
        <v>9470.629124733041</v>
      </c>
      <c r="BD8" s="231">
        <f t="shared" ca="1" si="46"/>
        <v>50837.925164580556</v>
      </c>
      <c r="BE8" s="231">
        <f t="shared" ca="1" si="47"/>
        <v>1765.2057348812693</v>
      </c>
      <c r="BF8" s="231">
        <f t="shared" ca="1" si="14"/>
        <v>314300.27015204576</v>
      </c>
      <c r="BG8" s="231">
        <f t="shared" ca="1" si="15"/>
        <v>444776.16260023031</v>
      </c>
      <c r="BH8" s="232">
        <f t="shared" ca="1" si="16"/>
        <v>2434973.1429154766</v>
      </c>
      <c r="BI8" s="244">
        <f t="shared" ca="1" si="48"/>
        <v>72.695271172530212</v>
      </c>
      <c r="BJ8" s="243">
        <f t="shared" ca="1" si="49"/>
        <v>2.8811869648516115</v>
      </c>
      <c r="BK8" s="242">
        <f t="shared" ca="1" si="50"/>
        <v>75.57645813738182</v>
      </c>
      <c r="BL8" s="241">
        <f t="shared" ca="1" si="51"/>
        <v>52.340595244221753</v>
      </c>
      <c r="BM8" s="243">
        <f t="shared" ca="1" si="52"/>
        <v>1.276365825429264</v>
      </c>
      <c r="BN8" s="243">
        <f t="shared" si="17"/>
        <v>0</v>
      </c>
      <c r="BO8" s="242">
        <f t="shared" ca="1" si="18"/>
        <v>53.616961069651019</v>
      </c>
      <c r="BP8" s="67"/>
      <c r="BQ8" s="67"/>
      <c r="BR8" s="67"/>
      <c r="BS8" s="67"/>
      <c r="BT8" s="67"/>
      <c r="BU8" s="67"/>
    </row>
    <row r="9" spans="1:73" ht="12" customHeight="1" x14ac:dyDescent="0.15">
      <c r="A9" s="213">
        <f t="shared" si="19"/>
        <v>3</v>
      </c>
      <c r="B9" s="67">
        <f t="shared" si="20"/>
        <v>12</v>
      </c>
      <c r="C9" s="224">
        <f t="shared" si="21"/>
        <v>2.7692307692307692</v>
      </c>
      <c r="D9" s="225">
        <f ca="1">IFERROR(OFFSET(extrapolation!V18,0,OS_dist_choice-1,1,1),0)</f>
        <v>0.96894075826249171</v>
      </c>
      <c r="E9" s="225">
        <f ca="1">IFERROR(OFFSET(extrapolation!J18,0,PFS_dist_choice-1,1,1),0)</f>
        <v>0.80785137835538534</v>
      </c>
      <c r="F9" s="214"/>
      <c r="G9" s="226">
        <f t="shared" ca="1" si="22"/>
        <v>807.85137835538535</v>
      </c>
      <c r="H9" s="224">
        <f t="shared" ca="1" si="23"/>
        <v>161.08937990710635</v>
      </c>
      <c r="I9" s="224">
        <f t="shared" ca="1" si="0"/>
        <v>31.059241737508291</v>
      </c>
      <c r="J9" s="227">
        <f t="shared" ca="1" si="1"/>
        <v>1000</v>
      </c>
      <c r="K9" s="238">
        <f t="shared" ca="1" si="24"/>
        <v>103.06551190324535</v>
      </c>
      <c r="L9" s="239">
        <f t="shared" ca="1" si="25"/>
        <v>13.677849010212405</v>
      </c>
      <c r="M9" s="238">
        <f t="shared" ca="1" si="26"/>
        <v>859.38413430700803</v>
      </c>
      <c r="N9" s="238">
        <f t="shared" ca="1" si="27"/>
        <v>116.39554846058988</v>
      </c>
      <c r="O9" s="239">
        <f t="shared" ca="1" si="28"/>
        <v>24.220317232402088</v>
      </c>
      <c r="P9" s="217"/>
      <c r="Q9" s="217"/>
      <c r="R9" s="224"/>
      <c r="S9" s="230">
        <f t="shared" ca="1" si="29"/>
        <v>1224864.5830029866</v>
      </c>
      <c r="T9" s="231">
        <f t="shared" ca="1" si="30"/>
        <v>76242.352996162619</v>
      </c>
      <c r="U9" s="231">
        <f t="shared" ca="1" si="53"/>
        <v>114845.76764975827</v>
      </c>
      <c r="V9" s="231"/>
      <c r="W9" s="231">
        <f t="shared" ca="1" si="31"/>
        <v>323630.31483387033</v>
      </c>
      <c r="X9" s="231">
        <f t="shared" ca="1" si="32"/>
        <v>40453.789354233792</v>
      </c>
      <c r="Y9" s="231"/>
      <c r="Z9" s="232">
        <f t="shared" ca="1" si="2"/>
        <v>1780036.8078370118</v>
      </c>
      <c r="AA9" s="231">
        <f t="shared" ca="1" si="3"/>
        <v>89551.800105050497</v>
      </c>
      <c r="AB9" s="231">
        <f t="shared" ca="1" si="33"/>
        <v>29396.237546201541</v>
      </c>
      <c r="AC9" s="231">
        <f t="shared" ca="1" si="34"/>
        <v>157797.72439733802</v>
      </c>
      <c r="AD9" s="231">
        <f t="shared" ca="1" si="35"/>
        <v>5479.0876526853472</v>
      </c>
      <c r="AE9" s="231">
        <f t="shared" ca="1" si="4"/>
        <v>391877.48525628587</v>
      </c>
      <c r="AF9" s="231">
        <f t="shared" ca="1" si="5"/>
        <v>674102.33495756122</v>
      </c>
      <c r="AG9" s="232">
        <f t="shared" ca="1" si="6"/>
        <v>2454139.1427945727</v>
      </c>
      <c r="AH9" s="244">
        <f t="shared" ca="1" si="36"/>
        <v>65.880234799715879</v>
      </c>
      <c r="AI9" s="243">
        <f t="shared" ca="1" si="37"/>
        <v>8.9228620312019622</v>
      </c>
      <c r="AJ9" s="242">
        <f t="shared" ca="1" si="38"/>
        <v>74.803096830917838</v>
      </c>
      <c r="AK9" s="241">
        <f t="shared" ca="1" si="39"/>
        <v>47.43376905579543</v>
      </c>
      <c r="AL9" s="243">
        <f t="shared" ca="1" si="40"/>
        <v>3.9528278798224692</v>
      </c>
      <c r="AM9" s="243"/>
      <c r="AN9" s="242">
        <f t="shared" ca="1" si="7"/>
        <v>51.386596935617902</v>
      </c>
      <c r="AO9" s="224"/>
      <c r="AP9" s="235">
        <f t="shared" si="41"/>
        <v>0.23076923076923078</v>
      </c>
      <c r="AQ9" s="235">
        <f t="shared" si="8"/>
        <v>0.99320194994391042</v>
      </c>
      <c r="AR9" s="235">
        <f t="shared" si="9"/>
        <v>0.9965700620698662</v>
      </c>
      <c r="AT9" s="230">
        <f t="shared" ca="1" si="10"/>
        <v>1216537.892255801</v>
      </c>
      <c r="AU9" s="231">
        <f t="shared" ca="1" si="11"/>
        <v>75724.053664100647</v>
      </c>
      <c r="AV9" s="231">
        <f t="shared" ca="1" si="42"/>
        <v>114065.04037254518</v>
      </c>
      <c r="AW9" s="231"/>
      <c r="AX9" s="231">
        <f t="shared" ca="1" si="43"/>
        <v>321430.25975396164</v>
      </c>
      <c r="AY9" s="231">
        <f t="shared" ca="1" si="44"/>
        <v>40178.782469245205</v>
      </c>
      <c r="AZ9" s="231"/>
      <c r="BA9" s="232">
        <f t="shared" ca="1" si="12"/>
        <v>1767936.0285156539</v>
      </c>
      <c r="BB9" s="231">
        <f t="shared" ca="1" si="13"/>
        <v>88943.022485323439</v>
      </c>
      <c r="BC9" s="231">
        <f t="shared" ca="1" si="45"/>
        <v>29196.400451901762</v>
      </c>
      <c r="BD9" s="231">
        <f t="shared" ca="1" si="46"/>
        <v>156725.00756814791</v>
      </c>
      <c r="BE9" s="231">
        <f t="shared" ca="1" si="47"/>
        <v>5441.84054056069</v>
      </c>
      <c r="BF9" s="231">
        <f t="shared" ca="1" si="14"/>
        <v>389213.48249565915</v>
      </c>
      <c r="BG9" s="231">
        <f t="shared" ca="1" si="15"/>
        <v>669519.75354159286</v>
      </c>
      <c r="BH9" s="232">
        <f t="shared" ca="1" si="16"/>
        <v>2437455.7820572467</v>
      </c>
      <c r="BI9" s="244">
        <f t="shared" ca="1" si="48"/>
        <v>65.654269683530217</v>
      </c>
      <c r="BJ9" s="243">
        <f t="shared" ca="1" si="49"/>
        <v>8.8922571682757923</v>
      </c>
      <c r="BK9" s="242">
        <f t="shared" ca="1" si="50"/>
        <v>74.546526851806007</v>
      </c>
      <c r="BL9" s="241">
        <f t="shared" ca="1" si="51"/>
        <v>47.271074172141752</v>
      </c>
      <c r="BM9" s="243">
        <f t="shared" ca="1" si="52"/>
        <v>3.9392699255461756</v>
      </c>
      <c r="BN9" s="243">
        <f t="shared" si="17"/>
        <v>0</v>
      </c>
      <c r="BO9" s="242">
        <f t="shared" ca="1" si="18"/>
        <v>51.21034409768793</v>
      </c>
      <c r="BP9" s="67"/>
      <c r="BQ9" s="67"/>
      <c r="BR9" s="67"/>
      <c r="BS9" s="67"/>
      <c r="BT9" s="67"/>
      <c r="BU9" s="67"/>
    </row>
    <row r="10" spans="1:73" ht="12" customHeight="1" x14ac:dyDescent="0.15">
      <c r="A10" s="213">
        <f t="shared" si="19"/>
        <v>4</v>
      </c>
      <c r="B10" s="67">
        <f t="shared" si="20"/>
        <v>16</v>
      </c>
      <c r="C10" s="224">
        <f t="shared" si="21"/>
        <v>3.6923076923076925</v>
      </c>
      <c r="D10" s="225">
        <f ca="1">IFERROR(OFFSET(extrapolation!V19,0,OS_dist_choice-1,1,1),0)</f>
        <v>0.95340261486792255</v>
      </c>
      <c r="E10" s="225">
        <f ca="1">IFERROR(OFFSET(extrapolation!J19,0,PFS_dist_choice-1,1,1),0)</f>
        <v>0.71463662836779152</v>
      </c>
      <c r="F10" s="214"/>
      <c r="G10" s="226">
        <f t="shared" ca="1" si="22"/>
        <v>714.63662836779156</v>
      </c>
      <c r="H10" s="224">
        <f t="shared" ca="1" si="23"/>
        <v>238.76598650013099</v>
      </c>
      <c r="I10" s="224">
        <f t="shared" ca="1" si="0"/>
        <v>46.597385132077449</v>
      </c>
      <c r="J10" s="227">
        <f t="shared" ca="1" si="1"/>
        <v>1000</v>
      </c>
      <c r="K10" s="238">
        <f t="shared" ca="1" si="24"/>
        <v>93.214749987593791</v>
      </c>
      <c r="L10" s="239">
        <f t="shared" ca="1" si="25"/>
        <v>15.538143394569158</v>
      </c>
      <c r="M10" s="238">
        <f t="shared" ca="1" si="26"/>
        <v>761.24400336158851</v>
      </c>
      <c r="N10" s="238">
        <f t="shared" ca="1" si="27"/>
        <v>199.92768320361867</v>
      </c>
      <c r="O10" s="239">
        <f t="shared" ca="1" si="28"/>
        <v>38.828313434792868</v>
      </c>
      <c r="P10" s="217"/>
      <c r="Q10" s="217"/>
      <c r="R10" s="224"/>
      <c r="S10" s="230">
        <f t="shared" ca="1" si="29"/>
        <v>1083532.3417858968</v>
      </c>
      <c r="T10" s="231">
        <f t="shared" ca="1" si="30"/>
        <v>67445.051829862277</v>
      </c>
      <c r="U10" s="231">
        <f t="shared" ca="1" si="53"/>
        <v>101594.17236202197</v>
      </c>
      <c r="V10" s="231"/>
      <c r="W10" s="231">
        <f t="shared" ca="1" si="31"/>
        <v>286672.31176192046</v>
      </c>
      <c r="X10" s="231">
        <f t="shared" ca="1" si="32"/>
        <v>35834.038970240057</v>
      </c>
      <c r="Y10" s="231"/>
      <c r="Z10" s="232">
        <f t="shared" ca="1" si="2"/>
        <v>1575077.9167099416</v>
      </c>
      <c r="AA10" s="231">
        <f t="shared" ca="1" si="3"/>
        <v>80992.647332578854</v>
      </c>
      <c r="AB10" s="231">
        <f t="shared" ca="1" si="33"/>
        <v>50492.666989796649</v>
      </c>
      <c r="AC10" s="231">
        <f t="shared" ca="1" si="34"/>
        <v>271042.43994558556</v>
      </c>
      <c r="AD10" s="231">
        <f t="shared" ca="1" si="35"/>
        <v>9411.1958314439416</v>
      </c>
      <c r="AE10" s="231">
        <f t="shared" ca="1" si="4"/>
        <v>445175.88653515727</v>
      </c>
      <c r="AF10" s="231">
        <f t="shared" ca="1" si="5"/>
        <v>857114.83663456235</v>
      </c>
      <c r="AG10" s="232">
        <f t="shared" ca="1" si="6"/>
        <v>2432192.7533445042</v>
      </c>
      <c r="AH10" s="244">
        <f t="shared" ca="1" si="36"/>
        <v>58.356829826487278</v>
      </c>
      <c r="AI10" s="243">
        <f t="shared" ca="1" si="37"/>
        <v>15.326420615198693</v>
      </c>
      <c r="AJ10" s="242">
        <f t="shared" ca="1" si="38"/>
        <v>73.683250441685971</v>
      </c>
      <c r="AK10" s="241">
        <f t="shared" ca="1" si="39"/>
        <v>42.016917475070841</v>
      </c>
      <c r="AL10" s="243">
        <f t="shared" ca="1" si="40"/>
        <v>6.7896043325330213</v>
      </c>
      <c r="AM10" s="243"/>
      <c r="AN10" s="242">
        <f t="shared" ca="1" si="7"/>
        <v>48.806521807603865</v>
      </c>
      <c r="AO10" s="224"/>
      <c r="AP10" s="235">
        <f t="shared" si="41"/>
        <v>0.30769230769230771</v>
      </c>
      <c r="AQ10" s="235">
        <f t="shared" si="8"/>
        <v>0.99094621848004028</v>
      </c>
      <c r="AR10" s="235">
        <f t="shared" si="9"/>
        <v>0.99542936574960494</v>
      </c>
      <c r="AT10" s="230">
        <f t="shared" ca="1" si="10"/>
        <v>1073722.2766935569</v>
      </c>
      <c r="AU10" s="231">
        <f t="shared" ca="1" si="11"/>
        <v>66834.419065992348</v>
      </c>
      <c r="AV10" s="231">
        <f t="shared" ca="1" si="42"/>
        <v>100674.3609217551</v>
      </c>
      <c r="AW10" s="231"/>
      <c r="AX10" s="231">
        <f t="shared" ca="1" si="43"/>
        <v>284076.84328340623</v>
      </c>
      <c r="AY10" s="231">
        <f t="shared" ca="1" si="44"/>
        <v>35509.605410425778</v>
      </c>
      <c r="AZ10" s="231"/>
      <c r="BA10" s="232">
        <f t="shared" ca="1" si="12"/>
        <v>1560817.5053751364</v>
      </c>
      <c r="BB10" s="231">
        <f t="shared" ca="1" si="13"/>
        <v>80259.357598906543</v>
      </c>
      <c r="BC10" s="231">
        <f t="shared" ca="1" si="45"/>
        <v>50035.517414510949</v>
      </c>
      <c r="BD10" s="231">
        <f t="shared" ca="1" si="46"/>
        <v>268588.48091168143</v>
      </c>
      <c r="BE10" s="231">
        <f t="shared" ca="1" si="47"/>
        <v>9325.9889205444924</v>
      </c>
      <c r="BF10" s="231">
        <f t="shared" ca="1" si="14"/>
        <v>441145.36132051359</v>
      </c>
      <c r="BG10" s="231">
        <f t="shared" ca="1" si="15"/>
        <v>849354.70616615703</v>
      </c>
      <c r="BH10" s="232">
        <f t="shared" ca="1" si="16"/>
        <v>2410172.2115412937</v>
      </c>
      <c r="BI10" s="244">
        <f t="shared" ca="1" si="48"/>
        <v>58.090102101337862</v>
      </c>
      <c r="BJ10" s="243">
        <f t="shared" ca="1" si="49"/>
        <v>15.256369152198905</v>
      </c>
      <c r="BK10" s="242">
        <f t="shared" ca="1" si="50"/>
        <v>73.346471253536762</v>
      </c>
      <c r="BL10" s="241">
        <f t="shared" ca="1" si="51"/>
        <v>41.824873512963258</v>
      </c>
      <c r="BM10" s="243">
        <f t="shared" ca="1" si="52"/>
        <v>6.7585715344241155</v>
      </c>
      <c r="BN10" s="243">
        <f t="shared" si="17"/>
        <v>0</v>
      </c>
      <c r="BO10" s="242">
        <f t="shared" ca="1" si="18"/>
        <v>48.583445047387379</v>
      </c>
      <c r="BP10" s="67"/>
      <c r="BQ10" s="67"/>
      <c r="BR10" s="67"/>
      <c r="BS10" s="67"/>
      <c r="BT10" s="67"/>
      <c r="BU10" s="67"/>
    </row>
    <row r="11" spans="1:73" ht="12" customHeight="1" x14ac:dyDescent="0.15">
      <c r="A11" s="213">
        <f t="shared" si="19"/>
        <v>5</v>
      </c>
      <c r="B11" s="67">
        <f t="shared" si="20"/>
        <v>20</v>
      </c>
      <c r="C11" s="224">
        <f t="shared" si="21"/>
        <v>4.6153846153846159</v>
      </c>
      <c r="D11" s="225">
        <f ca="1">IFERROR(OFFSET(extrapolation!V20,0,OS_dist_choice-1,1,1),0)</f>
        <v>0.93651181659844984</v>
      </c>
      <c r="E11" s="225">
        <f ca="1">IFERROR(OFFSET(extrapolation!J20,0,PFS_dist_choice-1,1,1),0)</f>
        <v>0.63658488601564045</v>
      </c>
      <c r="F11" s="214"/>
      <c r="G11" s="226">
        <f t="shared" ca="1" si="22"/>
        <v>636.58488601564045</v>
      </c>
      <c r="H11" s="224">
        <f t="shared" ca="1" si="23"/>
        <v>299.9269305828094</v>
      </c>
      <c r="I11" s="224">
        <f t="shared" ca="1" si="0"/>
        <v>63.48818340155016</v>
      </c>
      <c r="J11" s="227">
        <f t="shared" ca="1" si="1"/>
        <v>1000</v>
      </c>
      <c r="K11" s="238">
        <f t="shared" ca="1" si="24"/>
        <v>78.051742352151109</v>
      </c>
      <c r="L11" s="239">
        <f t="shared" ca="1" si="25"/>
        <v>16.890798269472711</v>
      </c>
      <c r="M11" s="238">
        <f t="shared" ca="1" si="26"/>
        <v>675.61075719171595</v>
      </c>
      <c r="N11" s="238">
        <f t="shared" ca="1" si="27"/>
        <v>269.34645854147021</v>
      </c>
      <c r="O11" s="239">
        <f t="shared" ca="1" si="28"/>
        <v>55.042784266813804</v>
      </c>
      <c r="P11" s="217"/>
      <c r="Q11" s="217"/>
      <c r="R11" s="224"/>
      <c r="S11" s="230">
        <f t="shared" ca="1" si="29"/>
        <v>965190.25881086837</v>
      </c>
      <c r="T11" s="231">
        <f t="shared" ca="1" si="30"/>
        <v>60078.785395443476</v>
      </c>
      <c r="U11" s="231">
        <f t="shared" ca="1" si="53"/>
        <v>90498.180565755465</v>
      </c>
      <c r="V11" s="231"/>
      <c r="W11" s="231">
        <f t="shared" ca="1" si="31"/>
        <v>254424.20138628516</v>
      </c>
      <c r="X11" s="231">
        <f t="shared" ca="1" si="32"/>
        <v>31803.025173285645</v>
      </c>
      <c r="Y11" s="231"/>
      <c r="Z11" s="232">
        <f t="shared" ca="1" si="2"/>
        <v>1401994.4513316383</v>
      </c>
      <c r="AA11" s="231">
        <f t="shared" ca="1" si="3"/>
        <v>67817.778225682574</v>
      </c>
      <c r="AB11" s="231">
        <f t="shared" ca="1" si="33"/>
        <v>68024.701822630654</v>
      </c>
      <c r="AC11" s="231">
        <f t="shared" ca="1" si="34"/>
        <v>365153.64027617167</v>
      </c>
      <c r="AD11" s="231">
        <f t="shared" ca="1" si="35"/>
        <v>12678.945842922627</v>
      </c>
      <c r="AE11" s="231">
        <f t="shared" ca="1" si="4"/>
        <v>483930.15194641351</v>
      </c>
      <c r="AF11" s="231">
        <f t="shared" ca="1" si="5"/>
        <v>997605.218113821</v>
      </c>
      <c r="AG11" s="232">
        <f t="shared" ca="1" si="6"/>
        <v>2399599.6694454593</v>
      </c>
      <c r="AH11" s="244">
        <f t="shared" ca="1" si="36"/>
        <v>51.792200414423121</v>
      </c>
      <c r="AI11" s="243">
        <f t="shared" ca="1" si="37"/>
        <v>20.648051578812229</v>
      </c>
      <c r="AJ11" s="242">
        <f t="shared" ca="1" si="38"/>
        <v>72.44025199323535</v>
      </c>
      <c r="AK11" s="241">
        <f t="shared" ca="1" si="39"/>
        <v>37.290384298384645</v>
      </c>
      <c r="AL11" s="243">
        <f t="shared" ca="1" si="40"/>
        <v>9.1470868494138173</v>
      </c>
      <c r="AM11" s="243"/>
      <c r="AN11" s="242">
        <f t="shared" ca="1" si="7"/>
        <v>46.437471147798462</v>
      </c>
      <c r="AO11" s="224"/>
      <c r="AP11" s="235">
        <f t="shared" si="41"/>
        <v>0.38461538461538464</v>
      </c>
      <c r="AQ11" s="235">
        <f t="shared" si="8"/>
        <v>0.98869561016805008</v>
      </c>
      <c r="AR11" s="235">
        <f t="shared" si="9"/>
        <v>0.99428997509579364</v>
      </c>
      <c r="AT11" s="230">
        <f t="shared" ca="1" si="10"/>
        <v>954279.37186326971</v>
      </c>
      <c r="AU11" s="231">
        <f t="shared" ca="1" si="11"/>
        <v>59399.631384703323</v>
      </c>
      <c r="AV11" s="231">
        <f t="shared" ca="1" si="42"/>
        <v>89475.153853557975</v>
      </c>
      <c r="AW11" s="231"/>
      <c r="AX11" s="231">
        <f t="shared" ca="1" si="43"/>
        <v>251548.09103113206</v>
      </c>
      <c r="AY11" s="231">
        <f t="shared" ca="1" si="44"/>
        <v>31443.511378891508</v>
      </c>
      <c r="AZ11" s="231"/>
      <c r="BA11" s="232">
        <f t="shared" ca="1" si="12"/>
        <v>1386145.7595115546</v>
      </c>
      <c r="BB11" s="231">
        <f t="shared" ca="1" si="13"/>
        <v>67051.139623082738</v>
      </c>
      <c r="BC11" s="231">
        <f t="shared" ca="1" si="45"/>
        <v>67255.724075025486</v>
      </c>
      <c r="BD11" s="231">
        <f t="shared" ca="1" si="46"/>
        <v>361025.80117793422</v>
      </c>
      <c r="BE11" s="231">
        <f t="shared" ca="1" si="47"/>
        <v>12535.618096456048</v>
      </c>
      <c r="BF11" s="231">
        <f t="shared" ca="1" si="14"/>
        <v>478459.61685737647</v>
      </c>
      <c r="BG11" s="231">
        <f t="shared" ca="1" si="15"/>
        <v>986327.89982987498</v>
      </c>
      <c r="BH11" s="232">
        <f t="shared" ca="1" si="16"/>
        <v>2372473.6593414298</v>
      </c>
      <c r="BI11" s="244">
        <f t="shared" ca="1" si="48"/>
        <v>51.496465660213119</v>
      </c>
      <c r="BJ11" s="243">
        <f t="shared" ca="1" si="49"/>
        <v>20.530150690073874</v>
      </c>
      <c r="BK11" s="242">
        <f t="shared" ca="1" si="50"/>
        <v>72.026616350286986</v>
      </c>
      <c r="BL11" s="241">
        <f t="shared" ca="1" si="51"/>
        <v>37.077455275353444</v>
      </c>
      <c r="BM11" s="243">
        <f t="shared" ca="1" si="52"/>
        <v>9.0948567557027253</v>
      </c>
      <c r="BN11" s="243">
        <f t="shared" si="17"/>
        <v>0</v>
      </c>
      <c r="BO11" s="242">
        <f t="shared" ca="1" si="18"/>
        <v>46.172312031056165</v>
      </c>
      <c r="BP11" s="67"/>
      <c r="BQ11" s="67"/>
      <c r="BR11" s="67"/>
      <c r="BS11" s="67"/>
      <c r="BT11" s="67"/>
      <c r="BU11" s="67"/>
    </row>
    <row r="12" spans="1:73" ht="12" customHeight="1" x14ac:dyDescent="0.15">
      <c r="A12" s="213">
        <f t="shared" si="19"/>
        <v>6</v>
      </c>
      <c r="B12" s="67">
        <f t="shared" si="20"/>
        <v>24</v>
      </c>
      <c r="C12" s="224">
        <f t="shared" si="21"/>
        <v>5.5384615384615383</v>
      </c>
      <c r="D12" s="225">
        <f ca="1">IFERROR(OFFSET(extrapolation!V21,0,OS_dist_choice-1,1,1),0)</f>
        <v>0.91863764996582886</v>
      </c>
      <c r="E12" s="225">
        <f ca="1">IFERROR(OFFSET(extrapolation!J21,0,PFS_dist_choice-1,1,1),0)</f>
        <v>0.57208877143015302</v>
      </c>
      <c r="F12" s="214"/>
      <c r="G12" s="226">
        <f t="shared" ca="1" si="22"/>
        <v>572.08877143015297</v>
      </c>
      <c r="H12" s="224">
        <f t="shared" ca="1" si="23"/>
        <v>346.5488785356759</v>
      </c>
      <c r="I12" s="224">
        <f t="shared" ca="1" si="0"/>
        <v>81.362350034171143</v>
      </c>
      <c r="J12" s="227">
        <f t="shared" ca="1" si="1"/>
        <v>1000</v>
      </c>
      <c r="K12" s="238">
        <f t="shared" ca="1" si="24"/>
        <v>64.496114585487476</v>
      </c>
      <c r="L12" s="239">
        <f t="shared" ca="1" si="25"/>
        <v>17.874166632620984</v>
      </c>
      <c r="M12" s="238">
        <f t="shared" ca="1" si="26"/>
        <v>604.33682872289671</v>
      </c>
      <c r="N12" s="238">
        <f t="shared" ca="1" si="27"/>
        <v>323.23790455924268</v>
      </c>
      <c r="O12" s="239">
        <f t="shared" ca="1" si="28"/>
        <v>72.425266717860652</v>
      </c>
      <c r="P12" s="217"/>
      <c r="Q12" s="217"/>
      <c r="R12" s="224"/>
      <c r="S12" s="230">
        <f t="shared" ca="1" si="29"/>
        <v>867401.22407790646</v>
      </c>
      <c r="T12" s="231">
        <f t="shared" ca="1" si="30"/>
        <v>53991.854473671272</v>
      </c>
      <c r="U12" s="231">
        <f t="shared" ca="1" si="53"/>
        <v>81329.283924053394</v>
      </c>
      <c r="V12" s="231"/>
      <c r="W12" s="231">
        <f t="shared" ca="1" si="31"/>
        <v>227583.58030778333</v>
      </c>
      <c r="X12" s="231">
        <f t="shared" ca="1" si="32"/>
        <v>28447.947538472916</v>
      </c>
      <c r="Y12" s="231"/>
      <c r="Z12" s="232">
        <f t="shared" ca="1" si="2"/>
        <v>1258753.8903218873</v>
      </c>
      <c r="AA12" s="231">
        <f t="shared" ca="1" si="3"/>
        <v>56039.533052861487</v>
      </c>
      <c r="AB12" s="231">
        <f t="shared" ca="1" si="33"/>
        <v>81635.237361136489</v>
      </c>
      <c r="AC12" s="231">
        <f t="shared" ca="1" si="34"/>
        <v>438214.40298193629</v>
      </c>
      <c r="AD12" s="231">
        <f t="shared" ca="1" si="35"/>
        <v>15215.77788131723</v>
      </c>
      <c r="AE12" s="231">
        <f t="shared" ca="1" si="4"/>
        <v>512104.16680382355</v>
      </c>
      <c r="AF12" s="231">
        <f t="shared" ca="1" si="5"/>
        <v>1103209.1180810751</v>
      </c>
      <c r="AG12" s="232">
        <f t="shared" ca="1" si="6"/>
        <v>2361963.0084029622</v>
      </c>
      <c r="AH12" s="244">
        <f t="shared" ca="1" si="36"/>
        <v>46.328353741933213</v>
      </c>
      <c r="AI12" s="243">
        <f t="shared" ca="1" si="37"/>
        <v>24.779360239996702</v>
      </c>
      <c r="AJ12" s="242">
        <f t="shared" ca="1" si="38"/>
        <v>71.107713981929919</v>
      </c>
      <c r="AK12" s="241">
        <f t="shared" ca="1" si="39"/>
        <v>33.356414694191912</v>
      </c>
      <c r="AL12" s="243">
        <f t="shared" ca="1" si="40"/>
        <v>10.977256586318539</v>
      </c>
      <c r="AM12" s="243"/>
      <c r="AN12" s="242">
        <f t="shared" ca="1" si="7"/>
        <v>44.333671280510451</v>
      </c>
      <c r="AO12" s="224"/>
      <c r="AP12" s="235">
        <f t="shared" si="41"/>
        <v>0.46153846153846156</v>
      </c>
      <c r="AQ12" s="235">
        <f t="shared" si="8"/>
        <v>0.98645011337238597</v>
      </c>
      <c r="AR12" s="235">
        <f t="shared" si="9"/>
        <v>0.99315188861393733</v>
      </c>
      <c r="AT12" s="230">
        <f t="shared" ca="1" si="10"/>
        <v>855648.03583099716</v>
      </c>
      <c r="AU12" s="231">
        <f t="shared" ca="1" si="11"/>
        <v>53260.27096673839</v>
      </c>
      <c r="AV12" s="231">
        <f t="shared" ca="1" si="42"/>
        <v>80227.281347377444</v>
      </c>
      <c r="AW12" s="231"/>
      <c r="AX12" s="231">
        <f t="shared" ca="1" si="43"/>
        <v>224499.84859630637</v>
      </c>
      <c r="AY12" s="231">
        <f t="shared" ca="1" si="44"/>
        <v>28062.481074538297</v>
      </c>
      <c r="AZ12" s="231"/>
      <c r="BA12" s="232">
        <f t="shared" ca="1" si="12"/>
        <v>1241697.9178159577</v>
      </c>
      <c r="BB12" s="231">
        <f t="shared" ca="1" si="13"/>
        <v>55280.203733330782</v>
      </c>
      <c r="BC12" s="231">
        <f t="shared" ca="1" si="45"/>
        <v>80529.089150074724</v>
      </c>
      <c r="BD12" s="231">
        <f t="shared" ca="1" si="46"/>
        <v>432276.64750294347</v>
      </c>
      <c r="BE12" s="231">
        <f t="shared" ca="1" si="47"/>
        <v>15009.605816074425</v>
      </c>
      <c r="BF12" s="231">
        <f t="shared" ca="1" si="14"/>
        <v>505165.21340210299</v>
      </c>
      <c r="BG12" s="231">
        <f t="shared" ca="1" si="15"/>
        <v>1088260.7596045265</v>
      </c>
      <c r="BH12" s="232">
        <f t="shared" ca="1" si="16"/>
        <v>2329958.6774204839</v>
      </c>
      <c r="BI12" s="244">
        <f t="shared" ca="1" si="48"/>
        <v>46.011092015175542</v>
      </c>
      <c r="BJ12" s="243">
        <f t="shared" ca="1" si="49"/>
        <v>24.609668420997831</v>
      </c>
      <c r="BK12" s="242">
        <f t="shared" ca="1" si="50"/>
        <v>70.62076043617337</v>
      </c>
      <c r="BL12" s="241">
        <f t="shared" ca="1" si="51"/>
        <v>33.127986250926391</v>
      </c>
      <c r="BM12" s="243">
        <f t="shared" ca="1" si="52"/>
        <v>10.902083110502041</v>
      </c>
      <c r="BN12" s="243">
        <f t="shared" si="17"/>
        <v>0</v>
      </c>
      <c r="BO12" s="242">
        <f t="shared" ca="1" si="18"/>
        <v>44.030069361428431</v>
      </c>
      <c r="BP12" s="67"/>
      <c r="BQ12" s="67"/>
      <c r="BR12" s="67"/>
      <c r="BS12" s="67"/>
      <c r="BT12" s="67"/>
      <c r="BU12" s="67"/>
    </row>
    <row r="13" spans="1:73" ht="12" customHeight="1" x14ac:dyDescent="0.15">
      <c r="A13" s="213">
        <f t="shared" si="19"/>
        <v>7</v>
      </c>
      <c r="B13" s="67">
        <f t="shared" si="20"/>
        <v>28</v>
      </c>
      <c r="C13" s="224">
        <f t="shared" si="21"/>
        <v>6.4615384615384617</v>
      </c>
      <c r="D13" s="225">
        <f ca="1">IFERROR(OFFSET(extrapolation!V22,0,OS_dist_choice-1,1,1),0)</f>
        <v>0.90006576278480666</v>
      </c>
      <c r="E13" s="225">
        <f ca="1">IFERROR(OFFSET(extrapolation!J22,0,PFS_dist_choice-1,1,1),0)</f>
        <v>0.51854903389163953</v>
      </c>
      <c r="F13" s="214"/>
      <c r="G13" s="226">
        <f t="shared" ca="1" si="22"/>
        <v>518.54903389163951</v>
      </c>
      <c r="H13" s="224">
        <f t="shared" ca="1" si="23"/>
        <v>381.51672889316717</v>
      </c>
      <c r="I13" s="224">
        <f t="shared" ca="1" si="0"/>
        <v>99.934237215193349</v>
      </c>
      <c r="J13" s="227">
        <f t="shared" ca="1" si="1"/>
        <v>1000</v>
      </c>
      <c r="K13" s="238">
        <f t="shared" ca="1" si="24"/>
        <v>53.539737538513464</v>
      </c>
      <c r="L13" s="239">
        <f t="shared" ca="1" si="25"/>
        <v>18.571887181022205</v>
      </c>
      <c r="M13" s="238">
        <f t="shared" ca="1" si="26"/>
        <v>545.31890266089624</v>
      </c>
      <c r="N13" s="238">
        <f t="shared" ca="1" si="27"/>
        <v>364.03280371442156</v>
      </c>
      <c r="O13" s="239">
        <f t="shared" ca="1" si="28"/>
        <v>90.648293624682253</v>
      </c>
      <c r="P13" s="217"/>
      <c r="Q13" s="217"/>
      <c r="R13" s="224"/>
      <c r="S13" s="230">
        <f t="shared" ca="1" si="29"/>
        <v>786224.2526061174</v>
      </c>
      <c r="T13" s="231">
        <f t="shared" ca="1" si="30"/>
        <v>48938.950340434138</v>
      </c>
      <c r="U13" s="231">
        <f t="shared" ca="1" si="53"/>
        <v>73717.967756103244</v>
      </c>
      <c r="V13" s="231"/>
      <c r="W13" s="231">
        <f t="shared" ca="1" si="31"/>
        <v>205358.37363965096</v>
      </c>
      <c r="X13" s="231">
        <f t="shared" ca="1" si="32"/>
        <v>25669.79670495637</v>
      </c>
      <c r="Y13" s="231"/>
      <c r="Z13" s="232">
        <f t="shared" ca="1" si="2"/>
        <v>1139909.3410472621</v>
      </c>
      <c r="AA13" s="231">
        <f t="shared" ca="1" si="3"/>
        <v>46519.730850673179</v>
      </c>
      <c r="AB13" s="231">
        <f t="shared" ca="1" si="33"/>
        <v>91938.179029434192</v>
      </c>
      <c r="AC13" s="231">
        <f t="shared" ca="1" si="34"/>
        <v>493520.14567437029</v>
      </c>
      <c r="AD13" s="231">
        <f t="shared" ca="1" si="35"/>
        <v>17136.116169248966</v>
      </c>
      <c r="AE13" s="231">
        <f t="shared" ca="1" si="4"/>
        <v>532094.22326043167</v>
      </c>
      <c r="AF13" s="231">
        <f t="shared" ca="1" si="5"/>
        <v>1181208.3949841582</v>
      </c>
      <c r="AG13" s="232">
        <f t="shared" ca="1" si="6"/>
        <v>2321117.7360314205</v>
      </c>
      <c r="AH13" s="244">
        <f t="shared" ca="1" si="36"/>
        <v>41.804050032868162</v>
      </c>
      <c r="AI13" s="243">
        <f t="shared" ca="1" si="37"/>
        <v>27.906689949360171</v>
      </c>
      <c r="AJ13" s="242">
        <f t="shared" ca="1" si="38"/>
        <v>69.710739982228333</v>
      </c>
      <c r="AK13" s="241">
        <f t="shared" ca="1" si="39"/>
        <v>30.098916023665076</v>
      </c>
      <c r="AL13" s="243">
        <f t="shared" ca="1" si="40"/>
        <v>12.362663647566556</v>
      </c>
      <c r="AM13" s="243"/>
      <c r="AN13" s="242">
        <f t="shared" ca="1" si="7"/>
        <v>42.461579671231632</v>
      </c>
      <c r="AO13" s="224"/>
      <c r="AP13" s="235">
        <f t="shared" si="41"/>
        <v>0.53846153846153844</v>
      </c>
      <c r="AQ13" s="235">
        <f t="shared" si="8"/>
        <v>0.98420971648392019</v>
      </c>
      <c r="AR13" s="235">
        <f t="shared" si="9"/>
        <v>0.99201510481125155</v>
      </c>
      <c r="AT13" s="230">
        <f t="shared" ca="1" si="10"/>
        <v>773809.54875024885</v>
      </c>
      <c r="AU13" s="231">
        <f t="shared" ca="1" si="11"/>
        <v>48166.190439579332</v>
      </c>
      <c r="AV13" s="231">
        <f t="shared" ca="1" si="42"/>
        <v>72553.940145005137</v>
      </c>
      <c r="AW13" s="231"/>
      <c r="AX13" s="231">
        <f t="shared" ca="1" si="43"/>
        <v>202115.70669747982</v>
      </c>
      <c r="AY13" s="231">
        <f t="shared" ca="1" si="44"/>
        <v>25264.463337184978</v>
      </c>
      <c r="AZ13" s="231"/>
      <c r="BA13" s="232">
        <f t="shared" ca="1" si="12"/>
        <v>1121909.8493694982</v>
      </c>
      <c r="BB13" s="231">
        <f t="shared" ca="1" si="13"/>
        <v>45785.171111449323</v>
      </c>
      <c r="BC13" s="231">
        <f t="shared" ca="1" si="45"/>
        <v>90486.449116607328</v>
      </c>
      <c r="BD13" s="231">
        <f t="shared" ca="1" si="46"/>
        <v>485727.32265327498</v>
      </c>
      <c r="BE13" s="231">
        <f t="shared" ca="1" si="47"/>
        <v>16865.532036572044</v>
      </c>
      <c r="BF13" s="231">
        <f t="shared" ca="1" si="14"/>
        <v>523692.30461788119</v>
      </c>
      <c r="BG13" s="231">
        <f t="shared" ca="1" si="15"/>
        <v>1162556.7795357849</v>
      </c>
      <c r="BH13" s="232">
        <f t="shared" ca="1" si="16"/>
        <v>2284466.6289052833</v>
      </c>
      <c r="BI13" s="244">
        <f t="shared" ca="1" si="48"/>
        <v>41.470249074890511</v>
      </c>
      <c r="BJ13" s="243">
        <f t="shared" ca="1" si="49"/>
        <v>27.683857955049628</v>
      </c>
      <c r="BK13" s="242">
        <f t="shared" ca="1" si="50"/>
        <v>69.15410702994015</v>
      </c>
      <c r="BL13" s="241">
        <f t="shared" ca="1" si="51"/>
        <v>29.85857933392117</v>
      </c>
      <c r="BM13" s="243">
        <f t="shared" ca="1" si="52"/>
        <v>12.263949074086987</v>
      </c>
      <c r="BN13" s="243">
        <f t="shared" si="17"/>
        <v>0</v>
      </c>
      <c r="BO13" s="242">
        <f t="shared" ca="1" si="18"/>
        <v>42.122528408008158</v>
      </c>
      <c r="BP13" s="67"/>
      <c r="BQ13" s="67"/>
      <c r="BR13" s="67"/>
      <c r="BS13" s="67"/>
      <c r="BT13" s="67"/>
      <c r="BU13" s="67"/>
    </row>
    <row r="14" spans="1:73" ht="12" customHeight="1" x14ac:dyDescent="0.15">
      <c r="A14" s="213">
        <f t="shared" si="19"/>
        <v>8</v>
      </c>
      <c r="B14" s="67">
        <f t="shared" si="20"/>
        <v>32</v>
      </c>
      <c r="C14" s="224">
        <f t="shared" si="21"/>
        <v>7.384615384615385</v>
      </c>
      <c r="D14" s="225">
        <f ca="1">IFERROR(OFFSET(extrapolation!V23,0,OS_dist_choice-1,1,1),0)</f>
        <v>0.88102419253795661</v>
      </c>
      <c r="E14" s="225">
        <f ca="1">IFERROR(OFFSET(extrapolation!J23,0,PFS_dist_choice-1,1,1),0)</f>
        <v>0.47366762346994012</v>
      </c>
      <c r="F14" s="214"/>
      <c r="G14" s="226">
        <f t="shared" ca="1" si="22"/>
        <v>473.66762346994011</v>
      </c>
      <c r="H14" s="224">
        <f t="shared" ca="1" si="23"/>
        <v>407.35656906801654</v>
      </c>
      <c r="I14" s="224">
        <f t="shared" ca="1" si="0"/>
        <v>118.97580746204339</v>
      </c>
      <c r="J14" s="227">
        <f t="shared" ca="1" si="1"/>
        <v>1000</v>
      </c>
      <c r="K14" s="238">
        <f t="shared" ca="1" si="24"/>
        <v>44.8814104216994</v>
      </c>
      <c r="L14" s="239">
        <f t="shared" ca="1" si="25"/>
        <v>19.041570246850043</v>
      </c>
      <c r="M14" s="238">
        <f t="shared" ca="1" si="26"/>
        <v>496.10832868078978</v>
      </c>
      <c r="N14" s="238">
        <f t="shared" ca="1" si="27"/>
        <v>394.43664898059183</v>
      </c>
      <c r="O14" s="239">
        <f t="shared" ca="1" si="28"/>
        <v>109.45502233861836</v>
      </c>
      <c r="P14" s="217"/>
      <c r="Q14" s="217"/>
      <c r="R14" s="224"/>
      <c r="S14" s="230">
        <f t="shared" ca="1" si="29"/>
        <v>718175.04017217259</v>
      </c>
      <c r="T14" s="231">
        <f t="shared" ca="1" si="30"/>
        <v>44703.190610342383</v>
      </c>
      <c r="U14" s="231">
        <f t="shared" ca="1" si="53"/>
        <v>67337.53668773362</v>
      </c>
      <c r="V14" s="231"/>
      <c r="W14" s="231">
        <f t="shared" ca="1" si="31"/>
        <v>186826.45884792655</v>
      </c>
      <c r="X14" s="231">
        <f t="shared" ca="1" si="32"/>
        <v>23353.307355990819</v>
      </c>
      <c r="Y14" s="231"/>
      <c r="Z14" s="232">
        <f t="shared" ca="1" si="2"/>
        <v>1040395.5336741661</v>
      </c>
      <c r="AA14" s="231">
        <f t="shared" ca="1" si="3"/>
        <v>38996.663581216802</v>
      </c>
      <c r="AB14" s="231">
        <f t="shared" ca="1" si="33"/>
        <v>99616.811671170581</v>
      </c>
      <c r="AC14" s="231">
        <f t="shared" ca="1" si="34"/>
        <v>534738.71167094598</v>
      </c>
      <c r="AD14" s="231">
        <f t="shared" ca="1" si="35"/>
        <v>18567.316377463398</v>
      </c>
      <c r="AE14" s="231">
        <f t="shared" ca="1" si="4"/>
        <v>545550.88728462509</v>
      </c>
      <c r="AF14" s="231">
        <f t="shared" ca="1" si="5"/>
        <v>1237470.3905854218</v>
      </c>
      <c r="AG14" s="232">
        <f t="shared" ca="1" si="6"/>
        <v>2277865.9242595881</v>
      </c>
      <c r="AH14" s="244">
        <f t="shared" ca="1" si="36"/>
        <v>38.031576189081761</v>
      </c>
      <c r="AI14" s="243">
        <f t="shared" ca="1" si="37"/>
        <v>30.237443316787328</v>
      </c>
      <c r="AJ14" s="242">
        <f t="shared" ca="1" si="38"/>
        <v>68.269019505869096</v>
      </c>
      <c r="AK14" s="241">
        <f t="shared" ca="1" si="39"/>
        <v>27.382734856138867</v>
      </c>
      <c r="AL14" s="243">
        <f t="shared" ca="1" si="40"/>
        <v>13.395187389336787</v>
      </c>
      <c r="AM14" s="243"/>
      <c r="AN14" s="242">
        <f t="shared" ca="1" si="7"/>
        <v>40.777922245475651</v>
      </c>
      <c r="AO14" s="224"/>
      <c r="AP14" s="235">
        <f t="shared" si="41"/>
        <v>0.61538461538461542</v>
      </c>
      <c r="AQ14" s="235">
        <f t="shared" si="8"/>
        <v>0.98197440791989166</v>
      </c>
      <c r="AR14" s="235">
        <f t="shared" si="9"/>
        <v>0.99087962219666093</v>
      </c>
      <c r="AT14" s="230">
        <f t="shared" ca="1" si="10"/>
        <v>705229.50985591358</v>
      </c>
      <c r="AU14" s="231">
        <f t="shared" ca="1" si="11"/>
        <v>43897.389131721022</v>
      </c>
      <c r="AV14" s="231">
        <f t="shared" ca="1" si="42"/>
        <v>66123.737719721204</v>
      </c>
      <c r="AW14" s="231"/>
      <c r="AX14" s="231">
        <f t="shared" ca="1" si="43"/>
        <v>183458.80131096268</v>
      </c>
      <c r="AY14" s="231">
        <f t="shared" ca="1" si="44"/>
        <v>22932.350163870335</v>
      </c>
      <c r="AZ14" s="231"/>
      <c r="BA14" s="232">
        <f t="shared" ca="1" si="12"/>
        <v>1021641.7881821889</v>
      </c>
      <c r="BB14" s="231">
        <f t="shared" ca="1" si="13"/>
        <v>38293.725631016569</v>
      </c>
      <c r="BC14" s="231">
        <f t="shared" ca="1" si="45"/>
        <v>97821.159659665078</v>
      </c>
      <c r="BD14" s="231">
        <f t="shared" ca="1" si="46"/>
        <v>525099.72978492279</v>
      </c>
      <c r="BE14" s="231">
        <f t="shared" ca="1" si="47"/>
        <v>18232.629506420926</v>
      </c>
      <c r="BF14" s="231">
        <f t="shared" ca="1" si="14"/>
        <v>535717.00953149132</v>
      </c>
      <c r="BG14" s="231">
        <f t="shared" ca="1" si="15"/>
        <v>1215164.2541135168</v>
      </c>
      <c r="BH14" s="232">
        <f t="shared" ca="1" si="16"/>
        <v>2236806.042295706</v>
      </c>
      <c r="BI14" s="244">
        <f t="shared" ca="1" si="48"/>
        <v>37.684713845780863</v>
      </c>
      <c r="BJ14" s="243">
        <f t="shared" ca="1" si="49"/>
        <v>29.961666409931176</v>
      </c>
      <c r="BK14" s="242">
        <f t="shared" ca="1" si="50"/>
        <v>67.646380255712046</v>
      </c>
      <c r="BL14" s="241">
        <f t="shared" ca="1" si="51"/>
        <v>27.132993968962218</v>
      </c>
      <c r="BM14" s="243">
        <f t="shared" ca="1" si="52"/>
        <v>13.273018219599512</v>
      </c>
      <c r="BN14" s="243">
        <f t="shared" si="17"/>
        <v>0</v>
      </c>
      <c r="BO14" s="242">
        <f t="shared" ca="1" si="18"/>
        <v>40.406012188561725</v>
      </c>
      <c r="BP14" s="67"/>
      <c r="BQ14" s="67"/>
      <c r="BR14" s="67"/>
      <c r="BS14" s="67"/>
      <c r="BT14" s="67"/>
      <c r="BU14" s="67"/>
    </row>
    <row r="15" spans="1:73" ht="12" customHeight="1" x14ac:dyDescent="0.15">
      <c r="A15" s="213">
        <f t="shared" si="19"/>
        <v>9</v>
      </c>
      <c r="B15" s="67">
        <f t="shared" si="20"/>
        <v>36</v>
      </c>
      <c r="C15" s="224">
        <f t="shared" si="21"/>
        <v>8.3076923076923066</v>
      </c>
      <c r="D15" s="225">
        <f ca="1">IFERROR(OFFSET(extrapolation!V24,0,OS_dist_choice-1,1,1),0)</f>
        <v>0.86169802655988104</v>
      </c>
      <c r="E15" s="225">
        <f ca="1">IFERROR(OFFSET(extrapolation!J24,0,PFS_dist_choice-1,1,1),0)</f>
        <v>0.43563237221878487</v>
      </c>
      <c r="F15" s="214"/>
      <c r="G15" s="226">
        <f t="shared" ca="1" si="22"/>
        <v>435.63237221878489</v>
      </c>
      <c r="H15" s="224">
        <f t="shared" ca="1" si="23"/>
        <v>426.06565434109615</v>
      </c>
      <c r="I15" s="224">
        <f t="shared" ca="1" si="0"/>
        <v>138.30197344011896</v>
      </c>
      <c r="J15" s="227">
        <f t="shared" ca="1" si="1"/>
        <v>1000</v>
      </c>
      <c r="K15" s="238">
        <f t="shared" ca="1" si="24"/>
        <v>38.035251251155216</v>
      </c>
      <c r="L15" s="239">
        <f t="shared" ca="1" si="25"/>
        <v>19.326165978075565</v>
      </c>
      <c r="M15" s="238">
        <f t="shared" ca="1" si="26"/>
        <v>454.64999784436247</v>
      </c>
      <c r="N15" s="238">
        <f t="shared" ca="1" si="27"/>
        <v>416.71111170455634</v>
      </c>
      <c r="O15" s="239">
        <f t="shared" ca="1" si="28"/>
        <v>128.63889045108118</v>
      </c>
      <c r="P15" s="217"/>
      <c r="Q15" s="217"/>
      <c r="R15" s="224"/>
      <c r="S15" s="230">
        <f t="shared" ca="1" si="29"/>
        <v>660505.97701107047</v>
      </c>
      <c r="T15" s="231">
        <f t="shared" ca="1" si="30"/>
        <v>41113.548839733674</v>
      </c>
      <c r="U15" s="231">
        <f t="shared" ca="1" si="53"/>
        <v>61930.369299366888</v>
      </c>
      <c r="V15" s="231"/>
      <c r="W15" s="231">
        <f t="shared" ca="1" si="31"/>
        <v>171213.91478822139</v>
      </c>
      <c r="X15" s="231">
        <f t="shared" ca="1" si="32"/>
        <v>21401.739348527673</v>
      </c>
      <c r="Y15" s="231"/>
      <c r="Z15" s="232">
        <f t="shared" ca="1" si="2"/>
        <v>956165.54928692</v>
      </c>
      <c r="AA15" s="231">
        <f t="shared" ca="1" si="3"/>
        <v>33048.156983748231</v>
      </c>
      <c r="AB15" s="231">
        <f t="shared" ca="1" si="33"/>
        <v>105242.33091230698</v>
      </c>
      <c r="AC15" s="231">
        <f t="shared" ca="1" si="34"/>
        <v>564936.25424453523</v>
      </c>
      <c r="AD15" s="231">
        <f t="shared" ca="1" si="35"/>
        <v>19615.842161268582</v>
      </c>
      <c r="AE15" s="231">
        <f t="shared" ca="1" si="4"/>
        <v>553704.70294555696</v>
      </c>
      <c r="AF15" s="231">
        <f t="shared" ca="1" si="5"/>
        <v>1276547.2872474161</v>
      </c>
      <c r="AG15" s="232">
        <f t="shared" ca="1" si="6"/>
        <v>2232712.8365343362</v>
      </c>
      <c r="AH15" s="244">
        <f t="shared" ca="1" si="36"/>
        <v>34.853387925098282</v>
      </c>
      <c r="AI15" s="243">
        <f t="shared" ca="1" si="37"/>
        <v>31.944999665236349</v>
      </c>
      <c r="AJ15" s="242">
        <f t="shared" ca="1" si="38"/>
        <v>66.798387590334627</v>
      </c>
      <c r="AK15" s="241">
        <f t="shared" ca="1" si="39"/>
        <v>25.094439306070761</v>
      </c>
      <c r="AL15" s="243">
        <f t="shared" ca="1" si="40"/>
        <v>14.151634851699702</v>
      </c>
      <c r="AM15" s="243"/>
      <c r="AN15" s="242">
        <f t="shared" ca="1" si="7"/>
        <v>39.246074157770465</v>
      </c>
      <c r="AO15" s="224"/>
      <c r="AP15" s="235">
        <f t="shared" si="41"/>
        <v>0.69230769230769229</v>
      </c>
      <c r="AQ15" s="235">
        <f t="shared" si="8"/>
        <v>0.97974417612384523</v>
      </c>
      <c r="AR15" s="235">
        <f t="shared" si="9"/>
        <v>0.9897454392807965</v>
      </c>
      <c r="AT15" s="230">
        <f t="shared" ca="1" si="10"/>
        <v>647126.88427158666</v>
      </c>
      <c r="AU15" s="231">
        <f t="shared" ca="1" si="11"/>
        <v>40280.760035512343</v>
      </c>
      <c r="AV15" s="231">
        <f t="shared" ca="1" si="42"/>
        <v>60675.918646253689</v>
      </c>
      <c r="AW15" s="231"/>
      <c r="AX15" s="231">
        <f t="shared" ca="1" si="43"/>
        <v>167745.83588512419</v>
      </c>
      <c r="AY15" s="231">
        <f t="shared" ca="1" si="44"/>
        <v>20968.229485640524</v>
      </c>
      <c r="AZ15" s="231"/>
      <c r="BA15" s="232">
        <f t="shared" ca="1" si="12"/>
        <v>936797.6283241174</v>
      </c>
      <c r="BB15" s="231">
        <f t="shared" ca="1" si="13"/>
        <v>32378.739336453913</v>
      </c>
      <c r="BC15" s="231">
        <f t="shared" ca="1" si="45"/>
        <v>103110.56079303128</v>
      </c>
      <c r="BD15" s="231">
        <f t="shared" ca="1" si="46"/>
        <v>553493.00497730332</v>
      </c>
      <c r="BE15" s="231">
        <f t="shared" ca="1" si="47"/>
        <v>19218.507117267472</v>
      </c>
      <c r="BF15" s="231">
        <f t="shared" ca="1" si="14"/>
        <v>542488.95800329314</v>
      </c>
      <c r="BG15" s="231">
        <f t="shared" ca="1" si="15"/>
        <v>1250689.7702273494</v>
      </c>
      <c r="BH15" s="232">
        <f t="shared" ca="1" si="16"/>
        <v>2187487.3985514669</v>
      </c>
      <c r="BI15" s="244">
        <f t="shared" ca="1" si="48"/>
        <v>34.495981742350409</v>
      </c>
      <c r="BJ15" s="243">
        <f t="shared" ca="1" si="49"/>
        <v>31.617417726494246</v>
      </c>
      <c r="BK15" s="242">
        <f t="shared" ca="1" si="50"/>
        <v>66.113399468844648</v>
      </c>
      <c r="BL15" s="241">
        <f t="shared" ca="1" si="51"/>
        <v>24.837106854492291</v>
      </c>
      <c r="BM15" s="243">
        <f t="shared" ca="1" si="52"/>
        <v>14.006516052836952</v>
      </c>
      <c r="BN15" s="243">
        <f t="shared" si="17"/>
        <v>0</v>
      </c>
      <c r="BO15" s="242">
        <f t="shared" ca="1" si="18"/>
        <v>38.843622907329248</v>
      </c>
      <c r="BP15" s="67"/>
      <c r="BQ15" s="67"/>
      <c r="BR15" s="67"/>
      <c r="BS15" s="67"/>
      <c r="BT15" s="67"/>
      <c r="BU15" s="67"/>
    </row>
    <row r="16" spans="1:73" ht="12" customHeight="1" x14ac:dyDescent="0.15">
      <c r="A16" s="213">
        <f t="shared" si="19"/>
        <v>10</v>
      </c>
      <c r="B16" s="67">
        <f t="shared" si="20"/>
        <v>40</v>
      </c>
      <c r="C16" s="224">
        <f t="shared" si="21"/>
        <v>9.2307692307692317</v>
      </c>
      <c r="D16" s="225">
        <f ca="1">IFERROR(OFFSET(extrapolation!V25,0,OS_dist_choice-1,1,1),0)</f>
        <v>0.842238707678446</v>
      </c>
      <c r="E16" s="225">
        <f ca="1">IFERROR(OFFSET(extrapolation!J25,0,PFS_dist_choice-1,1,1),0)</f>
        <v>0.40305597090080963</v>
      </c>
      <c r="F16" s="214"/>
      <c r="G16" s="226">
        <f t="shared" ca="1" si="22"/>
        <v>403.05597090080965</v>
      </c>
      <c r="H16" s="224">
        <f t="shared" ca="1" si="23"/>
        <v>439.18273677763636</v>
      </c>
      <c r="I16" s="224">
        <f t="shared" ca="1" si="0"/>
        <v>157.76129232155401</v>
      </c>
      <c r="J16" s="227">
        <f t="shared" ca="1" si="1"/>
        <v>1000</v>
      </c>
      <c r="K16" s="238">
        <f t="shared" ca="1" si="24"/>
        <v>32.57640131797524</v>
      </c>
      <c r="L16" s="239">
        <f t="shared" ca="1" si="25"/>
        <v>19.459318881435053</v>
      </c>
      <c r="M16" s="238">
        <f t="shared" ca="1" si="26"/>
        <v>419.34417155979725</v>
      </c>
      <c r="N16" s="238">
        <f t="shared" ca="1" si="27"/>
        <v>432.62419555936629</v>
      </c>
      <c r="O16" s="239">
        <f t="shared" ca="1" si="28"/>
        <v>148.03163288083647</v>
      </c>
      <c r="P16" s="217"/>
      <c r="Q16" s="217"/>
      <c r="R16" s="224"/>
      <c r="S16" s="230">
        <f t="shared" ca="1" si="29"/>
        <v>611113.62430219597</v>
      </c>
      <c r="T16" s="231">
        <f t="shared" ca="1" si="30"/>
        <v>38039.095350917436</v>
      </c>
      <c r="U16" s="231">
        <f t="shared" ca="1" si="53"/>
        <v>57299.242935200891</v>
      </c>
      <c r="V16" s="231"/>
      <c r="W16" s="231">
        <f t="shared" ca="1" si="31"/>
        <v>157918.30550267469</v>
      </c>
      <c r="X16" s="231">
        <f t="shared" ca="1" si="32"/>
        <v>19739.788187834336</v>
      </c>
      <c r="Y16" s="231"/>
      <c r="Z16" s="232">
        <f t="shared" ca="1" si="2"/>
        <v>884110.05627882329</v>
      </c>
      <c r="AA16" s="231">
        <f t="shared" ca="1" si="3"/>
        <v>28305.058841679926</v>
      </c>
      <c r="AB16" s="231">
        <f t="shared" ca="1" si="33"/>
        <v>109261.25430994022</v>
      </c>
      <c r="AC16" s="231">
        <f t="shared" ca="1" si="34"/>
        <v>586509.66021790227</v>
      </c>
      <c r="AD16" s="231">
        <f t="shared" ca="1" si="35"/>
        <v>20364.918757566051</v>
      </c>
      <c r="AE16" s="231">
        <f t="shared" ca="1" si="4"/>
        <v>557519.60285300075</v>
      </c>
      <c r="AF16" s="231">
        <f t="shared" ca="1" si="5"/>
        <v>1301960.4949800894</v>
      </c>
      <c r="AG16" s="232">
        <f t="shared" ca="1" si="6"/>
        <v>2186070.5512589128</v>
      </c>
      <c r="AH16" s="244">
        <f t="shared" ca="1" si="36"/>
        <v>32.146849565158995</v>
      </c>
      <c r="AI16" s="243">
        <f t="shared" ca="1" si="37"/>
        <v>33.164893841648883</v>
      </c>
      <c r="AJ16" s="242">
        <f t="shared" ca="1" si="38"/>
        <v>65.311743406807878</v>
      </c>
      <c r="AK16" s="241">
        <f t="shared" ca="1" si="39"/>
        <v>23.145731686914477</v>
      </c>
      <c r="AL16" s="243">
        <f t="shared" ca="1" si="40"/>
        <v>14.692047971850455</v>
      </c>
      <c r="AM16" s="243"/>
      <c r="AN16" s="242">
        <f t="shared" ca="1" si="7"/>
        <v>37.83777965876493</v>
      </c>
      <c r="AO16" s="224"/>
      <c r="AP16" s="235">
        <f t="shared" si="41"/>
        <v>0.76923076923076927</v>
      </c>
      <c r="AQ16" s="235">
        <f t="shared" si="8"/>
        <v>0.97751900956557292</v>
      </c>
      <c r="AR16" s="235">
        <f t="shared" si="9"/>
        <v>0.98861255457599395</v>
      </c>
      <c r="AT16" s="230">
        <f t="shared" ca="1" si="10"/>
        <v>597375.18475991022</v>
      </c>
      <c r="AU16" s="231">
        <f t="shared" ca="1" si="11"/>
        <v>37183.938812199201</v>
      </c>
      <c r="AV16" s="231">
        <f t="shared" ca="1" si="42"/>
        <v>56011.099202874728</v>
      </c>
      <c r="AW16" s="231"/>
      <c r="AX16" s="231">
        <f t="shared" ca="1" si="43"/>
        <v>154368.14558724812</v>
      </c>
      <c r="AY16" s="231">
        <f t="shared" ca="1" si="44"/>
        <v>19296.018198406015</v>
      </c>
      <c r="AZ16" s="231"/>
      <c r="BA16" s="232">
        <f t="shared" ca="1" si="12"/>
        <v>864234.38656063832</v>
      </c>
      <c r="BB16" s="231">
        <f t="shared" ca="1" si="13"/>
        <v>27668.733084614225</v>
      </c>
      <c r="BC16" s="231">
        <f t="shared" ca="1" si="45"/>
        <v>106804.95309694496</v>
      </c>
      <c r="BD16" s="231">
        <f t="shared" ca="1" si="46"/>
        <v>573324.34215684456</v>
      </c>
      <c r="BE16" s="231">
        <f t="shared" ca="1" si="47"/>
        <v>19907.095213779325</v>
      </c>
      <c r="BF16" s="231">
        <f t="shared" ca="1" si="14"/>
        <v>544986.00999425689</v>
      </c>
      <c r="BG16" s="231">
        <f t="shared" ca="1" si="15"/>
        <v>1272691.1335464399</v>
      </c>
      <c r="BH16" s="232">
        <f t="shared" ca="1" si="16"/>
        <v>2136925.5201070784</v>
      </c>
      <c r="BI16" s="244">
        <f t="shared" ca="1" si="48"/>
        <v>31.780779070182014</v>
      </c>
      <c r="BJ16" s="243">
        <f t="shared" ca="1" si="49"/>
        <v>32.787230423034153</v>
      </c>
      <c r="BK16" s="242">
        <f t="shared" ca="1" si="50"/>
        <v>64.568009493216167</v>
      </c>
      <c r="BL16" s="241">
        <f t="shared" ca="1" si="51"/>
        <v>22.88216093053105</v>
      </c>
      <c r="BM16" s="243">
        <f t="shared" ca="1" si="52"/>
        <v>14.524743077404128</v>
      </c>
      <c r="BN16" s="243">
        <f t="shared" si="17"/>
        <v>0</v>
      </c>
      <c r="BO16" s="242">
        <f t="shared" ca="1" si="18"/>
        <v>37.406904007935175</v>
      </c>
      <c r="BP16" s="67"/>
      <c r="BQ16" s="67"/>
      <c r="BR16" s="67"/>
      <c r="BS16" s="67"/>
      <c r="BT16" s="67"/>
      <c r="BU16" s="67"/>
    </row>
    <row r="17" spans="1:73" ht="12" customHeight="1" x14ac:dyDescent="0.15">
      <c r="A17" s="213">
        <f t="shared" si="19"/>
        <v>11</v>
      </c>
      <c r="B17" s="67">
        <f t="shared" si="20"/>
        <v>44</v>
      </c>
      <c r="C17" s="224">
        <f t="shared" si="21"/>
        <v>10.153846153846153</v>
      </c>
      <c r="D17" s="225">
        <f ca="1">IFERROR(OFFSET(extrapolation!V26,0,OS_dist_choice-1,1,1),0)</f>
        <v>0.82277048793994101</v>
      </c>
      <c r="E17" s="225">
        <f ca="1">IFERROR(OFFSET(extrapolation!J26,0,PFS_dist_choice-1,1,1),0)</f>
        <v>0.37487993780369006</v>
      </c>
      <c r="F17" s="214"/>
      <c r="G17" s="226">
        <f t="shared" ca="1" si="22"/>
        <v>374.87993780369004</v>
      </c>
      <c r="H17" s="224">
        <f t="shared" ca="1" si="23"/>
        <v>447.89055013625097</v>
      </c>
      <c r="I17" s="224">
        <f t="shared" ca="1" si="0"/>
        <v>177.22951206005899</v>
      </c>
      <c r="J17" s="227">
        <f t="shared" ca="1" si="1"/>
        <v>1000</v>
      </c>
      <c r="K17" s="238">
        <f t="shared" ca="1" si="24"/>
        <v>28.176033097119614</v>
      </c>
      <c r="L17" s="239">
        <f t="shared" ca="1" si="25"/>
        <v>19.468219738504985</v>
      </c>
      <c r="M17" s="238">
        <f t="shared" ca="1" si="26"/>
        <v>388.96795435224988</v>
      </c>
      <c r="N17" s="238">
        <f t="shared" ca="1" si="27"/>
        <v>443.53664345694369</v>
      </c>
      <c r="O17" s="239">
        <f t="shared" ca="1" si="28"/>
        <v>167.49540219080649</v>
      </c>
      <c r="P17" s="217"/>
      <c r="Q17" s="217"/>
      <c r="R17" s="224"/>
      <c r="S17" s="230">
        <f t="shared" ca="1" si="29"/>
        <v>568393.1116499299</v>
      </c>
      <c r="T17" s="231">
        <f t="shared" ca="1" si="30"/>
        <v>35379.934125253065</v>
      </c>
      <c r="U17" s="231">
        <f t="shared" ca="1" si="53"/>
        <v>53293.681718048174</v>
      </c>
      <c r="V17" s="231"/>
      <c r="W17" s="231">
        <f t="shared" ca="1" si="31"/>
        <v>146479.10812178766</v>
      </c>
      <c r="X17" s="231">
        <f t="shared" ca="1" si="32"/>
        <v>18309.888515223458</v>
      </c>
      <c r="Y17" s="231"/>
      <c r="Z17" s="232">
        <f t="shared" ca="1" si="2"/>
        <v>821855.72413024236</v>
      </c>
      <c r="AA17" s="231">
        <f t="shared" ca="1" si="3"/>
        <v>24481.656735332152</v>
      </c>
      <c r="AB17" s="231">
        <f t="shared" ca="1" si="33"/>
        <v>112017.24382028087</v>
      </c>
      <c r="AC17" s="231">
        <f t="shared" ca="1" si="34"/>
        <v>601303.69202252291</v>
      </c>
      <c r="AD17" s="231">
        <f t="shared" ca="1" si="35"/>
        <v>20878.60041744871</v>
      </c>
      <c r="AE17" s="231">
        <f t="shared" ca="1" si="4"/>
        <v>557774.6170356099</v>
      </c>
      <c r="AF17" s="231">
        <f t="shared" ca="1" si="5"/>
        <v>1316455.8100311945</v>
      </c>
      <c r="AG17" s="232">
        <f t="shared" ca="1" si="6"/>
        <v>2138311.5341614368</v>
      </c>
      <c r="AH17" s="244">
        <f t="shared" ca="1" si="36"/>
        <v>29.818214159789179</v>
      </c>
      <c r="AI17" s="243">
        <f t="shared" ca="1" si="37"/>
        <v>34.001440155494656</v>
      </c>
      <c r="AJ17" s="242">
        <f t="shared" ca="1" si="38"/>
        <v>63.819654315283834</v>
      </c>
      <c r="AK17" s="241">
        <f t="shared" ca="1" si="39"/>
        <v>21.469114195048206</v>
      </c>
      <c r="AL17" s="243">
        <f t="shared" ca="1" si="40"/>
        <v>15.062637988884132</v>
      </c>
      <c r="AM17" s="243"/>
      <c r="AN17" s="242">
        <f t="shared" ca="1" si="7"/>
        <v>36.53175218393234</v>
      </c>
      <c r="AO17" s="224"/>
      <c r="AP17" s="235">
        <f t="shared" si="41"/>
        <v>0.84615384615384615</v>
      </c>
      <c r="AQ17" s="235">
        <f t="shared" si="8"/>
        <v>0.9752988967410533</v>
      </c>
      <c r="AR17" s="235">
        <f t="shared" si="9"/>
        <v>0.98748096659629214</v>
      </c>
      <c r="AT17" s="230">
        <f t="shared" ca="1" si="10"/>
        <v>554353.17470739095</v>
      </c>
      <c r="AU17" s="231">
        <f t="shared" ca="1" si="11"/>
        <v>34506.010719130456</v>
      </c>
      <c r="AV17" s="231">
        <f t="shared" ca="1" si="42"/>
        <v>51977.268982881229</v>
      </c>
      <c r="AW17" s="231"/>
      <c r="AX17" s="231">
        <f t="shared" ca="1" si="43"/>
        <v>142860.91254679297</v>
      </c>
      <c r="AY17" s="231">
        <f t="shared" ca="1" si="44"/>
        <v>17857.614068349121</v>
      </c>
      <c r="AZ17" s="231"/>
      <c r="BA17" s="232">
        <f t="shared" ca="1" si="12"/>
        <v>801554.9810245448</v>
      </c>
      <c r="BB17" s="231">
        <f t="shared" ca="1" si="13"/>
        <v>23876.932804362623</v>
      </c>
      <c r="BC17" s="231">
        <f t="shared" ca="1" si="45"/>
        <v>109250.29431389351</v>
      </c>
      <c r="BD17" s="231">
        <f t="shared" ca="1" si="46"/>
        <v>586450.8274358887</v>
      </c>
      <c r="BE17" s="231">
        <f t="shared" ca="1" si="47"/>
        <v>20362.875952635022</v>
      </c>
      <c r="BF17" s="231">
        <f t="shared" ca="1" si="14"/>
        <v>543996.96862499381</v>
      </c>
      <c r="BG17" s="231">
        <f t="shared" ca="1" si="15"/>
        <v>1283937.8991317735</v>
      </c>
      <c r="BH17" s="232">
        <f t="shared" ca="1" si="16"/>
        <v>2085492.8801563184</v>
      </c>
      <c r="BI17" s="244">
        <f t="shared" ca="1" si="48"/>
        <v>29.444918940683863</v>
      </c>
      <c r="BJ17" s="243">
        <f t="shared" ca="1" si="49"/>
        <v>33.575774990413848</v>
      </c>
      <c r="BK17" s="242">
        <f t="shared" ca="1" si="50"/>
        <v>63.020693931097711</v>
      </c>
      <c r="BL17" s="241">
        <f t="shared" ca="1" si="51"/>
        <v>21.200341637292379</v>
      </c>
      <c r="BM17" s="243">
        <f t="shared" ca="1" si="52"/>
        <v>14.874068320753333</v>
      </c>
      <c r="BN17" s="243">
        <f t="shared" si="17"/>
        <v>0</v>
      </c>
      <c r="BO17" s="242">
        <f t="shared" ca="1" si="18"/>
        <v>36.074409958045713</v>
      </c>
      <c r="BP17" s="67"/>
      <c r="BQ17" s="67"/>
      <c r="BR17" s="67"/>
      <c r="BS17" s="67"/>
      <c r="BT17" s="67"/>
      <c r="BU17" s="67"/>
    </row>
    <row r="18" spans="1:73" ht="12" customHeight="1" x14ac:dyDescent="0.15">
      <c r="A18" s="213">
        <f t="shared" si="19"/>
        <v>12</v>
      </c>
      <c r="B18" s="67">
        <f t="shared" si="20"/>
        <v>48</v>
      </c>
      <c r="C18" s="224">
        <f t="shared" si="21"/>
        <v>11.076923076923077</v>
      </c>
      <c r="D18" s="225">
        <f ca="1">IFERROR(OFFSET(extrapolation!V27,0,OS_dist_choice-1,1,1),0)</f>
        <v>0.80339520788041519</v>
      </c>
      <c r="E18" s="225">
        <f ca="1">IFERROR(OFFSET(extrapolation!J27,0,PFS_dist_choice-1,1,1),0)</f>
        <v>0.35029156128653033</v>
      </c>
      <c r="F18" s="214"/>
      <c r="G18" s="226">
        <f t="shared" ca="1" si="22"/>
        <v>350.29156128653034</v>
      </c>
      <c r="H18" s="224">
        <f t="shared" ca="1" si="23"/>
        <v>453.10364659388478</v>
      </c>
      <c r="I18" s="224">
        <f t="shared" ca="1" si="0"/>
        <v>196.60479211958483</v>
      </c>
      <c r="J18" s="227">
        <f t="shared" ca="1" si="1"/>
        <v>1000</v>
      </c>
      <c r="K18" s="238">
        <f t="shared" ca="1" si="24"/>
        <v>24.588376517159702</v>
      </c>
      <c r="L18" s="239">
        <f t="shared" ca="1" si="25"/>
        <v>19.375280059525835</v>
      </c>
      <c r="M18" s="238">
        <f t="shared" ca="1" si="26"/>
        <v>362.58574954511016</v>
      </c>
      <c r="N18" s="238">
        <f t="shared" ca="1" si="27"/>
        <v>450.49709836506787</v>
      </c>
      <c r="O18" s="239">
        <f t="shared" ca="1" si="28"/>
        <v>186.91715208982191</v>
      </c>
      <c r="P18" s="217"/>
      <c r="Q18" s="217"/>
      <c r="R18" s="224"/>
      <c r="S18" s="230">
        <f t="shared" ca="1" si="29"/>
        <v>531112.2053392618</v>
      </c>
      <c r="T18" s="231">
        <f t="shared" ca="1" si="30"/>
        <v>33059.36411416973</v>
      </c>
      <c r="U18" s="231">
        <f t="shared" ca="1" si="53"/>
        <v>49798.148935615718</v>
      </c>
      <c r="V18" s="231"/>
      <c r="W18" s="231">
        <f t="shared" ca="1" si="31"/>
        <v>136543.99190669577</v>
      </c>
      <c r="X18" s="231">
        <f t="shared" ca="1" si="32"/>
        <v>17067.998988336971</v>
      </c>
      <c r="Y18" s="231"/>
      <c r="Z18" s="232">
        <f t="shared" ca="1" si="2"/>
        <v>767581.70928407996</v>
      </c>
      <c r="AA18" s="231">
        <f t="shared" ca="1" si="3"/>
        <v>21364.405397214821</v>
      </c>
      <c r="AB18" s="231">
        <f t="shared" ca="1" si="33"/>
        <v>113775.13910592507</v>
      </c>
      <c r="AC18" s="231">
        <f t="shared" ca="1" si="34"/>
        <v>610739.99744655867</v>
      </c>
      <c r="AD18" s="231">
        <f t="shared" ca="1" si="35"/>
        <v>21206.24991133884</v>
      </c>
      <c r="AE18" s="231">
        <f t="shared" ca="1" si="4"/>
        <v>555111.84691351815</v>
      </c>
      <c r="AF18" s="231">
        <f t="shared" ca="1" si="5"/>
        <v>1322197.6387745556</v>
      </c>
      <c r="AG18" s="232">
        <f t="shared" ca="1" si="6"/>
        <v>2089779.3480586356</v>
      </c>
      <c r="AH18" s="244">
        <f t="shared" ca="1" si="36"/>
        <v>27.79575903425896</v>
      </c>
      <c r="AI18" s="243">
        <f t="shared" ca="1" si="37"/>
        <v>34.535027390066809</v>
      </c>
      <c r="AJ18" s="242">
        <f t="shared" ca="1" si="38"/>
        <v>62.330786424325765</v>
      </c>
      <c r="AK18" s="241">
        <f t="shared" ca="1" si="39"/>
        <v>20.012946504666452</v>
      </c>
      <c r="AL18" s="243">
        <f t="shared" ca="1" si="40"/>
        <v>15.299017133799596</v>
      </c>
      <c r="AM18" s="243"/>
      <c r="AN18" s="242">
        <f t="shared" ca="1" si="7"/>
        <v>35.311963638466047</v>
      </c>
      <c r="AO18" s="224"/>
      <c r="AP18" s="235">
        <f t="shared" si="41"/>
        <v>0.92307692307692313</v>
      </c>
      <c r="AQ18" s="235">
        <f t="shared" si="8"/>
        <v>0.9730838261723932</v>
      </c>
      <c r="AR18" s="235">
        <f t="shared" si="9"/>
        <v>0.98635067385743036</v>
      </c>
      <c r="AT18" s="230">
        <f t="shared" ca="1" si="10"/>
        <v>516816.69689838664</v>
      </c>
      <c r="AU18" s="231">
        <f t="shared" ca="1" si="11"/>
        <v>32169.532523042591</v>
      </c>
      <c r="AV18" s="231">
        <f t="shared" ca="1" si="42"/>
        <v>48457.77330257163</v>
      </c>
      <c r="AW18" s="231"/>
      <c r="AX18" s="231">
        <f t="shared" ca="1" si="43"/>
        <v>132868.7500854198</v>
      </c>
      <c r="AY18" s="231">
        <f t="shared" ca="1" si="44"/>
        <v>16608.593760677475</v>
      </c>
      <c r="AZ18" s="231"/>
      <c r="BA18" s="232">
        <f t="shared" ca="1" si="12"/>
        <v>746921.34657009807</v>
      </c>
      <c r="BB18" s="231">
        <f t="shared" ca="1" si="13"/>
        <v>20789.357347819925</v>
      </c>
      <c r="BC18" s="231">
        <f t="shared" ca="1" si="45"/>
        <v>110712.74768448985</v>
      </c>
      <c r="BD18" s="231">
        <f t="shared" ca="1" si="46"/>
        <v>594301.21351181495</v>
      </c>
      <c r="BE18" s="231">
        <f t="shared" ca="1" si="47"/>
        <v>20635.458802493573</v>
      </c>
      <c r="BF18" s="231">
        <f t="shared" ca="1" si="14"/>
        <v>540170.35994823009</v>
      </c>
      <c r="BG18" s="231">
        <f t="shared" ca="1" si="15"/>
        <v>1286609.1372948484</v>
      </c>
      <c r="BH18" s="232">
        <f t="shared" ca="1" si="16"/>
        <v>2033530.4838649465</v>
      </c>
      <c r="BI18" s="244">
        <f t="shared" ca="1" si="48"/>
        <v>27.416365653820083</v>
      </c>
      <c r="BJ18" s="243">
        <f t="shared" ca="1" si="49"/>
        <v>34.063647537877209</v>
      </c>
      <c r="BK18" s="242">
        <f t="shared" ca="1" si="50"/>
        <v>61.480013191697289</v>
      </c>
      <c r="BL18" s="241">
        <f t="shared" ca="1" si="51"/>
        <v>19.739783270750461</v>
      </c>
      <c r="BM18" s="243">
        <f t="shared" ca="1" si="52"/>
        <v>15.090195859279605</v>
      </c>
      <c r="BN18" s="243">
        <f t="shared" si="17"/>
        <v>0</v>
      </c>
      <c r="BO18" s="242">
        <f t="shared" ca="1" si="18"/>
        <v>34.829979130030061</v>
      </c>
      <c r="BP18" s="67"/>
      <c r="BQ18" s="67"/>
      <c r="BR18" s="67"/>
      <c r="BS18" s="67"/>
      <c r="BT18" s="67"/>
      <c r="BU18" s="67"/>
    </row>
    <row r="19" spans="1:73" ht="12" customHeight="1" x14ac:dyDescent="0.15">
      <c r="A19" s="213">
        <f t="shared" si="19"/>
        <v>13</v>
      </c>
      <c r="B19" s="67">
        <f t="shared" si="20"/>
        <v>52</v>
      </c>
      <c r="C19" s="224">
        <f t="shared" si="21"/>
        <v>12</v>
      </c>
      <c r="D19" s="225">
        <f ca="1">IFERROR(OFFSET(extrapolation!V28,0,OS_dist_choice-1,1,1),0)</f>
        <v>0.78419600857296357</v>
      </c>
      <c r="E19" s="225">
        <f ca="1">IFERROR(OFFSET(extrapolation!J28,0,PFS_dist_choice-1,1,1),0)</f>
        <v>0.32866057276181815</v>
      </c>
      <c r="F19" s="214"/>
      <c r="G19" s="226">
        <f t="shared" ca="1" si="22"/>
        <v>328.66057276181817</v>
      </c>
      <c r="H19" s="224">
        <f t="shared" ca="1" si="23"/>
        <v>455.53543581114536</v>
      </c>
      <c r="I19" s="224">
        <f t="shared" ca="1" si="0"/>
        <v>215.80399142703644</v>
      </c>
      <c r="J19" s="227">
        <f t="shared" ca="1" si="1"/>
        <v>1000</v>
      </c>
      <c r="K19" s="238">
        <f t="shared" ca="1" si="24"/>
        <v>21.630988524712166</v>
      </c>
      <c r="L19" s="239">
        <f t="shared" ca="1" si="25"/>
        <v>19.199199307451607</v>
      </c>
      <c r="M19" s="238">
        <f t="shared" ca="1" si="26"/>
        <v>339.47606702417426</v>
      </c>
      <c r="N19" s="238">
        <f t="shared" ca="1" si="27"/>
        <v>454.3195412025151</v>
      </c>
      <c r="O19" s="239">
        <f t="shared" ca="1" si="28"/>
        <v>206.20439177331065</v>
      </c>
      <c r="P19" s="217"/>
      <c r="Q19" s="217"/>
      <c r="R19" s="224"/>
      <c r="S19" s="230">
        <f t="shared" ca="1" si="29"/>
        <v>498315.29188569781</v>
      </c>
      <c r="T19" s="231">
        <f t="shared" ca="1" si="30"/>
        <v>31017.902643726407</v>
      </c>
      <c r="U19" s="231">
        <f t="shared" ca="1" si="53"/>
        <v>46723.044344965587</v>
      </c>
      <c r="V19" s="231"/>
      <c r="W19" s="231">
        <f t="shared" ca="1" si="31"/>
        <v>127841.25522423165</v>
      </c>
      <c r="X19" s="231">
        <f t="shared" ca="1" si="32"/>
        <v>15980.156903028956</v>
      </c>
      <c r="Y19" s="231"/>
      <c r="Z19" s="232">
        <f t="shared" ca="1" si="2"/>
        <v>719877.65100165037</v>
      </c>
      <c r="AA19" s="231">
        <f t="shared" ca="1" si="3"/>
        <v>18794.78328558779</v>
      </c>
      <c r="AB19" s="231">
        <f t="shared" ca="1" si="33"/>
        <v>114740.51483671964</v>
      </c>
      <c r="AC19" s="231">
        <f t="shared" ca="1" si="34"/>
        <v>615922.09237514867</v>
      </c>
      <c r="AD19" s="231">
        <f t="shared" ca="1" si="35"/>
        <v>21386.183763025994</v>
      </c>
      <c r="AE19" s="231">
        <f t="shared" ca="1" si="4"/>
        <v>550067.04182220856</v>
      </c>
      <c r="AF19" s="231">
        <f t="shared" ca="1" si="5"/>
        <v>1320910.6160826907</v>
      </c>
      <c r="AG19" s="232">
        <f t="shared" ca="1" si="6"/>
        <v>2040788.267084341</v>
      </c>
      <c r="AH19" s="244">
        <f t="shared" ca="1" si="36"/>
        <v>26.024174884810073</v>
      </c>
      <c r="AI19" s="243">
        <f t="shared" ca="1" si="37"/>
        <v>34.828055177742428</v>
      </c>
      <c r="AJ19" s="242">
        <f t="shared" ca="1" si="38"/>
        <v>60.852230062552501</v>
      </c>
      <c r="AK19" s="241">
        <f t="shared" ca="1" si="39"/>
        <v>18.737405917063253</v>
      </c>
      <c r="AL19" s="243">
        <f t="shared" ca="1" si="40"/>
        <v>15.428828443739896</v>
      </c>
      <c r="AM19" s="243"/>
      <c r="AN19" s="242">
        <f t="shared" ca="1" si="7"/>
        <v>34.166234360803145</v>
      </c>
      <c r="AO19" s="224"/>
      <c r="AP19" s="235">
        <f t="shared" si="41"/>
        <v>1</v>
      </c>
      <c r="AQ19" s="235">
        <f t="shared" si="8"/>
        <v>0.970873786407767</v>
      </c>
      <c r="AR19" s="235">
        <f t="shared" si="9"/>
        <v>0.98522167487684742</v>
      </c>
      <c r="AT19" s="230">
        <f t="shared" ca="1" si="10"/>
        <v>483801.25425795902</v>
      </c>
      <c r="AU19" s="231">
        <f t="shared" ca="1" si="11"/>
        <v>30114.468586142142</v>
      </c>
      <c r="AV19" s="231">
        <f t="shared" ca="1" si="42"/>
        <v>45362.178975694747</v>
      </c>
      <c r="AW19" s="231"/>
      <c r="AX19" s="231">
        <f t="shared" ca="1" si="43"/>
        <v>124117.7235186715</v>
      </c>
      <c r="AY19" s="231">
        <f t="shared" ca="1" si="44"/>
        <v>15514.715439833937</v>
      </c>
      <c r="AZ19" s="231"/>
      <c r="BA19" s="232">
        <f t="shared" ca="1" si="12"/>
        <v>698910.34077830135</v>
      </c>
      <c r="BB19" s="231">
        <f t="shared" ca="1" si="13"/>
        <v>18247.36241319203</v>
      </c>
      <c r="BC19" s="231">
        <f t="shared" ca="1" si="45"/>
        <v>111398.55809390257</v>
      </c>
      <c r="BD19" s="231">
        <f t="shared" ca="1" si="46"/>
        <v>597982.61395645502</v>
      </c>
      <c r="BE19" s="231">
        <f t="shared" ca="1" si="47"/>
        <v>20763.285206821354</v>
      </c>
      <c r="BF19" s="231">
        <f t="shared" ca="1" si="14"/>
        <v>534045.67167204712</v>
      </c>
      <c r="BG19" s="231">
        <f t="shared" ca="1" si="15"/>
        <v>1282437.4913424181</v>
      </c>
      <c r="BH19" s="232">
        <f t="shared" ca="1" si="16"/>
        <v>1981347.8321207194</v>
      </c>
      <c r="BI19" s="244">
        <f t="shared" ca="1" si="48"/>
        <v>25.639581167300566</v>
      </c>
      <c r="BJ19" s="243">
        <f t="shared" ca="1" si="49"/>
        <v>34.31335485491865</v>
      </c>
      <c r="BK19" s="242">
        <f t="shared" ca="1" si="50"/>
        <v>59.95293602221922</v>
      </c>
      <c r="BL19" s="241">
        <f t="shared" ca="1" si="51"/>
        <v>18.460498440456409</v>
      </c>
      <c r="BM19" s="243">
        <f t="shared" ca="1" si="52"/>
        <v>15.200816200728964</v>
      </c>
      <c r="BN19" s="243">
        <f t="shared" si="17"/>
        <v>0</v>
      </c>
      <c r="BO19" s="242">
        <f t="shared" ca="1" si="18"/>
        <v>33.661314641185371</v>
      </c>
      <c r="BP19" s="67"/>
      <c r="BQ19" s="67"/>
      <c r="BR19" s="67"/>
      <c r="BS19" s="67"/>
      <c r="BT19" s="67"/>
      <c r="BU19" s="67"/>
    </row>
    <row r="20" spans="1:73" ht="12" customHeight="1" x14ac:dyDescent="0.15">
      <c r="A20" s="213">
        <f t="shared" si="19"/>
        <v>14</v>
      </c>
      <c r="B20" s="67">
        <f t="shared" si="20"/>
        <v>56</v>
      </c>
      <c r="C20" s="224">
        <f t="shared" si="21"/>
        <v>12.923076923076923</v>
      </c>
      <c r="D20" s="225">
        <f ca="1">IFERROR(OFFSET(extrapolation!V29,0,OS_dist_choice-1,1,1),0)</f>
        <v>0.76524031390197167</v>
      </c>
      <c r="E20" s="225">
        <f ca="1">IFERROR(OFFSET(extrapolation!J29,0,PFS_dist_choice-1,1,1),0)</f>
        <v>0.30949270239361137</v>
      </c>
      <c r="F20" s="214"/>
      <c r="G20" s="226">
        <f t="shared" ca="1" si="22"/>
        <v>309.49270239361135</v>
      </c>
      <c r="H20" s="224">
        <f t="shared" ca="1" si="23"/>
        <v>455.74761150836031</v>
      </c>
      <c r="I20" s="224">
        <f t="shared" ca="1" si="0"/>
        <v>234.75968609802834</v>
      </c>
      <c r="J20" s="227">
        <f t="shared" ca="1" si="1"/>
        <v>1000</v>
      </c>
      <c r="K20" s="238">
        <f t="shared" ca="1" si="24"/>
        <v>19.16787036820682</v>
      </c>
      <c r="L20" s="239">
        <f t="shared" ca="1" si="25"/>
        <v>18.955694670991903</v>
      </c>
      <c r="M20" s="238">
        <f t="shared" ca="1" si="26"/>
        <v>319.07663757771479</v>
      </c>
      <c r="N20" s="238">
        <f t="shared" ca="1" si="27"/>
        <v>455.64152365975281</v>
      </c>
      <c r="O20" s="239">
        <f t="shared" ca="1" si="28"/>
        <v>225.2818387625324</v>
      </c>
      <c r="P20" s="217"/>
      <c r="Q20" s="217"/>
      <c r="R20" s="224"/>
      <c r="S20" s="230">
        <f t="shared" ca="1" si="29"/>
        <v>469252.95916627446</v>
      </c>
      <c r="T20" s="231">
        <f t="shared" ca="1" si="30"/>
        <v>29208.902154338597</v>
      </c>
      <c r="U20" s="231">
        <f t="shared" ca="1" si="53"/>
        <v>43998.101557680573</v>
      </c>
      <c r="V20" s="231"/>
      <c r="W20" s="231">
        <f t="shared" ca="1" si="31"/>
        <v>120159.15648556614</v>
      </c>
      <c r="X20" s="231">
        <f t="shared" ca="1" si="32"/>
        <v>15019.894560695768</v>
      </c>
      <c r="Y20" s="231"/>
      <c r="Z20" s="232">
        <f t="shared" ca="1" si="2"/>
        <v>677639.0139245555</v>
      </c>
      <c r="AA20" s="231">
        <f t="shared" ca="1" si="3"/>
        <v>16654.623490975238</v>
      </c>
      <c r="AB20" s="231">
        <f t="shared" ca="1" si="33"/>
        <v>115074.3876596827</v>
      </c>
      <c r="AC20" s="231">
        <f t="shared" ca="1" si="34"/>
        <v>617714.30716518371</v>
      </c>
      <c r="AD20" s="231">
        <f t="shared" ca="1" si="35"/>
        <v>21448.413443235546</v>
      </c>
      <c r="AE20" s="231">
        <f t="shared" ca="1" si="4"/>
        <v>543090.50738957757</v>
      </c>
      <c r="AF20" s="231">
        <f t="shared" ca="1" si="5"/>
        <v>1313982.239148655</v>
      </c>
      <c r="AG20" s="232">
        <f t="shared" ca="1" si="6"/>
        <v>1991621.2530732104</v>
      </c>
      <c r="AH20" s="244">
        <f t="shared" ca="1" si="36"/>
        <v>24.460358253733098</v>
      </c>
      <c r="AI20" s="243">
        <f t="shared" ca="1" si="37"/>
        <v>34.929398117653875</v>
      </c>
      <c r="AJ20" s="242">
        <f t="shared" ca="1" si="38"/>
        <v>59.389756371386973</v>
      </c>
      <c r="AK20" s="241">
        <f t="shared" ca="1" si="39"/>
        <v>17.611457942687831</v>
      </c>
      <c r="AL20" s="243">
        <f t="shared" ca="1" si="40"/>
        <v>15.473723366120668</v>
      </c>
      <c r="AM20" s="243"/>
      <c r="AN20" s="242">
        <f t="shared" ca="1" si="7"/>
        <v>33.085181308808501</v>
      </c>
      <c r="AO20" s="224"/>
      <c r="AP20" s="235">
        <f t="shared" si="41"/>
        <v>1.0769230769230769</v>
      </c>
      <c r="AQ20" s="235">
        <f t="shared" si="8"/>
        <v>0.96866876602135876</v>
      </c>
      <c r="AR20" s="235">
        <f t="shared" si="9"/>
        <v>0.98409396817367845</v>
      </c>
      <c r="AT20" s="230">
        <f t="shared" ca="1" si="10"/>
        <v>454550.68490746611</v>
      </c>
      <c r="AU20" s="231">
        <f t="shared" ca="1" si="11"/>
        <v>28293.751206681776</v>
      </c>
      <c r="AV20" s="231">
        <f t="shared" ca="1" si="42"/>
        <v>42619.586743160864</v>
      </c>
      <c r="AW20" s="231"/>
      <c r="AX20" s="231">
        <f t="shared" ca="1" si="43"/>
        <v>116394.4218390407</v>
      </c>
      <c r="AY20" s="231">
        <f t="shared" ca="1" si="44"/>
        <v>14549.302729880088</v>
      </c>
      <c r="AZ20" s="231"/>
      <c r="BA20" s="232">
        <f t="shared" ca="1" si="12"/>
        <v>656407.74742622953</v>
      </c>
      <c r="BB20" s="231">
        <f t="shared" ca="1" si="13"/>
        <v>16132.813585553318</v>
      </c>
      <c r="BC20" s="231">
        <f t="shared" ca="1" si="45"/>
        <v>111468.96509496831</v>
      </c>
      <c r="BD20" s="231">
        <f t="shared" ca="1" si="46"/>
        <v>598360.55567543709</v>
      </c>
      <c r="BE20" s="231">
        <f t="shared" ca="1" si="47"/>
        <v>20776.408183174899</v>
      </c>
      <c r="BF20" s="231">
        <f t="shared" ca="1" si="14"/>
        <v>526074.81163097569</v>
      </c>
      <c r="BG20" s="231">
        <f t="shared" ca="1" si="15"/>
        <v>1272813.5541701096</v>
      </c>
      <c r="BH20" s="232">
        <f t="shared" ca="1" si="16"/>
        <v>1929221.3015963389</v>
      </c>
      <c r="BI20" s="244">
        <f t="shared" ca="1" si="48"/>
        <v>24.071291016865992</v>
      </c>
      <c r="BJ20" s="243">
        <f t="shared" ca="1" si="49"/>
        <v>34.373809999520219</v>
      </c>
      <c r="BK20" s="242">
        <f t="shared" ca="1" si="50"/>
        <v>58.445101016386211</v>
      </c>
      <c r="BL20" s="241">
        <f t="shared" ca="1" si="51"/>
        <v>17.331329532143517</v>
      </c>
      <c r="BM20" s="243">
        <f t="shared" ca="1" si="52"/>
        <v>15.227597829787458</v>
      </c>
      <c r="BN20" s="243">
        <f t="shared" si="17"/>
        <v>0</v>
      </c>
      <c r="BO20" s="242">
        <f t="shared" ca="1" si="18"/>
        <v>32.558927361930976</v>
      </c>
      <c r="BP20" s="67"/>
      <c r="BQ20" s="67"/>
      <c r="BR20" s="67"/>
      <c r="BS20" s="67"/>
      <c r="BT20" s="67"/>
      <c r="BU20" s="67"/>
    </row>
    <row r="21" spans="1:73" ht="12" customHeight="1" x14ac:dyDescent="0.15">
      <c r="A21" s="213">
        <f t="shared" si="19"/>
        <v>15</v>
      </c>
      <c r="B21" s="67">
        <f t="shared" si="20"/>
        <v>60</v>
      </c>
      <c r="C21" s="224">
        <f t="shared" si="21"/>
        <v>13.846153846153845</v>
      </c>
      <c r="D21" s="225">
        <f ca="1">IFERROR(OFFSET(extrapolation!V30,0,OS_dist_choice-1,1,1),0)</f>
        <v>0.74658228330658871</v>
      </c>
      <c r="E21" s="225">
        <f ca="1">IFERROR(OFFSET(extrapolation!J30,0,PFS_dist_choice-1,1,1),0)</f>
        <v>0.29239594654832252</v>
      </c>
      <c r="F21" s="214"/>
      <c r="G21" s="226">
        <f t="shared" ca="1" si="22"/>
        <v>292.39594654832251</v>
      </c>
      <c r="H21" s="224">
        <f t="shared" ca="1" si="23"/>
        <v>454.18633675826618</v>
      </c>
      <c r="I21" s="224">
        <f t="shared" ca="1" si="0"/>
        <v>253.41771669341128</v>
      </c>
      <c r="J21" s="227">
        <f t="shared" ca="1" si="1"/>
        <v>1000</v>
      </c>
      <c r="K21" s="238">
        <f t="shared" ca="1" si="24"/>
        <v>17.09675584528884</v>
      </c>
      <c r="L21" s="239">
        <f t="shared" ca="1" si="25"/>
        <v>18.65803059538294</v>
      </c>
      <c r="M21" s="238">
        <f t="shared" ca="1" si="26"/>
        <v>300.94432447096693</v>
      </c>
      <c r="N21" s="238">
        <f t="shared" ca="1" si="27"/>
        <v>454.96697413331322</v>
      </c>
      <c r="O21" s="239">
        <f t="shared" ca="1" si="28"/>
        <v>244.0887013957198</v>
      </c>
      <c r="P21" s="217"/>
      <c r="Q21" s="217"/>
      <c r="R21" s="224"/>
      <c r="S21" s="230">
        <f t="shared" ca="1" si="29"/>
        <v>443330.8511149452</v>
      </c>
      <c r="T21" s="231">
        <f t="shared" ca="1" si="30"/>
        <v>27595.366633857884</v>
      </c>
      <c r="U21" s="231">
        <f t="shared" ca="1" si="53"/>
        <v>41567.592553202616</v>
      </c>
      <c r="V21" s="231"/>
      <c r="W21" s="231">
        <f t="shared" ca="1" si="31"/>
        <v>113330.81748657461</v>
      </c>
      <c r="X21" s="231">
        <f t="shared" ca="1" si="32"/>
        <v>14166.352185821826</v>
      </c>
      <c r="Y21" s="231"/>
      <c r="Z21" s="232">
        <f t="shared" ca="1" si="2"/>
        <v>639990.97997440223</v>
      </c>
      <c r="AA21" s="231">
        <f t="shared" ca="1" si="3"/>
        <v>14855.068719199269</v>
      </c>
      <c r="AB21" s="231">
        <f t="shared" ca="1" si="33"/>
        <v>114904.02703697719</v>
      </c>
      <c r="AC21" s="231">
        <f t="shared" ca="1" si="34"/>
        <v>616799.81875327067</v>
      </c>
      <c r="AD21" s="231">
        <f t="shared" ca="1" si="35"/>
        <v>21416.660373377454</v>
      </c>
      <c r="AE21" s="231">
        <f t="shared" ca="1" si="4"/>
        <v>534562.27686782787</v>
      </c>
      <c r="AF21" s="231">
        <f t="shared" ca="1" si="5"/>
        <v>1302537.8517506523</v>
      </c>
      <c r="AG21" s="232">
        <f t="shared" ca="1" si="6"/>
        <v>1942528.8317250544</v>
      </c>
      <c r="AH21" s="244">
        <f t="shared" ca="1" si="36"/>
        <v>23.07033835780171</v>
      </c>
      <c r="AI21" s="243">
        <f t="shared" ca="1" si="37"/>
        <v>34.877687271000056</v>
      </c>
      <c r="AJ21" s="242">
        <f t="shared" ca="1" si="38"/>
        <v>57.948025628801766</v>
      </c>
      <c r="AK21" s="241">
        <f t="shared" ca="1" si="39"/>
        <v>16.610643617617232</v>
      </c>
      <c r="AL21" s="243">
        <f t="shared" ca="1" si="40"/>
        <v>15.450815461053026</v>
      </c>
      <c r="AM21" s="243"/>
      <c r="AN21" s="242">
        <f t="shared" ca="1" si="7"/>
        <v>32.061459078670254</v>
      </c>
      <c r="AO21" s="224"/>
      <c r="AP21" s="235">
        <f t="shared" si="41"/>
        <v>1.1538461538461537</v>
      </c>
      <c r="AQ21" s="235">
        <f t="shared" si="8"/>
        <v>0.96646875361330187</v>
      </c>
      <c r="AR21" s="235">
        <f t="shared" si="9"/>
        <v>0.98296755226875387</v>
      </c>
      <c r="AT21" s="230">
        <f t="shared" ca="1" si="10"/>
        <v>428465.41511538537</v>
      </c>
      <c r="AU21" s="231">
        <f t="shared" ca="1" si="11"/>
        <v>26670.059596126728</v>
      </c>
      <c r="AV21" s="231">
        <f t="shared" ca="1" si="42"/>
        <v>40173.779365599301</v>
      </c>
      <c r="AW21" s="231"/>
      <c r="AX21" s="231">
        <f t="shared" ca="1" si="43"/>
        <v>109530.69392222636</v>
      </c>
      <c r="AY21" s="231">
        <f t="shared" ca="1" si="44"/>
        <v>13691.336740278295</v>
      </c>
      <c r="AZ21" s="231"/>
      <c r="BA21" s="232">
        <f t="shared" ca="1" si="12"/>
        <v>618531.28473961621</v>
      </c>
      <c r="BB21" s="231">
        <f t="shared" ca="1" si="13"/>
        <v>14356.959749884467</v>
      </c>
      <c r="BC21" s="231">
        <f t="shared" ca="1" si="45"/>
        <v>111051.15179557649</v>
      </c>
      <c r="BD21" s="231">
        <f t="shared" ca="1" si="46"/>
        <v>596117.75205938402</v>
      </c>
      <c r="BE21" s="231">
        <f t="shared" ca="1" si="47"/>
        <v>20698.5330576175</v>
      </c>
      <c r="BF21" s="231">
        <f t="shared" ca="1" si="14"/>
        <v>516637.7374531384</v>
      </c>
      <c r="BG21" s="231">
        <f t="shared" ca="1" si="15"/>
        <v>1258862.1341156007</v>
      </c>
      <c r="BH21" s="232">
        <f t="shared" ca="1" si="16"/>
        <v>1877393.4188552168</v>
      </c>
      <c r="BI21" s="244">
        <f t="shared" ca="1" si="48"/>
        <v>22.677394025580288</v>
      </c>
      <c r="BJ21" s="243">
        <f t="shared" ca="1" si="49"/>
        <v>34.283634885570002</v>
      </c>
      <c r="BK21" s="242">
        <f t="shared" ca="1" si="50"/>
        <v>56.961028911150287</v>
      </c>
      <c r="BL21" s="241">
        <f t="shared" ca="1" si="51"/>
        <v>16.32772369841781</v>
      </c>
      <c r="BM21" s="243">
        <f t="shared" ca="1" si="52"/>
        <v>15.18765025430751</v>
      </c>
      <c r="BN21" s="243">
        <f t="shared" si="17"/>
        <v>0</v>
      </c>
      <c r="BO21" s="242">
        <f t="shared" ca="1" si="18"/>
        <v>31.515373952725316</v>
      </c>
      <c r="BP21" s="67"/>
      <c r="BQ21" s="67"/>
      <c r="BR21" s="67"/>
      <c r="BS21" s="67"/>
      <c r="BT21" s="67"/>
      <c r="BU21" s="67"/>
    </row>
    <row r="22" spans="1:73" ht="12" customHeight="1" x14ac:dyDescent="0.15">
      <c r="A22" s="213">
        <f t="shared" si="19"/>
        <v>16</v>
      </c>
      <c r="B22" s="67">
        <f t="shared" si="20"/>
        <v>64</v>
      </c>
      <c r="C22" s="224">
        <f t="shared" si="21"/>
        <v>14.76923076923077</v>
      </c>
      <c r="D22" s="225">
        <f ca="1">IFERROR(OFFSET(extrapolation!V31,0,OS_dist_choice-1,1,1),0)</f>
        <v>0.72826486126420209</v>
      </c>
      <c r="E22" s="225">
        <f ca="1">IFERROR(OFFSET(extrapolation!J31,0,PFS_dist_choice-1,1,1),0)</f>
        <v>0.27705601522157774</v>
      </c>
      <c r="F22" s="214"/>
      <c r="G22" s="226">
        <f t="shared" ca="1" si="22"/>
        <v>277.05601522157775</v>
      </c>
      <c r="H22" s="224">
        <f t="shared" ca="1" si="23"/>
        <v>451.20884604262426</v>
      </c>
      <c r="I22" s="224">
        <f t="shared" ca="1" si="0"/>
        <v>271.73513873579793</v>
      </c>
      <c r="J22" s="227">
        <f t="shared" ca="1" si="1"/>
        <v>999.99999999999989</v>
      </c>
      <c r="K22" s="238">
        <f t="shared" ca="1" si="24"/>
        <v>15.339931326744761</v>
      </c>
      <c r="L22" s="239">
        <f t="shared" ca="1" si="25"/>
        <v>18.317422042386653</v>
      </c>
      <c r="M22" s="238">
        <f t="shared" ca="1" si="26"/>
        <v>284.7259808849501</v>
      </c>
      <c r="N22" s="238">
        <f t="shared" ca="1" si="27"/>
        <v>452.69759140044522</v>
      </c>
      <c r="O22" s="239">
        <f t="shared" ca="1" si="28"/>
        <v>262.57642771460462</v>
      </c>
      <c r="P22" s="217"/>
      <c r="Q22" s="217"/>
      <c r="R22" s="224"/>
      <c r="S22" s="230">
        <f t="shared" ca="1" si="29"/>
        <v>420072.44110136229</v>
      </c>
      <c r="T22" s="231">
        <f t="shared" ca="1" si="30"/>
        <v>26147.634426565586</v>
      </c>
      <c r="U22" s="231">
        <f t="shared" ca="1" si="53"/>
        <v>39386.837235929932</v>
      </c>
      <c r="V22" s="231"/>
      <c r="W22" s="231">
        <f t="shared" ca="1" si="31"/>
        <v>107223.24878557805</v>
      </c>
      <c r="X22" s="231">
        <f t="shared" ca="1" si="32"/>
        <v>13402.906098197256</v>
      </c>
      <c r="Y22" s="231"/>
      <c r="Z22" s="232">
        <f t="shared" ca="1" si="2"/>
        <v>606233.06764763303</v>
      </c>
      <c r="AA22" s="231">
        <f t="shared" ca="1" si="3"/>
        <v>13328.594972559322</v>
      </c>
      <c r="AB22" s="231">
        <f t="shared" ca="1" si="33"/>
        <v>114330.88386457121</v>
      </c>
      <c r="AC22" s="231">
        <f t="shared" ca="1" si="34"/>
        <v>613723.21113580302</v>
      </c>
      <c r="AD22" s="231">
        <f t="shared" ca="1" si="35"/>
        <v>21309.833719993159</v>
      </c>
      <c r="AE22" s="231">
        <f t="shared" ca="1" si="4"/>
        <v>524803.66474209749</v>
      </c>
      <c r="AF22" s="231">
        <f t="shared" ca="1" si="5"/>
        <v>1287496.1884350241</v>
      </c>
      <c r="AG22" s="232">
        <f t="shared" ca="1" si="6"/>
        <v>1893729.2560826573</v>
      </c>
      <c r="AH22" s="244">
        <f t="shared" ca="1" si="36"/>
        <v>21.827043024718968</v>
      </c>
      <c r="AI22" s="243">
        <f t="shared" ca="1" si="37"/>
        <v>34.703716794558432</v>
      </c>
      <c r="AJ22" s="242">
        <f t="shared" ca="1" si="38"/>
        <v>56.530759819277399</v>
      </c>
      <c r="AK22" s="241">
        <f t="shared" ca="1" si="39"/>
        <v>15.715470977797656</v>
      </c>
      <c r="AL22" s="243">
        <f t="shared" ca="1" si="40"/>
        <v>15.373746539989385</v>
      </c>
      <c r="AM22" s="243"/>
      <c r="AN22" s="242">
        <f t="shared" ca="1" si="7"/>
        <v>31.089217517787041</v>
      </c>
      <c r="AO22" s="224"/>
      <c r="AP22" s="235">
        <f t="shared" si="41"/>
        <v>1.2307692307692308</v>
      </c>
      <c r="AQ22" s="235">
        <f t="shared" si="8"/>
        <v>0.96427373780962178</v>
      </c>
      <c r="AR22" s="235">
        <f t="shared" si="9"/>
        <v>0.98184242568459756</v>
      </c>
      <c r="AT22" s="230">
        <f t="shared" ca="1" si="10"/>
        <v>405064.8229316228</v>
      </c>
      <c r="AU22" s="231">
        <f t="shared" ca="1" si="11"/>
        <v>25213.477183383944</v>
      </c>
      <c r="AV22" s="231">
        <f t="shared" ca="1" si="42"/>
        <v>37979.692761989347</v>
      </c>
      <c r="AW22" s="231"/>
      <c r="AX22" s="231">
        <f t="shared" ca="1" si="43"/>
        <v>103392.56288656034</v>
      </c>
      <c r="AY22" s="231">
        <f t="shared" ca="1" si="44"/>
        <v>12924.070360820042</v>
      </c>
      <c r="AZ22" s="231"/>
      <c r="BA22" s="232">
        <f t="shared" ca="1" si="12"/>
        <v>584574.62612437643</v>
      </c>
      <c r="BB22" s="231">
        <f t="shared" ca="1" si="13"/>
        <v>12852.41409394031</v>
      </c>
      <c r="BC22" s="231">
        <f t="shared" ca="1" si="45"/>
        <v>110246.26873116786</v>
      </c>
      <c r="BD22" s="231">
        <f t="shared" ca="1" si="46"/>
        <v>591797.17478244449</v>
      </c>
      <c r="BE22" s="231">
        <f t="shared" ca="1" si="47"/>
        <v>20548.51301327932</v>
      </c>
      <c r="BF22" s="231">
        <f t="shared" ca="1" si="14"/>
        <v>506054.39141704998</v>
      </c>
      <c r="BG22" s="231">
        <f t="shared" ca="1" si="15"/>
        <v>1241498.7620378819</v>
      </c>
      <c r="BH22" s="232">
        <f t="shared" ca="1" si="16"/>
        <v>1826073.3881622583</v>
      </c>
      <c r="BI22" s="244">
        <f t="shared" ca="1" si="48"/>
        <v>21.430716868912146</v>
      </c>
      <c r="BJ22" s="243">
        <f t="shared" ca="1" si="49"/>
        <v>34.073581477840555</v>
      </c>
      <c r="BK22" s="242">
        <f t="shared" ca="1" si="50"/>
        <v>55.504298346752705</v>
      </c>
      <c r="BL22" s="241">
        <f t="shared" ca="1" si="51"/>
        <v>15.430116145616745</v>
      </c>
      <c r="BM22" s="243">
        <f t="shared" ca="1" si="52"/>
        <v>15.094596594683367</v>
      </c>
      <c r="BN22" s="243">
        <f t="shared" si="17"/>
        <v>0</v>
      </c>
      <c r="BO22" s="242">
        <f t="shared" ca="1" si="18"/>
        <v>30.52471274030011</v>
      </c>
      <c r="BP22" s="67"/>
      <c r="BQ22" s="67"/>
      <c r="BR22" s="67"/>
      <c r="BS22" s="67"/>
      <c r="BT22" s="67"/>
      <c r="BU22" s="67"/>
    </row>
    <row r="23" spans="1:73" ht="12" customHeight="1" x14ac:dyDescent="0.15">
      <c r="A23" s="213">
        <f t="shared" si="19"/>
        <v>17</v>
      </c>
      <c r="B23" s="67">
        <f t="shared" si="20"/>
        <v>68</v>
      </c>
      <c r="C23" s="224">
        <f t="shared" si="21"/>
        <v>15.692307692307693</v>
      </c>
      <c r="D23" s="225">
        <f ca="1">IFERROR(OFFSET(extrapolation!V32,0,OS_dist_choice-1,1,1),0)</f>
        <v>0.71032150786069781</v>
      </c>
      <c r="E23" s="225">
        <f ca="1">IFERROR(OFFSET(extrapolation!J32,0,PFS_dist_choice-1,1,1),0)</f>
        <v>0.26321832881287127</v>
      </c>
      <c r="F23" s="214"/>
      <c r="G23" s="226">
        <f t="shared" ca="1" si="22"/>
        <v>263.21832881287128</v>
      </c>
      <c r="H23" s="224">
        <f t="shared" ca="1" si="23"/>
        <v>447.10317904782653</v>
      </c>
      <c r="I23" s="224">
        <f t="shared" ca="1" si="0"/>
        <v>289.67849213930219</v>
      </c>
      <c r="J23" s="227">
        <f t="shared" ca="1" si="1"/>
        <v>1000</v>
      </c>
      <c r="K23" s="238">
        <f t="shared" ca="1" si="24"/>
        <v>13.837686408706475</v>
      </c>
      <c r="L23" s="239">
        <f t="shared" ca="1" si="25"/>
        <v>17.943353403504261</v>
      </c>
      <c r="M23" s="238">
        <f t="shared" ca="1" si="26"/>
        <v>270.13717201722454</v>
      </c>
      <c r="N23" s="238">
        <f t="shared" ca="1" si="27"/>
        <v>449.15601254522539</v>
      </c>
      <c r="O23" s="239">
        <f t="shared" ca="1" si="28"/>
        <v>280.70681543755006</v>
      </c>
      <c r="P23" s="217"/>
      <c r="Q23" s="217"/>
      <c r="R23" s="224"/>
      <c r="S23" s="230">
        <f t="shared" ca="1" si="29"/>
        <v>399091.73543340695</v>
      </c>
      <c r="T23" s="231">
        <f t="shared" ca="1" si="30"/>
        <v>24841.679148045674</v>
      </c>
      <c r="U23" s="231">
        <f t="shared" ca="1" si="53"/>
        <v>37419.644060695398</v>
      </c>
      <c r="V23" s="231"/>
      <c r="W23" s="231">
        <f t="shared" ca="1" si="31"/>
        <v>101729.33678693449</v>
      </c>
      <c r="X23" s="231">
        <f t="shared" ca="1" si="32"/>
        <v>12716.167098366812</v>
      </c>
      <c r="Y23" s="231"/>
      <c r="Z23" s="232">
        <f t="shared" ca="1" si="2"/>
        <v>575798.56252744934</v>
      </c>
      <c r="AA23" s="231">
        <f t="shared" ca="1" si="3"/>
        <v>12023.320937387558</v>
      </c>
      <c r="AB23" s="231">
        <f t="shared" ca="1" si="33"/>
        <v>113436.4416398164</v>
      </c>
      <c r="AC23" s="231">
        <f t="shared" ca="1" si="34"/>
        <v>608921.88418199227</v>
      </c>
      <c r="AD23" s="231">
        <f t="shared" ca="1" si="35"/>
        <v>21143.120978541396</v>
      </c>
      <c r="AE23" s="231">
        <f t="shared" ca="1" si="4"/>
        <v>514086.40375983162</v>
      </c>
      <c r="AF23" s="231">
        <f t="shared" ca="1" si="5"/>
        <v>1269611.1714975692</v>
      </c>
      <c r="AG23" s="232">
        <f t="shared" ca="1" si="6"/>
        <v>1845409.7340250185</v>
      </c>
      <c r="AH23" s="244">
        <f t="shared" ca="1" si="36"/>
        <v>20.708667533147946</v>
      </c>
      <c r="AI23" s="243">
        <f t="shared" ca="1" si="37"/>
        <v>34.432219989777721</v>
      </c>
      <c r="AJ23" s="242">
        <f t="shared" ca="1" si="38"/>
        <v>55.140887522925667</v>
      </c>
      <c r="AK23" s="241">
        <f t="shared" ca="1" si="39"/>
        <v>14.910240623866521</v>
      </c>
      <c r="AL23" s="243">
        <f t="shared" ca="1" si="40"/>
        <v>15.25347345547153</v>
      </c>
      <c r="AM23" s="243"/>
      <c r="AN23" s="242">
        <f t="shared" ca="1" si="7"/>
        <v>30.16371407933805</v>
      </c>
      <c r="AO23" s="224"/>
      <c r="AP23" s="235">
        <f t="shared" si="41"/>
        <v>1.3076923076923077</v>
      </c>
      <c r="AQ23" s="235">
        <f t="shared" si="8"/>
        <v>0.96208370726217496</v>
      </c>
      <c r="AR23" s="235">
        <f t="shared" si="9"/>
        <v>0.98071858694542369</v>
      </c>
      <c r="AT23" s="230">
        <f t="shared" ca="1" si="10"/>
        <v>383959.65636346728</v>
      </c>
      <c r="AU23" s="231">
        <f t="shared" ca="1" si="11"/>
        <v>23899.774769369251</v>
      </c>
      <c r="AV23" s="231">
        <f t="shared" ca="1" si="42"/>
        <v>36000.829882344857</v>
      </c>
      <c r="AW23" s="231"/>
      <c r="AX23" s="231">
        <f t="shared" ca="1" si="43"/>
        <v>97872.137473296287</v>
      </c>
      <c r="AY23" s="231">
        <f t="shared" ca="1" si="44"/>
        <v>12234.017184162036</v>
      </c>
      <c r="AZ23" s="231"/>
      <c r="BA23" s="232">
        <f t="shared" ca="1" si="12"/>
        <v>553966.41567263973</v>
      </c>
      <c r="BB23" s="231">
        <f t="shared" ca="1" si="13"/>
        <v>11567.441181044751</v>
      </c>
      <c r="BC23" s="231">
        <f t="shared" ca="1" si="45"/>
        <v>109135.35231146392</v>
      </c>
      <c r="BD23" s="231">
        <f t="shared" ca="1" si="46"/>
        <v>585833.82376687985</v>
      </c>
      <c r="BE23" s="231">
        <f t="shared" ca="1" si="47"/>
        <v>20341.45221412777</v>
      </c>
      <c r="BF23" s="231">
        <f t="shared" ca="1" si="14"/>
        <v>494594.15318233811</v>
      </c>
      <c r="BG23" s="231">
        <f t="shared" ca="1" si="15"/>
        <v>1221472.2226558544</v>
      </c>
      <c r="BH23" s="232">
        <f t="shared" ca="1" si="16"/>
        <v>1775438.638328494</v>
      </c>
      <c r="BI23" s="244">
        <f t="shared" ca="1" si="48"/>
        <v>20.309375160631426</v>
      </c>
      <c r="BJ23" s="243">
        <f t="shared" ca="1" si="49"/>
        <v>33.76831813376878</v>
      </c>
      <c r="BK23" s="242">
        <f t="shared" ca="1" si="50"/>
        <v>54.077693294400206</v>
      </c>
      <c r="BL23" s="241">
        <f t="shared" ca="1" si="51"/>
        <v>14.622750115654627</v>
      </c>
      <c r="BM23" s="243">
        <f t="shared" ca="1" si="52"/>
        <v>14.959364933259568</v>
      </c>
      <c r="BN23" s="243">
        <f t="shared" si="17"/>
        <v>0</v>
      </c>
      <c r="BO23" s="242">
        <f t="shared" ca="1" si="18"/>
        <v>29.582115048914194</v>
      </c>
      <c r="BP23" s="67"/>
      <c r="BQ23" s="67"/>
      <c r="BR23" s="67"/>
      <c r="BS23" s="67"/>
      <c r="BT23" s="67"/>
      <c r="BU23" s="67"/>
    </row>
    <row r="24" spans="1:73" ht="12" customHeight="1" x14ac:dyDescent="0.15">
      <c r="A24" s="213">
        <f t="shared" si="19"/>
        <v>18</v>
      </c>
      <c r="B24" s="67">
        <f t="shared" si="20"/>
        <v>72</v>
      </c>
      <c r="C24" s="224">
        <f t="shared" si="21"/>
        <v>16.615384615384613</v>
      </c>
      <c r="D24" s="225">
        <f ca="1">IFERROR(OFFSET(extrapolation!V33,0,OS_dist_choice-1,1,1),0)</f>
        <v>0.69277766991479828</v>
      </c>
      <c r="E24" s="225">
        <f ca="1">IFERROR(OFFSET(extrapolation!J33,0,PFS_dist_choice-1,1,1),0)</f>
        <v>0.25067468893907491</v>
      </c>
      <c r="F24" s="214"/>
      <c r="G24" s="226">
        <f t="shared" ca="1" si="22"/>
        <v>250.67468893907491</v>
      </c>
      <c r="H24" s="224">
        <f t="shared" ca="1" si="23"/>
        <v>442.10298097572331</v>
      </c>
      <c r="I24" s="224">
        <f t="shared" ca="1" si="0"/>
        <v>307.22233008520175</v>
      </c>
      <c r="J24" s="227">
        <f t="shared" ca="1" si="1"/>
        <v>1000</v>
      </c>
      <c r="K24" s="238">
        <f t="shared" ca="1" si="24"/>
        <v>12.543639873796366</v>
      </c>
      <c r="L24" s="239">
        <f t="shared" ca="1" si="25"/>
        <v>17.543837945899554</v>
      </c>
      <c r="M24" s="238">
        <f t="shared" ca="1" si="26"/>
        <v>256.94650887597311</v>
      </c>
      <c r="N24" s="238">
        <f t="shared" ca="1" si="27"/>
        <v>444.60308001177492</v>
      </c>
      <c r="O24" s="239">
        <f t="shared" ca="1" si="28"/>
        <v>298.45041111225197</v>
      </c>
      <c r="P24" s="217"/>
      <c r="Q24" s="217"/>
      <c r="R24" s="224"/>
      <c r="S24" s="230">
        <f t="shared" ca="1" si="29"/>
        <v>380073.06363930093</v>
      </c>
      <c r="T24" s="231">
        <f t="shared" ca="1" si="30"/>
        <v>23657.851720454149</v>
      </c>
      <c r="U24" s="231">
        <f t="shared" ca="1" si="53"/>
        <v>35636.41512895676</v>
      </c>
      <c r="V24" s="231"/>
      <c r="W24" s="231">
        <f t="shared" ca="1" si="31"/>
        <v>96761.944098549458</v>
      </c>
      <c r="X24" s="231">
        <f t="shared" ca="1" si="32"/>
        <v>12095.243012318682</v>
      </c>
      <c r="Y24" s="231"/>
      <c r="Z24" s="232">
        <f t="shared" ca="1" si="2"/>
        <v>548224.51759958011</v>
      </c>
      <c r="AA24" s="231">
        <f t="shared" ca="1" si="3"/>
        <v>10898.946794369749</v>
      </c>
      <c r="AB24" s="231">
        <f t="shared" ca="1" si="33"/>
        <v>112286.57733611019</v>
      </c>
      <c r="AC24" s="231">
        <f t="shared" ca="1" si="34"/>
        <v>602749.4626193553</v>
      </c>
      <c r="AD24" s="231">
        <f t="shared" ca="1" si="35"/>
        <v>20928.80078539428</v>
      </c>
      <c r="AE24" s="231">
        <f t="shared" ca="1" si="4"/>
        <v>502640.07819137035</v>
      </c>
      <c r="AF24" s="231">
        <f t="shared" ca="1" si="5"/>
        <v>1249503.8657265999</v>
      </c>
      <c r="AG24" s="232">
        <f t="shared" ca="1" si="6"/>
        <v>1797728.38332618</v>
      </c>
      <c r="AH24" s="244">
        <f t="shared" ca="1" si="36"/>
        <v>19.697473644153998</v>
      </c>
      <c r="AI24" s="243">
        <f t="shared" ca="1" si="37"/>
        <v>34.083192992004648</v>
      </c>
      <c r="AJ24" s="242">
        <f t="shared" ca="1" si="38"/>
        <v>53.780666636158642</v>
      </c>
      <c r="AK24" s="241">
        <f t="shared" ca="1" si="39"/>
        <v>14.182181023790879</v>
      </c>
      <c r="AL24" s="243">
        <f t="shared" ca="1" si="40"/>
        <v>15.09885449545806</v>
      </c>
      <c r="AM24" s="243"/>
      <c r="AN24" s="242">
        <f t="shared" ca="1" si="7"/>
        <v>29.281035519248938</v>
      </c>
      <c r="AO24" s="224"/>
      <c r="AP24" s="235">
        <f t="shared" si="41"/>
        <v>1.3846153846153846</v>
      </c>
      <c r="AQ24" s="235">
        <f t="shared" si="8"/>
        <v>0.95989865064859226</v>
      </c>
      <c r="AR24" s="235">
        <f t="shared" si="9"/>
        <v>0.97959603457713673</v>
      </c>
      <c r="AT24" s="230">
        <f t="shared" ca="1" si="10"/>
        <v>364831.62093524152</v>
      </c>
      <c r="AU24" s="231">
        <f t="shared" ca="1" si="11"/>
        <v>22709.139943708415</v>
      </c>
      <c r="AV24" s="231">
        <f t="shared" ca="1" si="42"/>
        <v>34207.346796238671</v>
      </c>
      <c r="AW24" s="231"/>
      <c r="AX24" s="231">
        <f t="shared" ca="1" si="43"/>
        <v>92881.659574332138</v>
      </c>
      <c r="AY24" s="231">
        <f t="shared" ca="1" si="44"/>
        <v>11610.207446791517</v>
      </c>
      <c r="AZ24" s="231"/>
      <c r="BA24" s="232">
        <f t="shared" ca="1" si="12"/>
        <v>526239.97469631233</v>
      </c>
      <c r="BB24" s="231">
        <f t="shared" ca="1" si="13"/>
        <v>10461.884321406322</v>
      </c>
      <c r="BC24" s="231">
        <f t="shared" ca="1" si="45"/>
        <v>107783.73407088096</v>
      </c>
      <c r="BD24" s="231">
        <f t="shared" ca="1" si="46"/>
        <v>578578.39584748331</v>
      </c>
      <c r="BE24" s="231">
        <f t="shared" ca="1" si="47"/>
        <v>20089.527633593167</v>
      </c>
      <c r="BF24" s="231">
        <f t="shared" ca="1" si="14"/>
        <v>482483.53281779931</v>
      </c>
      <c r="BG24" s="231">
        <f t="shared" ca="1" si="15"/>
        <v>1199397.0746911631</v>
      </c>
      <c r="BH24" s="232">
        <f t="shared" ca="1" si="16"/>
        <v>1725637.0493874755</v>
      </c>
      <c r="BI24" s="244">
        <f t="shared" ca="1" si="48"/>
        <v>19.295567073000921</v>
      </c>
      <c r="BJ24" s="243">
        <f t="shared" ca="1" si="49"/>
        <v>33.387760700695011</v>
      </c>
      <c r="BK24" s="242">
        <f t="shared" ca="1" si="50"/>
        <v>52.683327773695922</v>
      </c>
      <c r="BL24" s="241">
        <f t="shared" ca="1" si="51"/>
        <v>13.892808292560662</v>
      </c>
      <c r="BM24" s="243">
        <f t="shared" ca="1" si="52"/>
        <v>14.790777990407889</v>
      </c>
      <c r="BN24" s="243">
        <f t="shared" si="17"/>
        <v>0</v>
      </c>
      <c r="BO24" s="242">
        <f t="shared" ca="1" si="18"/>
        <v>28.683586282968552</v>
      </c>
      <c r="BP24" s="67"/>
      <c r="BQ24" s="67"/>
      <c r="BR24" s="67"/>
      <c r="BS24" s="67"/>
      <c r="BT24" s="67"/>
      <c r="BU24" s="67"/>
    </row>
    <row r="25" spans="1:73" ht="12" customHeight="1" x14ac:dyDescent="0.15">
      <c r="A25" s="213">
        <f t="shared" si="19"/>
        <v>19</v>
      </c>
      <c r="B25" s="67">
        <f t="shared" si="20"/>
        <v>76</v>
      </c>
      <c r="C25" s="224">
        <f t="shared" si="21"/>
        <v>17.538461538461537</v>
      </c>
      <c r="D25" s="225">
        <f ca="1">IFERROR(OFFSET(extrapolation!V34,0,OS_dist_choice-1,1,1),0)</f>
        <v>0.67565203667793217</v>
      </c>
      <c r="E25" s="225">
        <f ca="1">IFERROR(OFFSET(extrapolation!J34,0,PFS_dist_choice-1,1,1),0)</f>
        <v>0.23925330523117133</v>
      </c>
      <c r="F25" s="214"/>
      <c r="G25" s="226">
        <f t="shared" ca="1" si="22"/>
        <v>239.25330523117134</v>
      </c>
      <c r="H25" s="224">
        <f t="shared" ca="1" si="23"/>
        <v>436.39873144676085</v>
      </c>
      <c r="I25" s="224">
        <f t="shared" ca="1" si="0"/>
        <v>324.34796332206781</v>
      </c>
      <c r="J25" s="227">
        <f t="shared" ca="1" si="1"/>
        <v>1000</v>
      </c>
      <c r="K25" s="238">
        <f t="shared" ca="1" si="24"/>
        <v>11.421383707903573</v>
      </c>
      <c r="L25" s="239">
        <f t="shared" ca="1" si="25"/>
        <v>17.125633236866065</v>
      </c>
      <c r="M25" s="238">
        <f t="shared" ca="1" si="26"/>
        <v>244.96399708512314</v>
      </c>
      <c r="N25" s="238">
        <f t="shared" ca="1" si="27"/>
        <v>439.25085621124208</v>
      </c>
      <c r="O25" s="239">
        <f t="shared" ca="1" si="28"/>
        <v>315.78514670363478</v>
      </c>
      <c r="P25" s="217"/>
      <c r="Q25" s="217"/>
      <c r="R25" s="224"/>
      <c r="S25" s="230">
        <f t="shared" ca="1" si="29"/>
        <v>362755.95709282404</v>
      </c>
      <c r="T25" s="231">
        <f t="shared" ca="1" si="30"/>
        <v>22579.939134434484</v>
      </c>
      <c r="U25" s="231">
        <f t="shared" ca="1" si="53"/>
        <v>34012.728378273772</v>
      </c>
      <c r="V25" s="231"/>
      <c r="W25" s="231">
        <f t="shared" ca="1" si="31"/>
        <v>92249.521878304018</v>
      </c>
      <c r="X25" s="231">
        <f t="shared" ca="1" si="32"/>
        <v>11531.190234788002</v>
      </c>
      <c r="Y25" s="231"/>
      <c r="Z25" s="232">
        <f t="shared" ca="1" si="2"/>
        <v>523129.33671862434</v>
      </c>
      <c r="AA25" s="231">
        <f t="shared" ca="1" si="3"/>
        <v>9923.8382640881737</v>
      </c>
      <c r="AB25" s="231">
        <f t="shared" ca="1" si="33"/>
        <v>110934.8483024679</v>
      </c>
      <c r="AC25" s="231">
        <f t="shared" ca="1" si="34"/>
        <v>595493.4399676359</v>
      </c>
      <c r="AD25" s="231">
        <f t="shared" ca="1" si="35"/>
        <v>20676.855554431797</v>
      </c>
      <c r="AE25" s="231">
        <f t="shared" ca="1" si="4"/>
        <v>490658.29585293267</v>
      </c>
      <c r="AF25" s="231">
        <f t="shared" ca="1" si="5"/>
        <v>1227687.2779415564</v>
      </c>
      <c r="AG25" s="232">
        <f t="shared" ca="1" si="6"/>
        <v>1750816.6146601806</v>
      </c>
      <c r="AH25" s="244">
        <f t="shared" ca="1" si="36"/>
        <v>18.778896422678844</v>
      </c>
      <c r="AI25" s="243">
        <f t="shared" ca="1" si="37"/>
        <v>33.672892467939157</v>
      </c>
      <c r="AJ25" s="242">
        <f t="shared" ca="1" si="38"/>
        <v>52.451788890618005</v>
      </c>
      <c r="AK25" s="241">
        <f t="shared" ca="1" si="39"/>
        <v>13.520805424328767</v>
      </c>
      <c r="AL25" s="243">
        <f t="shared" ca="1" si="40"/>
        <v>14.917091363297047</v>
      </c>
      <c r="AM25" s="243"/>
      <c r="AN25" s="242">
        <f t="shared" ca="1" si="7"/>
        <v>28.437896787625814</v>
      </c>
      <c r="AO25" s="224"/>
      <c r="AP25" s="235">
        <f t="shared" si="41"/>
        <v>1.4615384615384615</v>
      </c>
      <c r="AQ25" s="235">
        <f t="shared" si="8"/>
        <v>0.95771855667221928</v>
      </c>
      <c r="AR25" s="235">
        <f t="shared" si="9"/>
        <v>0.97847476710732739</v>
      </c>
      <c r="AT25" s="230">
        <f t="shared" ca="1" si="10"/>
        <v>347418.11165118893</v>
      </c>
      <c r="AU25" s="231">
        <f t="shared" ca="1" si="11"/>
        <v>21625.226717577156</v>
      </c>
      <c r="AV25" s="231">
        <f t="shared" ca="1" si="42"/>
        <v>32574.621130924592</v>
      </c>
      <c r="AW25" s="231"/>
      <c r="AX25" s="231">
        <f t="shared" ca="1" si="43"/>
        <v>88349.078946991634</v>
      </c>
      <c r="AY25" s="231">
        <f t="shared" ca="1" si="44"/>
        <v>11043.634868373954</v>
      </c>
      <c r="AZ25" s="231"/>
      <c r="BA25" s="232">
        <f t="shared" ca="1" si="12"/>
        <v>501010.67331505631</v>
      </c>
      <c r="BB25" s="231">
        <f t="shared" ca="1" si="13"/>
        <v>9504.2440589310681</v>
      </c>
      <c r="BC25" s="231">
        <f t="shared" ca="1" si="45"/>
        <v>106244.36280089115</v>
      </c>
      <c r="BD25" s="231">
        <f t="shared" ca="1" si="46"/>
        <v>570315.11783357908</v>
      </c>
      <c r="BE25" s="231">
        <f t="shared" ca="1" si="47"/>
        <v>19802.60825811038</v>
      </c>
      <c r="BF25" s="231">
        <f t="shared" ca="1" si="14"/>
        <v>469912.55492352141</v>
      </c>
      <c r="BG25" s="231">
        <f t="shared" ca="1" si="15"/>
        <v>1175778.8878750331</v>
      </c>
      <c r="BH25" s="232">
        <f t="shared" ca="1" si="16"/>
        <v>1676789.5611900892</v>
      </c>
      <c r="BI25" s="244">
        <f t="shared" ca="1" si="48"/>
        <v>18.374676303713304</v>
      </c>
      <c r="BJ25" s="243">
        <f t="shared" ca="1" si="49"/>
        <v>32.948075615396846</v>
      </c>
      <c r="BK25" s="242">
        <f t="shared" ca="1" si="50"/>
        <v>51.322751919110154</v>
      </c>
      <c r="BL25" s="241">
        <f t="shared" ca="1" si="51"/>
        <v>13.229766938673579</v>
      </c>
      <c r="BM25" s="243">
        <f t="shared" ca="1" si="52"/>
        <v>14.595997497620802</v>
      </c>
      <c r="BN25" s="243">
        <f t="shared" si="17"/>
        <v>0</v>
      </c>
      <c r="BO25" s="242">
        <f t="shared" ca="1" si="18"/>
        <v>27.825764436294381</v>
      </c>
      <c r="BP25" s="67"/>
      <c r="BQ25" s="67"/>
      <c r="BR25" s="67"/>
      <c r="BS25" s="67"/>
      <c r="BT25" s="67"/>
      <c r="BU25" s="67"/>
    </row>
    <row r="26" spans="1:73" ht="12" customHeight="1" x14ac:dyDescent="0.15">
      <c r="A26" s="213">
        <f t="shared" si="19"/>
        <v>20</v>
      </c>
      <c r="B26" s="67">
        <f t="shared" si="20"/>
        <v>80</v>
      </c>
      <c r="C26" s="224">
        <f t="shared" si="21"/>
        <v>18.461538461538463</v>
      </c>
      <c r="D26" s="225">
        <f ca="1">IFERROR(OFFSET(extrapolation!V35,0,OS_dist_choice-1,1,1),0)</f>
        <v>0.65895761409044895</v>
      </c>
      <c r="E26" s="225">
        <f ca="1">IFERROR(OFFSET(extrapolation!J35,0,PFS_dist_choice-1,1,1),0)</f>
        <v>0.22881125292946713</v>
      </c>
      <c r="F26" s="214"/>
      <c r="G26" s="226">
        <f t="shared" ca="1" si="22"/>
        <v>228.81125292946714</v>
      </c>
      <c r="H26" s="224">
        <f t="shared" ca="1" si="23"/>
        <v>430.14636116098177</v>
      </c>
      <c r="I26" s="224">
        <f t="shared" ca="1" si="0"/>
        <v>341.04238590955106</v>
      </c>
      <c r="J26" s="227">
        <f t="shared" ca="1" si="1"/>
        <v>1000</v>
      </c>
      <c r="K26" s="238">
        <f t="shared" ca="1" si="24"/>
        <v>10.442052301704194</v>
      </c>
      <c r="L26" s="239">
        <f t="shared" ca="1" si="25"/>
        <v>16.694422587483245</v>
      </c>
      <c r="M26" s="238">
        <f t="shared" ca="1" si="26"/>
        <v>234.03227908031926</v>
      </c>
      <c r="N26" s="238">
        <f t="shared" ca="1" si="27"/>
        <v>433.27254630387131</v>
      </c>
      <c r="O26" s="239">
        <f t="shared" ca="1" si="28"/>
        <v>332.69517461580944</v>
      </c>
      <c r="P26" s="217"/>
      <c r="Q26" s="217"/>
      <c r="R26" s="224"/>
      <c r="S26" s="230">
        <f t="shared" ca="1" si="29"/>
        <v>346923.71321615926</v>
      </c>
      <c r="T26" s="231">
        <f t="shared" ca="1" si="30"/>
        <v>21594.452621789464</v>
      </c>
      <c r="U26" s="231">
        <f t="shared" ca="1" si="53"/>
        <v>32528.265338958903</v>
      </c>
      <c r="V26" s="231"/>
      <c r="W26" s="231">
        <f t="shared" ca="1" si="31"/>
        <v>88132.811785182945</v>
      </c>
      <c r="X26" s="231">
        <f t="shared" ca="1" si="32"/>
        <v>11016.601473147868</v>
      </c>
      <c r="Y26" s="231"/>
      <c r="Z26" s="232">
        <f t="shared" ca="1" si="2"/>
        <v>500195.8444352384</v>
      </c>
      <c r="AA26" s="231">
        <f t="shared" ca="1" si="3"/>
        <v>9072.9145292223766</v>
      </c>
      <c r="AB26" s="231">
        <f t="shared" ca="1" si="33"/>
        <v>109424.99830832156</v>
      </c>
      <c r="AC26" s="231">
        <f t="shared" ca="1" si="34"/>
        <v>587388.63087826956</v>
      </c>
      <c r="AD26" s="231">
        <f t="shared" ca="1" si="35"/>
        <v>20395.438572162133</v>
      </c>
      <c r="AE26" s="231">
        <f t="shared" ca="1" si="4"/>
        <v>478303.88656169828</v>
      </c>
      <c r="AF26" s="231">
        <f t="shared" ca="1" si="5"/>
        <v>1204585.8688496738</v>
      </c>
      <c r="AG26" s="232">
        <f t="shared" ca="1" si="6"/>
        <v>1704781.7132849121</v>
      </c>
      <c r="AH26" s="244">
        <f t="shared" ca="1" si="36"/>
        <v>17.940872865842408</v>
      </c>
      <c r="AI26" s="243">
        <f t="shared" ca="1" si="37"/>
        <v>33.214596294341945</v>
      </c>
      <c r="AJ26" s="242">
        <f t="shared" ca="1" si="38"/>
        <v>51.155469160184353</v>
      </c>
      <c r="AK26" s="241">
        <f t="shared" ca="1" si="39"/>
        <v>12.917428463406534</v>
      </c>
      <c r="AL26" s="243">
        <f t="shared" ca="1" si="40"/>
        <v>14.714066158393482</v>
      </c>
      <c r="AM26" s="243"/>
      <c r="AN26" s="242">
        <f t="shared" ca="1" si="7"/>
        <v>27.631494621800016</v>
      </c>
      <c r="AO26" s="224"/>
      <c r="AP26" s="235">
        <f t="shared" si="41"/>
        <v>1.5384615384615385</v>
      </c>
      <c r="AQ26" s="235">
        <f t="shared" si="8"/>
        <v>0.95554341406205845</v>
      </c>
      <c r="AR26" s="235">
        <f t="shared" si="9"/>
        <v>0.97735478306527257</v>
      </c>
      <c r="AT26" s="230">
        <f t="shared" ca="1" si="10"/>
        <v>331500.6693456553</v>
      </c>
      <c r="AU26" s="231">
        <f t="shared" ca="1" si="11"/>
        <v>20634.436983026073</v>
      </c>
      <c r="AV26" s="231">
        <f t="shared" ca="1" si="42"/>
        <v>31082.169715505312</v>
      </c>
      <c r="AW26" s="231"/>
      <c r="AX26" s="231">
        <f t="shared" ca="1" si="43"/>
        <v>84214.727864102533</v>
      </c>
      <c r="AY26" s="231">
        <f t="shared" ca="1" si="44"/>
        <v>10526.840983012817</v>
      </c>
      <c r="AZ26" s="231"/>
      <c r="BA26" s="232">
        <f t="shared" ca="1" si="12"/>
        <v>477958.844891302</v>
      </c>
      <c r="BB26" s="231">
        <f t="shared" ca="1" si="13"/>
        <v>8669.5637247464038</v>
      </c>
      <c r="BC26" s="231">
        <f t="shared" ca="1" si="45"/>
        <v>104560.33646726856</v>
      </c>
      <c r="BD26" s="231">
        <f t="shared" ca="1" si="46"/>
        <v>561275.33773065999</v>
      </c>
      <c r="BE26" s="231">
        <f t="shared" ca="1" si="47"/>
        <v>19488.727004536799</v>
      </c>
      <c r="BF26" s="231">
        <f t="shared" ca="1" si="14"/>
        <v>457040.12872431672</v>
      </c>
      <c r="BG26" s="231">
        <f t="shared" ca="1" si="15"/>
        <v>1151034.0936515282</v>
      </c>
      <c r="BH26" s="232">
        <f t="shared" ca="1" si="16"/>
        <v>1628992.9385428301</v>
      </c>
      <c r="BI26" s="244">
        <f t="shared" ca="1" si="48"/>
        <v>17.534597907797043</v>
      </c>
      <c r="BJ26" s="243">
        <f t="shared" ca="1" si="49"/>
        <v>32.462444555857175</v>
      </c>
      <c r="BK26" s="242">
        <f t="shared" ca="1" si="50"/>
        <v>49.997042463654218</v>
      </c>
      <c r="BL26" s="241">
        <f t="shared" ca="1" si="51"/>
        <v>12.62491049361387</v>
      </c>
      <c r="BM26" s="243">
        <f t="shared" ca="1" si="52"/>
        <v>14.38086293824473</v>
      </c>
      <c r="BN26" s="243">
        <f t="shared" si="17"/>
        <v>0</v>
      </c>
      <c r="BO26" s="242">
        <f t="shared" ca="1" si="18"/>
        <v>27.0057734318586</v>
      </c>
      <c r="BP26" s="67"/>
      <c r="BQ26" s="67"/>
      <c r="BR26" s="67"/>
      <c r="BS26" s="67"/>
      <c r="BT26" s="67"/>
      <c r="BU26" s="67"/>
    </row>
    <row r="27" spans="1:73" ht="12" customHeight="1" x14ac:dyDescent="0.15">
      <c r="A27" s="213">
        <f t="shared" si="19"/>
        <v>21</v>
      </c>
      <c r="B27" s="67">
        <f t="shared" si="20"/>
        <v>84</v>
      </c>
      <c r="C27" s="224">
        <f t="shared" si="21"/>
        <v>19.384615384615387</v>
      </c>
      <c r="D27" s="225">
        <f ca="1">IFERROR(OFFSET(extrapolation!V36,0,OS_dist_choice-1,1,1),0)</f>
        <v>0.64270264473261218</v>
      </c>
      <c r="E27" s="225">
        <f ca="1">IFERROR(OFFSET(extrapolation!J36,0,PFS_dist_choice-1,1,1),0)</f>
        <v>0.21922870872165703</v>
      </c>
      <c r="F27" s="214"/>
      <c r="G27" s="226">
        <f t="shared" ca="1" si="22"/>
        <v>219.22870872165703</v>
      </c>
      <c r="H27" s="224">
        <f t="shared" ca="1" si="23"/>
        <v>423.47393601095507</v>
      </c>
      <c r="I27" s="224">
        <f t="shared" ca="1" si="0"/>
        <v>357.29735526738784</v>
      </c>
      <c r="J27" s="227">
        <f t="shared" ca="1" si="1"/>
        <v>999.99999999999989</v>
      </c>
      <c r="K27" s="238">
        <f t="shared" ca="1" si="24"/>
        <v>9.5825442078101162</v>
      </c>
      <c r="L27" s="239">
        <f t="shared" ca="1" si="25"/>
        <v>16.254969357836785</v>
      </c>
      <c r="M27" s="238">
        <f t="shared" ca="1" si="26"/>
        <v>224.01998082556207</v>
      </c>
      <c r="N27" s="238">
        <f t="shared" ca="1" si="27"/>
        <v>426.81014858596842</v>
      </c>
      <c r="O27" s="239">
        <f t="shared" ca="1" si="28"/>
        <v>349.16987058846945</v>
      </c>
      <c r="P27" s="217"/>
      <c r="Q27" s="217"/>
      <c r="R27" s="224"/>
      <c r="S27" s="230">
        <f t="shared" ca="1" si="29"/>
        <v>332394.65585525986</v>
      </c>
      <c r="T27" s="231">
        <f t="shared" ca="1" si="30"/>
        <v>20690.083652857913</v>
      </c>
      <c r="U27" s="231">
        <f t="shared" ca="1" si="53"/>
        <v>31165.991689288203</v>
      </c>
      <c r="V27" s="231"/>
      <c r="W27" s="231">
        <f t="shared" ca="1" si="31"/>
        <v>84362.340459213461</v>
      </c>
      <c r="X27" s="231">
        <f t="shared" ca="1" si="32"/>
        <v>10545.292557401683</v>
      </c>
      <c r="Y27" s="231"/>
      <c r="Z27" s="232">
        <f t="shared" ca="1" si="2"/>
        <v>479158.36421402113</v>
      </c>
      <c r="AA27" s="231">
        <f t="shared" ca="1" si="3"/>
        <v>8326.1031507921889</v>
      </c>
      <c r="AB27" s="231">
        <f t="shared" ca="1" si="33"/>
        <v>107792.88968435794</v>
      </c>
      <c r="AC27" s="231">
        <f t="shared" ca="1" si="34"/>
        <v>578627.54278235405</v>
      </c>
      <c r="AD27" s="231">
        <f t="shared" ca="1" si="35"/>
        <v>20091.234124387291</v>
      </c>
      <c r="AE27" s="231">
        <f t="shared" ca="1" si="4"/>
        <v>465713.3230605931</v>
      </c>
      <c r="AF27" s="231">
        <f t="shared" ca="1" si="5"/>
        <v>1180551.0928024845</v>
      </c>
      <c r="AG27" s="232">
        <f t="shared" ca="1" si="6"/>
        <v>1659709.4570165058</v>
      </c>
      <c r="AH27" s="244">
        <f t="shared" ca="1" si="36"/>
        <v>17.173331863424334</v>
      </c>
      <c r="AI27" s="243">
        <f t="shared" ca="1" si="37"/>
        <v>32.71919003533776</v>
      </c>
      <c r="AJ27" s="242">
        <f t="shared" ca="1" si="38"/>
        <v>49.892521898762098</v>
      </c>
      <c r="AK27" s="241">
        <f t="shared" ca="1" si="39"/>
        <v>12.364798941665519</v>
      </c>
      <c r="AL27" s="243">
        <f t="shared" ca="1" si="40"/>
        <v>14.494601185654629</v>
      </c>
      <c r="AM27" s="243"/>
      <c r="AN27" s="242">
        <f t="shared" ca="1" si="7"/>
        <v>26.85940012732015</v>
      </c>
      <c r="AO27" s="224"/>
      <c r="AP27" s="235">
        <f t="shared" si="41"/>
        <v>1.6153846153846154</v>
      </c>
      <c r="AQ27" s="235">
        <f t="shared" si="8"/>
        <v>0.95337321157271038</v>
      </c>
      <c r="AR27" s="235">
        <f t="shared" si="9"/>
        <v>0.97623608098193193</v>
      </c>
      <c r="AT27" s="230">
        <f t="shared" ca="1" si="10"/>
        <v>316896.16056233493</v>
      </c>
      <c r="AU27" s="231">
        <f t="shared" ca="1" si="11"/>
        <v>19725.371499833185</v>
      </c>
      <c r="AV27" s="231">
        <f t="shared" ca="1" si="42"/>
        <v>29712.821588665094</v>
      </c>
      <c r="AW27" s="231"/>
      <c r="AX27" s="231">
        <f t="shared" ca="1" si="43"/>
        <v>80428.795459390734</v>
      </c>
      <c r="AY27" s="231">
        <f t="shared" ca="1" si="44"/>
        <v>10053.599432423842</v>
      </c>
      <c r="AZ27" s="231"/>
      <c r="BA27" s="232">
        <f t="shared" ca="1" si="12"/>
        <v>456816.74854264781</v>
      </c>
      <c r="BB27" s="231">
        <f t="shared" ca="1" si="13"/>
        <v>7937.8837007564116</v>
      </c>
      <c r="BC27" s="231">
        <f t="shared" ca="1" si="45"/>
        <v>102766.85342307921</v>
      </c>
      <c r="BD27" s="231">
        <f t="shared" ca="1" si="46"/>
        <v>551647.99876683881</v>
      </c>
      <c r="BE27" s="231">
        <f t="shared" ca="1" si="47"/>
        <v>19154.444401626344</v>
      </c>
      <c r="BF27" s="231">
        <f t="shared" ca="1" si="14"/>
        <v>443998.60647847684</v>
      </c>
      <c r="BG27" s="231">
        <f t="shared" ca="1" si="15"/>
        <v>1125505.7867707775</v>
      </c>
      <c r="BH27" s="232">
        <f t="shared" ca="1" si="16"/>
        <v>1582322.5353134254</v>
      </c>
      <c r="BI27" s="244">
        <f t="shared" ca="1" si="48"/>
        <v>16.765226195751509</v>
      </c>
      <c r="BJ27" s="243">
        <f t="shared" ca="1" si="49"/>
        <v>31.941653853001213</v>
      </c>
      <c r="BK27" s="242">
        <f t="shared" ca="1" si="50"/>
        <v>48.70688004875273</v>
      </c>
      <c r="BL27" s="241">
        <f t="shared" ca="1" si="51"/>
        <v>12.070962860941085</v>
      </c>
      <c r="BM27" s="243">
        <f t="shared" ca="1" si="52"/>
        <v>14.150152656879539</v>
      </c>
      <c r="BN27" s="243">
        <f t="shared" si="17"/>
        <v>0</v>
      </c>
      <c r="BO27" s="242">
        <f t="shared" ca="1" si="18"/>
        <v>26.221115517820628</v>
      </c>
      <c r="BP27" s="67"/>
      <c r="BQ27" s="67"/>
      <c r="BR27" s="67"/>
      <c r="BS27" s="67"/>
      <c r="BT27" s="67"/>
      <c r="BU27" s="67"/>
    </row>
    <row r="28" spans="1:73" ht="12" customHeight="1" x14ac:dyDescent="0.15">
      <c r="A28" s="213">
        <f t="shared" si="19"/>
        <v>22</v>
      </c>
      <c r="B28" s="67">
        <f t="shared" si="20"/>
        <v>88</v>
      </c>
      <c r="C28" s="224">
        <f t="shared" si="21"/>
        <v>20.307692307692307</v>
      </c>
      <c r="D28" s="225">
        <f ca="1">IFERROR(OFFSET(extrapolation!V37,0,OS_dist_choice-1,1,1),0)</f>
        <v>0.62689139572106711</v>
      </c>
      <c r="E28" s="225">
        <f ca="1">IFERROR(OFFSET(extrapolation!J37,0,PFS_dist_choice-1,1,1),0)</f>
        <v>0.21040450094084093</v>
      </c>
      <c r="F28" s="214"/>
      <c r="G28" s="226">
        <f t="shared" ca="1" si="22"/>
        <v>210.40450094084093</v>
      </c>
      <c r="H28" s="224">
        <f t="shared" ca="1" si="23"/>
        <v>416.48689478022612</v>
      </c>
      <c r="I28" s="224">
        <f t="shared" ca="1" si="0"/>
        <v>373.10860427893289</v>
      </c>
      <c r="J28" s="227">
        <f t="shared" ca="1" si="1"/>
        <v>1000</v>
      </c>
      <c r="K28" s="238">
        <f t="shared" ca="1" si="24"/>
        <v>8.8242077808160957</v>
      </c>
      <c r="L28" s="239">
        <f t="shared" ca="1" si="25"/>
        <v>15.811249011545044</v>
      </c>
      <c r="M28" s="238">
        <f t="shared" ca="1" si="26"/>
        <v>214.81660483124898</v>
      </c>
      <c r="N28" s="238">
        <f t="shared" ca="1" si="27"/>
        <v>419.98041539559063</v>
      </c>
      <c r="O28" s="239">
        <f t="shared" ca="1" si="28"/>
        <v>365.20297977316034</v>
      </c>
      <c r="P28" s="217"/>
      <c r="Q28" s="217"/>
      <c r="R28" s="224"/>
      <c r="S28" s="230">
        <f t="shared" ca="1" si="29"/>
        <v>319015.3884883034</v>
      </c>
      <c r="T28" s="231">
        <f t="shared" ca="1" si="30"/>
        <v>19857.28397885587</v>
      </c>
      <c r="U28" s="231">
        <f t="shared" ca="1" si="53"/>
        <v>29911.524662751825</v>
      </c>
      <c r="V28" s="231"/>
      <c r="W28" s="231">
        <f t="shared" ca="1" si="31"/>
        <v>80896.496313771073</v>
      </c>
      <c r="X28" s="231">
        <f t="shared" ca="1" si="32"/>
        <v>10112.062039221384</v>
      </c>
      <c r="Y28" s="231"/>
      <c r="Z28" s="232">
        <f t="shared" ca="1" si="2"/>
        <v>459792.75548290357</v>
      </c>
      <c r="AA28" s="231">
        <f t="shared" ca="1" si="3"/>
        <v>7667.1980440451443</v>
      </c>
      <c r="AB28" s="231">
        <f t="shared" ca="1" si="33"/>
        <v>106068.0087769966</v>
      </c>
      <c r="AC28" s="231">
        <f t="shared" ca="1" si="34"/>
        <v>569368.45710479922</v>
      </c>
      <c r="AD28" s="231">
        <f t="shared" ca="1" si="35"/>
        <v>19769.738093916636</v>
      </c>
      <c r="AE28" s="231">
        <f t="shared" ca="1" si="4"/>
        <v>453000.50444912666</v>
      </c>
      <c r="AF28" s="231">
        <f t="shared" ca="1" si="5"/>
        <v>1155873.9064688843</v>
      </c>
      <c r="AG28" s="232">
        <f t="shared" ca="1" si="6"/>
        <v>1615666.6619517878</v>
      </c>
      <c r="AH28" s="244">
        <f t="shared" ca="1" si="36"/>
        <v>16.467802697535856</v>
      </c>
      <c r="AI28" s="243">
        <f t="shared" ca="1" si="37"/>
        <v>32.195623904384767</v>
      </c>
      <c r="AJ28" s="242">
        <f t="shared" ca="1" si="38"/>
        <v>48.663426601920619</v>
      </c>
      <c r="AK28" s="241">
        <f t="shared" ca="1" si="39"/>
        <v>11.856817942225815</v>
      </c>
      <c r="AL28" s="243">
        <f t="shared" ca="1" si="40"/>
        <v>14.262661389642453</v>
      </c>
      <c r="AM28" s="243"/>
      <c r="AN28" s="242">
        <f t="shared" ca="1" si="7"/>
        <v>26.11947933186827</v>
      </c>
      <c r="AO28" s="224"/>
      <c r="AP28" s="235">
        <f t="shared" si="41"/>
        <v>1.6923076923076923</v>
      </c>
      <c r="AQ28" s="235">
        <f t="shared" si="8"/>
        <v>0.9512079379843158</v>
      </c>
      <c r="AR28" s="235">
        <f t="shared" si="9"/>
        <v>0.97511865938994724</v>
      </c>
      <c r="AT28" s="230">
        <f t="shared" ca="1" si="10"/>
        <v>303449.96986922453</v>
      </c>
      <c r="AU28" s="231">
        <f t="shared" ca="1" si="11"/>
        <v>18888.406147496484</v>
      </c>
      <c r="AV28" s="231">
        <f t="shared" ca="1" si="42"/>
        <v>28452.07969642317</v>
      </c>
      <c r="AW28" s="231"/>
      <c r="AX28" s="231">
        <f t="shared" ca="1" si="43"/>
        <v>76949.389448777991</v>
      </c>
      <c r="AY28" s="231">
        <f t="shared" ca="1" si="44"/>
        <v>9618.6736810972488</v>
      </c>
      <c r="AZ28" s="231"/>
      <c r="BA28" s="232">
        <f t="shared" ca="1" si="12"/>
        <v>437358.51884301944</v>
      </c>
      <c r="BB28" s="231">
        <f t="shared" ca="1" si="13"/>
        <v>7293.0996415935615</v>
      </c>
      <c r="BC28" s="231">
        <f t="shared" ca="1" si="45"/>
        <v>100892.73191486925</v>
      </c>
      <c r="BD28" s="231">
        <f t="shared" ca="1" si="46"/>
        <v>541587.79603596742</v>
      </c>
      <c r="BE28" s="231">
        <f t="shared" ca="1" si="47"/>
        <v>18805.13180680442</v>
      </c>
      <c r="BF28" s="231">
        <f t="shared" ca="1" si="14"/>
        <v>430897.67574290867</v>
      </c>
      <c r="BG28" s="231">
        <f t="shared" ca="1" si="15"/>
        <v>1099476.4351421434</v>
      </c>
      <c r="BH28" s="232">
        <f t="shared" ca="1" si="16"/>
        <v>1536834.9539851625</v>
      </c>
      <c r="BI28" s="244">
        <f t="shared" ca="1" si="48"/>
        <v>16.05806168951932</v>
      </c>
      <c r="BJ28" s="243">
        <f t="shared" ca="1" si="49"/>
        <v>31.394553619866613</v>
      </c>
      <c r="BK28" s="242">
        <f t="shared" ca="1" si="50"/>
        <v>47.452615309385934</v>
      </c>
      <c r="BL28" s="241">
        <f t="shared" ca="1" si="51"/>
        <v>11.56180441645391</v>
      </c>
      <c r="BM28" s="243">
        <f t="shared" ca="1" si="52"/>
        <v>13.90778725360091</v>
      </c>
      <c r="BN28" s="243">
        <f t="shared" si="17"/>
        <v>0</v>
      </c>
      <c r="BO28" s="242">
        <f t="shared" ca="1" si="18"/>
        <v>25.469591670054822</v>
      </c>
      <c r="BP28" s="67"/>
      <c r="BQ28" s="67"/>
      <c r="BR28" s="67"/>
      <c r="BS28" s="67"/>
      <c r="BT28" s="67"/>
      <c r="BU28" s="67"/>
    </row>
    <row r="29" spans="1:73" ht="12" customHeight="1" x14ac:dyDescent="0.15">
      <c r="A29" s="213">
        <f t="shared" si="19"/>
        <v>23</v>
      </c>
      <c r="B29" s="67">
        <f t="shared" si="20"/>
        <v>92</v>
      </c>
      <c r="C29" s="224">
        <f t="shared" si="21"/>
        <v>21.23076923076923</v>
      </c>
      <c r="D29" s="225">
        <f ca="1">IFERROR(OFFSET(extrapolation!V38,0,OS_dist_choice-1,1,1),0)</f>
        <v>0.61152483315030248</v>
      </c>
      <c r="E29" s="225">
        <f ca="1">IFERROR(OFFSET(extrapolation!J38,0,PFS_dist_choice-1,1,1),0)</f>
        <v>0.20225264129238696</v>
      </c>
      <c r="F29" s="214"/>
      <c r="G29" s="226">
        <f t="shared" ca="1" si="22"/>
        <v>202.25264129238695</v>
      </c>
      <c r="H29" s="224">
        <f t="shared" ca="1" si="23"/>
        <v>409.27219185791557</v>
      </c>
      <c r="I29" s="224">
        <f t="shared" ca="1" si="0"/>
        <v>388.47516684969753</v>
      </c>
      <c r="J29" s="227">
        <f t="shared" ca="1" si="1"/>
        <v>1000.0000000000001</v>
      </c>
      <c r="K29" s="238">
        <f t="shared" ca="1" si="24"/>
        <v>8.1518596484539785</v>
      </c>
      <c r="L29" s="239">
        <f t="shared" ca="1" si="25"/>
        <v>15.366562570764643</v>
      </c>
      <c r="M29" s="238">
        <f t="shared" ca="1" si="26"/>
        <v>206.32857111661394</v>
      </c>
      <c r="N29" s="238">
        <f t="shared" ca="1" si="27"/>
        <v>412.87954331907088</v>
      </c>
      <c r="O29" s="239">
        <f t="shared" ca="1" si="28"/>
        <v>380.79188556431518</v>
      </c>
      <c r="P29" s="217"/>
      <c r="Q29" s="217"/>
      <c r="R29" s="224"/>
      <c r="S29" s="230">
        <f t="shared" ca="1" si="29"/>
        <v>306655.53562857362</v>
      </c>
      <c r="T29" s="231">
        <f t="shared" ca="1" si="30"/>
        <v>19087.938307678232</v>
      </c>
      <c r="U29" s="231">
        <f t="shared" ca="1" si="53"/>
        <v>28752.639991408309</v>
      </c>
      <c r="V29" s="231"/>
      <c r="W29" s="231">
        <f t="shared" ca="1" si="31"/>
        <v>77700.038625378947</v>
      </c>
      <c r="X29" s="231">
        <f t="shared" ca="1" si="32"/>
        <v>9712.5048281723684</v>
      </c>
      <c r="Y29" s="231"/>
      <c r="Z29" s="232">
        <f t="shared" ca="1" si="2"/>
        <v>441908.65738121152</v>
      </c>
      <c r="AA29" s="231">
        <f t="shared" ca="1" si="3"/>
        <v>7083.006645405223</v>
      </c>
      <c r="AB29" s="231">
        <f t="shared" ca="1" si="33"/>
        <v>104274.65048187898</v>
      </c>
      <c r="AC29" s="231">
        <f t="shared" ca="1" si="34"/>
        <v>559741.78778856841</v>
      </c>
      <c r="AD29" s="231">
        <f t="shared" ca="1" si="35"/>
        <v>19435.478742658623</v>
      </c>
      <c r="AE29" s="231">
        <f t="shared" ca="1" si="4"/>
        <v>440260.00672828761</v>
      </c>
      <c r="AF29" s="231">
        <f t="shared" ca="1" si="5"/>
        <v>1130794.9303867989</v>
      </c>
      <c r="AG29" s="232">
        <f t="shared" ca="1" si="6"/>
        <v>1572703.5877680103</v>
      </c>
      <c r="AH29" s="244">
        <f t="shared" ca="1" si="36"/>
        <v>15.81711154350497</v>
      </c>
      <c r="AI29" s="243">
        <f t="shared" ca="1" si="37"/>
        <v>31.651272314672102</v>
      </c>
      <c r="AJ29" s="242">
        <f t="shared" ca="1" si="38"/>
        <v>47.46838385817707</v>
      </c>
      <c r="AK29" s="241">
        <f t="shared" ca="1" si="39"/>
        <v>11.388320311323577</v>
      </c>
      <c r="AL29" s="243">
        <f t="shared" ca="1" si="40"/>
        <v>14.021513635399742</v>
      </c>
      <c r="AM29" s="243"/>
      <c r="AN29" s="242">
        <f t="shared" ca="1" si="7"/>
        <v>25.409833946723317</v>
      </c>
      <c r="AO29" s="224"/>
      <c r="AP29" s="235">
        <f t="shared" si="41"/>
        <v>1.7692307692307692</v>
      </c>
      <c r="AQ29" s="235">
        <f t="shared" si="8"/>
        <v>0.94904758210249784</v>
      </c>
      <c r="AR29" s="235">
        <f t="shared" si="9"/>
        <v>0.97400251682363947</v>
      </c>
      <c r="AT29" s="230">
        <f t="shared" ca="1" si="10"/>
        <v>291030.6946266442</v>
      </c>
      <c r="AU29" s="231">
        <f t="shared" ca="1" si="11"/>
        <v>18115.361698223671</v>
      </c>
      <c r="AV29" s="231">
        <f t="shared" ca="1" si="42"/>
        <v>27287.62346290964</v>
      </c>
      <c r="AW29" s="231"/>
      <c r="AX29" s="231">
        <f t="shared" ca="1" si="43"/>
        <v>73741.033786686574</v>
      </c>
      <c r="AY29" s="231">
        <f t="shared" ca="1" si="44"/>
        <v>9217.6292233358217</v>
      </c>
      <c r="AZ29" s="231"/>
      <c r="BA29" s="232">
        <f t="shared" ca="1" si="12"/>
        <v>419392.34279779991</v>
      </c>
      <c r="BB29" s="231">
        <f t="shared" ca="1" si="13"/>
        <v>6722.1103308377515</v>
      </c>
      <c r="BC29" s="231">
        <f t="shared" ca="1" si="45"/>
        <v>98961.604914410316</v>
      </c>
      <c r="BD29" s="231">
        <f t="shared" ca="1" si="46"/>
        <v>531221.59030247026</v>
      </c>
      <c r="BE29" s="231">
        <f t="shared" ca="1" si="47"/>
        <v>18445.194107724659</v>
      </c>
      <c r="BF29" s="231">
        <f t="shared" ca="1" si="14"/>
        <v>417827.69488191081</v>
      </c>
      <c r="BG29" s="231">
        <f t="shared" ca="1" si="15"/>
        <v>1073178.1945373539</v>
      </c>
      <c r="BH29" s="232">
        <f t="shared" ca="1" si="16"/>
        <v>1492570.5373351537</v>
      </c>
      <c r="BI29" s="244">
        <f t="shared" ca="1" si="48"/>
        <v>15.405906452254081</v>
      </c>
      <c r="BJ29" s="243">
        <f t="shared" ca="1" si="49"/>
        <v>30.828418895161008</v>
      </c>
      <c r="BK29" s="242">
        <f t="shared" ca="1" si="50"/>
        <v>46.234325347415087</v>
      </c>
      <c r="BL29" s="241">
        <f t="shared" ca="1" si="51"/>
        <v>11.092252645622937</v>
      </c>
      <c r="BM29" s="243">
        <f t="shared" ca="1" si="52"/>
        <v>13.656989570556327</v>
      </c>
      <c r="BN29" s="243">
        <f t="shared" si="17"/>
        <v>0</v>
      </c>
      <c r="BO29" s="242">
        <f t="shared" ca="1" si="18"/>
        <v>24.749242216179262</v>
      </c>
      <c r="BP29" s="67"/>
      <c r="BQ29" s="67"/>
      <c r="BR29" s="67"/>
      <c r="BS29" s="67"/>
      <c r="BT29" s="67"/>
      <c r="BU29" s="67"/>
    </row>
    <row r="30" spans="1:73" ht="12" customHeight="1" x14ac:dyDescent="0.15">
      <c r="A30" s="213">
        <f t="shared" si="19"/>
        <v>24</v>
      </c>
      <c r="B30" s="67">
        <f t="shared" si="20"/>
        <v>96</v>
      </c>
      <c r="C30" s="224">
        <f t="shared" si="21"/>
        <v>22.153846153846153</v>
      </c>
      <c r="D30" s="225">
        <f ca="1">IFERROR(OFFSET(extrapolation!V39,0,OS_dist_choice-1,1,1),0)</f>
        <v>0.5966011988403368</v>
      </c>
      <c r="E30" s="225">
        <f ca="1">IFERROR(OFFSET(extrapolation!J39,0,PFS_dist_choice-1,1,1),0)</f>
        <v>0.19469959694106936</v>
      </c>
      <c r="F30" s="214"/>
      <c r="G30" s="226">
        <f t="shared" ca="1" si="22"/>
        <v>194.69959694106936</v>
      </c>
      <c r="H30" s="224">
        <f t="shared" ca="1" si="23"/>
        <v>401.90160189926746</v>
      </c>
      <c r="I30" s="224">
        <f t="shared" ca="1" si="0"/>
        <v>403.39880115966321</v>
      </c>
      <c r="J30" s="227">
        <f t="shared" ca="1" si="1"/>
        <v>1000</v>
      </c>
      <c r="K30" s="238">
        <f t="shared" ca="1" si="24"/>
        <v>7.5530443513175953</v>
      </c>
      <c r="L30" s="239">
        <f t="shared" ca="1" si="25"/>
        <v>14.923634309965678</v>
      </c>
      <c r="M30" s="238">
        <f t="shared" ca="1" si="26"/>
        <v>198.47611911672817</v>
      </c>
      <c r="N30" s="238">
        <f t="shared" ca="1" si="27"/>
        <v>405.58689687859152</v>
      </c>
      <c r="O30" s="239">
        <f t="shared" ca="1" si="28"/>
        <v>395.93698400468037</v>
      </c>
      <c r="P30" s="217"/>
      <c r="Q30" s="217"/>
      <c r="R30" s="224"/>
      <c r="S30" s="230">
        <f t="shared" ca="1" si="29"/>
        <v>295203.60676188814</v>
      </c>
      <c r="T30" s="231">
        <f t="shared" ca="1" si="30"/>
        <v>18375.106852465316</v>
      </c>
      <c r="U30" s="231">
        <f t="shared" ca="1" si="53"/>
        <v>27678.884100336298</v>
      </c>
      <c r="V30" s="231"/>
      <c r="W30" s="231">
        <f t="shared" ca="1" si="31"/>
        <v>74742.930841453956</v>
      </c>
      <c r="X30" s="231">
        <f t="shared" ca="1" si="32"/>
        <v>9342.8663551817444</v>
      </c>
      <c r="Y30" s="231"/>
      <c r="Z30" s="232">
        <f t="shared" ca="1" si="2"/>
        <v>425343.39491132542</v>
      </c>
      <c r="AA30" s="231">
        <f t="shared" ca="1" si="3"/>
        <v>6562.7066265265003</v>
      </c>
      <c r="AB30" s="231">
        <f t="shared" ca="1" si="33"/>
        <v>102432.85867849762</v>
      </c>
      <c r="AC30" s="231">
        <f t="shared" ca="1" si="34"/>
        <v>549855.12950685911</v>
      </c>
      <c r="AD30" s="231">
        <f t="shared" ca="1" si="35"/>
        <v>19092.191996765938</v>
      </c>
      <c r="AE30" s="231">
        <f t="shared" ca="1" si="4"/>
        <v>427569.88177799445</v>
      </c>
      <c r="AF30" s="231">
        <f t="shared" ca="1" si="5"/>
        <v>1105512.7685866435</v>
      </c>
      <c r="AG30" s="232">
        <f t="shared" ca="1" si="6"/>
        <v>1530856.163497969</v>
      </c>
      <c r="AH30" s="244">
        <f t="shared" ca="1" si="36"/>
        <v>15.215143970618451</v>
      </c>
      <c r="AI30" s="243">
        <f t="shared" ca="1" si="37"/>
        <v>31.092219336346506</v>
      </c>
      <c r="AJ30" s="242">
        <f t="shared" ca="1" si="38"/>
        <v>46.307363306964959</v>
      </c>
      <c r="AK30" s="241">
        <f t="shared" ca="1" si="39"/>
        <v>10.954903658845284</v>
      </c>
      <c r="AL30" s="243">
        <f t="shared" ca="1" si="40"/>
        <v>13.773853166001503</v>
      </c>
      <c r="AM30" s="243"/>
      <c r="AN30" s="242">
        <f t="shared" ca="1" si="7"/>
        <v>24.728756824846787</v>
      </c>
      <c r="AO30" s="224"/>
      <c r="AP30" s="235">
        <f t="shared" si="41"/>
        <v>1.8461538461538463</v>
      </c>
      <c r="AQ30" s="235">
        <f t="shared" si="8"/>
        <v>0.94689213275830408</v>
      </c>
      <c r="AR30" s="235">
        <f t="shared" si="9"/>
        <v>0.97288765181900705</v>
      </c>
      <c r="AT30" s="230">
        <f t="shared" ca="1" si="10"/>
        <v>279525.972804708</v>
      </c>
      <c r="AU30" s="231">
        <f t="shared" ca="1" si="11"/>
        <v>17399.244117192611</v>
      </c>
      <c r="AV30" s="231">
        <f t="shared" ca="1" si="42"/>
        <v>26208.917598137348</v>
      </c>
      <c r="AW30" s="231"/>
      <c r="AX30" s="231">
        <f t="shared" ca="1" si="43"/>
        <v>70773.493193070753</v>
      </c>
      <c r="AY30" s="231">
        <f t="shared" ca="1" si="44"/>
        <v>8846.6866491338442</v>
      </c>
      <c r="AZ30" s="231"/>
      <c r="BA30" s="232">
        <f t="shared" ca="1" si="12"/>
        <v>402754.31436224253</v>
      </c>
      <c r="BB30" s="231">
        <f t="shared" ca="1" si="13"/>
        <v>6214.1752742587332</v>
      </c>
      <c r="BC30" s="231">
        <f t="shared" ca="1" si="45"/>
        <v>96992.868018612571</v>
      </c>
      <c r="BD30" s="231">
        <f t="shared" ca="1" si="46"/>
        <v>520653.49628684332</v>
      </c>
      <c r="BE30" s="231">
        <f t="shared" ca="1" si="47"/>
        <v>18078.246398848722</v>
      </c>
      <c r="BF30" s="231">
        <f t="shared" ca="1" si="14"/>
        <v>404862.55725998111</v>
      </c>
      <c r="BG30" s="231">
        <f t="shared" ca="1" si="15"/>
        <v>1046801.3432385443</v>
      </c>
      <c r="BH30" s="232">
        <f t="shared" ca="1" si="16"/>
        <v>1449555.657600787</v>
      </c>
      <c r="BI30" s="244">
        <f t="shared" ca="1" si="48"/>
        <v>14.802625689663108</v>
      </c>
      <c r="BJ30" s="243">
        <f t="shared" ca="1" si="49"/>
        <v>30.249236259979678</v>
      </c>
      <c r="BK30" s="242">
        <f t="shared" ca="1" si="50"/>
        <v>45.051861949642785</v>
      </c>
      <c r="BL30" s="241">
        <f t="shared" ca="1" si="51"/>
        <v>10.657890496557437</v>
      </c>
      <c r="BM30" s="243">
        <f t="shared" ca="1" si="52"/>
        <v>13.400411663170999</v>
      </c>
      <c r="BN30" s="243">
        <f t="shared" si="17"/>
        <v>0</v>
      </c>
      <c r="BO30" s="242">
        <f t="shared" ca="1" si="18"/>
        <v>24.058302159728434</v>
      </c>
      <c r="BP30" s="67"/>
      <c r="BQ30" s="67"/>
      <c r="BR30" s="67"/>
      <c r="BS30" s="67"/>
      <c r="BT30" s="67"/>
      <c r="BU30" s="67"/>
    </row>
    <row r="31" spans="1:73" ht="12" customHeight="1" x14ac:dyDescent="0.15">
      <c r="A31" s="213">
        <f t="shared" si="19"/>
        <v>25</v>
      </c>
      <c r="B31" s="67">
        <f t="shared" si="20"/>
        <v>100</v>
      </c>
      <c r="C31" s="224">
        <f t="shared" si="21"/>
        <v>23.076923076923077</v>
      </c>
      <c r="D31" s="225">
        <f ca="1">IFERROR(OFFSET(extrapolation!V40,0,OS_dist_choice-1,1,1),0)</f>
        <v>0.58211650287084715</v>
      </c>
      <c r="E31" s="225">
        <f ca="1">IFERROR(OFFSET(extrapolation!J40,0,PFS_dist_choice-1,1,1),0)</f>
        <v>0.18768212645521534</v>
      </c>
      <c r="F31" s="214"/>
      <c r="G31" s="226">
        <f t="shared" ca="1" si="22"/>
        <v>187.68212645521535</v>
      </c>
      <c r="H31" s="224">
        <f t="shared" ca="1" si="23"/>
        <v>394.43437641563185</v>
      </c>
      <c r="I31" s="224">
        <f t="shared" ca="1" si="0"/>
        <v>417.88349712915283</v>
      </c>
      <c r="J31" s="227">
        <f t="shared" ca="1" si="1"/>
        <v>1000</v>
      </c>
      <c r="K31" s="238">
        <f t="shared" ca="1" si="24"/>
        <v>7.0174704858540053</v>
      </c>
      <c r="L31" s="239">
        <f t="shared" ca="1" si="25"/>
        <v>14.484695969489621</v>
      </c>
      <c r="M31" s="238">
        <f t="shared" ca="1" si="26"/>
        <v>191.19086169814236</v>
      </c>
      <c r="N31" s="238">
        <f t="shared" ca="1" si="27"/>
        <v>398.16798915744965</v>
      </c>
      <c r="O31" s="239">
        <f t="shared" ca="1" si="28"/>
        <v>410.64114914440802</v>
      </c>
      <c r="P31" s="217"/>
      <c r="Q31" s="217"/>
      <c r="R31" s="224"/>
      <c r="S31" s="230">
        <f t="shared" ca="1" si="29"/>
        <v>284563.71520424809</v>
      </c>
      <c r="T31" s="231">
        <f t="shared" ca="1" si="30"/>
        <v>17712.821095137235</v>
      </c>
      <c r="U31" s="231">
        <f t="shared" ca="1" si="53"/>
        <v>26681.266461126321</v>
      </c>
      <c r="V31" s="231"/>
      <c r="W31" s="231">
        <f t="shared" ca="1" si="31"/>
        <v>71999.41946173324</v>
      </c>
      <c r="X31" s="231">
        <f t="shared" ca="1" si="32"/>
        <v>8999.9274327166549</v>
      </c>
      <c r="Y31" s="231"/>
      <c r="Z31" s="232">
        <f t="shared" ca="1" si="2"/>
        <v>409957.14965496154</v>
      </c>
      <c r="AA31" s="231">
        <f t="shared" ca="1" si="3"/>
        <v>6097.3559689126378</v>
      </c>
      <c r="AB31" s="231">
        <f t="shared" ca="1" si="33"/>
        <v>100559.17900098077</v>
      </c>
      <c r="AC31" s="231">
        <f t="shared" ca="1" si="34"/>
        <v>539797.29850392847</v>
      </c>
      <c r="AD31" s="231">
        <f t="shared" ca="1" si="35"/>
        <v>18742.961753608626</v>
      </c>
      <c r="AE31" s="231">
        <f t="shared" ca="1" si="4"/>
        <v>414994.07011931221</v>
      </c>
      <c r="AF31" s="231">
        <f t="shared" ca="1" si="5"/>
        <v>1080190.8653467428</v>
      </c>
      <c r="AG31" s="232">
        <f t="shared" ca="1" si="6"/>
        <v>1490148.0150017045</v>
      </c>
      <c r="AH31" s="244">
        <f t="shared" ca="1" si="36"/>
        <v>14.656657433396266</v>
      </c>
      <c r="AI31" s="243">
        <f t="shared" ca="1" si="37"/>
        <v>30.523487190714828</v>
      </c>
      <c r="AJ31" s="242">
        <f t="shared" ca="1" si="38"/>
        <v>45.180144624111094</v>
      </c>
      <c r="AK31" s="241">
        <f t="shared" ca="1" si="39"/>
        <v>10.552793352045311</v>
      </c>
      <c r="AL31" s="243">
        <f t="shared" ca="1" si="40"/>
        <v>13.521904825486668</v>
      </c>
      <c r="AM31" s="243"/>
      <c r="AN31" s="242">
        <f t="shared" ca="1" si="7"/>
        <v>24.074698177531978</v>
      </c>
      <c r="AO31" s="224"/>
      <c r="AP31" s="235">
        <f t="shared" si="41"/>
        <v>1.9230769230769231</v>
      </c>
      <c r="AQ31" s="235">
        <f t="shared" si="8"/>
        <v>0.94474157880814857</v>
      </c>
      <c r="AR31" s="235">
        <f t="shared" si="9"/>
        <v>0.9717740629137247</v>
      </c>
      <c r="AT31" s="230">
        <f t="shared" ca="1" si="10"/>
        <v>268839.1735735737</v>
      </c>
      <c r="AU31" s="231">
        <f t="shared" ca="1" si="11"/>
        <v>16734.038566566229</v>
      </c>
      <c r="AV31" s="231">
        <f t="shared" ca="1" si="42"/>
        <v>25206.901801085383</v>
      </c>
      <c r="AW31" s="231"/>
      <c r="AX31" s="231">
        <f t="shared" ca="1" si="43"/>
        <v>68020.845215548004</v>
      </c>
      <c r="AY31" s="231">
        <f t="shared" ca="1" si="44"/>
        <v>8502.6056519435006</v>
      </c>
      <c r="AZ31" s="231"/>
      <c r="BA31" s="232">
        <f t="shared" ca="1" si="12"/>
        <v>387303.56480871682</v>
      </c>
      <c r="BB31" s="231">
        <f t="shared" ca="1" si="13"/>
        <v>5760.4257046258135</v>
      </c>
      <c r="BC31" s="231">
        <f t="shared" ca="1" si="45"/>
        <v>95002.437533037795</v>
      </c>
      <c r="BD31" s="231">
        <f t="shared" ca="1" si="46"/>
        <v>509968.95202497486</v>
      </c>
      <c r="BE31" s="231">
        <f t="shared" ca="1" si="47"/>
        <v>17707.25527864496</v>
      </c>
      <c r="BF31" s="231">
        <f t="shared" ca="1" si="14"/>
        <v>392062.15300053853</v>
      </c>
      <c r="BG31" s="231">
        <f t="shared" ca="1" si="15"/>
        <v>1020501.2235418221</v>
      </c>
      <c r="BH31" s="232">
        <f t="shared" ca="1" si="16"/>
        <v>1407804.7883505388</v>
      </c>
      <c r="BI31" s="244">
        <f t="shared" ca="1" si="48"/>
        <v>14.242959542786133</v>
      </c>
      <c r="BJ31" s="243">
        <f t="shared" ca="1" si="49"/>
        <v>29.66193316161598</v>
      </c>
      <c r="BK31" s="242">
        <f t="shared" ca="1" si="50"/>
        <v>43.904892704402116</v>
      </c>
      <c r="BL31" s="241">
        <f t="shared" ca="1" si="51"/>
        <v>10.254930870806016</v>
      </c>
      <c r="BM31" s="243">
        <f t="shared" ca="1" si="52"/>
        <v>13.140236390595879</v>
      </c>
      <c r="BN31" s="243">
        <f t="shared" si="17"/>
        <v>0</v>
      </c>
      <c r="BO31" s="242">
        <f t="shared" ca="1" si="18"/>
        <v>23.395167261401895</v>
      </c>
      <c r="BP31" s="67"/>
      <c r="BQ31" s="67"/>
      <c r="BR31" s="67"/>
      <c r="BS31" s="67"/>
      <c r="BT31" s="67"/>
      <c r="BU31" s="67"/>
    </row>
    <row r="32" spans="1:73" ht="12" customHeight="1" x14ac:dyDescent="0.15">
      <c r="A32" s="213">
        <f t="shared" si="19"/>
        <v>26</v>
      </c>
      <c r="B32" s="67">
        <f t="shared" si="20"/>
        <v>104</v>
      </c>
      <c r="C32" s="224">
        <f t="shared" si="21"/>
        <v>24</v>
      </c>
      <c r="D32" s="225">
        <f ca="1">IFERROR(OFFSET(extrapolation!V41,0,OS_dist_choice-1,1,1),0)</f>
        <v>0.5680649435003895</v>
      </c>
      <c r="E32" s="225">
        <f ca="1">IFERROR(OFFSET(extrapolation!J41,0,PFS_dist_choice-1,1,1),0)</f>
        <v>0.18114554915297026</v>
      </c>
      <c r="F32" s="214"/>
      <c r="G32" s="226">
        <f t="shared" ca="1" si="22"/>
        <v>181.14554915297026</v>
      </c>
      <c r="H32" s="224">
        <f t="shared" ca="1" si="23"/>
        <v>386.91939434741926</v>
      </c>
      <c r="I32" s="224">
        <f t="shared" ca="1" si="0"/>
        <v>431.93505649961048</v>
      </c>
      <c r="J32" s="227">
        <f t="shared" ca="1" si="1"/>
        <v>1000</v>
      </c>
      <c r="K32" s="238">
        <f t="shared" ca="1" si="24"/>
        <v>6.5365773022450924</v>
      </c>
      <c r="L32" s="239">
        <f t="shared" ca="1" si="25"/>
        <v>14.051559370457653</v>
      </c>
      <c r="M32" s="238">
        <f t="shared" ca="1" si="26"/>
        <v>184.41383780409279</v>
      </c>
      <c r="N32" s="238">
        <f t="shared" ca="1" si="27"/>
        <v>390.67688538152555</v>
      </c>
      <c r="O32" s="239">
        <f t="shared" ca="1" si="28"/>
        <v>424.90927681438166</v>
      </c>
      <c r="P32" s="217"/>
      <c r="Q32" s="217"/>
      <c r="R32" s="224"/>
      <c r="S32" s="230">
        <f t="shared" ca="1" si="29"/>
        <v>274652.95408395317</v>
      </c>
      <c r="T32" s="231">
        <f t="shared" ca="1" si="30"/>
        <v>17095.920452993083</v>
      </c>
      <c r="U32" s="231">
        <f t="shared" ca="1" si="53"/>
        <v>25752.013558684554</v>
      </c>
      <c r="V32" s="231"/>
      <c r="W32" s="231">
        <f t="shared" ca="1" si="31"/>
        <v>69447.300695616475</v>
      </c>
      <c r="X32" s="231">
        <f t="shared" ca="1" si="32"/>
        <v>8680.9125869520594</v>
      </c>
      <c r="Y32" s="231"/>
      <c r="Z32" s="232">
        <f t="shared" ca="1" si="2"/>
        <v>395629.1013781993</v>
      </c>
      <c r="AA32" s="231">
        <f t="shared" ca="1" si="3"/>
        <v>5679.5163884829135</v>
      </c>
      <c r="AB32" s="231">
        <f t="shared" ca="1" si="33"/>
        <v>98667.265873780096</v>
      </c>
      <c r="AC32" s="231">
        <f t="shared" ca="1" si="34"/>
        <v>529641.59113625914</v>
      </c>
      <c r="AD32" s="231">
        <f t="shared" ca="1" si="35"/>
        <v>18390.333025564552</v>
      </c>
      <c r="AE32" s="231">
        <f t="shared" ca="1" si="4"/>
        <v>402584.48136932851</v>
      </c>
      <c r="AF32" s="231">
        <f t="shared" ca="1" si="5"/>
        <v>1054963.1877934153</v>
      </c>
      <c r="AG32" s="232">
        <f t="shared" ca="1" si="6"/>
        <v>1450592.2891716147</v>
      </c>
      <c r="AH32" s="244">
        <f t="shared" ca="1" si="36"/>
        <v>14.13713198771964</v>
      </c>
      <c r="AI32" s="243">
        <f t="shared" ca="1" si="37"/>
        <v>29.949220508371567</v>
      </c>
      <c r="AJ32" s="242">
        <f t="shared" ca="1" si="38"/>
        <v>44.086352496091209</v>
      </c>
      <c r="AK32" s="241">
        <f t="shared" ca="1" si="39"/>
        <v>10.178735031158141</v>
      </c>
      <c r="AL32" s="243">
        <f t="shared" ca="1" si="40"/>
        <v>13.267504685208605</v>
      </c>
      <c r="AM32" s="243"/>
      <c r="AN32" s="242">
        <f t="shared" ca="1" si="7"/>
        <v>23.446239716366748</v>
      </c>
      <c r="AO32" s="224"/>
      <c r="AP32" s="235">
        <f t="shared" si="41"/>
        <v>2</v>
      </c>
      <c r="AQ32" s="235">
        <f t="shared" si="8"/>
        <v>0.94259590913375435</v>
      </c>
      <c r="AR32" s="235">
        <f t="shared" si="9"/>
        <v>0.9706617486471405</v>
      </c>
      <c r="AT32" s="230">
        <f t="shared" ca="1" si="10"/>
        <v>258886.75095103512</v>
      </c>
      <c r="AU32" s="231">
        <f t="shared" ca="1" si="11"/>
        <v>16114.544681867361</v>
      </c>
      <c r="AV32" s="231">
        <f t="shared" ca="1" si="42"/>
        <v>24273.742632373036</v>
      </c>
      <c r="AW32" s="231"/>
      <c r="AX32" s="231">
        <f t="shared" ca="1" si="43"/>
        <v>65460.741536069821</v>
      </c>
      <c r="AY32" s="231">
        <f t="shared" ca="1" si="44"/>
        <v>8182.5926920087277</v>
      </c>
      <c r="AZ32" s="231"/>
      <c r="BA32" s="232">
        <f t="shared" ca="1" si="12"/>
        <v>372918.37249335402</v>
      </c>
      <c r="BB32" s="231">
        <f t="shared" ca="1" si="13"/>
        <v>5353.4889136421089</v>
      </c>
      <c r="BC32" s="231">
        <f t="shared" ca="1" si="45"/>
        <v>93003.361178037609</v>
      </c>
      <c r="BD32" s="231">
        <f t="shared" ca="1" si="46"/>
        <v>499237.9971121304</v>
      </c>
      <c r="BE32" s="231">
        <f t="shared" ca="1" si="47"/>
        <v>17334.652677504528</v>
      </c>
      <c r="BF32" s="231">
        <f t="shared" ca="1" si="14"/>
        <v>379474.48521946318</v>
      </c>
      <c r="BG32" s="231">
        <f t="shared" ca="1" si="15"/>
        <v>994403.98510077794</v>
      </c>
      <c r="BH32" s="232">
        <f t="shared" ca="1" si="16"/>
        <v>1367322.357594132</v>
      </c>
      <c r="BI32" s="244">
        <f t="shared" ca="1" si="48"/>
        <v>13.72237325605537</v>
      </c>
      <c r="BJ32" s="243">
        <f t="shared" ca="1" si="49"/>
        <v>29.070562749274746</v>
      </c>
      <c r="BK32" s="242">
        <f t="shared" ca="1" si="50"/>
        <v>42.79293600533012</v>
      </c>
      <c r="BL32" s="241">
        <f t="shared" ca="1" si="51"/>
        <v>9.8801087443598661</v>
      </c>
      <c r="BM32" s="243">
        <f t="shared" ca="1" si="52"/>
        <v>12.878259297928714</v>
      </c>
      <c r="BN32" s="243">
        <f t="shared" si="17"/>
        <v>0</v>
      </c>
      <c r="BO32" s="242">
        <f t="shared" ca="1" si="18"/>
        <v>22.758368042288584</v>
      </c>
      <c r="BP32" s="67"/>
      <c r="BQ32" s="67"/>
      <c r="BR32" s="67"/>
      <c r="BS32" s="67"/>
      <c r="BT32" s="67"/>
      <c r="BU32" s="67"/>
    </row>
    <row r="33" spans="1:73" ht="12" customHeight="1" x14ac:dyDescent="0.15">
      <c r="A33" s="213">
        <f t="shared" si="19"/>
        <v>27</v>
      </c>
      <c r="B33" s="67">
        <f t="shared" si="20"/>
        <v>108</v>
      </c>
      <c r="C33" s="224">
        <f t="shared" si="21"/>
        <v>24.923076923076927</v>
      </c>
      <c r="D33" s="225">
        <f ca="1">IFERROR(OFFSET(extrapolation!V42,0,OS_dist_choice-1,1,1),0)</f>
        <v>0.55443926448704051</v>
      </c>
      <c r="E33" s="225">
        <f ca="1">IFERROR(OFFSET(extrapolation!J42,0,PFS_dist_choice-1,1,1),0)</f>
        <v>0.17504235050404027</v>
      </c>
      <c r="F33" s="214"/>
      <c r="G33" s="226">
        <f t="shared" ca="1" si="22"/>
        <v>175.04235050404026</v>
      </c>
      <c r="H33" s="224">
        <f t="shared" ca="1" si="23"/>
        <v>379.39691398300022</v>
      </c>
      <c r="I33" s="224">
        <f t="shared" ca="1" si="0"/>
        <v>445.56073551295947</v>
      </c>
      <c r="J33" s="227">
        <f t="shared" ca="1" si="1"/>
        <v>999.99999999999989</v>
      </c>
      <c r="K33" s="238">
        <f t="shared" ca="1" si="24"/>
        <v>6.1031986489300039</v>
      </c>
      <c r="L33" s="239">
        <f t="shared" ca="1" si="25"/>
        <v>13.625679013348986</v>
      </c>
      <c r="M33" s="238">
        <f t="shared" ca="1" si="26"/>
        <v>178.09394982850526</v>
      </c>
      <c r="N33" s="238">
        <f t="shared" ca="1" si="27"/>
        <v>383.15815416520974</v>
      </c>
      <c r="O33" s="239">
        <f t="shared" ca="1" si="28"/>
        <v>438.74789600628498</v>
      </c>
      <c r="P33" s="217"/>
      <c r="Q33" s="217"/>
      <c r="R33" s="224"/>
      <c r="S33" s="230">
        <f t="shared" ca="1" si="29"/>
        <v>265399.28185116604</v>
      </c>
      <c r="T33" s="231">
        <f t="shared" ca="1" si="30"/>
        <v>16519.92066111958</v>
      </c>
      <c r="U33" s="231">
        <f t="shared" ca="1" si="53"/>
        <v>24884.370632355367</v>
      </c>
      <c r="V33" s="231"/>
      <c r="W33" s="231">
        <f t="shared" ca="1" si="31"/>
        <v>67067.332002217823</v>
      </c>
      <c r="X33" s="231">
        <f t="shared" ca="1" si="32"/>
        <v>8383.4165002772279</v>
      </c>
      <c r="Y33" s="231"/>
      <c r="Z33" s="232">
        <f t="shared" ca="1" si="2"/>
        <v>382254.32164713606</v>
      </c>
      <c r="AA33" s="231">
        <f t="shared" ca="1" si="3"/>
        <v>5302.9613429124593</v>
      </c>
      <c r="AB33" s="231">
        <f t="shared" ca="1" si="33"/>
        <v>96768.375307911978</v>
      </c>
      <c r="AC33" s="231">
        <f t="shared" ca="1" si="34"/>
        <v>519448.42918134487</v>
      </c>
      <c r="AD33" s="231">
        <f t="shared" ca="1" si="35"/>
        <v>18036.403791018918</v>
      </c>
      <c r="AE33" s="231">
        <f t="shared" ca="1" si="4"/>
        <v>390382.78772296751</v>
      </c>
      <c r="AF33" s="231">
        <f t="shared" ca="1" si="5"/>
        <v>1029938.9573461558</v>
      </c>
      <c r="AG33" s="232">
        <f t="shared" ca="1" si="6"/>
        <v>1412193.2789932918</v>
      </c>
      <c r="AH33" s="244">
        <f t="shared" ca="1" si="36"/>
        <v>13.652650500200266</v>
      </c>
      <c r="AI33" s="243">
        <f t="shared" ca="1" si="37"/>
        <v>29.372835911364469</v>
      </c>
      <c r="AJ33" s="242">
        <f t="shared" ca="1" si="38"/>
        <v>43.025486411564735</v>
      </c>
      <c r="AK33" s="241">
        <f t="shared" ca="1" si="39"/>
        <v>9.8299083601441914</v>
      </c>
      <c r="AL33" s="243">
        <f t="shared" ca="1" si="40"/>
        <v>13.012166308734459</v>
      </c>
      <c r="AM33" s="243"/>
      <c r="AN33" s="242">
        <f t="shared" ca="1" si="7"/>
        <v>22.842074668878652</v>
      </c>
      <c r="AO33" s="224"/>
      <c r="AP33" s="235">
        <f t="shared" si="41"/>
        <v>2.0769230769230771</v>
      </c>
      <c r="AQ33" s="235">
        <f t="shared" si="8"/>
        <v>0.9404551126420958</v>
      </c>
      <c r="AR33" s="235">
        <f t="shared" si="9"/>
        <v>0.96955070756027439</v>
      </c>
      <c r="AT33" s="230">
        <f t="shared" ca="1" si="10"/>
        <v>249596.11150846971</v>
      </c>
      <c r="AU33" s="231">
        <f t="shared" ca="1" si="11"/>
        <v>15536.243846191701</v>
      </c>
      <c r="AV33" s="231">
        <f t="shared" ca="1" si="42"/>
        <v>23402.633586079428</v>
      </c>
      <c r="AW33" s="231"/>
      <c r="AX33" s="231">
        <f t="shared" ca="1" si="43"/>
        <v>63073.815272750602</v>
      </c>
      <c r="AY33" s="231">
        <f t="shared" ca="1" si="44"/>
        <v>7884.2269090938253</v>
      </c>
      <c r="AZ33" s="231"/>
      <c r="BA33" s="232">
        <f t="shared" ca="1" si="12"/>
        <v>359493.03112258529</v>
      </c>
      <c r="BB33" s="231">
        <f t="shared" ca="1" si="13"/>
        <v>4987.1971070854161</v>
      </c>
      <c r="BC33" s="231">
        <f t="shared" ca="1" si="45"/>
        <v>91006.313300394962</v>
      </c>
      <c r="BD33" s="231">
        <f t="shared" ca="1" si="46"/>
        <v>488517.93097750138</v>
      </c>
      <c r="BE33" s="231">
        <f t="shared" ca="1" si="47"/>
        <v>16962.42815894102</v>
      </c>
      <c r="BF33" s="231">
        <f t="shared" ca="1" si="14"/>
        <v>367137.48860153876</v>
      </c>
      <c r="BG33" s="231">
        <f t="shared" ca="1" si="15"/>
        <v>968611.35814546165</v>
      </c>
      <c r="BH33" s="232">
        <f t="shared" ca="1" si="16"/>
        <v>1328104.3892680469</v>
      </c>
      <c r="BI33" s="244">
        <f t="shared" ca="1" si="48"/>
        <v>13.236936952542303</v>
      </c>
      <c r="BJ33" s="243">
        <f t="shared" ca="1" si="49"/>
        <v>28.478453840915257</v>
      </c>
      <c r="BK33" s="242">
        <f t="shared" ca="1" si="50"/>
        <v>41.715390793457559</v>
      </c>
      <c r="BL33" s="241">
        <f t="shared" ca="1" si="51"/>
        <v>9.5305946058304567</v>
      </c>
      <c r="BM33" s="243">
        <f t="shared" ca="1" si="52"/>
        <v>12.615955051525459</v>
      </c>
      <c r="BN33" s="243">
        <f t="shared" si="17"/>
        <v>0</v>
      </c>
      <c r="BO33" s="242">
        <f t="shared" ca="1" si="18"/>
        <v>22.146549657355919</v>
      </c>
      <c r="BP33" s="67"/>
      <c r="BQ33" s="67"/>
      <c r="BR33" s="67"/>
      <c r="BS33" s="67"/>
      <c r="BT33" s="67"/>
      <c r="BU33" s="67"/>
    </row>
    <row r="34" spans="1:73" ht="12" customHeight="1" x14ac:dyDescent="0.15">
      <c r="A34" s="213">
        <f t="shared" si="19"/>
        <v>28</v>
      </c>
      <c r="B34" s="67">
        <f t="shared" si="20"/>
        <v>112</v>
      </c>
      <c r="C34" s="224">
        <f t="shared" si="21"/>
        <v>25.846153846153847</v>
      </c>
      <c r="D34" s="225">
        <f ca="1">IFERROR(OFFSET(extrapolation!V43,0,OS_dist_choice-1,1,1),0)</f>
        <v>0.54123105847788122</v>
      </c>
      <c r="E34" s="225">
        <f ca="1">IFERROR(OFFSET(extrapolation!J43,0,PFS_dist_choice-1,1,1),0)</f>
        <v>0.16933105027431791</v>
      </c>
      <c r="F34" s="214"/>
      <c r="G34" s="226">
        <f t="shared" ca="1" si="22"/>
        <v>169.3310502743179</v>
      </c>
      <c r="H34" s="224">
        <f t="shared" ca="1" si="23"/>
        <v>371.90000820356329</v>
      </c>
      <c r="I34" s="224">
        <f t="shared" ca="1" si="0"/>
        <v>458.76894152211878</v>
      </c>
      <c r="J34" s="227">
        <f t="shared" ca="1" si="1"/>
        <v>1000</v>
      </c>
      <c r="K34" s="238">
        <f t="shared" ca="1" si="24"/>
        <v>5.7113002297223545</v>
      </c>
      <c r="L34" s="239">
        <f t="shared" ca="1" si="25"/>
        <v>13.208206009159312</v>
      </c>
      <c r="M34" s="238">
        <f t="shared" ca="1" si="26"/>
        <v>172.18670038917907</v>
      </c>
      <c r="N34" s="238">
        <f t="shared" ca="1" si="27"/>
        <v>375.64846109328175</v>
      </c>
      <c r="O34" s="239">
        <f t="shared" ca="1" si="28"/>
        <v>452.16483851753912</v>
      </c>
      <c r="P34" s="217"/>
      <c r="Q34" s="217"/>
      <c r="R34" s="224"/>
      <c r="S34" s="230">
        <f t="shared" ca="1" si="29"/>
        <v>256739.80615834091</v>
      </c>
      <c r="T34" s="231">
        <f t="shared" ca="1" si="30"/>
        <v>15980.90695160778</v>
      </c>
      <c r="U34" s="231">
        <f t="shared" ca="1" si="53"/>
        <v>24072.440769097579</v>
      </c>
      <c r="V34" s="231"/>
      <c r="W34" s="231">
        <f t="shared" ca="1" si="31"/>
        <v>64842.756379358609</v>
      </c>
      <c r="X34" s="231">
        <f t="shared" ca="1" si="32"/>
        <v>8105.3445474198261</v>
      </c>
      <c r="Y34" s="231"/>
      <c r="Z34" s="232">
        <f t="shared" ca="1" si="2"/>
        <v>369741.25480582466</v>
      </c>
      <c r="AA34" s="231">
        <f t="shared" ca="1" si="3"/>
        <v>4962.447738989209</v>
      </c>
      <c r="AB34" s="231">
        <f t="shared" ca="1" si="33"/>
        <v>94871.767367478547</v>
      </c>
      <c r="AC34" s="231">
        <f t="shared" ca="1" si="34"/>
        <v>509267.52026046877</v>
      </c>
      <c r="AD34" s="231">
        <f t="shared" ca="1" si="35"/>
        <v>17682.900009044053</v>
      </c>
      <c r="AE34" s="231">
        <f t="shared" ca="1" si="4"/>
        <v>378421.96910871851</v>
      </c>
      <c r="AF34" s="231">
        <f t="shared" ca="1" si="5"/>
        <v>1005206.6044846992</v>
      </c>
      <c r="AG34" s="232">
        <f t="shared" ca="1" si="6"/>
        <v>1374947.8592905239</v>
      </c>
      <c r="AH34" s="244">
        <f t="shared" ca="1" si="36"/>
        <v>13.199801809437409</v>
      </c>
      <c r="AI34" s="243">
        <f t="shared" ca="1" si="37"/>
        <v>28.797144176897714</v>
      </c>
      <c r="AJ34" s="242">
        <f t="shared" ca="1" si="38"/>
        <v>41.99694598633512</v>
      </c>
      <c r="AK34" s="241">
        <f t="shared" ca="1" si="39"/>
        <v>9.503857302794934</v>
      </c>
      <c r="AL34" s="243">
        <f t="shared" ca="1" si="40"/>
        <v>12.757134870365688</v>
      </c>
      <c r="AM34" s="243"/>
      <c r="AN34" s="242">
        <f t="shared" ca="1" si="7"/>
        <v>22.260992173160624</v>
      </c>
      <c r="AO34" s="224"/>
      <c r="AP34" s="235">
        <f t="shared" si="41"/>
        <v>2.1538461538461537</v>
      </c>
      <c r="AQ34" s="235">
        <f t="shared" si="8"/>
        <v>0.93831917826534172</v>
      </c>
      <c r="AR34" s="235">
        <f t="shared" si="9"/>
        <v>0.96844093819581678</v>
      </c>
      <c r="AT34" s="230">
        <f t="shared" ca="1" si="10"/>
        <v>240903.88394249757</v>
      </c>
      <c r="AU34" s="231">
        <f t="shared" ca="1" si="11"/>
        <v>14995.1914787675</v>
      </c>
      <c r="AV34" s="231">
        <f t="shared" ca="1" si="42"/>
        <v>22587.63284130075</v>
      </c>
      <c r="AW34" s="231"/>
      <c r="AX34" s="231">
        <f t="shared" ca="1" si="43"/>
        <v>60843.201882339512</v>
      </c>
      <c r="AY34" s="231">
        <f t="shared" ca="1" si="44"/>
        <v>7605.400235292439</v>
      </c>
      <c r="AZ34" s="231"/>
      <c r="BA34" s="232">
        <f t="shared" ca="1" si="12"/>
        <v>346935.31038019771</v>
      </c>
      <c r="BB34" s="231">
        <f t="shared" ca="1" si="13"/>
        <v>4656.3598846330578</v>
      </c>
      <c r="BC34" s="231">
        <f t="shared" ca="1" si="45"/>
        <v>89019.998796833126</v>
      </c>
      <c r="BD34" s="231">
        <f t="shared" ca="1" si="46"/>
        <v>477855.48112803133</v>
      </c>
      <c r="BE34" s="231">
        <f t="shared" ca="1" si="47"/>
        <v>16592.20420583442</v>
      </c>
      <c r="BF34" s="231">
        <f t="shared" ca="1" si="14"/>
        <v>355080.5910916453</v>
      </c>
      <c r="BG34" s="231">
        <f t="shared" ca="1" si="15"/>
        <v>943204.63510697731</v>
      </c>
      <c r="BH34" s="232">
        <f t="shared" ca="1" si="16"/>
        <v>1290139.9454871751</v>
      </c>
      <c r="BI34" s="244">
        <f t="shared" ca="1" si="48"/>
        <v>12.783228448330403</v>
      </c>
      <c r="BJ34" s="243">
        <f t="shared" ca="1" si="49"/>
        <v>27.888333324035024</v>
      </c>
      <c r="BK34" s="242">
        <f t="shared" ca="1" si="50"/>
        <v>40.671561772365429</v>
      </c>
      <c r="BL34" s="241">
        <f t="shared" ca="1" si="51"/>
        <v>9.2039244827978912</v>
      </c>
      <c r="BM34" s="243">
        <f t="shared" ca="1" si="52"/>
        <v>12.354531662547515</v>
      </c>
      <c r="BN34" s="243">
        <f t="shared" si="17"/>
        <v>0</v>
      </c>
      <c r="BO34" s="242">
        <f t="shared" ca="1" si="18"/>
        <v>21.55845614534541</v>
      </c>
      <c r="BP34" s="67"/>
      <c r="BQ34" s="67"/>
      <c r="BR34" s="67"/>
      <c r="BS34" s="67"/>
      <c r="BT34" s="67"/>
      <c r="BU34" s="67"/>
    </row>
    <row r="35" spans="1:73" ht="12" customHeight="1" x14ac:dyDescent="0.15">
      <c r="A35" s="213">
        <f t="shared" si="19"/>
        <v>29</v>
      </c>
      <c r="B35" s="67">
        <f t="shared" si="20"/>
        <v>116</v>
      </c>
      <c r="C35" s="224">
        <f t="shared" si="21"/>
        <v>26.76923076923077</v>
      </c>
      <c r="D35" s="225">
        <f ca="1">IFERROR(OFFSET(extrapolation!V44,0,OS_dist_choice-1,1,1),0)</f>
        <v>0.52843102397434516</v>
      </c>
      <c r="E35" s="225">
        <f ca="1">IFERROR(OFFSET(extrapolation!J44,0,PFS_dist_choice-1,1,1),0)</f>
        <v>0.16397527771262535</v>
      </c>
      <c r="F35" s="214"/>
      <c r="G35" s="226">
        <f t="shared" ca="1" si="22"/>
        <v>163.97527771262534</v>
      </c>
      <c r="H35" s="224">
        <f t="shared" ca="1" si="23"/>
        <v>364.45574626171981</v>
      </c>
      <c r="I35" s="224">
        <f t="shared" ca="1" si="0"/>
        <v>471.56897602565482</v>
      </c>
      <c r="J35" s="227">
        <f t="shared" ca="1" si="1"/>
        <v>1000</v>
      </c>
      <c r="K35" s="238">
        <f t="shared" ca="1" si="24"/>
        <v>5.3557725616925609</v>
      </c>
      <c r="L35" s="239">
        <f t="shared" ca="1" si="25"/>
        <v>12.80003450353604</v>
      </c>
      <c r="M35" s="238">
        <f t="shared" ca="1" si="26"/>
        <v>166.65316399347162</v>
      </c>
      <c r="N35" s="238">
        <f t="shared" ca="1" si="27"/>
        <v>368.17787723264155</v>
      </c>
      <c r="O35" s="239">
        <f t="shared" ca="1" si="28"/>
        <v>465.1689587738868</v>
      </c>
      <c r="P35" s="217"/>
      <c r="Q35" s="217"/>
      <c r="R35" s="224"/>
      <c r="S35" s="230">
        <f t="shared" ca="1" si="29"/>
        <v>248619.38165799362</v>
      </c>
      <c r="T35" s="231">
        <f t="shared" ca="1" si="30"/>
        <v>15475.446772723128</v>
      </c>
      <c r="U35" s="231">
        <f t="shared" ca="1" si="53"/>
        <v>23311.053430182241</v>
      </c>
      <c r="V35" s="231"/>
      <c r="W35" s="231">
        <f t="shared" ca="1" si="31"/>
        <v>62758.915109317517</v>
      </c>
      <c r="X35" s="231">
        <f t="shared" ca="1" si="32"/>
        <v>7844.8643886646896</v>
      </c>
      <c r="Y35" s="231"/>
      <c r="Z35" s="232">
        <f t="shared" ca="1" si="2"/>
        <v>358009.66135888116</v>
      </c>
      <c r="AA35" s="231">
        <f t="shared" ca="1" si="3"/>
        <v>4653.5360373803578</v>
      </c>
      <c r="AB35" s="231">
        <f t="shared" ca="1" si="33"/>
        <v>92985.036640396182</v>
      </c>
      <c r="AC35" s="231">
        <f t="shared" ca="1" si="34"/>
        <v>499139.63179119758</v>
      </c>
      <c r="AD35" s="231">
        <f t="shared" ca="1" si="35"/>
        <v>17331.237214972134</v>
      </c>
      <c r="AE35" s="231">
        <f t="shared" ca="1" si="4"/>
        <v>366727.64326424594</v>
      </c>
      <c r="AF35" s="231">
        <f t="shared" ca="1" si="5"/>
        <v>980837.08494819223</v>
      </c>
      <c r="AG35" s="232">
        <f t="shared" ca="1" si="6"/>
        <v>1338846.7463070734</v>
      </c>
      <c r="AH35" s="244">
        <f t="shared" ca="1" si="36"/>
        <v>12.775601894092279</v>
      </c>
      <c r="AI35" s="243">
        <f t="shared" ca="1" si="37"/>
        <v>28.224450547608388</v>
      </c>
      <c r="AJ35" s="242">
        <f t="shared" ca="1" si="38"/>
        <v>41.000052441700667</v>
      </c>
      <c r="AK35" s="241">
        <f t="shared" ca="1" si="39"/>
        <v>9.1984333637464406</v>
      </c>
      <c r="AL35" s="243">
        <f t="shared" ca="1" si="40"/>
        <v>12.503431592590516</v>
      </c>
      <c r="AM35" s="243"/>
      <c r="AN35" s="242">
        <f t="shared" ca="1" si="7"/>
        <v>21.701864956336955</v>
      </c>
      <c r="AO35" s="224"/>
      <c r="AP35" s="235">
        <f t="shared" si="41"/>
        <v>2.2307692307692308</v>
      </c>
      <c r="AQ35" s="235">
        <f t="shared" si="8"/>
        <v>0.9361880949607978</v>
      </c>
      <c r="AR35" s="235">
        <f t="shared" si="9"/>
        <v>0.96733243909812572</v>
      </c>
      <c r="AT35" s="230">
        <f t="shared" ca="1" si="10"/>
        <v>232754.50528472857</v>
      </c>
      <c r="AU35" s="231">
        <f t="shared" ca="1" si="11"/>
        <v>14487.929032822891</v>
      </c>
      <c r="AV35" s="231">
        <f t="shared" ca="1" si="42"/>
        <v>21823.530702331682</v>
      </c>
      <c r="AW35" s="231"/>
      <c r="AX35" s="231">
        <f t="shared" ca="1" si="43"/>
        <v>58754.149177998399</v>
      </c>
      <c r="AY35" s="231">
        <f t="shared" ca="1" si="44"/>
        <v>7344.2686472497999</v>
      </c>
      <c r="AZ35" s="231"/>
      <c r="BA35" s="232">
        <f t="shared" ca="1" si="12"/>
        <v>335164.38284513127</v>
      </c>
      <c r="BB35" s="231">
        <f t="shared" ca="1" si="13"/>
        <v>4356.5850376665376</v>
      </c>
      <c r="BC35" s="231">
        <f t="shared" ca="1" si="45"/>
        <v>87051.484312232482</v>
      </c>
      <c r="BD35" s="231">
        <f t="shared" ca="1" si="46"/>
        <v>467288.58100603533</v>
      </c>
      <c r="BE35" s="231">
        <f t="shared" ca="1" si="47"/>
        <v>16225.297951598444</v>
      </c>
      <c r="BF35" s="231">
        <f t="shared" ca="1" si="14"/>
        <v>343326.05371701746</v>
      </c>
      <c r="BG35" s="231">
        <f t="shared" ca="1" si="15"/>
        <v>918248.00202455034</v>
      </c>
      <c r="BH35" s="232">
        <f t="shared" ca="1" si="16"/>
        <v>1253412.3848696817</v>
      </c>
      <c r="BI35" s="244">
        <f t="shared" ca="1" si="48"/>
        <v>12.35825414115892</v>
      </c>
      <c r="BJ35" s="243">
        <f t="shared" ca="1" si="49"/>
        <v>27.302426590422453</v>
      </c>
      <c r="BK35" s="242">
        <f t="shared" ca="1" si="50"/>
        <v>39.660680731581373</v>
      </c>
      <c r="BL35" s="241">
        <f t="shared" ca="1" si="51"/>
        <v>8.8979429816344222</v>
      </c>
      <c r="BM35" s="243">
        <f t="shared" ca="1" si="52"/>
        <v>12.094974979557147</v>
      </c>
      <c r="BN35" s="243">
        <f t="shared" si="17"/>
        <v>0</v>
      </c>
      <c r="BO35" s="242">
        <f t="shared" ca="1" si="18"/>
        <v>20.992917961191566</v>
      </c>
      <c r="BP35" s="67"/>
      <c r="BQ35" s="67"/>
      <c r="BR35" s="67"/>
      <c r="BS35" s="67"/>
      <c r="BT35" s="67"/>
      <c r="BU35" s="67"/>
    </row>
    <row r="36" spans="1:73" ht="12" customHeight="1" x14ac:dyDescent="0.15">
      <c r="A36" s="213">
        <f t="shared" si="19"/>
        <v>30</v>
      </c>
      <c r="B36" s="67">
        <f t="shared" si="20"/>
        <v>120</v>
      </c>
      <c r="C36" s="224">
        <f t="shared" si="21"/>
        <v>27.69230769230769</v>
      </c>
      <c r="D36" s="225">
        <f ca="1">IFERROR(OFFSET(extrapolation!V45,0,OS_dist_choice-1,1,1),0)</f>
        <v>0.51602918237648776</v>
      </c>
      <c r="E36" s="225">
        <f ca="1">IFERROR(OFFSET(extrapolation!J45,0,PFS_dist_choice-1,1,1),0)</f>
        <v>0.15894301110279971</v>
      </c>
      <c r="F36" s="214"/>
      <c r="G36" s="226">
        <f t="shared" ca="1" si="22"/>
        <v>158.94301110279972</v>
      </c>
      <c r="H36" s="224">
        <f t="shared" ca="1" si="23"/>
        <v>357.08617127368808</v>
      </c>
      <c r="I36" s="224">
        <f t="shared" ca="1" si="0"/>
        <v>483.97081762351223</v>
      </c>
      <c r="J36" s="227">
        <f t="shared" ca="1" si="1"/>
        <v>1000</v>
      </c>
      <c r="K36" s="238">
        <f t="shared" ca="1" si="24"/>
        <v>5.0322666098256263</v>
      </c>
      <c r="L36" s="239">
        <f t="shared" ca="1" si="25"/>
        <v>12.401841597857413</v>
      </c>
      <c r="M36" s="238">
        <f t="shared" ca="1" si="26"/>
        <v>161.45914440771253</v>
      </c>
      <c r="N36" s="238">
        <f t="shared" ca="1" si="27"/>
        <v>360.77095876770397</v>
      </c>
      <c r="O36" s="239">
        <f t="shared" ca="1" si="28"/>
        <v>477.7698968245835</v>
      </c>
      <c r="P36" s="217"/>
      <c r="Q36" s="217"/>
      <c r="R36" s="224"/>
      <c r="S36" s="230">
        <f t="shared" ca="1" si="29"/>
        <v>240989.45701126935</v>
      </c>
      <c r="T36" s="231">
        <f t="shared" ca="1" si="30"/>
        <v>15000.518020335277</v>
      </c>
      <c r="U36" s="231">
        <f t="shared" ca="1" si="53"/>
        <v>22595.656344396211</v>
      </c>
      <c r="V36" s="231"/>
      <c r="W36" s="231">
        <f t="shared" ca="1" si="31"/>
        <v>60802.930437634015</v>
      </c>
      <c r="X36" s="231">
        <f t="shared" ca="1" si="32"/>
        <v>7600.3663047042519</v>
      </c>
      <c r="Y36" s="231"/>
      <c r="Z36" s="232">
        <f t="shared" ca="1" si="2"/>
        <v>346988.9281183391</v>
      </c>
      <c r="AA36" s="231">
        <f t="shared" ca="1" si="3"/>
        <v>4372.447438494065</v>
      </c>
      <c r="AB36" s="231">
        <f t="shared" ca="1" si="33"/>
        <v>91114.384905339713</v>
      </c>
      <c r="AC36" s="231">
        <f t="shared" ca="1" si="34"/>
        <v>489098.05465167738</v>
      </c>
      <c r="AD36" s="231">
        <f t="shared" ca="1" si="35"/>
        <v>16982.571342072129</v>
      </c>
      <c r="AE36" s="231">
        <f t="shared" ca="1" si="4"/>
        <v>355319.20949606161</v>
      </c>
      <c r="AF36" s="231">
        <f t="shared" ca="1" si="5"/>
        <v>956886.6678336449</v>
      </c>
      <c r="AG36" s="232">
        <f t="shared" ca="1" si="6"/>
        <v>1303875.5959519839</v>
      </c>
      <c r="AH36" s="244">
        <f t="shared" ca="1" si="36"/>
        <v>12.377429276977278</v>
      </c>
      <c r="AI36" s="243">
        <f t="shared" ca="1" si="37"/>
        <v>27.656637496223713</v>
      </c>
      <c r="AJ36" s="242">
        <f t="shared" ca="1" si="38"/>
        <v>40.03406677320099</v>
      </c>
      <c r="AK36" s="241">
        <f t="shared" ca="1" si="39"/>
        <v>8.9117490794236396</v>
      </c>
      <c r="AL36" s="243">
        <f t="shared" ca="1" si="40"/>
        <v>12.251890410827105</v>
      </c>
      <c r="AM36" s="243"/>
      <c r="AN36" s="242">
        <f t="shared" ca="1" si="7"/>
        <v>21.163639490250745</v>
      </c>
      <c r="AO36" s="224"/>
      <c r="AP36" s="235">
        <f t="shared" si="41"/>
        <v>2.3076923076923075</v>
      </c>
      <c r="AQ36" s="235">
        <f t="shared" si="8"/>
        <v>0.93406185171084954</v>
      </c>
      <c r="AR36" s="235">
        <f t="shared" si="9"/>
        <v>0.96622520881322549</v>
      </c>
      <c r="AT36" s="230">
        <f t="shared" ca="1" si="10"/>
        <v>225099.05845873841</v>
      </c>
      <c r="AU36" s="231">
        <f t="shared" ca="1" si="11"/>
        <v>14011.411638696336</v>
      </c>
      <c r="AV36" s="231">
        <f t="shared" ca="1" si="42"/>
        <v>21105.740605668732</v>
      </c>
      <c r="AW36" s="231"/>
      <c r="AX36" s="231">
        <f t="shared" ca="1" si="43"/>
        <v>56793.697794022402</v>
      </c>
      <c r="AY36" s="231">
        <f t="shared" ca="1" si="44"/>
        <v>7099.2122242528003</v>
      </c>
      <c r="AZ36" s="231"/>
      <c r="BA36" s="232">
        <f t="shared" ca="1" si="12"/>
        <v>324109.12072137871</v>
      </c>
      <c r="BB36" s="231">
        <f t="shared" ca="1" si="13"/>
        <v>4084.136350908127</v>
      </c>
      <c r="BC36" s="231">
        <f t="shared" ca="1" si="45"/>
        <v>85106.471082176693</v>
      </c>
      <c r="BD36" s="231">
        <f t="shared" ca="1" si="46"/>
        <v>456847.83459612005</v>
      </c>
      <c r="BE36" s="231">
        <f t="shared" ca="1" si="47"/>
        <v>15862.7720345875</v>
      </c>
      <c r="BF36" s="231">
        <f t="shared" ca="1" si="14"/>
        <v>331890.1187703266</v>
      </c>
      <c r="BG36" s="231">
        <f t="shared" ca="1" si="15"/>
        <v>893791.33283411898</v>
      </c>
      <c r="BH36" s="232">
        <f t="shared" ca="1" si="16"/>
        <v>1217900.4535554976</v>
      </c>
      <c r="BI36" s="244">
        <f t="shared" ca="1" si="48"/>
        <v>11.959384187718301</v>
      </c>
      <c r="BJ36" s="243">
        <f t="shared" ca="1" si="49"/>
        <v>26.722540339860437</v>
      </c>
      <c r="BK36" s="242">
        <f t="shared" ca="1" si="50"/>
        <v>38.681924527578737</v>
      </c>
      <c r="BL36" s="241">
        <f t="shared" ca="1" si="51"/>
        <v>8.6107566151571771</v>
      </c>
      <c r="BM36" s="243">
        <f t="shared" ca="1" si="52"/>
        <v>11.838085370558174</v>
      </c>
      <c r="BN36" s="243">
        <f t="shared" si="17"/>
        <v>0</v>
      </c>
      <c r="BO36" s="242">
        <f t="shared" ca="1" si="18"/>
        <v>20.448841985715351</v>
      </c>
      <c r="BP36" s="67"/>
      <c r="BQ36" s="67"/>
      <c r="BR36" s="67"/>
      <c r="BS36" s="67"/>
      <c r="BT36" s="67"/>
      <c r="BU36" s="67"/>
    </row>
    <row r="37" spans="1:73" ht="12" customHeight="1" x14ac:dyDescent="0.15">
      <c r="A37" s="213">
        <f t="shared" si="19"/>
        <v>31</v>
      </c>
      <c r="B37" s="67">
        <f t="shared" si="20"/>
        <v>124</v>
      </c>
      <c r="C37" s="224">
        <f t="shared" si="21"/>
        <v>28.615384615384613</v>
      </c>
      <c r="D37" s="225">
        <f ca="1">IFERROR(OFFSET(extrapolation!V46,0,OS_dist_choice-1,1,1),0)</f>
        <v>0.50401506073767188</v>
      </c>
      <c r="E37" s="225">
        <f ca="1">IFERROR(OFFSET(extrapolation!J46,0,PFS_dist_choice-1,1,1),0)</f>
        <v>0.15420594872063237</v>
      </c>
      <c r="F37" s="214"/>
      <c r="G37" s="226">
        <f t="shared" ca="1" si="22"/>
        <v>154.20594872063236</v>
      </c>
      <c r="H37" s="224">
        <f t="shared" ca="1" si="23"/>
        <v>349.80911201703952</v>
      </c>
      <c r="I37" s="224">
        <f t="shared" ca="1" si="0"/>
        <v>495.98493926232811</v>
      </c>
      <c r="J37" s="227">
        <f t="shared" ca="1" si="1"/>
        <v>1000</v>
      </c>
      <c r="K37" s="238">
        <f t="shared" ca="1" si="24"/>
        <v>4.7370623821673519</v>
      </c>
      <c r="L37" s="239">
        <f t="shared" ca="1" si="25"/>
        <v>12.01412163881588</v>
      </c>
      <c r="M37" s="238">
        <f t="shared" ca="1" si="26"/>
        <v>156.57447991171603</v>
      </c>
      <c r="N37" s="238">
        <f t="shared" ca="1" si="27"/>
        <v>353.44764164536377</v>
      </c>
      <c r="O37" s="239">
        <f t="shared" ca="1" si="28"/>
        <v>489.9778784429202</v>
      </c>
      <c r="P37" s="217"/>
      <c r="Q37" s="217"/>
      <c r="R37" s="224"/>
      <c r="S37" s="230">
        <f t="shared" ca="1" si="29"/>
        <v>233807.12113260227</v>
      </c>
      <c r="T37" s="231">
        <f t="shared" ca="1" si="30"/>
        <v>14553.449670905335</v>
      </c>
      <c r="U37" s="231">
        <f t="shared" ca="1" si="53"/>
        <v>21922.226082022535</v>
      </c>
      <c r="V37" s="231"/>
      <c r="W37" s="231">
        <f t="shared" ca="1" si="31"/>
        <v>58963.443943073667</v>
      </c>
      <c r="X37" s="231">
        <f t="shared" ca="1" si="32"/>
        <v>7370.4304928842084</v>
      </c>
      <c r="Y37" s="231"/>
      <c r="Z37" s="232">
        <f t="shared" ca="1" si="2"/>
        <v>336616.67132148799</v>
      </c>
      <c r="AA37" s="231">
        <f t="shared" ca="1" si="3"/>
        <v>4115.9497071264959</v>
      </c>
      <c r="AB37" s="231">
        <f t="shared" ca="1" si="33"/>
        <v>89264.847078492603</v>
      </c>
      <c r="AC37" s="231">
        <f t="shared" ca="1" si="34"/>
        <v>479169.81605295965</v>
      </c>
      <c r="AD37" s="231">
        <f t="shared" ca="1" si="35"/>
        <v>16637.84083517221</v>
      </c>
      <c r="AE37" s="231">
        <f t="shared" ca="1" si="4"/>
        <v>344210.83109391498</v>
      </c>
      <c r="AF37" s="231">
        <f t="shared" ca="1" si="5"/>
        <v>933399.2847676659</v>
      </c>
      <c r="AG37" s="232">
        <f t="shared" ca="1" si="6"/>
        <v>1270015.9560891539</v>
      </c>
      <c r="AH37" s="244">
        <f t="shared" ca="1" si="36"/>
        <v>12.002971765990551</v>
      </c>
      <c r="AI37" s="243">
        <f t="shared" ca="1" si="37"/>
        <v>27.095233308884836</v>
      </c>
      <c r="AJ37" s="242">
        <f t="shared" ca="1" si="38"/>
        <v>39.098205074875388</v>
      </c>
      <c r="AK37" s="241">
        <f t="shared" ca="1" si="39"/>
        <v>8.6421396715131973</v>
      </c>
      <c r="AL37" s="243">
        <f t="shared" ca="1" si="40"/>
        <v>12.003188355835983</v>
      </c>
      <c r="AM37" s="243"/>
      <c r="AN37" s="242">
        <f t="shared" ca="1" si="7"/>
        <v>20.64532802734918</v>
      </c>
      <c r="AO37" s="224"/>
      <c r="AP37" s="235">
        <f t="shared" si="41"/>
        <v>2.3846153846153846</v>
      </c>
      <c r="AQ37" s="235">
        <f t="shared" si="8"/>
        <v>0.93194043752290512</v>
      </c>
      <c r="AR37" s="235">
        <f t="shared" si="9"/>
        <v>0.96511924588880471</v>
      </c>
      <c r="AT37" s="230">
        <f t="shared" ca="1" si="10"/>
        <v>217894.31076428824</v>
      </c>
      <c r="AU37" s="231">
        <f t="shared" ca="1" si="11"/>
        <v>13562.948253771097</v>
      </c>
      <c r="AV37" s="231">
        <f t="shared" ca="1" si="42"/>
        <v>20430.208966356124</v>
      </c>
      <c r="AW37" s="231"/>
      <c r="AX37" s="231">
        <f t="shared" ca="1" si="43"/>
        <v>54950.41774616536</v>
      </c>
      <c r="AY37" s="231">
        <f t="shared" ca="1" si="44"/>
        <v>6868.80221827067</v>
      </c>
      <c r="AZ37" s="231"/>
      <c r="BA37" s="232">
        <f t="shared" ca="1" si="12"/>
        <v>313706.68794885144</v>
      </c>
      <c r="BB37" s="231">
        <f t="shared" ca="1" si="13"/>
        <v>3835.8199708817397</v>
      </c>
      <c r="BC37" s="231">
        <f t="shared" ca="1" si="45"/>
        <v>83189.520641745621</v>
      </c>
      <c r="BD37" s="231">
        <f t="shared" ca="1" si="46"/>
        <v>446557.72802016517</v>
      </c>
      <c r="BE37" s="231">
        <f t="shared" ca="1" si="47"/>
        <v>15505.476667366847</v>
      </c>
      <c r="BF37" s="231">
        <f t="shared" ca="1" si="14"/>
        <v>320783.9925297859</v>
      </c>
      <c r="BG37" s="231">
        <f t="shared" ca="1" si="15"/>
        <v>869872.53782994521</v>
      </c>
      <c r="BH37" s="232">
        <f t="shared" ca="1" si="16"/>
        <v>1183579.2257787967</v>
      </c>
      <c r="BI37" s="244">
        <f t="shared" ca="1" si="48"/>
        <v>11.584299059217416</v>
      </c>
      <c r="BJ37" s="243">
        <f t="shared" ca="1" si="49"/>
        <v>26.150131138252156</v>
      </c>
      <c r="BK37" s="242">
        <f t="shared" ca="1" si="50"/>
        <v>37.734430197469571</v>
      </c>
      <c r="BL37" s="241">
        <f t="shared" ca="1" si="51"/>
        <v>8.3406953226365399</v>
      </c>
      <c r="BM37" s="243">
        <f t="shared" ca="1" si="52"/>
        <v>11.584508094245706</v>
      </c>
      <c r="BN37" s="243">
        <f t="shared" si="17"/>
        <v>0</v>
      </c>
      <c r="BO37" s="242">
        <f t="shared" ca="1" si="18"/>
        <v>19.925203416882244</v>
      </c>
      <c r="BP37" s="67"/>
      <c r="BQ37" s="67"/>
      <c r="BR37" s="67"/>
      <c r="BS37" s="67"/>
      <c r="BT37" s="67"/>
      <c r="BU37" s="67"/>
    </row>
    <row r="38" spans="1:73" ht="12" customHeight="1" x14ac:dyDescent="0.15">
      <c r="A38" s="213">
        <f t="shared" si="19"/>
        <v>32</v>
      </c>
      <c r="B38" s="67">
        <f t="shared" si="20"/>
        <v>128</v>
      </c>
      <c r="C38" s="224">
        <f t="shared" si="21"/>
        <v>29.53846153846154</v>
      </c>
      <c r="D38" s="225">
        <f ca="1">IFERROR(OFFSET(extrapolation!V47,0,OS_dist_choice-1,1,1),0)</f>
        <v>0.49237784510333232</v>
      </c>
      <c r="E38" s="225">
        <f ca="1">IFERROR(OFFSET(extrapolation!J47,0,PFS_dist_choice-1,1,1),0)</f>
        <v>0.14973898554518039</v>
      </c>
      <c r="F38" s="214"/>
      <c r="G38" s="226">
        <f t="shared" ca="1" si="22"/>
        <v>149.73898554518038</v>
      </c>
      <c r="H38" s="224">
        <f t="shared" ca="1" si="23"/>
        <v>342.63885955815186</v>
      </c>
      <c r="I38" s="224">
        <f t="shared" ca="1" si="0"/>
        <v>507.62215489666772</v>
      </c>
      <c r="J38" s="227">
        <f t="shared" ca="1" si="1"/>
        <v>1000</v>
      </c>
      <c r="K38" s="238">
        <f t="shared" ca="1" si="24"/>
        <v>4.4669631754519799</v>
      </c>
      <c r="L38" s="239">
        <f t="shared" ca="1" si="25"/>
        <v>11.637215634339611</v>
      </c>
      <c r="M38" s="238">
        <f t="shared" ca="1" si="26"/>
        <v>151.97246713290639</v>
      </c>
      <c r="N38" s="238">
        <f t="shared" ca="1" si="27"/>
        <v>346.22398578759567</v>
      </c>
      <c r="O38" s="239">
        <f t="shared" ca="1" si="28"/>
        <v>501.80354707949789</v>
      </c>
      <c r="P38" s="217"/>
      <c r="Q38" s="217"/>
      <c r="R38" s="224"/>
      <c r="S38" s="230">
        <f t="shared" ca="1" si="29"/>
        <v>227034.30977919672</v>
      </c>
      <c r="T38" s="231">
        <f t="shared" ca="1" si="30"/>
        <v>14131.872395222521</v>
      </c>
      <c r="U38" s="231">
        <f t="shared" ca="1" si="53"/>
        <v>21287.193663073929</v>
      </c>
      <c r="V38" s="231"/>
      <c r="W38" s="231">
        <f t="shared" ca="1" si="31"/>
        <v>57230.399562778417</v>
      </c>
      <c r="X38" s="231">
        <f t="shared" ca="1" si="32"/>
        <v>7153.7999453473021</v>
      </c>
      <c r="Y38" s="231"/>
      <c r="Z38" s="232">
        <f t="shared" ca="1" si="2"/>
        <v>326837.57534561888</v>
      </c>
      <c r="AA38" s="231">
        <f t="shared" ca="1" si="3"/>
        <v>3881.265284358436</v>
      </c>
      <c r="AB38" s="231">
        <f t="shared" ca="1" si="33"/>
        <v>87440.479167903133</v>
      </c>
      <c r="AC38" s="231">
        <f t="shared" ca="1" si="34"/>
        <v>469376.68846980936</v>
      </c>
      <c r="AD38" s="231">
        <f t="shared" ca="1" si="35"/>
        <v>16297.801682979491</v>
      </c>
      <c r="AE38" s="231">
        <f t="shared" ca="1" si="4"/>
        <v>333412.27811223821</v>
      </c>
      <c r="AF38" s="231">
        <f t="shared" ca="1" si="5"/>
        <v>910408.51271728869</v>
      </c>
      <c r="AG38" s="232">
        <f t="shared" ca="1" si="6"/>
        <v>1237246.0880629076</v>
      </c>
      <c r="AH38" s="244">
        <f t="shared" ca="1" si="36"/>
        <v>11.650182285342584</v>
      </c>
      <c r="AI38" s="243">
        <f t="shared" ca="1" si="37"/>
        <v>26.541469136352301</v>
      </c>
      <c r="AJ38" s="242">
        <f t="shared" ca="1" si="38"/>
        <v>38.191651421694885</v>
      </c>
      <c r="AK38" s="241">
        <f t="shared" ca="1" si="39"/>
        <v>8.3881312454466599</v>
      </c>
      <c r="AL38" s="243">
        <f t="shared" ca="1" si="40"/>
        <v>11.757870827404069</v>
      </c>
      <c r="AM38" s="243"/>
      <c r="AN38" s="242">
        <f t="shared" ca="1" si="7"/>
        <v>20.146002072850727</v>
      </c>
      <c r="AO38" s="224"/>
      <c r="AP38" s="235">
        <f t="shared" si="41"/>
        <v>2.4615384615384617</v>
      </c>
      <c r="AQ38" s="235">
        <f t="shared" si="8"/>
        <v>0.92982384142933927</v>
      </c>
      <c r="AR38" s="235">
        <f t="shared" si="9"/>
        <v>0.96401454887421423</v>
      </c>
      <c r="AT38" s="230">
        <f t="shared" ca="1" si="10"/>
        <v>211101.91405515128</v>
      </c>
      <c r="AU38" s="231">
        <f t="shared" ca="1" si="11"/>
        <v>13140.151877115042</v>
      </c>
      <c r="AV38" s="231">
        <f t="shared" ca="1" si="42"/>
        <v>19793.340185049688</v>
      </c>
      <c r="AW38" s="231"/>
      <c r="AX38" s="231">
        <f t="shared" ca="1" si="43"/>
        <v>53214.189967998609</v>
      </c>
      <c r="AY38" s="231">
        <f t="shared" ca="1" si="44"/>
        <v>6651.7737459998261</v>
      </c>
      <c r="AZ38" s="231"/>
      <c r="BA38" s="232">
        <f t="shared" ca="1" si="12"/>
        <v>303901.36983131449</v>
      </c>
      <c r="BB38" s="231">
        <f t="shared" ca="1" si="13"/>
        <v>3608.8929963084979</v>
      </c>
      <c r="BC38" s="231">
        <f t="shared" ca="1" si="45"/>
        <v>81304.242236321807</v>
      </c>
      <c r="BD38" s="231">
        <f t="shared" ca="1" si="46"/>
        <v>436437.63555038039</v>
      </c>
      <c r="BE38" s="231">
        <f t="shared" ca="1" si="47"/>
        <v>15154.08456772154</v>
      </c>
      <c r="BF38" s="231">
        <f t="shared" ca="1" si="14"/>
        <v>310014.68521402858</v>
      </c>
      <c r="BG38" s="231">
        <f t="shared" ca="1" si="15"/>
        <v>846519.5405647608</v>
      </c>
      <c r="BH38" s="232">
        <f t="shared" ca="1" si="16"/>
        <v>1150420.9103960753</v>
      </c>
      <c r="BI38" s="244">
        <f t="shared" ca="1" si="48"/>
        <v>11.230945220106893</v>
      </c>
      <c r="BJ38" s="243">
        <f t="shared" ca="1" si="49"/>
        <v>25.586362395939545</v>
      </c>
      <c r="BK38" s="242">
        <f t="shared" ca="1" si="50"/>
        <v>36.817307616046435</v>
      </c>
      <c r="BL38" s="241">
        <f t="shared" ca="1" si="51"/>
        <v>8.0862805584769628</v>
      </c>
      <c r="BM38" s="243">
        <f t="shared" ca="1" si="52"/>
        <v>11.334758541401218</v>
      </c>
      <c r="BN38" s="243">
        <f t="shared" si="17"/>
        <v>0</v>
      </c>
      <c r="BO38" s="242">
        <f t="shared" ca="1" si="18"/>
        <v>19.421039099878179</v>
      </c>
      <c r="BP38" s="67"/>
      <c r="BQ38" s="67"/>
      <c r="BR38" s="67"/>
      <c r="BS38" s="67"/>
      <c r="BT38" s="67"/>
      <c r="BU38" s="67"/>
    </row>
    <row r="39" spans="1:73" ht="12" customHeight="1" x14ac:dyDescent="0.15">
      <c r="A39" s="213">
        <f t="shared" si="19"/>
        <v>33</v>
      </c>
      <c r="B39" s="67">
        <f t="shared" si="20"/>
        <v>132</v>
      </c>
      <c r="C39" s="224">
        <f t="shared" si="21"/>
        <v>30.46153846153846</v>
      </c>
      <c r="D39" s="225">
        <f ca="1">IFERROR(OFFSET(extrapolation!V48,0,OS_dist_choice-1,1,1),0)</f>
        <v>0.48110650864812743</v>
      </c>
      <c r="E39" s="225">
        <f ca="1">IFERROR(OFFSET(extrapolation!J48,0,PFS_dist_choice-1,1,1),0)</f>
        <v>0.14551977561810053</v>
      </c>
      <c r="F39" s="214"/>
      <c r="G39" s="226">
        <f t="shared" ca="1" si="22"/>
        <v>145.51977561810054</v>
      </c>
      <c r="H39" s="224">
        <f t="shared" ca="1" si="23"/>
        <v>335.58673303002683</v>
      </c>
      <c r="I39" s="224">
        <f t="shared" ca="1" si="0"/>
        <v>518.89349135187263</v>
      </c>
      <c r="J39" s="227">
        <f t="shared" ca="1" si="1"/>
        <v>1000</v>
      </c>
      <c r="K39" s="238">
        <f t="shared" ca="1" si="24"/>
        <v>4.2192099270798451</v>
      </c>
      <c r="L39" s="239">
        <f t="shared" ca="1" si="25"/>
        <v>11.271336455204903</v>
      </c>
      <c r="M39" s="238">
        <f t="shared" ca="1" si="26"/>
        <v>147.62938058164048</v>
      </c>
      <c r="N39" s="238">
        <f t="shared" ca="1" si="27"/>
        <v>339.11279629408932</v>
      </c>
      <c r="O39" s="239">
        <f t="shared" ca="1" si="28"/>
        <v>513.2578231242702</v>
      </c>
      <c r="P39" s="217"/>
      <c r="Q39" s="217"/>
      <c r="R39" s="224"/>
      <c r="S39" s="230">
        <f t="shared" ca="1" si="29"/>
        <v>220637.14200007427</v>
      </c>
      <c r="T39" s="231">
        <f t="shared" ca="1" si="30"/>
        <v>13733.677255319173</v>
      </c>
      <c r="U39" s="231">
        <f t="shared" ca="1" si="53"/>
        <v>20687.382341420405</v>
      </c>
      <c r="V39" s="231"/>
      <c r="W39" s="231">
        <f t="shared" ca="1" si="31"/>
        <v>55594.862656956495</v>
      </c>
      <c r="X39" s="231">
        <f t="shared" ca="1" si="32"/>
        <v>6949.3578321195619</v>
      </c>
      <c r="Y39" s="231"/>
      <c r="Z39" s="232">
        <f t="shared" ca="1" si="2"/>
        <v>317602.42208588991</v>
      </c>
      <c r="AA39" s="231">
        <f t="shared" ca="1" si="3"/>
        <v>3665.9968695037505</v>
      </c>
      <c r="AB39" s="231">
        <f t="shared" ca="1" si="33"/>
        <v>85644.515161101401</v>
      </c>
      <c r="AC39" s="231">
        <f t="shared" ca="1" si="34"/>
        <v>459736.03180660802</v>
      </c>
      <c r="AD39" s="231">
        <f t="shared" ca="1" si="35"/>
        <v>15963.056659951666</v>
      </c>
      <c r="AE39" s="231">
        <f t="shared" ca="1" si="4"/>
        <v>322929.64940944355</v>
      </c>
      <c r="AF39" s="231">
        <f t="shared" ca="1" si="5"/>
        <v>887939.24990660837</v>
      </c>
      <c r="AG39" s="232">
        <f t="shared" ca="1" si="6"/>
        <v>1205541.6719924982</v>
      </c>
      <c r="AH39" s="244">
        <f t="shared" ca="1" si="36"/>
        <v>11.317242043219531</v>
      </c>
      <c r="AI39" s="243">
        <f t="shared" ca="1" si="37"/>
        <v>25.996326615289533</v>
      </c>
      <c r="AJ39" s="242">
        <f t="shared" ca="1" si="38"/>
        <v>37.313568658509062</v>
      </c>
      <c r="AK39" s="241">
        <f t="shared" ca="1" si="39"/>
        <v>8.148414271118062</v>
      </c>
      <c r="AL39" s="243">
        <f t="shared" ca="1" si="40"/>
        <v>11.516372690573263</v>
      </c>
      <c r="AM39" s="243"/>
      <c r="AN39" s="242">
        <f t="shared" ca="1" si="7"/>
        <v>19.664786961691327</v>
      </c>
      <c r="AO39" s="224"/>
      <c r="AP39" s="235">
        <f t="shared" si="41"/>
        <v>2.5384615384615383</v>
      </c>
      <c r="AQ39" s="235">
        <f t="shared" si="8"/>
        <v>0.92771205248743538</v>
      </c>
      <c r="AR39" s="235">
        <f t="shared" si="9"/>
        <v>0.96291111632046555</v>
      </c>
      <c r="AT39" s="230">
        <f t="shared" ca="1" si="10"/>
        <v>204687.73585985063</v>
      </c>
      <c r="AU39" s="231">
        <f t="shared" ca="1" si="11"/>
        <v>12740.897914732159</v>
      </c>
      <c r="AV39" s="231">
        <f t="shared" ca="1" si="42"/>
        <v>19191.933932551452</v>
      </c>
      <c r="AW39" s="231"/>
      <c r="AX39" s="231">
        <f t="shared" ca="1" si="43"/>
        <v>51576.024143242183</v>
      </c>
      <c r="AY39" s="231">
        <f t="shared" ca="1" si="44"/>
        <v>6447.0030179052728</v>
      </c>
      <c r="AZ39" s="231"/>
      <c r="BA39" s="232">
        <f t="shared" ca="1" si="12"/>
        <v>294643.59486828168</v>
      </c>
      <c r="BB39" s="231">
        <f t="shared" ca="1" si="13"/>
        <v>3400.9894802198373</v>
      </c>
      <c r="BC39" s="231">
        <f t="shared" ca="1" si="45"/>
        <v>79453.448944396659</v>
      </c>
      <c r="BD39" s="231">
        <f t="shared" ca="1" si="46"/>
        <v>426502.65766973718</v>
      </c>
      <c r="BE39" s="231">
        <f t="shared" ca="1" si="47"/>
        <v>14809.120057976985</v>
      </c>
      <c r="BF39" s="231">
        <f t="shared" ca="1" si="14"/>
        <v>299585.72786268278</v>
      </c>
      <c r="BG39" s="231">
        <f t="shared" ca="1" si="15"/>
        <v>823751.94401501352</v>
      </c>
      <c r="BH39" s="232">
        <f t="shared" ca="1" si="16"/>
        <v>1118395.5388832951</v>
      </c>
      <c r="BI39" s="244">
        <f t="shared" ca="1" si="48"/>
        <v>10.897498169505425</v>
      </c>
      <c r="BJ39" s="243">
        <f t="shared" ca="1" si="49"/>
        <v>25.032151881359873</v>
      </c>
      <c r="BK39" s="242">
        <f t="shared" ca="1" si="50"/>
        <v>35.929650050865298</v>
      </c>
      <c r="BL39" s="241">
        <f t="shared" ca="1" si="51"/>
        <v>7.846198682043906</v>
      </c>
      <c r="BM39" s="243">
        <f t="shared" ca="1" si="52"/>
        <v>11.089243283442425</v>
      </c>
      <c r="BN39" s="243">
        <f t="shared" si="17"/>
        <v>0</v>
      </c>
      <c r="BO39" s="242">
        <f t="shared" ca="1" si="18"/>
        <v>18.93544196548633</v>
      </c>
      <c r="BP39" s="67"/>
      <c r="BQ39" s="67"/>
      <c r="BR39" s="67"/>
      <c r="BS39" s="67"/>
      <c r="BT39" s="67"/>
      <c r="BU39" s="67"/>
    </row>
    <row r="40" spans="1:73" ht="12" customHeight="1" x14ac:dyDescent="0.15">
      <c r="A40" s="213">
        <f t="shared" si="19"/>
        <v>34</v>
      </c>
      <c r="B40" s="67">
        <f t="shared" si="20"/>
        <v>136</v>
      </c>
      <c r="C40" s="224">
        <f t="shared" si="21"/>
        <v>31.384615384615387</v>
      </c>
      <c r="D40" s="225">
        <f ca="1">IFERROR(OFFSET(extrapolation!V49,0,OS_dist_choice-1,1,1),0)</f>
        <v>0.47018991825222262</v>
      </c>
      <c r="E40" s="225">
        <f ca="1">IFERROR(OFFSET(extrapolation!J49,0,PFS_dist_choice-1,1,1),0)</f>
        <v>0.14152836418201403</v>
      </c>
      <c r="F40" s="214"/>
      <c r="G40" s="226">
        <f t="shared" ca="1" si="22"/>
        <v>141.52836418201403</v>
      </c>
      <c r="H40" s="224">
        <f t="shared" ca="1" si="23"/>
        <v>328.66155407020869</v>
      </c>
      <c r="I40" s="224">
        <f t="shared" ca="1" si="0"/>
        <v>529.8100817477773</v>
      </c>
      <c r="J40" s="227">
        <f t="shared" ca="1" si="1"/>
        <v>1000</v>
      </c>
      <c r="K40" s="238">
        <f t="shared" ca="1" si="24"/>
        <v>3.9914114360865085</v>
      </c>
      <c r="L40" s="239">
        <f t="shared" ca="1" si="25"/>
        <v>10.916590395904677</v>
      </c>
      <c r="M40" s="238">
        <f t="shared" ca="1" si="26"/>
        <v>143.52406990005727</v>
      </c>
      <c r="N40" s="238">
        <f t="shared" ca="1" si="27"/>
        <v>332.12414355011776</v>
      </c>
      <c r="O40" s="239">
        <f t="shared" ca="1" si="28"/>
        <v>524.35178654982496</v>
      </c>
      <c r="P40" s="217"/>
      <c r="Q40" s="217"/>
      <c r="R40" s="224"/>
      <c r="S40" s="230">
        <f t="shared" ca="1" si="29"/>
        <v>214585.36238411535</v>
      </c>
      <c r="T40" s="231">
        <f t="shared" ca="1" si="30"/>
        <v>13356.980986900906</v>
      </c>
      <c r="U40" s="231">
        <f t="shared" ca="1" si="53"/>
        <v>20119.955308843477</v>
      </c>
      <c r="V40" s="231"/>
      <c r="W40" s="231">
        <f t="shared" ca="1" si="31"/>
        <v>54048.86833924317</v>
      </c>
      <c r="X40" s="231">
        <f t="shared" ca="1" si="32"/>
        <v>6756.1085424053963</v>
      </c>
      <c r="Y40" s="231"/>
      <c r="Z40" s="232">
        <f t="shared" ca="1" si="2"/>
        <v>308867.27556150832</v>
      </c>
      <c r="AA40" s="231">
        <f t="shared" ca="1" si="3"/>
        <v>3468.0667903438266</v>
      </c>
      <c r="AB40" s="231">
        <f t="shared" ca="1" si="33"/>
        <v>83879.498380762423</v>
      </c>
      <c r="AC40" s="231">
        <f t="shared" ca="1" si="34"/>
        <v>450261.49850883923</v>
      </c>
      <c r="AD40" s="231">
        <f t="shared" ca="1" si="35"/>
        <v>15634.079809334693</v>
      </c>
      <c r="AE40" s="231">
        <f t="shared" ca="1" si="4"/>
        <v>312765.99037801585</v>
      </c>
      <c r="AF40" s="231">
        <f t="shared" ca="1" si="5"/>
        <v>866009.13386729592</v>
      </c>
      <c r="AG40" s="232">
        <f t="shared" ca="1" si="6"/>
        <v>1174876.4094288042</v>
      </c>
      <c r="AH40" s="244">
        <f t="shared" ca="1" si="36"/>
        <v>11.002529656951687</v>
      </c>
      <c r="AI40" s="243">
        <f t="shared" ca="1" si="37"/>
        <v>25.460577739639415</v>
      </c>
      <c r="AJ40" s="242">
        <f t="shared" ca="1" si="38"/>
        <v>36.463107396591099</v>
      </c>
      <c r="AK40" s="241">
        <f t="shared" ca="1" si="39"/>
        <v>7.921821353005214</v>
      </c>
      <c r="AL40" s="243">
        <f t="shared" ca="1" si="40"/>
        <v>11.279035938660261</v>
      </c>
      <c r="AM40" s="243"/>
      <c r="AN40" s="242">
        <f t="shared" ca="1" si="7"/>
        <v>19.200857291665475</v>
      </c>
      <c r="AO40" s="224"/>
      <c r="AP40" s="235">
        <f t="shared" si="41"/>
        <v>2.6153846153846154</v>
      </c>
      <c r="AQ40" s="235">
        <f t="shared" si="8"/>
        <v>0.9256050597793305</v>
      </c>
      <c r="AR40" s="235">
        <f t="shared" si="9"/>
        <v>0.96180894678022866</v>
      </c>
      <c r="AT40" s="230">
        <f t="shared" ca="1" si="10"/>
        <v>198621.2971773184</v>
      </c>
      <c r="AU40" s="231">
        <f t="shared" ca="1" si="11"/>
        <v>12363.289184851794</v>
      </c>
      <c r="AV40" s="231">
        <f t="shared" ca="1" si="42"/>
        <v>18623.132436399523</v>
      </c>
      <c r="AW40" s="231"/>
      <c r="AX40" s="231">
        <f t="shared" ca="1" si="43"/>
        <v>50027.906010150335</v>
      </c>
      <c r="AY40" s="231">
        <f t="shared" ca="1" si="44"/>
        <v>6253.4882512687918</v>
      </c>
      <c r="AZ40" s="231"/>
      <c r="BA40" s="232">
        <f t="shared" ca="1" si="12"/>
        <v>285889.11305998883</v>
      </c>
      <c r="BB40" s="231">
        <f t="shared" ca="1" si="13"/>
        <v>3210.0601687949083</v>
      </c>
      <c r="BC40" s="231">
        <f t="shared" ca="1" si="45"/>
        <v>77639.288112985858</v>
      </c>
      <c r="BD40" s="231">
        <f t="shared" ca="1" si="46"/>
        <v>416764.32124360505</v>
      </c>
      <c r="BE40" s="231">
        <f t="shared" ca="1" si="47"/>
        <v>14470.983376514063</v>
      </c>
      <c r="BF40" s="231">
        <f t="shared" ca="1" si="14"/>
        <v>289497.78322078486</v>
      </c>
      <c r="BG40" s="231">
        <f t="shared" ca="1" si="15"/>
        <v>801582.43612268462</v>
      </c>
      <c r="BH40" s="232">
        <f t="shared" ca="1" si="16"/>
        <v>1087471.5491826735</v>
      </c>
      <c r="BI40" s="244">
        <f t="shared" ca="1" si="48"/>
        <v>10.582331461270932</v>
      </c>
      <c r="BJ40" s="243">
        <f t="shared" ca="1" si="49"/>
        <v>24.488211460178722</v>
      </c>
      <c r="BK40" s="242">
        <f t="shared" ca="1" si="50"/>
        <v>35.07054292144965</v>
      </c>
      <c r="BL40" s="241">
        <f t="shared" ca="1" si="51"/>
        <v>7.6192786521150708</v>
      </c>
      <c r="BM40" s="243">
        <f t="shared" ca="1" si="52"/>
        <v>10.848277676859173</v>
      </c>
      <c r="BN40" s="243">
        <f t="shared" si="17"/>
        <v>0</v>
      </c>
      <c r="BO40" s="242">
        <f t="shared" ca="1" si="18"/>
        <v>18.467556328974243</v>
      </c>
      <c r="BP40" s="67"/>
      <c r="BQ40" s="67"/>
      <c r="BR40" s="67"/>
      <c r="BS40" s="67"/>
      <c r="BT40" s="67"/>
      <c r="BU40" s="67"/>
    </row>
    <row r="41" spans="1:73" ht="12" customHeight="1" x14ac:dyDescent="0.15">
      <c r="A41" s="213">
        <f t="shared" si="19"/>
        <v>35</v>
      </c>
      <c r="B41" s="67">
        <f t="shared" si="20"/>
        <v>140</v>
      </c>
      <c r="C41" s="224">
        <f t="shared" si="21"/>
        <v>32.307692307692307</v>
      </c>
      <c r="D41" s="225">
        <f ca="1">IFERROR(OFFSET(extrapolation!V50,0,OS_dist_choice-1,1,1),0)</f>
        <v>0.45961692265884457</v>
      </c>
      <c r="E41" s="225">
        <f ca="1">IFERROR(OFFSET(extrapolation!J50,0,PFS_dist_choice-1,1,1),0)</f>
        <v>0.13774687699135163</v>
      </c>
      <c r="F41" s="214"/>
      <c r="G41" s="226">
        <f t="shared" ca="1" si="22"/>
        <v>137.74687699135163</v>
      </c>
      <c r="H41" s="224">
        <f t="shared" ca="1" si="23"/>
        <v>321.87004566749295</v>
      </c>
      <c r="I41" s="224">
        <f t="shared" ca="1" si="0"/>
        <v>540.3830773411554</v>
      </c>
      <c r="J41" s="227">
        <f t="shared" ca="1" si="1"/>
        <v>1000</v>
      </c>
      <c r="K41" s="238">
        <f t="shared" ca="1" si="24"/>
        <v>3.7814871906624035</v>
      </c>
      <c r="L41" s="239">
        <f t="shared" ca="1" si="25"/>
        <v>10.572995593378096</v>
      </c>
      <c r="M41" s="238">
        <f t="shared" ca="1" si="26"/>
        <v>139.63762058668283</v>
      </c>
      <c r="N41" s="238">
        <f t="shared" ca="1" si="27"/>
        <v>325.26579986885082</v>
      </c>
      <c r="O41" s="239">
        <f t="shared" ca="1" si="28"/>
        <v>535.09657954446629</v>
      </c>
      <c r="P41" s="217"/>
      <c r="Q41" s="217"/>
      <c r="R41" s="224"/>
      <c r="S41" s="230">
        <f t="shared" ca="1" si="29"/>
        <v>208851.86999303813</v>
      </c>
      <c r="T41" s="231">
        <f t="shared" ca="1" si="30"/>
        <v>13000.09667752721</v>
      </c>
      <c r="U41" s="231">
        <f t="shared" ca="1" si="53"/>
        <v>19582.371526844527</v>
      </c>
      <c r="V41" s="231"/>
      <c r="W41" s="231">
        <f t="shared" ca="1" si="31"/>
        <v>52585.293711015365</v>
      </c>
      <c r="X41" s="231">
        <f t="shared" ca="1" si="32"/>
        <v>6573.1617138769207</v>
      </c>
      <c r="Y41" s="231"/>
      <c r="Z41" s="232">
        <f t="shared" ca="1" si="2"/>
        <v>300592.79362230218</v>
      </c>
      <c r="AA41" s="231">
        <f t="shared" ca="1" si="3"/>
        <v>3285.6673269707539</v>
      </c>
      <c r="AB41" s="231">
        <f t="shared" ca="1" si="33"/>
        <v>82147.391760754734</v>
      </c>
      <c r="AC41" s="231">
        <f t="shared" ca="1" si="34"/>
        <v>440963.62552012078</v>
      </c>
      <c r="AD41" s="231">
        <f t="shared" ca="1" si="35"/>
        <v>15311.236997226415</v>
      </c>
      <c r="AE41" s="231">
        <f t="shared" ca="1" si="4"/>
        <v>302921.82065069146</v>
      </c>
      <c r="AF41" s="231">
        <f t="shared" ca="1" si="5"/>
        <v>844629.74225576408</v>
      </c>
      <c r="AG41" s="232">
        <f t="shared" ca="1" si="6"/>
        <v>1145222.5358780662</v>
      </c>
      <c r="AH41" s="244">
        <f t="shared" ca="1" si="36"/>
        <v>10.704595144222091</v>
      </c>
      <c r="AI41" s="243">
        <f t="shared" ca="1" si="37"/>
        <v>24.934818333546399</v>
      </c>
      <c r="AJ41" s="242">
        <f t="shared" ca="1" si="38"/>
        <v>35.639413477768493</v>
      </c>
      <c r="AK41" s="241">
        <f t="shared" ca="1" si="39"/>
        <v>7.7073085038399052</v>
      </c>
      <c r="AL41" s="243">
        <f t="shared" ca="1" si="40"/>
        <v>11.046124521761055</v>
      </c>
      <c r="AM41" s="243"/>
      <c r="AN41" s="242">
        <f t="shared" ca="1" si="7"/>
        <v>18.753433025600959</v>
      </c>
      <c r="AO41" s="224"/>
      <c r="AP41" s="235">
        <f t="shared" si="41"/>
        <v>2.6923076923076925</v>
      </c>
      <c r="AQ41" s="235">
        <f t="shared" si="8"/>
        <v>0.92350285241195706</v>
      </c>
      <c r="AR41" s="235">
        <f t="shared" si="9"/>
        <v>0.96070803880782996</v>
      </c>
      <c r="AT41" s="230">
        <f t="shared" ca="1" si="10"/>
        <v>192875.29767014194</v>
      </c>
      <c r="AU41" s="231">
        <f t="shared" ca="1" si="11"/>
        <v>12005.626363327585</v>
      </c>
      <c r="AV41" s="231">
        <f t="shared" ca="1" si="42"/>
        <v>18084.375962031612</v>
      </c>
      <c r="AW41" s="231"/>
      <c r="AX41" s="231">
        <f t="shared" ca="1" si="43"/>
        <v>48562.668737043234</v>
      </c>
      <c r="AY41" s="231">
        <f t="shared" ca="1" si="44"/>
        <v>6070.3335921304042</v>
      </c>
      <c r="AZ41" s="231"/>
      <c r="BA41" s="232">
        <f t="shared" ca="1" si="12"/>
        <v>277598.30232467479</v>
      </c>
      <c r="BB41" s="231">
        <f t="shared" ca="1" si="13"/>
        <v>3034.3231485342617</v>
      </c>
      <c r="BC41" s="231">
        <f t="shared" ca="1" si="45"/>
        <v>75863.350609259491</v>
      </c>
      <c r="BD41" s="231">
        <f t="shared" ca="1" si="46"/>
        <v>407231.16597774962</v>
      </c>
      <c r="BE41" s="231">
        <f t="shared" ca="1" si="47"/>
        <v>14139.971040894083</v>
      </c>
      <c r="BF41" s="231">
        <f t="shared" ca="1" si="14"/>
        <v>279749.16542873683</v>
      </c>
      <c r="BG41" s="231">
        <f t="shared" ca="1" si="15"/>
        <v>780017.97620517423</v>
      </c>
      <c r="BH41" s="232">
        <f t="shared" ca="1" si="16"/>
        <v>1057616.2785298489</v>
      </c>
      <c r="BI41" s="244">
        <f t="shared" ca="1" si="48"/>
        <v>10.283990607237426</v>
      </c>
      <c r="BJ41" s="243">
        <f t="shared" ca="1" si="49"/>
        <v>23.955080419250883</v>
      </c>
      <c r="BK41" s="242">
        <f t="shared" ca="1" si="50"/>
        <v>34.239071026488311</v>
      </c>
      <c r="BL41" s="241">
        <f t="shared" ca="1" si="51"/>
        <v>7.4044732372109454</v>
      </c>
      <c r="BM41" s="243">
        <f t="shared" ca="1" si="52"/>
        <v>10.612100625728141</v>
      </c>
      <c r="BN41" s="243">
        <f t="shared" si="17"/>
        <v>0</v>
      </c>
      <c r="BO41" s="242">
        <f t="shared" ca="1" si="18"/>
        <v>18.016573862939087</v>
      </c>
      <c r="BP41" s="67"/>
      <c r="BQ41" s="67"/>
      <c r="BR41" s="67"/>
      <c r="BS41" s="67"/>
      <c r="BT41" s="67"/>
      <c r="BU41" s="67"/>
    </row>
    <row r="42" spans="1:73" ht="12" customHeight="1" x14ac:dyDescent="0.15">
      <c r="A42" s="213">
        <f t="shared" si="19"/>
        <v>36</v>
      </c>
      <c r="B42" s="67">
        <f t="shared" si="20"/>
        <v>144</v>
      </c>
      <c r="C42" s="224">
        <f t="shared" si="21"/>
        <v>33.230769230769226</v>
      </c>
      <c r="D42" s="225">
        <f ca="1">IFERROR(OFFSET(extrapolation!V51,0,OS_dist_choice-1,1,1),0)</f>
        <v>0.44937642492215585</v>
      </c>
      <c r="E42" s="225">
        <f ca="1">IFERROR(OFFSET(extrapolation!J51,0,PFS_dist_choice-1,1,1),0)</f>
        <v>0.13415925671861453</v>
      </c>
      <c r="F42" s="214"/>
      <c r="G42" s="226">
        <f t="shared" ca="1" si="22"/>
        <v>134.15925671861453</v>
      </c>
      <c r="H42" s="224">
        <f t="shared" ca="1" si="23"/>
        <v>315.21716820354141</v>
      </c>
      <c r="I42" s="224">
        <f t="shared" ca="1" si="0"/>
        <v>550.62357507784407</v>
      </c>
      <c r="J42" s="227">
        <f t="shared" ca="1" si="1"/>
        <v>1000</v>
      </c>
      <c r="K42" s="238">
        <f t="shared" ca="1" si="24"/>
        <v>3.587620272737098</v>
      </c>
      <c r="L42" s="239">
        <f t="shared" ca="1" si="25"/>
        <v>10.240497736688667</v>
      </c>
      <c r="M42" s="238">
        <f t="shared" ca="1" si="26"/>
        <v>135.95306685498309</v>
      </c>
      <c r="N42" s="238">
        <f t="shared" ca="1" si="27"/>
        <v>318.54360693551718</v>
      </c>
      <c r="O42" s="239">
        <f t="shared" ca="1" si="28"/>
        <v>545.50332620949973</v>
      </c>
      <c r="P42" s="217"/>
      <c r="Q42" s="217"/>
      <c r="R42" s="224"/>
      <c r="S42" s="230">
        <f t="shared" ca="1" si="29"/>
        <v>203412.31870046604</v>
      </c>
      <c r="T42" s="231">
        <f t="shared" ca="1" si="30"/>
        <v>12661.508889502316</v>
      </c>
      <c r="U42" s="231">
        <f t="shared" ca="1" si="53"/>
        <v>19072.348253631677</v>
      </c>
      <c r="V42" s="231"/>
      <c r="W42" s="231">
        <f t="shared" ca="1" si="31"/>
        <v>51197.749728516952</v>
      </c>
      <c r="X42" s="231">
        <f t="shared" ca="1" si="32"/>
        <v>6399.718716064619</v>
      </c>
      <c r="Y42" s="231"/>
      <c r="Z42" s="232">
        <f t="shared" ca="1" si="2"/>
        <v>292743.64428818162</v>
      </c>
      <c r="AA42" s="231">
        <f t="shared" ca="1" si="3"/>
        <v>3117.2197914136873</v>
      </c>
      <c r="AB42" s="231">
        <f t="shared" ca="1" si="33"/>
        <v>80449.67064587395</v>
      </c>
      <c r="AC42" s="231">
        <f t="shared" ca="1" si="34"/>
        <v>431850.3324271373</v>
      </c>
      <c r="AD42" s="231">
        <f t="shared" ca="1" si="35"/>
        <v>14994.8032092756</v>
      </c>
      <c r="AE42" s="231">
        <f t="shared" ca="1" si="4"/>
        <v>293395.58419090364</v>
      </c>
      <c r="AF42" s="231">
        <f t="shared" ca="1" si="5"/>
        <v>823807.61026460421</v>
      </c>
      <c r="AG42" s="232">
        <f t="shared" ca="1" si="6"/>
        <v>1116551.2545527858</v>
      </c>
      <c r="AH42" s="244">
        <f t="shared" ca="1" si="36"/>
        <v>10.422137910854282</v>
      </c>
      <c r="AI42" s="243">
        <f t="shared" ca="1" si="37"/>
        <v>24.419496219560521</v>
      </c>
      <c r="AJ42" s="242">
        <f t="shared" ca="1" si="38"/>
        <v>34.841634130414803</v>
      </c>
      <c r="AK42" s="241">
        <f t="shared" ca="1" si="39"/>
        <v>7.5039392958150826</v>
      </c>
      <c r="AL42" s="243">
        <f t="shared" ca="1" si="40"/>
        <v>10.817836825265312</v>
      </c>
      <c r="AM42" s="243"/>
      <c r="AN42" s="242">
        <f t="shared" ca="1" si="7"/>
        <v>18.321776121080394</v>
      </c>
      <c r="AO42" s="224"/>
      <c r="AP42" s="235">
        <f t="shared" si="41"/>
        <v>2.7692307692307692</v>
      </c>
      <c r="AQ42" s="235">
        <f t="shared" si="8"/>
        <v>0.92140541951698829</v>
      </c>
      <c r="AR42" s="235">
        <f t="shared" si="9"/>
        <v>0.95960839095925077</v>
      </c>
      <c r="AT42" s="230">
        <f t="shared" ca="1" si="10"/>
        <v>187425.21284712624</v>
      </c>
      <c r="AU42" s="231">
        <f t="shared" ca="1" si="11"/>
        <v>11666.382910049959</v>
      </c>
      <c r="AV42" s="231">
        <f t="shared" ca="1" si="42"/>
        <v>17573.365043811595</v>
      </c>
      <c r="AW42" s="231"/>
      <c r="AX42" s="231">
        <f t="shared" ca="1" si="43"/>
        <v>47173.884066929939</v>
      </c>
      <c r="AY42" s="231">
        <f t="shared" ca="1" si="44"/>
        <v>5896.7355083662424</v>
      </c>
      <c r="AZ42" s="231"/>
      <c r="BA42" s="232">
        <f t="shared" ca="1" si="12"/>
        <v>269735.58037628396</v>
      </c>
      <c r="BB42" s="231">
        <f t="shared" ca="1" si="13"/>
        <v>2872.2232096341872</v>
      </c>
      <c r="BC42" s="231">
        <f t="shared" ca="1" si="45"/>
        <v>74126.762531465021</v>
      </c>
      <c r="BD42" s="231">
        <f t="shared" ca="1" si="46"/>
        <v>397909.23671857727</v>
      </c>
      <c r="BE42" s="231">
        <f t="shared" ca="1" si="47"/>
        <v>13816.292941617266</v>
      </c>
      <c r="BF42" s="231">
        <f t="shared" ca="1" si="14"/>
        <v>270336.28133585141</v>
      </c>
      <c r="BG42" s="231">
        <f t="shared" ca="1" si="15"/>
        <v>759060.79673714528</v>
      </c>
      <c r="BH42" s="232">
        <f t="shared" ca="1" si="16"/>
        <v>1028796.3771134291</v>
      </c>
      <c r="BI42" s="244">
        <f t="shared" ca="1" si="48"/>
        <v>10.001170990990286</v>
      </c>
      <c r="BJ42" s="243">
        <f t="shared" ca="1" si="49"/>
        <v>23.43315347528798</v>
      </c>
      <c r="BK42" s="242">
        <f t="shared" ca="1" si="50"/>
        <v>33.434324466278262</v>
      </c>
      <c r="BL42" s="241">
        <f t="shared" ca="1" si="51"/>
        <v>7.2008431135130042</v>
      </c>
      <c r="BM42" s="243">
        <f t="shared" ca="1" si="52"/>
        <v>10.380886989552575</v>
      </c>
      <c r="BN42" s="243">
        <f t="shared" si="17"/>
        <v>0</v>
      </c>
      <c r="BO42" s="242">
        <f t="shared" ca="1" si="18"/>
        <v>17.581730103065578</v>
      </c>
      <c r="BP42" s="67"/>
      <c r="BQ42" s="67"/>
      <c r="BR42" s="67"/>
      <c r="BS42" s="67"/>
      <c r="BT42" s="67"/>
      <c r="BU42" s="67"/>
    </row>
    <row r="43" spans="1:73" ht="12" customHeight="1" x14ac:dyDescent="0.15">
      <c r="A43" s="213">
        <f t="shared" si="19"/>
        <v>37</v>
      </c>
      <c r="B43" s="67">
        <f t="shared" si="20"/>
        <v>148</v>
      </c>
      <c r="C43" s="224">
        <f t="shared" si="21"/>
        <v>34.153846153846153</v>
      </c>
      <c r="D43" s="225">
        <f ca="1">IFERROR(OFFSET(extrapolation!V52,0,OS_dist_choice-1,1,1),0)</f>
        <v>0.43945744147872928</v>
      </c>
      <c r="E43" s="225">
        <f ca="1">IFERROR(OFFSET(extrapolation!J52,0,PFS_dist_choice-1,1,1),0)</f>
        <v>0.13075103835332075</v>
      </c>
      <c r="F43" s="214"/>
      <c r="G43" s="226">
        <f t="shared" ca="1" si="22"/>
        <v>130.75103835332075</v>
      </c>
      <c r="H43" s="224">
        <f t="shared" ca="1" si="23"/>
        <v>308.70640312540866</v>
      </c>
      <c r="I43" s="224">
        <f t="shared" ca="1" si="0"/>
        <v>560.54255852127062</v>
      </c>
      <c r="J43" s="227">
        <f t="shared" ca="1" si="1"/>
        <v>1000</v>
      </c>
      <c r="K43" s="238">
        <f t="shared" ca="1" si="24"/>
        <v>3.4082183652937772</v>
      </c>
      <c r="L43" s="239">
        <f t="shared" ca="1" si="25"/>
        <v>9.9189834434265549</v>
      </c>
      <c r="M43" s="238">
        <f t="shared" ca="1" si="26"/>
        <v>132.45514753596763</v>
      </c>
      <c r="N43" s="238">
        <f t="shared" ca="1" si="27"/>
        <v>311.96178566447503</v>
      </c>
      <c r="O43" s="239">
        <f t="shared" ca="1" si="28"/>
        <v>555.5830667995574</v>
      </c>
      <c r="P43" s="217"/>
      <c r="Q43" s="217"/>
      <c r="R43" s="224"/>
      <c r="S43" s="230">
        <f t="shared" ca="1" si="29"/>
        <v>198244.77665172025</v>
      </c>
      <c r="T43" s="231">
        <f t="shared" ca="1" si="30"/>
        <v>12339.852462767323</v>
      </c>
      <c r="U43" s="231">
        <f t="shared" ca="1" si="53"/>
        <v>18587.829114384782</v>
      </c>
      <c r="V43" s="231"/>
      <c r="W43" s="231">
        <f t="shared" ca="1" si="31"/>
        <v>49880.489279684836</v>
      </c>
      <c r="X43" s="231">
        <f t="shared" ca="1" si="32"/>
        <v>6235.0611599606045</v>
      </c>
      <c r="Y43" s="231"/>
      <c r="Z43" s="232">
        <f t="shared" ca="1" si="2"/>
        <v>285288.00866851775</v>
      </c>
      <c r="AA43" s="231">
        <f t="shared" ca="1" si="3"/>
        <v>2961.3406475841675</v>
      </c>
      <c r="AB43" s="231">
        <f t="shared" ca="1" si="33"/>
        <v>78787.401047688181</v>
      </c>
      <c r="AC43" s="231">
        <f t="shared" ca="1" si="34"/>
        <v>422927.34153361444</v>
      </c>
      <c r="AD43" s="231">
        <f t="shared" ca="1" si="35"/>
        <v>14684.977136583833</v>
      </c>
      <c r="AE43" s="231">
        <f t="shared" ca="1" si="4"/>
        <v>284184.03253366309</v>
      </c>
      <c r="AF43" s="231">
        <f t="shared" ca="1" si="5"/>
        <v>803545.09289913368</v>
      </c>
      <c r="AG43" s="232">
        <f t="shared" ca="1" si="6"/>
        <v>1088833.1015676514</v>
      </c>
      <c r="AH43" s="244">
        <f t="shared" ca="1" si="36"/>
        <v>10.153988038349333</v>
      </c>
      <c r="AI43" s="243">
        <f t="shared" ca="1" si="37"/>
        <v>23.914934972225328</v>
      </c>
      <c r="AJ43" s="242">
        <f t="shared" ca="1" si="38"/>
        <v>34.068923010574665</v>
      </c>
      <c r="AK43" s="241">
        <f t="shared" ca="1" si="39"/>
        <v>7.3108713876115194</v>
      </c>
      <c r="AL43" s="243">
        <f t="shared" ca="1" si="40"/>
        <v>10.594316192695821</v>
      </c>
      <c r="AM43" s="243"/>
      <c r="AN43" s="242">
        <f t="shared" ca="1" si="7"/>
        <v>17.905187580307341</v>
      </c>
      <c r="AO43" s="224"/>
      <c r="AP43" s="235">
        <f t="shared" si="41"/>
        <v>2.8461538461538463</v>
      </c>
      <c r="AQ43" s="235">
        <f t="shared" si="8"/>
        <v>0.91931275025078074</v>
      </c>
      <c r="AR43" s="235">
        <f t="shared" si="9"/>
        <v>0.95851000179212531</v>
      </c>
      <c r="AT43" s="230">
        <f t="shared" ca="1" si="10"/>
        <v>182248.9508465447</v>
      </c>
      <c r="AU43" s="231">
        <f t="shared" ca="1" si="11"/>
        <v>11344.183705235499</v>
      </c>
      <c r="AV43" s="231">
        <f t="shared" ca="1" si="42"/>
        <v>17088.028304336607</v>
      </c>
      <c r="AW43" s="231"/>
      <c r="AX43" s="231">
        <f t="shared" ca="1" si="43"/>
        <v>45855.769783561649</v>
      </c>
      <c r="AY43" s="231">
        <f t="shared" ca="1" si="44"/>
        <v>5731.9712229452061</v>
      </c>
      <c r="AZ43" s="231"/>
      <c r="BA43" s="232">
        <f t="shared" ca="1" si="12"/>
        <v>262268.90386262361</v>
      </c>
      <c r="BB43" s="231">
        <f t="shared" ca="1" si="13"/>
        <v>2722.3982151600289</v>
      </c>
      <c r="BC43" s="231">
        <f t="shared" ca="1" si="45"/>
        <v>72430.262342261471</v>
      </c>
      <c r="BD43" s="231">
        <f t="shared" ca="1" si="46"/>
        <v>388802.49750151834</v>
      </c>
      <c r="BE43" s="231">
        <f t="shared" ca="1" si="47"/>
        <v>13500.086718802719</v>
      </c>
      <c r="BF43" s="231">
        <f t="shared" ca="1" si="14"/>
        <v>261254.00452587917</v>
      </c>
      <c r="BG43" s="231">
        <f t="shared" ca="1" si="15"/>
        <v>738709.24930362171</v>
      </c>
      <c r="BH43" s="232">
        <f t="shared" ca="1" si="16"/>
        <v>1000978.1531662453</v>
      </c>
      <c r="BI43" s="244">
        <f t="shared" ca="1" si="48"/>
        <v>9.7326990928354373</v>
      </c>
      <c r="BJ43" s="243">
        <f t="shared" ca="1" si="49"/>
        <v>22.922704363086261</v>
      </c>
      <c r="BK43" s="242">
        <f t="shared" ca="1" si="50"/>
        <v>32.6554034559217</v>
      </c>
      <c r="BL43" s="241">
        <f t="shared" ca="1" si="51"/>
        <v>7.0075433468415156</v>
      </c>
      <c r="BM43" s="243">
        <f t="shared" ca="1" si="52"/>
        <v>10.154758032847214</v>
      </c>
      <c r="BN43" s="243">
        <f t="shared" si="17"/>
        <v>0</v>
      </c>
      <c r="BO43" s="242">
        <f t="shared" ca="1" si="18"/>
        <v>17.162301379688731</v>
      </c>
      <c r="BP43" s="67"/>
      <c r="BQ43" s="67"/>
      <c r="BR43" s="67"/>
      <c r="BS43" s="67"/>
      <c r="BT43" s="67"/>
      <c r="BU43" s="67"/>
    </row>
    <row r="44" spans="1:73" ht="12" customHeight="1" x14ac:dyDescent="0.15">
      <c r="A44" s="213">
        <f t="shared" si="19"/>
        <v>38</v>
      </c>
      <c r="B44" s="67">
        <f t="shared" si="20"/>
        <v>152</v>
      </c>
      <c r="C44" s="224">
        <f t="shared" si="21"/>
        <v>35.076923076923073</v>
      </c>
      <c r="D44" s="225">
        <f ca="1">IFERROR(OFFSET(extrapolation!V53,0,OS_dist_choice-1,1,1),0)</f>
        <v>0.42984914985022027</v>
      </c>
      <c r="E44" s="225">
        <f ca="1">IFERROR(OFFSET(extrapolation!J53,0,PFS_dist_choice-1,1,1),0)</f>
        <v>0.12750915704177249</v>
      </c>
      <c r="F44" s="214"/>
      <c r="G44" s="226">
        <f t="shared" ca="1" si="22"/>
        <v>127.50915704177248</v>
      </c>
      <c r="H44" s="224">
        <f t="shared" ca="1" si="23"/>
        <v>302.33999280844773</v>
      </c>
      <c r="I44" s="224">
        <f t="shared" ca="1" si="0"/>
        <v>570.15085014977979</v>
      </c>
      <c r="J44" s="227">
        <f t="shared" ca="1" si="1"/>
        <v>1000</v>
      </c>
      <c r="K44" s="238">
        <f t="shared" ca="1" si="24"/>
        <v>3.2418813115482692</v>
      </c>
      <c r="L44" s="239">
        <f t="shared" ca="1" si="25"/>
        <v>9.6082916285091642</v>
      </c>
      <c r="M44" s="238">
        <f t="shared" ca="1" si="26"/>
        <v>129.1300976975466</v>
      </c>
      <c r="N44" s="238">
        <f t="shared" ca="1" si="27"/>
        <v>305.52319796692819</v>
      </c>
      <c r="O44" s="239">
        <f t="shared" ca="1" si="28"/>
        <v>565.34670433552515</v>
      </c>
      <c r="P44" s="217"/>
      <c r="Q44" s="217"/>
      <c r="R44" s="224"/>
      <c r="S44" s="230">
        <f t="shared" ca="1" si="29"/>
        <v>193329.43491039824</v>
      </c>
      <c r="T44" s="231">
        <f t="shared" ca="1" si="30"/>
        <v>12033.894379450179</v>
      </c>
      <c r="U44" s="231">
        <f t="shared" ca="1" si="53"/>
        <v>18126.956783372458</v>
      </c>
      <c r="V44" s="231"/>
      <c r="W44" s="231">
        <f t="shared" ca="1" si="31"/>
        <v>48628.328711332892</v>
      </c>
      <c r="X44" s="231">
        <f t="shared" ca="1" si="32"/>
        <v>6078.5410889166114</v>
      </c>
      <c r="Y44" s="231"/>
      <c r="Z44" s="232">
        <f t="shared" ca="1" si="2"/>
        <v>278197.15587347036</v>
      </c>
      <c r="AA44" s="231">
        <f t="shared" ca="1" si="3"/>
        <v>2816.8133240206416</v>
      </c>
      <c r="AB44" s="231">
        <f t="shared" ca="1" si="33"/>
        <v>77161.305755193185</v>
      </c>
      <c r="AC44" s="231">
        <f t="shared" ca="1" si="34"/>
        <v>414198.53273943969</v>
      </c>
      <c r="AD44" s="231">
        <f t="shared" ca="1" si="35"/>
        <v>14381.89349789721</v>
      </c>
      <c r="AE44" s="231">
        <f t="shared" ca="1" si="4"/>
        <v>275282.55050760525</v>
      </c>
      <c r="AF44" s="231">
        <f t="shared" ca="1" si="5"/>
        <v>783841.09582415596</v>
      </c>
      <c r="AG44" s="232">
        <f t="shared" ca="1" si="6"/>
        <v>1062038.2516976264</v>
      </c>
      <c r="AH44" s="244">
        <f t="shared" ca="1" si="36"/>
        <v>9.8990903094628475</v>
      </c>
      <c r="AI44" s="243">
        <f t="shared" ca="1" si="37"/>
        <v>23.421353985144393</v>
      </c>
      <c r="AJ44" s="242">
        <f t="shared" ca="1" si="38"/>
        <v>33.320444294607242</v>
      </c>
      <c r="AK44" s="241">
        <f t="shared" ca="1" si="39"/>
        <v>7.12734502281325</v>
      </c>
      <c r="AL44" s="243">
        <f t="shared" ca="1" si="40"/>
        <v>10.375659815418967</v>
      </c>
      <c r="AM44" s="243"/>
      <c r="AN44" s="242">
        <f t="shared" ca="1" si="7"/>
        <v>17.503004838232215</v>
      </c>
      <c r="AO44" s="224"/>
      <c r="AP44" s="235">
        <f t="shared" si="41"/>
        <v>2.9230769230769229</v>
      </c>
      <c r="AQ44" s="235">
        <f t="shared" si="8"/>
        <v>0.91722483379431907</v>
      </c>
      <c r="AR44" s="235">
        <f t="shared" si="9"/>
        <v>0.95741286986573859</v>
      </c>
      <c r="AT44" s="230">
        <f t="shared" ca="1" si="10"/>
        <v>177326.55880323966</v>
      </c>
      <c r="AU44" s="231">
        <f t="shared" ca="1" si="11"/>
        <v>11037.786772089581</v>
      </c>
      <c r="AV44" s="231">
        <f t="shared" ca="1" si="42"/>
        <v>16626.494922825608</v>
      </c>
      <c r="AW44" s="231"/>
      <c r="AX44" s="231">
        <f t="shared" ca="1" si="43"/>
        <v>44603.110719947828</v>
      </c>
      <c r="AY44" s="231">
        <f t="shared" ca="1" si="44"/>
        <v>5575.3888399934785</v>
      </c>
      <c r="AZ44" s="231"/>
      <c r="BA44" s="232">
        <f t="shared" ca="1" si="12"/>
        <v>255169.34005809613</v>
      </c>
      <c r="BB44" s="231">
        <f t="shared" ca="1" si="13"/>
        <v>2583.6511329544564</v>
      </c>
      <c r="BC44" s="231">
        <f t="shared" ca="1" si="45"/>
        <v>70774.265846659706</v>
      </c>
      <c r="BD44" s="231">
        <f t="shared" ca="1" si="46"/>
        <v>379913.18034978339</v>
      </c>
      <c r="BE44" s="231">
        <f t="shared" ca="1" si="47"/>
        <v>13191.429873256368</v>
      </c>
      <c r="BF44" s="231">
        <f t="shared" ca="1" si="14"/>
        <v>252495.99163581448</v>
      </c>
      <c r="BG44" s="231">
        <f t="shared" ca="1" si="15"/>
        <v>718958.51883846836</v>
      </c>
      <c r="BH44" s="232">
        <f t="shared" ca="1" si="16"/>
        <v>974127.85889656458</v>
      </c>
      <c r="BI44" s="244">
        <f t="shared" ca="1" si="48"/>
        <v>9.4775164622429475</v>
      </c>
      <c r="BJ44" s="243">
        <f t="shared" ca="1" si="49"/>
        <v>22.423905735058447</v>
      </c>
      <c r="BK44" s="242">
        <f t="shared" ca="1" si="50"/>
        <v>31.901422197301397</v>
      </c>
      <c r="BL44" s="241">
        <f t="shared" ca="1" si="51"/>
        <v>6.8238118528149219</v>
      </c>
      <c r="BM44" s="243">
        <f t="shared" ca="1" si="52"/>
        <v>9.9337902406308931</v>
      </c>
      <c r="BN44" s="243">
        <f t="shared" si="17"/>
        <v>0</v>
      </c>
      <c r="BO44" s="242">
        <f t="shared" ca="1" si="18"/>
        <v>16.757602093445811</v>
      </c>
      <c r="BP44" s="67"/>
      <c r="BQ44" s="67"/>
      <c r="BR44" s="67"/>
      <c r="BS44" s="67"/>
      <c r="BT44" s="67"/>
      <c r="BU44" s="67"/>
    </row>
    <row r="45" spans="1:73" ht="12" customHeight="1" x14ac:dyDescent="0.15">
      <c r="A45" s="213">
        <f t="shared" si="19"/>
        <v>39</v>
      </c>
      <c r="B45" s="67">
        <f t="shared" si="20"/>
        <v>156</v>
      </c>
      <c r="C45" s="224">
        <f t="shared" si="21"/>
        <v>36</v>
      </c>
      <c r="D45" s="225">
        <f ca="1">IFERROR(OFFSET(extrapolation!V54,0,OS_dist_choice-1,1,1),0)</f>
        <v>0.42054092670285997</v>
      </c>
      <c r="E45" s="225">
        <f ca="1">IFERROR(OFFSET(extrapolation!J54,0,PFS_dist_choice-1,1,1),0)</f>
        <v>0.12442178304142122</v>
      </c>
      <c r="F45" s="214"/>
      <c r="G45" s="226">
        <f t="shared" ca="1" si="22"/>
        <v>124.42178304142122</v>
      </c>
      <c r="H45" s="224">
        <f t="shared" ca="1" si="23"/>
        <v>296.11914366143867</v>
      </c>
      <c r="I45" s="224">
        <f t="shared" ca="1" si="0"/>
        <v>579.45907329714009</v>
      </c>
      <c r="J45" s="227">
        <f t="shared" ca="1" si="1"/>
        <v>1000</v>
      </c>
      <c r="K45" s="238">
        <f t="shared" ca="1" si="24"/>
        <v>3.0873740003512609</v>
      </c>
      <c r="L45" s="239">
        <f t="shared" ca="1" si="25"/>
        <v>9.3082231473603088</v>
      </c>
      <c r="M45" s="238">
        <f t="shared" ca="1" si="26"/>
        <v>125.96547004159686</v>
      </c>
      <c r="N45" s="238">
        <f t="shared" ca="1" si="27"/>
        <v>299.2295682349432</v>
      </c>
      <c r="O45" s="239">
        <f t="shared" ca="1" si="28"/>
        <v>574.80496172345988</v>
      </c>
      <c r="P45" s="217"/>
      <c r="Q45" s="217"/>
      <c r="R45" s="224"/>
      <c r="S45" s="230">
        <f t="shared" ca="1" si="29"/>
        <v>188648.35721611607</v>
      </c>
      <c r="T45" s="231">
        <f t="shared" ca="1" si="30"/>
        <v>11742.518187402136</v>
      </c>
      <c r="U45" s="231">
        <f t="shared" ca="1" si="53"/>
        <v>17688.049520734519</v>
      </c>
      <c r="V45" s="231"/>
      <c r="W45" s="231">
        <f t="shared" ca="1" si="31"/>
        <v>47436.58057014471</v>
      </c>
      <c r="X45" s="231">
        <f t="shared" ca="1" si="32"/>
        <v>5929.5725712680887</v>
      </c>
      <c r="Y45" s="231"/>
      <c r="Z45" s="232">
        <f t="shared" ca="1" si="2"/>
        <v>271445.0780656655</v>
      </c>
      <c r="AA45" s="231">
        <f t="shared" ca="1" si="3"/>
        <v>2682.5646544940932</v>
      </c>
      <c r="AB45" s="231">
        <f t="shared" ca="1" si="33"/>
        <v>75571.820271631848</v>
      </c>
      <c r="AC45" s="231">
        <f t="shared" ca="1" si="34"/>
        <v>405666.2438070763</v>
      </c>
      <c r="AD45" s="231">
        <f t="shared" ca="1" si="35"/>
        <v>14085.633465523482</v>
      </c>
      <c r="AE45" s="231">
        <f t="shared" ca="1" si="4"/>
        <v>266685.4325170872</v>
      </c>
      <c r="AF45" s="231">
        <f t="shared" ca="1" si="5"/>
        <v>764691.69471581292</v>
      </c>
      <c r="AG45" s="232">
        <f t="shared" ca="1" si="6"/>
        <v>1036136.7727814785</v>
      </c>
      <c r="AH45" s="244">
        <f t="shared" ca="1" si="36"/>
        <v>9.6564905165358308</v>
      </c>
      <c r="AI45" s="243">
        <f t="shared" ca="1" si="37"/>
        <v>22.938885449906667</v>
      </c>
      <c r="AJ45" s="242">
        <f t="shared" ca="1" si="38"/>
        <v>32.595375966442496</v>
      </c>
      <c r="AK45" s="241">
        <f t="shared" ca="1" si="39"/>
        <v>6.9526731719057979</v>
      </c>
      <c r="AL45" s="243">
        <f t="shared" ca="1" si="40"/>
        <v>10.161926254308653</v>
      </c>
      <c r="AM45" s="243"/>
      <c r="AN45" s="242">
        <f t="shared" ca="1" si="7"/>
        <v>17.114599426214451</v>
      </c>
      <c r="AO45" s="224"/>
      <c r="AP45" s="235">
        <f t="shared" si="41"/>
        <v>3</v>
      </c>
      <c r="AQ45" s="235">
        <f t="shared" si="8"/>
        <v>0.91514165935315961</v>
      </c>
      <c r="AR45" s="235">
        <f t="shared" si="9"/>
        <v>0.95631699374102519</v>
      </c>
      <c r="AT45" s="230">
        <f t="shared" ca="1" si="10"/>
        <v>172639.97065700407</v>
      </c>
      <c r="AU45" s="231">
        <f t="shared" ca="1" si="11"/>
        <v>10746.067579003848</v>
      </c>
      <c r="AV45" s="231">
        <f t="shared" ca="1" si="42"/>
        <v>16187.070989125848</v>
      </c>
      <c r="AW45" s="231"/>
      <c r="AX45" s="231">
        <f t="shared" ca="1" si="43"/>
        <v>43411.191057002077</v>
      </c>
      <c r="AY45" s="231">
        <f t="shared" ca="1" si="44"/>
        <v>5426.3988821252597</v>
      </c>
      <c r="AZ45" s="231"/>
      <c r="BA45" s="232">
        <f t="shared" ca="1" si="12"/>
        <v>248410.69916426108</v>
      </c>
      <c r="BB45" s="231">
        <f t="shared" ca="1" si="13"/>
        <v>2454.9266692358597</v>
      </c>
      <c r="BC45" s="231">
        <f t="shared" ca="1" si="45"/>
        <v>69158.921003719908</v>
      </c>
      <c r="BD45" s="231">
        <f t="shared" ca="1" si="46"/>
        <v>371242.07950117119</v>
      </c>
      <c r="BE45" s="231">
        <f t="shared" ca="1" si="47"/>
        <v>12890.349982679556</v>
      </c>
      <c r="BF45" s="231">
        <f t="shared" ca="1" si="14"/>
        <v>244054.94923900225</v>
      </c>
      <c r="BG45" s="231">
        <f t="shared" ca="1" si="15"/>
        <v>699801.22639580874</v>
      </c>
      <c r="BH45" s="232">
        <f t="shared" ca="1" si="16"/>
        <v>948211.92556006997</v>
      </c>
      <c r="BI45" s="244">
        <f t="shared" ca="1" si="48"/>
        <v>9.2346659808622658</v>
      </c>
      <c r="BJ45" s="243">
        <f t="shared" ca="1" si="49"/>
        <v>21.936845973224489</v>
      </c>
      <c r="BK45" s="242">
        <f t="shared" ca="1" si="50"/>
        <v>31.171511954086753</v>
      </c>
      <c r="BL45" s="241">
        <f t="shared" ca="1" si="51"/>
        <v>6.6489595062208311</v>
      </c>
      <c r="BM45" s="243">
        <f t="shared" ca="1" si="52"/>
        <v>9.7180227661384482</v>
      </c>
      <c r="BN45" s="243">
        <f t="shared" si="17"/>
        <v>0</v>
      </c>
      <c r="BO45" s="242">
        <f t="shared" ca="1" si="18"/>
        <v>16.366982272359277</v>
      </c>
      <c r="BP45" s="67"/>
      <c r="BQ45" s="67"/>
      <c r="BR45" s="67"/>
      <c r="BS45" s="67"/>
      <c r="BT45" s="67"/>
      <c r="BU45" s="67"/>
    </row>
    <row r="46" spans="1:73" ht="12" customHeight="1" x14ac:dyDescent="0.15">
      <c r="A46" s="213">
        <f t="shared" si="19"/>
        <v>40</v>
      </c>
      <c r="B46" s="67">
        <f t="shared" si="20"/>
        <v>160</v>
      </c>
      <c r="C46" s="224">
        <f t="shared" si="21"/>
        <v>36.923076923076927</v>
      </c>
      <c r="D46" s="225">
        <f ca="1">IFERROR(OFFSET(extrapolation!V55,0,OS_dist_choice-1,1,1),0)</f>
        <v>0.41152237774554895</v>
      </c>
      <c r="E46" s="225">
        <f ca="1">IFERROR(OFFSET(extrapolation!J55,0,PFS_dist_choice-1,1,1),0)</f>
        <v>0.12147817943786358</v>
      </c>
      <c r="F46" s="214"/>
      <c r="G46" s="226">
        <f t="shared" ca="1" si="22"/>
        <v>121.47817943786359</v>
      </c>
      <c r="H46" s="224">
        <f t="shared" ca="1" si="23"/>
        <v>290.04419830768541</v>
      </c>
      <c r="I46" s="224">
        <f t="shared" ca="1" si="0"/>
        <v>588.47762225445103</v>
      </c>
      <c r="J46" s="227">
        <f t="shared" ca="1" si="1"/>
        <v>1000</v>
      </c>
      <c r="K46" s="238">
        <f t="shared" ca="1" si="24"/>
        <v>2.9436036035576336</v>
      </c>
      <c r="L46" s="239">
        <f t="shared" ca="1" si="25"/>
        <v>9.0185489573109408</v>
      </c>
      <c r="M46" s="238">
        <f t="shared" ca="1" si="26"/>
        <v>122.9499812396424</v>
      </c>
      <c r="N46" s="238">
        <f t="shared" ca="1" si="27"/>
        <v>293.08167098456204</v>
      </c>
      <c r="O46" s="239">
        <f t="shared" ca="1" si="28"/>
        <v>583.96834777579556</v>
      </c>
      <c r="P46" s="217"/>
      <c r="Q46" s="217"/>
      <c r="R46" s="224"/>
      <c r="S46" s="230">
        <f t="shared" ca="1" si="29"/>
        <v>184185.26425496055</v>
      </c>
      <c r="T46" s="231">
        <f t="shared" ca="1" si="30"/>
        <v>11464.710571996313</v>
      </c>
      <c r="U46" s="231">
        <f t="shared" ca="1" si="53"/>
        <v>17269.580945245561</v>
      </c>
      <c r="V46" s="231"/>
      <c r="W46" s="231">
        <f t="shared" ca="1" si="31"/>
        <v>46300.995735149496</v>
      </c>
      <c r="X46" s="231">
        <f t="shared" ca="1" si="32"/>
        <v>5787.624466893687</v>
      </c>
      <c r="Y46" s="231"/>
      <c r="Z46" s="232">
        <f t="shared" ca="1" si="2"/>
        <v>265008.17597424559</v>
      </c>
      <c r="AA46" s="231">
        <f t="shared" ca="1" si="3"/>
        <v>2557.6450999609219</v>
      </c>
      <c r="AB46" s="231">
        <f t="shared" ca="1" si="33"/>
        <v>74019.140204635682</v>
      </c>
      <c r="AC46" s="231">
        <f t="shared" ca="1" si="34"/>
        <v>397331.52474978118</v>
      </c>
      <c r="AD46" s="231">
        <f t="shared" ca="1" si="35"/>
        <v>13796.23349825629</v>
      </c>
      <c r="AE46" s="231">
        <f t="shared" ca="1" si="4"/>
        <v>258386.11637056139</v>
      </c>
      <c r="AF46" s="231">
        <f t="shared" ca="1" si="5"/>
        <v>746090.65992319549</v>
      </c>
      <c r="AG46" s="232">
        <f t="shared" ca="1" si="6"/>
        <v>1011098.835897441</v>
      </c>
      <c r="AH46" s="244">
        <f t="shared" ca="1" si="36"/>
        <v>9.4253236816152963</v>
      </c>
      <c r="AI46" s="243">
        <f t="shared" ca="1" si="37"/>
        <v>22.46758874077409</v>
      </c>
      <c r="AJ46" s="242">
        <f t="shared" ca="1" si="38"/>
        <v>31.892912422389387</v>
      </c>
      <c r="AK46" s="241">
        <f t="shared" ca="1" si="39"/>
        <v>6.7862330507630135</v>
      </c>
      <c r="AL46" s="243">
        <f t="shared" ca="1" si="40"/>
        <v>9.9531418121629223</v>
      </c>
      <c r="AM46" s="243"/>
      <c r="AN46" s="242">
        <f t="shared" ca="1" si="7"/>
        <v>16.739374862925935</v>
      </c>
      <c r="AO46" s="224"/>
      <c r="AP46" s="235">
        <f t="shared" si="41"/>
        <v>3.0769230769230771</v>
      </c>
      <c r="AQ46" s="235">
        <f t="shared" si="8"/>
        <v>0.91306321615737451</v>
      </c>
      <c r="AR46" s="235">
        <f t="shared" si="9"/>
        <v>0.95522237198056592</v>
      </c>
      <c r="AT46" s="230">
        <f t="shared" ca="1" si="10"/>
        <v>168172.7897494302</v>
      </c>
      <c r="AU46" s="231">
        <f t="shared" ca="1" si="11"/>
        <v>10468.005507180405</v>
      </c>
      <c r="AV46" s="231">
        <f t="shared" ca="1" si="42"/>
        <v>15768.219119556024</v>
      </c>
      <c r="AW46" s="231"/>
      <c r="AX46" s="231">
        <f t="shared" ca="1" si="43"/>
        <v>42275.736077224479</v>
      </c>
      <c r="AY46" s="231">
        <f t="shared" ca="1" si="44"/>
        <v>5284.4670096530599</v>
      </c>
      <c r="AZ46" s="231"/>
      <c r="BA46" s="232">
        <f t="shared" ca="1" si="12"/>
        <v>241969.21746304416</v>
      </c>
      <c r="BB46" s="231">
        <f t="shared" ca="1" si="13"/>
        <v>2335.2916607594689</v>
      </c>
      <c r="BC46" s="231">
        <f t="shared" ca="1" si="45"/>
        <v>67584.15421244828</v>
      </c>
      <c r="BD46" s="231">
        <f t="shared" ca="1" si="46"/>
        <v>362788.79986874864</v>
      </c>
      <c r="BE46" s="231">
        <f t="shared" ca="1" si="47"/>
        <v>12596.833328775994</v>
      </c>
      <c r="BF46" s="231">
        <f t="shared" ca="1" si="14"/>
        <v>235922.85842371843</v>
      </c>
      <c r="BG46" s="231">
        <f t="shared" ca="1" si="15"/>
        <v>681227.93749445083</v>
      </c>
      <c r="BH46" s="232">
        <f t="shared" ca="1" si="16"/>
        <v>923197.15495749493</v>
      </c>
      <c r="BI46" s="244">
        <f t="shared" ca="1" si="48"/>
        <v>9.0032800438371634</v>
      </c>
      <c r="BJ46" s="243">
        <f t="shared" ca="1" si="49"/>
        <v>21.461543409646083</v>
      </c>
      <c r="BK46" s="242">
        <f t="shared" ca="1" si="50"/>
        <v>30.464823453483245</v>
      </c>
      <c r="BL46" s="241">
        <f t="shared" ca="1" si="51"/>
        <v>6.4823616315627577</v>
      </c>
      <c r="BM46" s="243">
        <f t="shared" ca="1" si="52"/>
        <v>9.5074637304732157</v>
      </c>
      <c r="BN46" s="243">
        <f t="shared" si="17"/>
        <v>0</v>
      </c>
      <c r="BO46" s="242">
        <f t="shared" ca="1" si="18"/>
        <v>15.989825362035972</v>
      </c>
      <c r="BP46" s="67"/>
      <c r="BQ46" s="67"/>
      <c r="BR46" s="67"/>
      <c r="BS46" s="67"/>
      <c r="BT46" s="67"/>
      <c r="BU46" s="67"/>
    </row>
    <row r="47" spans="1:73" ht="12" customHeight="1" x14ac:dyDescent="0.15">
      <c r="A47" s="213">
        <f t="shared" si="19"/>
        <v>41</v>
      </c>
      <c r="B47" s="67">
        <f t="shared" si="20"/>
        <v>164</v>
      </c>
      <c r="C47" s="224">
        <f t="shared" si="21"/>
        <v>37.846153846153847</v>
      </c>
      <c r="D47" s="225">
        <f ca="1">IFERROR(OFFSET(extrapolation!V56,0,OS_dist_choice-1,1,1),0)</f>
        <v>0.40278336073763865</v>
      </c>
      <c r="E47" s="225">
        <f ca="1">IFERROR(OFFSET(extrapolation!J56,0,PFS_dist_choice-1,1,1),0)</f>
        <v>0.11866857905122059</v>
      </c>
      <c r="F47" s="214"/>
      <c r="G47" s="226">
        <f t="shared" ca="1" si="22"/>
        <v>118.66857905122059</v>
      </c>
      <c r="H47" s="224">
        <f t="shared" ca="1" si="23"/>
        <v>284.11478168641804</v>
      </c>
      <c r="I47" s="224">
        <f t="shared" ca="1" si="0"/>
        <v>597.21663926236135</v>
      </c>
      <c r="J47" s="227">
        <f t="shared" ca="1" si="1"/>
        <v>1000</v>
      </c>
      <c r="K47" s="238">
        <f t="shared" ca="1" si="24"/>
        <v>2.8096003866429982</v>
      </c>
      <c r="L47" s="239">
        <f t="shared" ca="1" si="25"/>
        <v>8.73901700791032</v>
      </c>
      <c r="M47" s="238">
        <f t="shared" ca="1" si="26"/>
        <v>120.07337924454208</v>
      </c>
      <c r="N47" s="238">
        <f t="shared" ca="1" si="27"/>
        <v>287.07948999705172</v>
      </c>
      <c r="O47" s="239">
        <f t="shared" ca="1" si="28"/>
        <v>592.84713075840614</v>
      </c>
      <c r="P47" s="217"/>
      <c r="Q47" s="217"/>
      <c r="R47" s="224"/>
      <c r="S47" s="230">
        <f t="shared" ca="1" si="29"/>
        <v>179925.34702489228</v>
      </c>
      <c r="T47" s="231">
        <f t="shared" ca="1" si="30"/>
        <v>11199.549738957099</v>
      </c>
      <c r="U47" s="231">
        <f t="shared" ca="1" si="53"/>
        <v>16870.16253507962</v>
      </c>
      <c r="V47" s="231"/>
      <c r="W47" s="231">
        <f t="shared" ca="1" si="31"/>
        <v>45217.713449426636</v>
      </c>
      <c r="X47" s="231">
        <f t="shared" ca="1" si="32"/>
        <v>5652.2141811783295</v>
      </c>
      <c r="Y47" s="231"/>
      <c r="Z47" s="232">
        <f t="shared" ca="1" si="2"/>
        <v>258864.98692953397</v>
      </c>
      <c r="AA47" s="231">
        <f t="shared" ca="1" si="3"/>
        <v>2441.212075247101</v>
      </c>
      <c r="AB47" s="231">
        <f t="shared" ca="1" si="33"/>
        <v>72503.261458088178</v>
      </c>
      <c r="AC47" s="231">
        <f t="shared" ca="1" si="34"/>
        <v>389194.35357977904</v>
      </c>
      <c r="AD47" s="231">
        <f t="shared" ca="1" si="35"/>
        <v>13513.692832631215</v>
      </c>
      <c r="AE47" s="231">
        <f t="shared" ca="1" si="4"/>
        <v>250377.38069157311</v>
      </c>
      <c r="AF47" s="231">
        <f t="shared" ca="1" si="5"/>
        <v>728029.90063731861</v>
      </c>
      <c r="AG47" s="232">
        <f t="shared" ca="1" si="6"/>
        <v>986894.88756685262</v>
      </c>
      <c r="AH47" s="244">
        <f t="shared" ca="1" si="36"/>
        <v>9.2048038845918629</v>
      </c>
      <c r="AI47" s="243">
        <f t="shared" ca="1" si="37"/>
        <v>22.007462614421488</v>
      </c>
      <c r="AJ47" s="242">
        <f t="shared" ca="1" si="38"/>
        <v>31.212266499013353</v>
      </c>
      <c r="AK47" s="241">
        <f t="shared" ca="1" si="39"/>
        <v>6.6274587969061409</v>
      </c>
      <c r="AL47" s="243">
        <f t="shared" ca="1" si="40"/>
        <v>9.7493059381887193</v>
      </c>
      <c r="AM47" s="243"/>
      <c r="AN47" s="242">
        <f t="shared" ca="1" si="7"/>
        <v>16.376764735094859</v>
      </c>
      <c r="AO47" s="224"/>
      <c r="AP47" s="235">
        <f t="shared" si="41"/>
        <v>3.1538461538461537</v>
      </c>
      <c r="AQ47" s="235">
        <f t="shared" si="8"/>
        <v>0.91098949346149682</v>
      </c>
      <c r="AR47" s="235">
        <f t="shared" si="9"/>
        <v>0.95412900314858806</v>
      </c>
      <c r="AT47" s="230">
        <f t="shared" ca="1" si="10"/>
        <v>163910.10074709065</v>
      </c>
      <c r="AU47" s="231">
        <f t="shared" ca="1" si="11"/>
        <v>10202.672143689368</v>
      </c>
      <c r="AV47" s="231">
        <f t="shared" ca="1" si="42"/>
        <v>15368.540822445304</v>
      </c>
      <c r="AW47" s="231"/>
      <c r="AX47" s="231">
        <f t="shared" ca="1" si="43"/>
        <v>41192.861870780282</v>
      </c>
      <c r="AY47" s="231">
        <f t="shared" ca="1" si="44"/>
        <v>5149.1077338475352</v>
      </c>
      <c r="AZ47" s="231"/>
      <c r="BA47" s="232">
        <f t="shared" ca="1" si="12"/>
        <v>235823.28331785314</v>
      </c>
      <c r="BB47" s="231">
        <f t="shared" ca="1" si="13"/>
        <v>2223.9185518614458</v>
      </c>
      <c r="BC47" s="231">
        <f t="shared" ca="1" si="45"/>
        <v>66049.709430010218</v>
      </c>
      <c r="BD47" s="231">
        <f t="shared" ca="1" si="46"/>
        <v>354551.9670257176</v>
      </c>
      <c r="BE47" s="231">
        <f t="shared" ca="1" si="47"/>
        <v>12310.832188392971</v>
      </c>
      <c r="BF47" s="231">
        <f t="shared" ca="1" si="14"/>
        <v>228091.16321043254</v>
      </c>
      <c r="BG47" s="231">
        <f t="shared" ca="1" si="15"/>
        <v>663227.5904064147</v>
      </c>
      <c r="BH47" s="232">
        <f t="shared" ca="1" si="16"/>
        <v>899050.87372426793</v>
      </c>
      <c r="BI47" s="244">
        <f t="shared" ca="1" si="48"/>
        <v>8.7825703545838856</v>
      </c>
      <c r="BJ47" s="243">
        <f t="shared" ca="1" si="49"/>
        <v>20.997958366127794</v>
      </c>
      <c r="BK47" s="242">
        <f t="shared" ca="1" si="50"/>
        <v>29.780528720711683</v>
      </c>
      <c r="BL47" s="241">
        <f t="shared" ca="1" si="51"/>
        <v>6.3234506553003973</v>
      </c>
      <c r="BM47" s="243">
        <f t="shared" ca="1" si="52"/>
        <v>9.3020955561946135</v>
      </c>
      <c r="BN47" s="243">
        <f t="shared" si="17"/>
        <v>0</v>
      </c>
      <c r="BO47" s="242">
        <f t="shared" ca="1" si="18"/>
        <v>15.625546211495008</v>
      </c>
      <c r="BP47" s="67"/>
      <c r="BQ47" s="67"/>
      <c r="BR47" s="67"/>
      <c r="BS47" s="67"/>
      <c r="BT47" s="67"/>
      <c r="BU47" s="67"/>
    </row>
    <row r="48" spans="1:73" ht="12" customHeight="1" x14ac:dyDescent="0.15">
      <c r="A48" s="213">
        <f t="shared" si="19"/>
        <v>42</v>
      </c>
      <c r="B48" s="67">
        <f t="shared" si="20"/>
        <v>168</v>
      </c>
      <c r="C48" s="224">
        <f t="shared" si="21"/>
        <v>38.769230769230774</v>
      </c>
      <c r="D48" s="225">
        <f ca="1">IFERROR(OFFSET(extrapolation!V57,0,OS_dist_choice-1,1,1),0)</f>
        <v>0.39431400269567202</v>
      </c>
      <c r="E48" s="225">
        <f ca="1">IFERROR(OFFSET(extrapolation!J57,0,PFS_dist_choice-1,1,1),0)</f>
        <v>0.11598407758439505</v>
      </c>
      <c r="F48" s="214"/>
      <c r="G48" s="226">
        <f t="shared" ca="1" si="22"/>
        <v>115.98407758439505</v>
      </c>
      <c r="H48" s="224">
        <f t="shared" ca="1" si="23"/>
        <v>278.32992511127691</v>
      </c>
      <c r="I48" s="224">
        <f t="shared" ca="1" si="0"/>
        <v>605.685997304328</v>
      </c>
      <c r="J48" s="227">
        <f t="shared" ca="1" si="1"/>
        <v>1000</v>
      </c>
      <c r="K48" s="238">
        <f t="shared" ca="1" si="24"/>
        <v>2.6845014668255374</v>
      </c>
      <c r="L48" s="239">
        <f t="shared" ca="1" si="25"/>
        <v>8.4693580419666432</v>
      </c>
      <c r="M48" s="238">
        <f t="shared" ca="1" si="26"/>
        <v>117.32632831780782</v>
      </c>
      <c r="N48" s="238">
        <f t="shared" ca="1" si="27"/>
        <v>281.22235339884747</v>
      </c>
      <c r="O48" s="239">
        <f t="shared" ca="1" si="28"/>
        <v>601.45131828334468</v>
      </c>
      <c r="P48" s="217"/>
      <c r="Q48" s="217"/>
      <c r="R48" s="224"/>
      <c r="S48" s="230">
        <f t="shared" ca="1" si="29"/>
        <v>175855.10482709081</v>
      </c>
      <c r="T48" s="231">
        <f t="shared" ca="1" si="30"/>
        <v>10946.195330044535</v>
      </c>
      <c r="U48" s="231">
        <f t="shared" ca="1" si="53"/>
        <v>16488.528437552766</v>
      </c>
      <c r="V48" s="231"/>
      <c r="W48" s="231">
        <f t="shared" ca="1" si="31"/>
        <v>44183.218023233341</v>
      </c>
      <c r="X48" s="231">
        <f t="shared" ca="1" si="32"/>
        <v>5522.9022529041677</v>
      </c>
      <c r="Y48" s="231"/>
      <c r="Z48" s="232">
        <f t="shared" ca="1" si="2"/>
        <v>252995.94887082564</v>
      </c>
      <c r="AA48" s="231">
        <f t="shared" ca="1" si="3"/>
        <v>2332.5158367675613</v>
      </c>
      <c r="AB48" s="231">
        <f t="shared" ca="1" si="33"/>
        <v>71024.01434719321</v>
      </c>
      <c r="AC48" s="231">
        <f t="shared" ca="1" si="34"/>
        <v>381253.81943646574</v>
      </c>
      <c r="AD48" s="231">
        <f t="shared" ca="1" si="35"/>
        <v>13237.979841543947</v>
      </c>
      <c r="AE48" s="231">
        <f t="shared" ca="1" si="4"/>
        <v>242651.51112159036</v>
      </c>
      <c r="AF48" s="231">
        <f t="shared" ca="1" si="5"/>
        <v>710499.84058356087</v>
      </c>
      <c r="AG48" s="232">
        <f t="shared" ca="1" si="6"/>
        <v>963495.78945438657</v>
      </c>
      <c r="AH48" s="244">
        <f t="shared" ca="1" si="36"/>
        <v>8.9942154494144262</v>
      </c>
      <c r="AI48" s="243">
        <f t="shared" ca="1" si="37"/>
        <v>21.558455565140942</v>
      </c>
      <c r="AJ48" s="242">
        <f t="shared" ca="1" si="38"/>
        <v>30.552671014555369</v>
      </c>
      <c r="AK48" s="241">
        <f t="shared" ca="1" si="39"/>
        <v>6.4758351235783866</v>
      </c>
      <c r="AL48" s="243">
        <f t="shared" ca="1" si="40"/>
        <v>9.5503958153574384</v>
      </c>
      <c r="AM48" s="243"/>
      <c r="AN48" s="242">
        <f t="shared" ca="1" si="7"/>
        <v>16.026230938935825</v>
      </c>
      <c r="AO48" s="224"/>
      <c r="AP48" s="235">
        <f t="shared" si="41"/>
        <v>3.2307692307692308</v>
      </c>
      <c r="AQ48" s="235">
        <f t="shared" si="8"/>
        <v>0.90892048054446373</v>
      </c>
      <c r="AR48" s="235">
        <f t="shared" si="9"/>
        <v>0.95303688581096135</v>
      </c>
      <c r="AT48" s="230">
        <f t="shared" ca="1" si="10"/>
        <v>159838.30638563642</v>
      </c>
      <c r="AU48" s="231">
        <f t="shared" ca="1" si="11"/>
        <v>9949.2211195176442</v>
      </c>
      <c r="AV48" s="231">
        <f t="shared" ca="1" si="42"/>
        <v>14986.761190931516</v>
      </c>
      <c r="AW48" s="231"/>
      <c r="AX48" s="231">
        <f t="shared" ca="1" si="43"/>
        <v>40159.031757678058</v>
      </c>
      <c r="AY48" s="231">
        <f t="shared" ca="1" si="44"/>
        <v>5019.8789697097573</v>
      </c>
      <c r="AZ48" s="231"/>
      <c r="BA48" s="232">
        <f t="shared" ca="1" si="12"/>
        <v>229953.19942347342</v>
      </c>
      <c r="BB48" s="231">
        <f t="shared" ca="1" si="13"/>
        <v>2120.0714152323435</v>
      </c>
      <c r="BC48" s="231">
        <f t="shared" ca="1" si="45"/>
        <v>64555.181250647736</v>
      </c>
      <c r="BD48" s="231">
        <f t="shared" ca="1" si="46"/>
        <v>346529.40477160463</v>
      </c>
      <c r="BE48" s="231">
        <f t="shared" ca="1" si="47"/>
        <v>12032.270999014048</v>
      </c>
      <c r="BF48" s="231">
        <f t="shared" ca="1" si="14"/>
        <v>220550.92809347619</v>
      </c>
      <c r="BG48" s="231">
        <f t="shared" ca="1" si="15"/>
        <v>645787.85652997508</v>
      </c>
      <c r="BH48" s="232">
        <f t="shared" ca="1" si="16"/>
        <v>875741.05595344852</v>
      </c>
      <c r="BI48" s="244">
        <f t="shared" ca="1" si="48"/>
        <v>8.5718190822227616</v>
      </c>
      <c r="BJ48" s="243">
        <f t="shared" ca="1" si="49"/>
        <v>20.546003354695912</v>
      </c>
      <c r="BK48" s="242">
        <f t="shared" ca="1" si="50"/>
        <v>29.117822436918672</v>
      </c>
      <c r="BL48" s="241">
        <f t="shared" ca="1" si="51"/>
        <v>6.1717097392003879</v>
      </c>
      <c r="BM48" s="243">
        <f t="shared" ca="1" si="52"/>
        <v>9.1018794861302901</v>
      </c>
      <c r="BN48" s="243">
        <f t="shared" si="17"/>
        <v>0</v>
      </c>
      <c r="BO48" s="242">
        <f t="shared" ca="1" si="18"/>
        <v>15.273589225330678</v>
      </c>
      <c r="BP48" s="67"/>
      <c r="BQ48" s="67"/>
      <c r="BR48" s="67"/>
      <c r="BS48" s="67"/>
      <c r="BT48" s="67"/>
      <c r="BU48" s="67"/>
    </row>
    <row r="49" spans="1:73" ht="12" customHeight="1" x14ac:dyDescent="0.15">
      <c r="A49" s="213">
        <f t="shared" si="19"/>
        <v>43</v>
      </c>
      <c r="B49" s="67">
        <f t="shared" si="20"/>
        <v>172</v>
      </c>
      <c r="C49" s="224">
        <f t="shared" si="21"/>
        <v>39.692307692307693</v>
      </c>
      <c r="D49" s="225">
        <f ca="1">IFERROR(OFFSET(extrapolation!V58,0,OS_dist_choice-1,1,1),0)</f>
        <v>0.38610471223153858</v>
      </c>
      <c r="E49" s="225">
        <f ca="1">IFERROR(OFFSET(extrapolation!J58,0,PFS_dist_choice-1,1,1),0)</f>
        <v>0.11341654057104887</v>
      </c>
      <c r="F49" s="214"/>
      <c r="G49" s="226">
        <f t="shared" ca="1" si="22"/>
        <v>113.41654057104887</v>
      </c>
      <c r="H49" s="224">
        <f t="shared" ca="1" si="23"/>
        <v>272.68817166048973</v>
      </c>
      <c r="I49" s="224">
        <f t="shared" ca="1" si="0"/>
        <v>613.89528776846134</v>
      </c>
      <c r="J49" s="227">
        <f t="shared" ca="1" si="1"/>
        <v>1000</v>
      </c>
      <c r="K49" s="238">
        <f t="shared" ca="1" si="24"/>
        <v>2.5675370133461826</v>
      </c>
      <c r="L49" s="239">
        <f t="shared" ca="1" si="25"/>
        <v>8.2092904641333462</v>
      </c>
      <c r="M49" s="238">
        <f t="shared" ca="1" si="26"/>
        <v>114.70030907772195</v>
      </c>
      <c r="N49" s="238">
        <f t="shared" ca="1" si="27"/>
        <v>275.50904838588332</v>
      </c>
      <c r="O49" s="239">
        <f t="shared" ca="1" si="28"/>
        <v>609.79064253639467</v>
      </c>
      <c r="P49" s="217"/>
      <c r="Q49" s="217"/>
      <c r="R49" s="224"/>
      <c r="S49" s="230">
        <f t="shared" ca="1" si="29"/>
        <v>171962.20418044052</v>
      </c>
      <c r="T49" s="231">
        <f t="shared" ca="1" si="30"/>
        <v>10703.8796411108</v>
      </c>
      <c r="U49" s="231">
        <f t="shared" ca="1" si="53"/>
        <v>16123.522240661447</v>
      </c>
      <c r="V49" s="231"/>
      <c r="W49" s="231">
        <f t="shared" ca="1" si="31"/>
        <v>43194.301193724845</v>
      </c>
      <c r="X49" s="231">
        <f t="shared" ca="1" si="32"/>
        <v>5399.2876492156056</v>
      </c>
      <c r="Y49" s="231"/>
      <c r="Z49" s="232">
        <f t="shared" ca="1" si="2"/>
        <v>247383.19490515321</v>
      </c>
      <c r="AA49" s="231">
        <f t="shared" ca="1" si="3"/>
        <v>2230.8874921937463</v>
      </c>
      <c r="AB49" s="231">
        <f t="shared" ca="1" si="33"/>
        <v>69581.092572638721</v>
      </c>
      <c r="AC49" s="231">
        <f t="shared" ca="1" si="34"/>
        <v>373508.27811845817</v>
      </c>
      <c r="AD49" s="231">
        <f t="shared" ca="1" si="35"/>
        <v>12969.037434668686</v>
      </c>
      <c r="AE49" s="231">
        <f t="shared" ca="1" si="4"/>
        <v>235200.4398075327</v>
      </c>
      <c r="AF49" s="231">
        <f t="shared" ca="1" si="5"/>
        <v>693489.73542549205</v>
      </c>
      <c r="AG49" s="232">
        <f t="shared" ca="1" si="6"/>
        <v>940872.93033064529</v>
      </c>
      <c r="AH49" s="244">
        <f t="shared" ca="1" si="36"/>
        <v>8.7929052817966173</v>
      </c>
      <c r="AI49" s="243">
        <f t="shared" ca="1" si="37"/>
        <v>21.120474619588592</v>
      </c>
      <c r="AJ49" s="242">
        <f t="shared" ca="1" si="38"/>
        <v>29.913379901385209</v>
      </c>
      <c r="AK49" s="241">
        <f t="shared" ca="1" si="39"/>
        <v>6.3308918028935643</v>
      </c>
      <c r="AL49" s="243">
        <f t="shared" ca="1" si="40"/>
        <v>9.3563702564777458</v>
      </c>
      <c r="AM49" s="243"/>
      <c r="AN49" s="242">
        <f t="shared" ca="1" si="7"/>
        <v>15.68726205937131</v>
      </c>
      <c r="AO49" s="224"/>
      <c r="AP49" s="235">
        <f t="shared" si="41"/>
        <v>3.3076923076923075</v>
      </c>
      <c r="AQ49" s="235">
        <f t="shared" si="8"/>
        <v>0.90685616670956259</v>
      </c>
      <c r="AR49" s="235">
        <f t="shared" si="9"/>
        <v>0.95194601853519756</v>
      </c>
      <c r="AT49" s="230">
        <f t="shared" ca="1" si="10"/>
        <v>155944.98530200141</v>
      </c>
      <c r="AU49" s="231">
        <f t="shared" ca="1" si="11"/>
        <v>9706.8792602582689</v>
      </c>
      <c r="AV49" s="231">
        <f t="shared" ca="1" si="42"/>
        <v>14621.715573022617</v>
      </c>
      <c r="AW49" s="231"/>
      <c r="AX49" s="231">
        <f t="shared" ca="1" si="43"/>
        <v>39171.018404239599</v>
      </c>
      <c r="AY49" s="231">
        <f t="shared" ca="1" si="44"/>
        <v>4896.3773005299499</v>
      </c>
      <c r="AZ49" s="231"/>
      <c r="BA49" s="232">
        <f t="shared" ca="1" si="12"/>
        <v>224340.97584005183</v>
      </c>
      <c r="BB49" s="231">
        <f t="shared" ca="1" si="13"/>
        <v>2023.0940795311301</v>
      </c>
      <c r="BC49" s="231">
        <f t="shared" ca="1" si="45"/>
        <v>63100.042885886367</v>
      </c>
      <c r="BD49" s="231">
        <f t="shared" ca="1" si="46"/>
        <v>338718.28532879415</v>
      </c>
      <c r="BE49" s="231">
        <f t="shared" ca="1" si="47"/>
        <v>11761.051573916464</v>
      </c>
      <c r="BF49" s="231">
        <f t="shared" ca="1" si="14"/>
        <v>213292.96925226232</v>
      </c>
      <c r="BG49" s="231">
        <f t="shared" ca="1" si="15"/>
        <v>628895.44312039053</v>
      </c>
      <c r="BH49" s="232">
        <f t="shared" ca="1" si="16"/>
        <v>853236.4189604423</v>
      </c>
      <c r="BI49" s="244">
        <f t="shared" ca="1" si="48"/>
        <v>8.3703711743633988</v>
      </c>
      <c r="BJ49" s="243">
        <f t="shared" ca="1" si="49"/>
        <v>20.10555172369105</v>
      </c>
      <c r="BK49" s="242">
        <f t="shared" ca="1" si="50"/>
        <v>28.475922898054449</v>
      </c>
      <c r="BL49" s="241">
        <f t="shared" ca="1" si="51"/>
        <v>6.0266672455416472</v>
      </c>
      <c r="BM49" s="243">
        <f t="shared" ca="1" si="52"/>
        <v>8.906759413595136</v>
      </c>
      <c r="BN49" s="243">
        <f t="shared" si="17"/>
        <v>0</v>
      </c>
      <c r="BO49" s="242">
        <f t="shared" ca="1" si="18"/>
        <v>14.933426659136783</v>
      </c>
      <c r="BP49" s="67"/>
      <c r="BQ49" s="67"/>
      <c r="BR49" s="67"/>
      <c r="BS49" s="67"/>
      <c r="BT49" s="67"/>
      <c r="BU49" s="67"/>
    </row>
    <row r="50" spans="1:73" ht="12" customHeight="1" x14ac:dyDescent="0.15">
      <c r="A50" s="213">
        <f t="shared" si="19"/>
        <v>44</v>
      </c>
      <c r="B50" s="67">
        <f t="shared" si="20"/>
        <v>176</v>
      </c>
      <c r="C50" s="224">
        <f t="shared" si="21"/>
        <v>40.615384615384613</v>
      </c>
      <c r="D50" s="225">
        <f ca="1">IFERROR(OFFSET(extrapolation!V59,0,OS_dist_choice-1,1,1),0)</f>
        <v>0.37814618781941889</v>
      </c>
      <c r="E50" s="225">
        <f ca="1">IFERROR(OFFSET(extrapolation!J59,0,PFS_dist_choice-1,1,1),0)</f>
        <v>0.11095852209126128</v>
      </c>
      <c r="F50" s="214"/>
      <c r="G50" s="226">
        <f t="shared" ca="1" si="22"/>
        <v>110.95852209126129</v>
      </c>
      <c r="H50" s="224">
        <f t="shared" ca="1" si="23"/>
        <v>267.18766572815753</v>
      </c>
      <c r="I50" s="224">
        <f t="shared" ca="1" si="0"/>
        <v>621.85381218058114</v>
      </c>
      <c r="J50" s="227">
        <f t="shared" ca="1" si="1"/>
        <v>1000</v>
      </c>
      <c r="K50" s="238">
        <f t="shared" ca="1" si="24"/>
        <v>2.458018479787583</v>
      </c>
      <c r="L50" s="239">
        <f t="shared" ca="1" si="25"/>
        <v>7.9585244121198002</v>
      </c>
      <c r="M50" s="238">
        <f t="shared" ca="1" si="26"/>
        <v>112.18753133115507</v>
      </c>
      <c r="N50" s="238">
        <f t="shared" ca="1" si="27"/>
        <v>269.93791869432363</v>
      </c>
      <c r="O50" s="239">
        <f t="shared" ca="1" si="28"/>
        <v>617.87454997452119</v>
      </c>
      <c r="P50" s="217"/>
      <c r="Q50" s="217"/>
      <c r="R50" s="224"/>
      <c r="S50" s="230">
        <f t="shared" ca="1" si="29"/>
        <v>168235.35557817918</v>
      </c>
      <c r="T50" s="231">
        <f t="shared" ca="1" si="30"/>
        <v>10471.899950751698</v>
      </c>
      <c r="U50" s="231">
        <f t="shared" ca="1" si="53"/>
        <v>15774.085417537884</v>
      </c>
      <c r="V50" s="231"/>
      <c r="W50" s="231">
        <f t="shared" ca="1" si="31"/>
        <v>42248.0292988117</v>
      </c>
      <c r="X50" s="231">
        <f t="shared" ca="1" si="32"/>
        <v>5281.0036623514625</v>
      </c>
      <c r="Y50" s="231"/>
      <c r="Z50" s="232">
        <f t="shared" ca="1" si="2"/>
        <v>242010.3739076319</v>
      </c>
      <c r="AA50" s="231">
        <f t="shared" ca="1" si="3"/>
        <v>2135.7287757237305</v>
      </c>
      <c r="AB50" s="231">
        <f t="shared" ca="1" si="33"/>
        <v>68174.07783728365</v>
      </c>
      <c r="AC50" s="231">
        <f t="shared" ca="1" si="34"/>
        <v>365955.48422489944</v>
      </c>
      <c r="AD50" s="231">
        <f t="shared" ca="1" si="35"/>
        <v>12706.787646697896</v>
      </c>
      <c r="AE50" s="231">
        <f t="shared" ca="1" si="4"/>
        <v>228015.86204407417</v>
      </c>
      <c r="AF50" s="231">
        <f t="shared" ca="1" si="5"/>
        <v>676987.94052867894</v>
      </c>
      <c r="AG50" s="232">
        <f t="shared" ca="1" si="6"/>
        <v>918998.3144363109</v>
      </c>
      <c r="AH50" s="244">
        <f t="shared" ca="1" si="36"/>
        <v>8.6002761869194853</v>
      </c>
      <c r="AI50" s="243">
        <f t="shared" ca="1" si="37"/>
        <v>20.693392808873543</v>
      </c>
      <c r="AJ50" s="242">
        <f t="shared" ca="1" si="38"/>
        <v>29.293668995793027</v>
      </c>
      <c r="AK50" s="241">
        <f t="shared" ca="1" si="39"/>
        <v>6.1921988545820295</v>
      </c>
      <c r="AL50" s="243">
        <f t="shared" ca="1" si="40"/>
        <v>9.1671730143309791</v>
      </c>
      <c r="AM50" s="243"/>
      <c r="AN50" s="242">
        <f t="shared" ca="1" si="7"/>
        <v>15.359371868913009</v>
      </c>
      <c r="AO50" s="224"/>
      <c r="AP50" s="235">
        <f t="shared" si="41"/>
        <v>3.3846153846153846</v>
      </c>
      <c r="AQ50" s="235">
        <f t="shared" si="8"/>
        <v>0.90479654128437381</v>
      </c>
      <c r="AR50" s="235">
        <f t="shared" si="9"/>
        <v>0.95085639989044812</v>
      </c>
      <c r="AT50" s="230">
        <f t="shared" ca="1" si="10"/>
        <v>152218.76784888332</v>
      </c>
      <c r="AU50" s="231">
        <f t="shared" ca="1" si="11"/>
        <v>9474.9388561161413</v>
      </c>
      <c r="AV50" s="231">
        <f t="shared" ca="1" si="42"/>
        <v>14272.337927712555</v>
      </c>
      <c r="AW50" s="231"/>
      <c r="AX50" s="231">
        <f t="shared" ca="1" si="43"/>
        <v>38225.870785645711</v>
      </c>
      <c r="AY50" s="231">
        <f t="shared" ca="1" si="44"/>
        <v>4778.2338482057139</v>
      </c>
      <c r="AZ50" s="231"/>
      <c r="BA50" s="232">
        <f t="shared" ca="1" si="12"/>
        <v>218970.14926656341</v>
      </c>
      <c r="BB50" s="231">
        <f t="shared" ca="1" si="13"/>
        <v>1932.4000093963414</v>
      </c>
      <c r="BC50" s="231">
        <f t="shared" ca="1" si="45"/>
        <v>61683.669832425927</v>
      </c>
      <c r="BD50" s="231">
        <f t="shared" ca="1" si="46"/>
        <v>331115.25639073725</v>
      </c>
      <c r="BE50" s="231">
        <f t="shared" ca="1" si="47"/>
        <v>11497.057513567264</v>
      </c>
      <c r="BF50" s="231">
        <f t="shared" ca="1" si="14"/>
        <v>206307.96333545324</v>
      </c>
      <c r="BG50" s="231">
        <f t="shared" ca="1" si="15"/>
        <v>612536.34708158008</v>
      </c>
      <c r="BH50" s="232">
        <f t="shared" ca="1" si="16"/>
        <v>831506.49634814356</v>
      </c>
      <c r="BI50" s="244">
        <f t="shared" ca="1" si="48"/>
        <v>8.1776276531578116</v>
      </c>
      <c r="BJ50" s="243">
        <f t="shared" ca="1" si="49"/>
        <v>19.676444987764384</v>
      </c>
      <c r="BK50" s="242">
        <f t="shared" ca="1" si="50"/>
        <v>27.854072640922197</v>
      </c>
      <c r="BL50" s="241">
        <f t="shared" ca="1" si="51"/>
        <v>5.8878919102736251</v>
      </c>
      <c r="BM50" s="243">
        <f t="shared" ca="1" si="52"/>
        <v>8.7166651295796225</v>
      </c>
      <c r="BN50" s="243">
        <f t="shared" si="17"/>
        <v>0</v>
      </c>
      <c r="BO50" s="242">
        <f t="shared" ca="1" si="18"/>
        <v>14.604557039853248</v>
      </c>
      <c r="BP50" s="67"/>
      <c r="BQ50" s="67"/>
      <c r="BR50" s="67"/>
      <c r="BS50" s="67"/>
      <c r="BT50" s="67"/>
      <c r="BU50" s="67"/>
    </row>
    <row r="51" spans="1:73" ht="12" customHeight="1" x14ac:dyDescent="0.15">
      <c r="A51" s="213">
        <f t="shared" si="19"/>
        <v>45</v>
      </c>
      <c r="B51" s="67">
        <f t="shared" si="20"/>
        <v>180</v>
      </c>
      <c r="C51" s="224">
        <f t="shared" si="21"/>
        <v>41.53846153846154</v>
      </c>
      <c r="D51" s="225">
        <f ca="1">IFERROR(OFFSET(extrapolation!V60,0,OS_dist_choice-1,1,1),0)</f>
        <v>0.37042942267259371</v>
      </c>
      <c r="E51" s="225">
        <f ca="1">IFERROR(OFFSET(extrapolation!J60,0,PFS_dist_choice-1,1,1),0)</f>
        <v>0.10860319355718624</v>
      </c>
      <c r="F51" s="214"/>
      <c r="G51" s="226">
        <f t="shared" ca="1" si="22"/>
        <v>108.60319355718624</v>
      </c>
      <c r="H51" s="224">
        <f t="shared" ca="1" si="23"/>
        <v>261.82622911540739</v>
      </c>
      <c r="I51" s="224">
        <f t="shared" ca="1" si="0"/>
        <v>629.57057732740634</v>
      </c>
      <c r="J51" s="227">
        <f t="shared" ca="1" si="1"/>
        <v>1000</v>
      </c>
      <c r="K51" s="238">
        <f t="shared" ca="1" si="24"/>
        <v>2.3553285340750421</v>
      </c>
      <c r="L51" s="239">
        <f t="shared" ca="1" si="25"/>
        <v>7.7167651468251961</v>
      </c>
      <c r="M51" s="238">
        <f t="shared" ca="1" si="26"/>
        <v>109.78085782422377</v>
      </c>
      <c r="N51" s="238">
        <f t="shared" ca="1" si="27"/>
        <v>264.50694742178246</v>
      </c>
      <c r="O51" s="239">
        <f t="shared" ca="1" si="28"/>
        <v>625.7121947539938</v>
      </c>
      <c r="P51" s="217"/>
      <c r="Q51" s="217"/>
      <c r="R51" s="224"/>
      <c r="S51" s="230">
        <f t="shared" ca="1" si="29"/>
        <v>164664.2055126832</v>
      </c>
      <c r="T51" s="231">
        <f t="shared" ca="1" si="30"/>
        <v>10249.611799331493</v>
      </c>
      <c r="U51" s="231">
        <f t="shared" ca="1" si="53"/>
        <v>15439.247202476708</v>
      </c>
      <c r="V51" s="231"/>
      <c r="W51" s="231">
        <f t="shared" ca="1" si="31"/>
        <v>41341.714562877489</v>
      </c>
      <c r="X51" s="231">
        <f t="shared" ca="1" si="32"/>
        <v>5167.7143203596861</v>
      </c>
      <c r="Y51" s="231"/>
      <c r="Z51" s="232">
        <f t="shared" ca="1" si="2"/>
        <v>236862.4933977286</v>
      </c>
      <c r="AA51" s="231">
        <f t="shared" ca="1" si="3"/>
        <v>2046.5032984381673</v>
      </c>
      <c r="AB51" s="231">
        <f t="shared" ca="1" si="33"/>
        <v>66802.460763042429</v>
      </c>
      <c r="AC51" s="231">
        <f t="shared" ca="1" si="34"/>
        <v>358592.70343638433</v>
      </c>
      <c r="AD51" s="231">
        <f t="shared" ca="1" si="35"/>
        <v>12451.135535985566</v>
      </c>
      <c r="AE51" s="231">
        <f t="shared" ca="1" si="4"/>
        <v>221089.33340274173</v>
      </c>
      <c r="AF51" s="231">
        <f t="shared" ca="1" si="5"/>
        <v>660982.13643659221</v>
      </c>
      <c r="AG51" s="232">
        <f t="shared" ca="1" si="6"/>
        <v>897844.62983432086</v>
      </c>
      <c r="AH51" s="244">
        <f t="shared" ca="1" si="36"/>
        <v>8.4157810241704745</v>
      </c>
      <c r="AI51" s="243">
        <f t="shared" ca="1" si="37"/>
        <v>20.277055517617818</v>
      </c>
      <c r="AJ51" s="242">
        <f t="shared" ca="1" si="38"/>
        <v>28.692836541788292</v>
      </c>
      <c r="AK51" s="241">
        <f t="shared" ca="1" si="39"/>
        <v>6.0593623374027414</v>
      </c>
      <c r="AL51" s="243">
        <f t="shared" ca="1" si="40"/>
        <v>8.9827355943046925</v>
      </c>
      <c r="AM51" s="243"/>
      <c r="AN51" s="242">
        <f t="shared" ca="1" si="7"/>
        <v>15.042097931707435</v>
      </c>
      <c r="AO51" s="224"/>
      <c r="AP51" s="235">
        <f t="shared" si="41"/>
        <v>3.4615384615384617</v>
      </c>
      <c r="AQ51" s="235">
        <f t="shared" si="8"/>
        <v>0.9027415936207176</v>
      </c>
      <c r="AR51" s="235">
        <f t="shared" si="9"/>
        <v>0.94976802844750197</v>
      </c>
      <c r="AT51" s="230">
        <f t="shared" ca="1" si="10"/>
        <v>148649.227296809</v>
      </c>
      <c r="AU51" s="231">
        <f t="shared" ca="1" si="11"/>
        <v>9252.7508897222233</v>
      </c>
      <c r="AV51" s="231">
        <f t="shared" ca="1" si="42"/>
        <v>13937.65062386803</v>
      </c>
      <c r="AW51" s="231"/>
      <c r="AX51" s="231">
        <f t="shared" ca="1" si="43"/>
        <v>37320.885287504854</v>
      </c>
      <c r="AY51" s="231">
        <f t="shared" ca="1" si="44"/>
        <v>4665.1106609381068</v>
      </c>
      <c r="AZ51" s="231"/>
      <c r="BA51" s="232">
        <f t="shared" ca="1" si="12"/>
        <v>213825.62475884223</v>
      </c>
      <c r="BB51" s="231">
        <f t="shared" ca="1" si="13"/>
        <v>1847.4636489821262</v>
      </c>
      <c r="BC51" s="231">
        <f t="shared" ca="1" si="45"/>
        <v>60305.359887014383</v>
      </c>
      <c r="BD51" s="231">
        <f t="shared" ca="1" si="46"/>
        <v>323716.54856092297</v>
      </c>
      <c r="BE51" s="231">
        <f t="shared" ca="1" si="47"/>
        <v>11240.157936143158</v>
      </c>
      <c r="BF51" s="231">
        <f t="shared" ca="1" si="14"/>
        <v>199586.53716853322</v>
      </c>
      <c r="BG51" s="231">
        <f t="shared" ca="1" si="15"/>
        <v>596696.06720159587</v>
      </c>
      <c r="BH51" s="232">
        <f t="shared" ca="1" si="16"/>
        <v>810521.69196043815</v>
      </c>
      <c r="BI51" s="244">
        <f t="shared" ca="1" si="48"/>
        <v>7.9930397511722902</v>
      </c>
      <c r="BJ51" s="243">
        <f t="shared" ca="1" si="49"/>
        <v>19.258499041688417</v>
      </c>
      <c r="BK51" s="242">
        <f t="shared" ca="1" si="50"/>
        <v>27.251538792860707</v>
      </c>
      <c r="BL51" s="241">
        <f t="shared" ca="1" si="51"/>
        <v>5.7549886208440491</v>
      </c>
      <c r="BM51" s="243">
        <f t="shared" ca="1" si="52"/>
        <v>8.5315150754679685</v>
      </c>
      <c r="BN51" s="243">
        <f t="shared" si="17"/>
        <v>0</v>
      </c>
      <c r="BO51" s="242">
        <f t="shared" ca="1" si="18"/>
        <v>14.286503696312018</v>
      </c>
      <c r="BP51" s="67"/>
      <c r="BQ51" s="67"/>
      <c r="BR51" s="67"/>
      <c r="BS51" s="67"/>
      <c r="BT51" s="67"/>
      <c r="BU51" s="67"/>
    </row>
    <row r="52" spans="1:73" ht="12" customHeight="1" x14ac:dyDescent="0.15">
      <c r="A52" s="213">
        <f t="shared" si="19"/>
        <v>46</v>
      </c>
      <c r="B52" s="67">
        <f t="shared" si="20"/>
        <v>184</v>
      </c>
      <c r="C52" s="224">
        <f t="shared" si="21"/>
        <v>42.46153846153846</v>
      </c>
      <c r="D52" s="225">
        <f ca="1">IFERROR(OFFSET(extrapolation!V61,0,OS_dist_choice-1,1,1),0)</f>
        <v>0.3629457068111473</v>
      </c>
      <c r="E52" s="225">
        <f ca="1">IFERROR(OFFSET(extrapolation!J61,0,PFS_dist_choice-1,1,1),0)</f>
        <v>0.10634428114485284</v>
      </c>
      <c r="F52" s="214"/>
      <c r="G52" s="226">
        <f t="shared" ca="1" si="22"/>
        <v>106.34428114485284</v>
      </c>
      <c r="H52" s="224">
        <f t="shared" ca="1" si="23"/>
        <v>256.6014256662944</v>
      </c>
      <c r="I52" s="224">
        <f t="shared" ca="1" si="0"/>
        <v>637.05429318885274</v>
      </c>
      <c r="J52" s="227">
        <f t="shared" ca="1" si="1"/>
        <v>1000</v>
      </c>
      <c r="K52" s="238">
        <f t="shared" ca="1" si="24"/>
        <v>2.2589124123334017</v>
      </c>
      <c r="L52" s="239">
        <f t="shared" ca="1" si="25"/>
        <v>7.4837158614463988</v>
      </c>
      <c r="M52" s="238">
        <f t="shared" ca="1" si="26"/>
        <v>107.47373735101954</v>
      </c>
      <c r="N52" s="238">
        <f t="shared" ca="1" si="27"/>
        <v>259.21382739085089</v>
      </c>
      <c r="O52" s="239">
        <f t="shared" ca="1" si="28"/>
        <v>633.31243525812954</v>
      </c>
      <c r="P52" s="217"/>
      <c r="Q52" s="217"/>
      <c r="R52" s="224"/>
      <c r="S52" s="230">
        <f t="shared" ca="1" si="29"/>
        <v>161239.24160953832</v>
      </c>
      <c r="T52" s="231">
        <f t="shared" ca="1" si="30"/>
        <v>10036.423084002257</v>
      </c>
      <c r="U52" s="231">
        <f t="shared" ca="1" si="53"/>
        <v>15118.115696114568</v>
      </c>
      <c r="V52" s="231"/>
      <c r="W52" s="231">
        <f t="shared" ca="1" si="31"/>
        <v>40472.889906596341</v>
      </c>
      <c r="X52" s="231">
        <f t="shared" ca="1" si="32"/>
        <v>5059.1112383245427</v>
      </c>
      <c r="Y52" s="231"/>
      <c r="Z52" s="232">
        <f t="shared" ca="1" si="2"/>
        <v>231925.78153457603</v>
      </c>
      <c r="AA52" s="231">
        <f t="shared" ca="1" si="3"/>
        <v>1962.7290358194832</v>
      </c>
      <c r="AB52" s="231">
        <f t="shared" ca="1" si="33"/>
        <v>65465.658661521287</v>
      </c>
      <c r="AC52" s="231">
        <f t="shared" ca="1" si="34"/>
        <v>351416.80790696235</v>
      </c>
      <c r="AD52" s="231">
        <f t="shared" ca="1" si="35"/>
        <v>12201.972496769524</v>
      </c>
      <c r="AE52" s="231">
        <f t="shared" ca="1" si="4"/>
        <v>214412.35021431572</v>
      </c>
      <c r="AF52" s="231">
        <f t="shared" ca="1" si="5"/>
        <v>645459.51831538836</v>
      </c>
      <c r="AG52" s="232">
        <f t="shared" ca="1" si="6"/>
        <v>877385.29984996445</v>
      </c>
      <c r="AH52" s="244">
        <f t="shared" ca="1" si="36"/>
        <v>8.2389175792704918</v>
      </c>
      <c r="AI52" s="243">
        <f t="shared" ca="1" si="37"/>
        <v>19.871285878011843</v>
      </c>
      <c r="AJ52" s="242">
        <f t="shared" ca="1" si="38"/>
        <v>28.110203457282335</v>
      </c>
      <c r="AK52" s="241">
        <f t="shared" ca="1" si="39"/>
        <v>5.9320206570747542</v>
      </c>
      <c r="AL52" s="243">
        <f t="shared" ca="1" si="40"/>
        <v>8.8029796439592474</v>
      </c>
      <c r="AM52" s="243"/>
      <c r="AN52" s="242">
        <f t="shared" ca="1" si="7"/>
        <v>14.735000301034002</v>
      </c>
      <c r="AO52" s="224"/>
      <c r="AP52" s="235">
        <f t="shared" si="41"/>
        <v>3.5384615384615383</v>
      </c>
      <c r="AQ52" s="235">
        <f t="shared" si="8"/>
        <v>0.90069131309459738</v>
      </c>
      <c r="AR52" s="235">
        <f t="shared" si="9"/>
        <v>0.94868090277878392</v>
      </c>
      <c r="AT52" s="230">
        <f t="shared" ca="1" si="10"/>
        <v>145226.78424767213</v>
      </c>
      <c r="AU52" s="231">
        <f t="shared" ca="1" si="11"/>
        <v>9039.7190863029209</v>
      </c>
      <c r="AV52" s="231">
        <f t="shared" ca="1" si="42"/>
        <v>13616.755477849474</v>
      </c>
      <c r="AW52" s="231"/>
      <c r="AX52" s="231">
        <f t="shared" ca="1" si="43"/>
        <v>36453.580354705337</v>
      </c>
      <c r="AY52" s="231">
        <f t="shared" ca="1" si="44"/>
        <v>4556.6975443381671</v>
      </c>
      <c r="AZ52" s="231"/>
      <c r="BA52" s="232">
        <f t="shared" ca="1" si="12"/>
        <v>208893.53671086801</v>
      </c>
      <c r="BB52" s="231">
        <f t="shared" ca="1" si="13"/>
        <v>1767.8129925211433</v>
      </c>
      <c r="BC52" s="231">
        <f t="shared" ca="1" si="45"/>
        <v>58964.350062448313</v>
      </c>
      <c r="BD52" s="231">
        <f t="shared" ca="1" si="46"/>
        <v>316518.06615723378</v>
      </c>
      <c r="BE52" s="231">
        <f t="shared" ca="1" si="47"/>
        <v>10990.210630459505</v>
      </c>
      <c r="BF52" s="231">
        <f t="shared" ca="1" si="14"/>
        <v>193119.34125823071</v>
      </c>
      <c r="BG52" s="231">
        <f t="shared" ca="1" si="15"/>
        <v>581359.78110089351</v>
      </c>
      <c r="BH52" s="232">
        <f t="shared" ca="1" si="16"/>
        <v>790253.31781176152</v>
      </c>
      <c r="BI52" s="244">
        <f t="shared" ca="1" si="48"/>
        <v>7.816103767022323</v>
      </c>
      <c r="BJ52" s="243">
        <f t="shared" ca="1" si="49"/>
        <v>18.851509426127574</v>
      </c>
      <c r="BK52" s="242">
        <f t="shared" ca="1" si="50"/>
        <v>26.667613193149897</v>
      </c>
      <c r="BL52" s="241">
        <f t="shared" ca="1" si="51"/>
        <v>5.627594712256073</v>
      </c>
      <c r="BM52" s="243">
        <f t="shared" ca="1" si="52"/>
        <v>8.3512186757745166</v>
      </c>
      <c r="BN52" s="243">
        <f t="shared" si="17"/>
        <v>0</v>
      </c>
      <c r="BO52" s="242">
        <f t="shared" ca="1" si="18"/>
        <v>13.97881338803059</v>
      </c>
      <c r="BP52" s="67"/>
      <c r="BQ52" s="67"/>
      <c r="BR52" s="67"/>
      <c r="BS52" s="67"/>
      <c r="BT52" s="67"/>
      <c r="BU52" s="67"/>
    </row>
    <row r="53" spans="1:73" ht="12" customHeight="1" x14ac:dyDescent="0.15">
      <c r="A53" s="213">
        <f t="shared" si="19"/>
        <v>47</v>
      </c>
      <c r="B53" s="67">
        <f t="shared" si="20"/>
        <v>188</v>
      </c>
      <c r="C53" s="224">
        <f t="shared" si="21"/>
        <v>43.384615384615387</v>
      </c>
      <c r="D53" s="225">
        <f ca="1">IFERROR(OFFSET(extrapolation!V62,0,OS_dist_choice-1,1,1),0)</f>
        <v>0.35568662681561564</v>
      </c>
      <c r="E53" s="225">
        <f ca="1">IFERROR(OFFSET(extrapolation!J62,0,PFS_dist_choice-1,1,1),0)</f>
        <v>0.10417601067344347</v>
      </c>
      <c r="F53" s="214"/>
      <c r="G53" s="226">
        <f t="shared" ca="1" si="22"/>
        <v>104.17601067344347</v>
      </c>
      <c r="H53" s="224">
        <f t="shared" ca="1" si="23"/>
        <v>251.51061614217213</v>
      </c>
      <c r="I53" s="224">
        <f t="shared" ca="1" si="0"/>
        <v>644.31337318438443</v>
      </c>
      <c r="J53" s="227">
        <f t="shared" ca="1" si="1"/>
        <v>1000</v>
      </c>
      <c r="K53" s="238">
        <f t="shared" ca="1" si="24"/>
        <v>2.1682704714093717</v>
      </c>
      <c r="L53" s="239">
        <f t="shared" ca="1" si="25"/>
        <v>7.2590799955316925</v>
      </c>
      <c r="M53" s="238">
        <f t="shared" ca="1" si="26"/>
        <v>105.26014590914815</v>
      </c>
      <c r="N53" s="238">
        <f t="shared" ca="1" si="27"/>
        <v>254.05602090423326</v>
      </c>
      <c r="O53" s="239">
        <f t="shared" ca="1" si="28"/>
        <v>640.68383318661859</v>
      </c>
      <c r="P53" s="217"/>
      <c r="Q53" s="217"/>
      <c r="R53" s="224"/>
      <c r="S53" s="230">
        <f t="shared" ca="1" si="29"/>
        <v>157951.70905347925</v>
      </c>
      <c r="T53" s="231">
        <f t="shared" ca="1" si="30"/>
        <v>9831.7888565916492</v>
      </c>
      <c r="U53" s="231">
        <f t="shared" ca="1" si="53"/>
        <v>14809.870029358068</v>
      </c>
      <c r="V53" s="231"/>
      <c r="W53" s="231">
        <f t="shared" ca="1" si="31"/>
        <v>39639.286787050645</v>
      </c>
      <c r="X53" s="231">
        <f t="shared" ca="1" si="32"/>
        <v>4954.9108483813307</v>
      </c>
      <c r="Y53" s="231"/>
      <c r="Z53" s="232">
        <f t="shared" ca="1" si="2"/>
        <v>227187.56557486093</v>
      </c>
      <c r="AA53" s="231">
        <f t="shared" ca="1" si="3"/>
        <v>1883.9718567702716</v>
      </c>
      <c r="AB53" s="231">
        <f t="shared" ca="1" si="33"/>
        <v>64163.030625456078</v>
      </c>
      <c r="AC53" s="231">
        <f t="shared" ca="1" si="34"/>
        <v>344424.35727431922</v>
      </c>
      <c r="AD53" s="231">
        <f t="shared" ca="1" si="35"/>
        <v>11959.179072024972</v>
      </c>
      <c r="AE53" s="231">
        <f t="shared" ca="1" si="4"/>
        <v>207976.41586767268</v>
      </c>
      <c r="AF53" s="231">
        <f t="shared" ca="1" si="5"/>
        <v>630406.95469624328</v>
      </c>
      <c r="AG53" s="232">
        <f t="shared" ca="1" si="6"/>
        <v>857594.52027110418</v>
      </c>
      <c r="AH53" s="244">
        <f t="shared" ca="1" si="36"/>
        <v>8.0692240532680302</v>
      </c>
      <c r="AI53" s="243">
        <f t="shared" ca="1" si="37"/>
        <v>19.475889350632528</v>
      </c>
      <c r="AJ53" s="242">
        <f t="shared" ca="1" si="38"/>
        <v>27.545113403900558</v>
      </c>
      <c r="AK53" s="241">
        <f t="shared" ca="1" si="39"/>
        <v>5.8098413183529818</v>
      </c>
      <c r="AL53" s="243">
        <f t="shared" ca="1" si="40"/>
        <v>8.6278189823302096</v>
      </c>
      <c r="AM53" s="243"/>
      <c r="AN53" s="242">
        <f t="shared" ca="1" si="7"/>
        <v>14.437660300683191</v>
      </c>
      <c r="AO53" s="224"/>
      <c r="AP53" s="235">
        <f t="shared" si="41"/>
        <v>3.6153846153846154</v>
      </c>
      <c r="AQ53" s="235">
        <f t="shared" si="8"/>
        <v>0.89864568910614584</v>
      </c>
      <c r="AR53" s="235">
        <f t="shared" si="9"/>
        <v>0.94759502145835361</v>
      </c>
      <c r="AT53" s="230">
        <f t="shared" ca="1" si="10"/>
        <v>141942.62242785731</v>
      </c>
      <c r="AU53" s="231">
        <f t="shared" ca="1" si="11"/>
        <v>8835.2946721779281</v>
      </c>
      <c r="AV53" s="231">
        <f t="shared" ca="1" si="42"/>
        <v>13308.825858104938</v>
      </c>
      <c r="AW53" s="231"/>
      <c r="AX53" s="231">
        <f t="shared" ca="1" si="43"/>
        <v>35621.67419042527</v>
      </c>
      <c r="AY53" s="231">
        <f t="shared" ca="1" si="44"/>
        <v>4452.7092738031588</v>
      </c>
      <c r="AZ53" s="231"/>
      <c r="BA53" s="232">
        <f t="shared" ca="1" si="12"/>
        <v>204161.1264223686</v>
      </c>
      <c r="BB53" s="231">
        <f t="shared" ca="1" si="13"/>
        <v>1693.0231874839058</v>
      </c>
      <c r="BC53" s="231">
        <f t="shared" ca="1" si="45"/>
        <v>57659.83087155172</v>
      </c>
      <c r="BD53" s="231">
        <f t="shared" ca="1" si="46"/>
        <v>309515.463887722</v>
      </c>
      <c r="BE53" s="231">
        <f t="shared" ca="1" si="47"/>
        <v>10747.064718323678</v>
      </c>
      <c r="BF53" s="231">
        <f t="shared" ca="1" si="14"/>
        <v>186897.10955523109</v>
      </c>
      <c r="BG53" s="231">
        <f t="shared" ca="1" si="15"/>
        <v>566512.49222031236</v>
      </c>
      <c r="BH53" s="232">
        <f t="shared" ca="1" si="16"/>
        <v>770673.61864268093</v>
      </c>
      <c r="BI53" s="244">
        <f t="shared" ca="1" si="48"/>
        <v>7.6463565399087825</v>
      </c>
      <c r="BJ53" s="243">
        <f t="shared" ca="1" si="49"/>
        <v>18.455255787133151</v>
      </c>
      <c r="BK53" s="242">
        <f t="shared" ca="1" si="50"/>
        <v>26.101612327041934</v>
      </c>
      <c r="BL53" s="241">
        <f t="shared" ca="1" si="51"/>
        <v>5.5053767087343228</v>
      </c>
      <c r="BM53" s="243">
        <f t="shared" ca="1" si="52"/>
        <v>8.1756783136999864</v>
      </c>
      <c r="BN53" s="243">
        <f t="shared" si="17"/>
        <v>0</v>
      </c>
      <c r="BO53" s="242">
        <f t="shared" ca="1" si="18"/>
        <v>13.681055022434309</v>
      </c>
      <c r="BP53" s="67"/>
      <c r="BQ53" s="67"/>
      <c r="BR53" s="67"/>
      <c r="BS53" s="67"/>
      <c r="BT53" s="67"/>
      <c r="BU53" s="67"/>
    </row>
    <row r="54" spans="1:73" ht="12" customHeight="1" x14ac:dyDescent="0.15">
      <c r="A54" s="213">
        <f t="shared" si="19"/>
        <v>48</v>
      </c>
      <c r="B54" s="67">
        <f t="shared" si="20"/>
        <v>192</v>
      </c>
      <c r="C54" s="224">
        <f t="shared" si="21"/>
        <v>44.307692307692307</v>
      </c>
      <c r="D54" s="225">
        <f ca="1">IFERROR(OFFSET(extrapolation!V63,0,OS_dist_choice-1,1,1),0)</f>
        <v>0.34864406368774969</v>
      </c>
      <c r="E54" s="225">
        <f ca="1">IFERROR(OFFSET(extrapolation!J63,0,PFS_dist_choice-1,1,1),0)</f>
        <v>0.10209305891935209</v>
      </c>
      <c r="F54" s="214"/>
      <c r="G54" s="226">
        <f t="shared" ca="1" si="22"/>
        <v>102.09305891935209</v>
      </c>
      <c r="H54" s="224">
        <f t="shared" ca="1" si="23"/>
        <v>246.55100476839766</v>
      </c>
      <c r="I54" s="224">
        <f t="shared" ca="1" si="0"/>
        <v>651.35593631225026</v>
      </c>
      <c r="J54" s="227">
        <f t="shared" ca="1" si="1"/>
        <v>1000</v>
      </c>
      <c r="K54" s="238">
        <f t="shared" ca="1" si="24"/>
        <v>2.0829517540913827</v>
      </c>
      <c r="L54" s="239">
        <f t="shared" ca="1" si="25"/>
        <v>7.0425631278658329</v>
      </c>
      <c r="M54" s="238">
        <f t="shared" ca="1" si="26"/>
        <v>103.13453479639779</v>
      </c>
      <c r="N54" s="238">
        <f t="shared" ca="1" si="27"/>
        <v>249.03081045528489</v>
      </c>
      <c r="O54" s="239">
        <f t="shared" ca="1" si="28"/>
        <v>647.83465474831735</v>
      </c>
      <c r="P54" s="217"/>
      <c r="Q54" s="217"/>
      <c r="R54" s="224"/>
      <c r="S54" s="230">
        <f t="shared" ca="1" si="29"/>
        <v>154793.53677074521</v>
      </c>
      <c r="T54" s="231">
        <f t="shared" ca="1" si="30"/>
        <v>9635.20672878404</v>
      </c>
      <c r="U54" s="231">
        <f t="shared" ca="1" si="53"/>
        <v>14513.75344209293</v>
      </c>
      <c r="V54" s="231"/>
      <c r="W54" s="231">
        <f t="shared" ca="1" si="31"/>
        <v>38838.815651766665</v>
      </c>
      <c r="X54" s="231">
        <f t="shared" ca="1" si="32"/>
        <v>4854.8519564708331</v>
      </c>
      <c r="Y54" s="231"/>
      <c r="Z54" s="232">
        <f t="shared" ca="1" si="2"/>
        <v>222636.16454985968</v>
      </c>
      <c r="AA54" s="231">
        <f t="shared" ca="1" si="3"/>
        <v>1809.8399325466528</v>
      </c>
      <c r="AB54" s="231">
        <f t="shared" ca="1" si="33"/>
        <v>62893.890335894597</v>
      </c>
      <c r="AC54" s="231">
        <f t="shared" ca="1" si="34"/>
        <v>337611.66740817484</v>
      </c>
      <c r="AD54" s="231">
        <f t="shared" ca="1" si="35"/>
        <v>11722.627340561627</v>
      </c>
      <c r="AE54" s="231">
        <f t="shared" ca="1" si="4"/>
        <v>201773.09504192631</v>
      </c>
      <c r="AF54" s="231">
        <f t="shared" ca="1" si="5"/>
        <v>615811.12005910405</v>
      </c>
      <c r="AG54" s="232">
        <f t="shared" ca="1" si="6"/>
        <v>838447.28460896376</v>
      </c>
      <c r="AH54" s="244">
        <f t="shared" ca="1" si="36"/>
        <v>7.906275083638981</v>
      </c>
      <c r="AI54" s="243">
        <f t="shared" ca="1" si="37"/>
        <v>19.090657611904113</v>
      </c>
      <c r="AJ54" s="242">
        <f t="shared" ca="1" si="38"/>
        <v>26.996932695543094</v>
      </c>
      <c r="AK54" s="241">
        <f t="shared" ca="1" si="39"/>
        <v>5.692518060220066</v>
      </c>
      <c r="AL54" s="243">
        <f t="shared" ca="1" si="40"/>
        <v>8.4571613220735227</v>
      </c>
      <c r="AM54" s="243"/>
      <c r="AN54" s="242">
        <f t="shared" ca="1" si="7"/>
        <v>14.149679382293588</v>
      </c>
      <c r="AO54" s="224"/>
      <c r="AP54" s="235">
        <f t="shared" si="41"/>
        <v>3.6923076923076925</v>
      </c>
      <c r="AQ54" s="235">
        <f t="shared" si="8"/>
        <v>0.89660471107956985</v>
      </c>
      <c r="AR54" s="235">
        <f t="shared" si="9"/>
        <v>0.94651038306190149</v>
      </c>
      <c r="AT54" s="230">
        <f t="shared" ca="1" si="10"/>
        <v>138788.61431331877</v>
      </c>
      <c r="AU54" s="231">
        <f t="shared" ca="1" si="11"/>
        <v>8638.9717452533423</v>
      </c>
      <c r="AV54" s="231">
        <f t="shared" ca="1" si="42"/>
        <v>13013.099711627843</v>
      </c>
      <c r="AW54" s="231"/>
      <c r="AX54" s="231">
        <f t="shared" ca="1" si="43"/>
        <v>34823.065086124923</v>
      </c>
      <c r="AY54" s="231">
        <f t="shared" ca="1" si="44"/>
        <v>4352.8831357656154</v>
      </c>
      <c r="AZ54" s="231"/>
      <c r="BA54" s="232">
        <f t="shared" ca="1" si="12"/>
        <v>199616.6339920905</v>
      </c>
      <c r="BB54" s="231">
        <f t="shared" ca="1" si="13"/>
        <v>1622.7110098212597</v>
      </c>
      <c r="BC54" s="231">
        <f t="shared" ca="1" si="45"/>
        <v>56390.958373284928</v>
      </c>
      <c r="BD54" s="231">
        <f t="shared" ca="1" si="46"/>
        <v>302704.21151359845</v>
      </c>
      <c r="BE54" s="231">
        <f t="shared" ca="1" si="47"/>
        <v>10510.562899777724</v>
      </c>
      <c r="BF54" s="231">
        <f t="shared" ca="1" si="14"/>
        <v>180910.70758369693</v>
      </c>
      <c r="BG54" s="231">
        <f t="shared" ca="1" si="15"/>
        <v>552139.15138017933</v>
      </c>
      <c r="BH54" s="232">
        <f t="shared" ca="1" si="16"/>
        <v>751755.78537226981</v>
      </c>
      <c r="BI54" s="244">
        <f t="shared" ca="1" si="48"/>
        <v>7.4833714580078992</v>
      </c>
      <c r="BJ54" s="243">
        <f t="shared" ca="1" si="49"/>
        <v>18.069505649146969</v>
      </c>
      <c r="BK54" s="242">
        <f t="shared" ca="1" si="50"/>
        <v>25.552877107154867</v>
      </c>
      <c r="BL54" s="241">
        <f t="shared" ca="1" si="51"/>
        <v>5.388027449765687</v>
      </c>
      <c r="BM54" s="243">
        <f t="shared" ca="1" si="52"/>
        <v>8.004791002572107</v>
      </c>
      <c r="BN54" s="243">
        <f t="shared" si="17"/>
        <v>0</v>
      </c>
      <c r="BO54" s="242">
        <f t="shared" ca="1" si="18"/>
        <v>13.392818452337794</v>
      </c>
      <c r="BP54" s="67"/>
      <c r="BQ54" s="67"/>
      <c r="BR54" s="67"/>
      <c r="BS54" s="67"/>
      <c r="BT54" s="67"/>
      <c r="BU54" s="67"/>
    </row>
    <row r="55" spans="1:73" ht="12" customHeight="1" x14ac:dyDescent="0.15">
      <c r="A55" s="213">
        <f t="shared" si="19"/>
        <v>49</v>
      </c>
      <c r="B55" s="67">
        <f t="shared" si="20"/>
        <v>196</v>
      </c>
      <c r="C55" s="224">
        <f t="shared" si="21"/>
        <v>45.230769230769226</v>
      </c>
      <c r="D55" s="225">
        <f ca="1">IFERROR(OFFSET(extrapolation!V64,0,OS_dist_choice-1,1,1),0)</f>
        <v>0.34181018917617556</v>
      </c>
      <c r="E55" s="225">
        <f ca="1">IFERROR(OFFSET(extrapolation!J64,0,PFS_dist_choice-1,1,1),0)</f>
        <v>0.10009051050649267</v>
      </c>
      <c r="F55" s="214"/>
      <c r="G55" s="226">
        <f t="shared" ca="1" si="22"/>
        <v>100.09051050649268</v>
      </c>
      <c r="H55" s="224">
        <f t="shared" ca="1" si="23"/>
        <v>241.71967866968282</v>
      </c>
      <c r="I55" s="224">
        <f t="shared" ca="1" si="0"/>
        <v>658.18981082382447</v>
      </c>
      <c r="J55" s="227">
        <f t="shared" ca="1" si="1"/>
        <v>1000</v>
      </c>
      <c r="K55" s="238">
        <f t="shared" ca="1" si="24"/>
        <v>2.0025484128594115</v>
      </c>
      <c r="L55" s="239">
        <f t="shared" ca="1" si="25"/>
        <v>6.8338745115742086</v>
      </c>
      <c r="M55" s="238">
        <f t="shared" ca="1" si="26"/>
        <v>101.09178471292239</v>
      </c>
      <c r="N55" s="238">
        <f t="shared" ca="1" si="27"/>
        <v>244.13534171904024</v>
      </c>
      <c r="O55" s="239">
        <f t="shared" ca="1" si="28"/>
        <v>654.77287356803731</v>
      </c>
      <c r="P55" s="217"/>
      <c r="Q55" s="217"/>
      <c r="R55" s="224"/>
      <c r="S55" s="230">
        <f t="shared" ca="1" si="29"/>
        <v>151757.27206614841</v>
      </c>
      <c r="T55" s="231">
        <f t="shared" ca="1" si="30"/>
        <v>9446.2128035697824</v>
      </c>
      <c r="U55" s="231">
        <f t="shared" ca="1" si="53"/>
        <v>14229.06715462401</v>
      </c>
      <c r="V55" s="231"/>
      <c r="W55" s="231">
        <f t="shared" ca="1" si="31"/>
        <v>38069.548654331164</v>
      </c>
      <c r="X55" s="231">
        <f t="shared" ca="1" si="32"/>
        <v>4758.6935817913954</v>
      </c>
      <c r="Y55" s="231"/>
      <c r="Z55" s="232">
        <f t="shared" ca="1" si="2"/>
        <v>218260.79426046475</v>
      </c>
      <c r="AA55" s="231">
        <f t="shared" ca="1" si="3"/>
        <v>1739.9788916531381</v>
      </c>
      <c r="AB55" s="231">
        <f t="shared" ca="1" si="33"/>
        <v>61657.516919780865</v>
      </c>
      <c r="AC55" s="231">
        <f t="shared" ca="1" si="34"/>
        <v>330974.86869332299</v>
      </c>
      <c r="AD55" s="231">
        <f t="shared" ca="1" si="35"/>
        <v>11492.182940740382</v>
      </c>
      <c r="AE55" s="231">
        <f t="shared" ca="1" si="4"/>
        <v>195794.05768795966</v>
      </c>
      <c r="AF55" s="231">
        <f t="shared" ca="1" si="5"/>
        <v>601658.60513345699</v>
      </c>
      <c r="AG55" s="232">
        <f t="shared" ca="1" si="6"/>
        <v>819919.39939392172</v>
      </c>
      <c r="AH55" s="244">
        <f t="shared" ca="1" si="36"/>
        <v>7.7496782257681778</v>
      </c>
      <c r="AI55" s="243">
        <f t="shared" ca="1" si="37"/>
        <v>18.715371849782688</v>
      </c>
      <c r="AJ55" s="242">
        <f t="shared" ca="1" si="38"/>
        <v>26.465050075550867</v>
      </c>
      <c r="AK55" s="241">
        <f t="shared" ca="1" si="39"/>
        <v>5.5797683225530879</v>
      </c>
      <c r="AL55" s="243">
        <f t="shared" ca="1" si="40"/>
        <v>8.2909097294537304</v>
      </c>
      <c r="AM55" s="243"/>
      <c r="AN55" s="242">
        <f t="shared" ca="1" si="7"/>
        <v>13.870678052006818</v>
      </c>
      <c r="AO55" s="224"/>
      <c r="AP55" s="235">
        <f t="shared" si="41"/>
        <v>3.7692307692307692</v>
      </c>
      <c r="AQ55" s="235">
        <f t="shared" si="8"/>
        <v>0.89456836846309529</v>
      </c>
      <c r="AR55" s="235">
        <f t="shared" si="9"/>
        <v>0.94542698616674969</v>
      </c>
      <c r="AT55" s="230">
        <f t="shared" ca="1" si="10"/>
        <v>135757.25527462445</v>
      </c>
      <c r="AU55" s="231">
        <f t="shared" ca="1" si="11"/>
        <v>8450.2831758446209</v>
      </c>
      <c r="AV55" s="231">
        <f t="shared" ca="1" si="42"/>
        <v>12728.873389263817</v>
      </c>
      <c r="AW55" s="231"/>
      <c r="AX55" s="231">
        <f t="shared" ca="1" si="43"/>
        <v>34055.814027831453</v>
      </c>
      <c r="AY55" s="231">
        <f t="shared" ca="1" si="44"/>
        <v>4256.9767534789316</v>
      </c>
      <c r="AZ55" s="231"/>
      <c r="BA55" s="232">
        <f t="shared" ca="1" si="12"/>
        <v>195249.20262104328</v>
      </c>
      <c r="BB55" s="231">
        <f t="shared" ca="1" si="13"/>
        <v>1556.5300782663726</v>
      </c>
      <c r="BC55" s="231">
        <f t="shared" ca="1" si="45"/>
        <v>55156.864314414059</v>
      </c>
      <c r="BD55" s="231">
        <f t="shared" ca="1" si="46"/>
        <v>296079.64828927314</v>
      </c>
      <c r="BE55" s="231">
        <f t="shared" ca="1" si="47"/>
        <v>10280.54334337754</v>
      </c>
      <c r="BF55" s="231">
        <f t="shared" ca="1" si="14"/>
        <v>175151.17074068723</v>
      </c>
      <c r="BG55" s="231">
        <f t="shared" ca="1" si="15"/>
        <v>538224.75676601834</v>
      </c>
      <c r="BH55" s="232">
        <f t="shared" ca="1" si="16"/>
        <v>733473.95938706154</v>
      </c>
      <c r="BI55" s="244">
        <f t="shared" ca="1" si="48"/>
        <v>7.3267549287500922</v>
      </c>
      <c r="BJ55" s="243">
        <f t="shared" ca="1" si="49"/>
        <v>17.694017602930074</v>
      </c>
      <c r="BK55" s="242">
        <f t="shared" ca="1" si="50"/>
        <v>25.020772531680166</v>
      </c>
      <c r="BL55" s="241">
        <f t="shared" ca="1" si="51"/>
        <v>5.2752635487000665</v>
      </c>
      <c r="BM55" s="243">
        <f t="shared" ca="1" si="52"/>
        <v>7.8384497980980221</v>
      </c>
      <c r="BN55" s="243">
        <f t="shared" si="17"/>
        <v>0</v>
      </c>
      <c r="BO55" s="242">
        <f t="shared" ca="1" si="18"/>
        <v>13.11371334679809</v>
      </c>
      <c r="BP55" s="67"/>
      <c r="BQ55" s="67"/>
      <c r="BR55" s="67"/>
      <c r="BS55" s="67"/>
      <c r="BT55" s="67"/>
      <c r="BU55" s="67"/>
    </row>
    <row r="56" spans="1:73" ht="12" customHeight="1" x14ac:dyDescent="0.15">
      <c r="A56" s="213">
        <f t="shared" si="19"/>
        <v>50</v>
      </c>
      <c r="B56" s="67">
        <f t="shared" si="20"/>
        <v>200</v>
      </c>
      <c r="C56" s="224">
        <f t="shared" si="21"/>
        <v>46.153846153846153</v>
      </c>
      <c r="D56" s="225">
        <f ca="1">IFERROR(OFFSET(extrapolation!V65,0,OS_dist_choice-1,1,1),0)</f>
        <v>0.33517746087033751</v>
      </c>
      <c r="E56" s="225">
        <f ca="1">IFERROR(OFFSET(extrapolation!J65,0,PFS_dist_choice-1,1,1),0)</f>
        <v>9.8163819642621983E-2</v>
      </c>
      <c r="F56" s="214"/>
      <c r="G56" s="226">
        <f t="shared" ca="1" si="22"/>
        <v>98.163819642621988</v>
      </c>
      <c r="H56" s="224">
        <f t="shared" ca="1" si="23"/>
        <v>237.01364122771554</v>
      </c>
      <c r="I56" s="224">
        <f t="shared" ca="1" si="0"/>
        <v>664.82253912966246</v>
      </c>
      <c r="J56" s="227">
        <f t="shared" ca="1" si="1"/>
        <v>1000</v>
      </c>
      <c r="K56" s="238">
        <f t="shared" ca="1" si="24"/>
        <v>1.9266908638706894</v>
      </c>
      <c r="L56" s="239">
        <f t="shared" ca="1" si="25"/>
        <v>6.6327283058379862</v>
      </c>
      <c r="M56" s="238">
        <f t="shared" ca="1" si="26"/>
        <v>99.127165074557325</v>
      </c>
      <c r="N56" s="238">
        <f t="shared" ca="1" si="27"/>
        <v>239.36665994869918</v>
      </c>
      <c r="O56" s="239">
        <f t="shared" ca="1" si="28"/>
        <v>661.50617497674352</v>
      </c>
      <c r="P56" s="217"/>
      <c r="Q56" s="217"/>
      <c r="R56" s="224"/>
      <c r="S56" s="230">
        <f t="shared" ca="1" si="29"/>
        <v>148836.0226076713</v>
      </c>
      <c r="T56" s="231">
        <f t="shared" ca="1" si="30"/>
        <v>9264.3780640453442</v>
      </c>
      <c r="U56" s="231">
        <f t="shared" ca="1" si="53"/>
        <v>13955.164928034425</v>
      </c>
      <c r="V56" s="231"/>
      <c r="W56" s="231">
        <f t="shared" ca="1" si="31"/>
        <v>37329.704332437097</v>
      </c>
      <c r="X56" s="231">
        <f t="shared" ca="1" si="32"/>
        <v>4666.2130415546371</v>
      </c>
      <c r="Y56" s="231"/>
      <c r="Z56" s="232">
        <f t="shared" ca="1" si="2"/>
        <v>214051.48297374279</v>
      </c>
      <c r="AA56" s="231">
        <f t="shared" ca="1" si="3"/>
        <v>1674.0676092265362</v>
      </c>
      <c r="AB56" s="231">
        <f t="shared" ca="1" si="33"/>
        <v>60453.164142057154</v>
      </c>
      <c r="AC56" s="231">
        <f t="shared" ca="1" si="34"/>
        <v>324509.95537243539</v>
      </c>
      <c r="AD56" s="231">
        <f t="shared" ca="1" si="35"/>
        <v>11267.706783765116</v>
      </c>
      <c r="AE56" s="231">
        <f t="shared" ca="1" si="4"/>
        <v>190031.11431770452</v>
      </c>
      <c r="AF56" s="231">
        <f t="shared" ca="1" si="5"/>
        <v>587936.00822518871</v>
      </c>
      <c r="AG56" s="232">
        <f t="shared" ca="1" si="6"/>
        <v>801987.49119893147</v>
      </c>
      <c r="AH56" s="244">
        <f t="shared" ca="1" si="36"/>
        <v>7.5990708339154152</v>
      </c>
      <c r="AI56" s="243">
        <f t="shared" ca="1" si="37"/>
        <v>18.349805553904385</v>
      </c>
      <c r="AJ56" s="242">
        <f t="shared" ca="1" si="38"/>
        <v>25.948876387819801</v>
      </c>
      <c r="AK56" s="241">
        <f t="shared" ca="1" si="39"/>
        <v>5.4713310004190987</v>
      </c>
      <c r="AL56" s="243">
        <f t="shared" ca="1" si="40"/>
        <v>8.1289638603796437</v>
      </c>
      <c r="AM56" s="243"/>
      <c r="AN56" s="242">
        <f t="shared" ca="1" si="7"/>
        <v>13.600294860798742</v>
      </c>
      <c r="AO56" s="224"/>
      <c r="AP56" s="235">
        <f t="shared" si="41"/>
        <v>3.8461538461538463</v>
      </c>
      <c r="AQ56" s="235">
        <f t="shared" si="8"/>
        <v>0.89253665072891331</v>
      </c>
      <c r="AR56" s="235">
        <f t="shared" si="9"/>
        <v>0.94434482935184771</v>
      </c>
      <c r="AT56" s="230">
        <f t="shared" ca="1" si="10"/>
        <v>132841.60512606378</v>
      </c>
      <c r="AU56" s="231">
        <f t="shared" ca="1" si="11"/>
        <v>8268.7969683694446</v>
      </c>
      <c r="AV56" s="231">
        <f t="shared" ca="1" si="42"/>
        <v>12455.496165237442</v>
      </c>
      <c r="AW56" s="231"/>
      <c r="AX56" s="231">
        <f t="shared" ca="1" si="43"/>
        <v>33318.129277574008</v>
      </c>
      <c r="AY56" s="231">
        <f t="shared" ca="1" si="44"/>
        <v>4164.7661596967509</v>
      </c>
      <c r="AZ56" s="231"/>
      <c r="BA56" s="232">
        <f t="shared" ca="1" si="12"/>
        <v>191048.7936969414</v>
      </c>
      <c r="BB56" s="231">
        <f t="shared" ca="1" si="13"/>
        <v>1494.166697032812</v>
      </c>
      <c r="BC56" s="231">
        <f t="shared" ca="1" si="45"/>
        <v>53956.664649316932</v>
      </c>
      <c r="BD56" s="231">
        <f t="shared" ca="1" si="46"/>
        <v>289637.02869630262</v>
      </c>
      <c r="BE56" s="231">
        <f t="shared" ca="1" si="47"/>
        <v>10056.841274177172</v>
      </c>
      <c r="BF56" s="231">
        <f t="shared" ca="1" si="14"/>
        <v>169609.73430740723</v>
      </c>
      <c r="BG56" s="231">
        <f t="shared" ca="1" si="15"/>
        <v>524754.43562423671</v>
      </c>
      <c r="BH56" s="232">
        <f t="shared" ca="1" si="16"/>
        <v>715803.22932117817</v>
      </c>
      <c r="BI56" s="244">
        <f t="shared" ca="1" si="48"/>
        <v>7.1761432498864561</v>
      </c>
      <c r="BJ56" s="243">
        <f t="shared" ca="1" si="49"/>
        <v>17.328543994441425</v>
      </c>
      <c r="BK56" s="242">
        <f t="shared" ca="1" si="50"/>
        <v>24.504687244327879</v>
      </c>
      <c r="BL56" s="241">
        <f t="shared" ca="1" si="51"/>
        <v>5.1668231399182476</v>
      </c>
      <c r="BM56" s="243">
        <f t="shared" ca="1" si="52"/>
        <v>7.6765449895375522</v>
      </c>
      <c r="BN56" s="243">
        <f t="shared" si="17"/>
        <v>0</v>
      </c>
      <c r="BO56" s="242">
        <f t="shared" ca="1" si="18"/>
        <v>12.843368129455801</v>
      </c>
      <c r="BP56" s="67"/>
      <c r="BQ56" s="67"/>
      <c r="BR56" s="67"/>
      <c r="BS56" s="67"/>
      <c r="BT56" s="67"/>
      <c r="BU56" s="67"/>
    </row>
    <row r="57" spans="1:73" ht="12" customHeight="1" x14ac:dyDescent="0.15">
      <c r="A57" s="213">
        <f t="shared" si="19"/>
        <v>51</v>
      </c>
      <c r="B57" s="67">
        <f t="shared" si="20"/>
        <v>204</v>
      </c>
      <c r="C57" s="224">
        <f t="shared" si="21"/>
        <v>47.076923076923073</v>
      </c>
      <c r="D57" s="225">
        <f ca="1">IFERROR(OFFSET(extrapolation!V66,0,OS_dist_choice-1,1,1),0)</f>
        <v>0.32873861631948575</v>
      </c>
      <c r="E57" s="225">
        <f ca="1">IFERROR(OFFSET(extrapolation!J66,0,PFS_dist_choice-1,1,1),0)</f>
        <v>9.6308776078591826E-2</v>
      </c>
      <c r="F57" s="214"/>
      <c r="G57" s="226">
        <f t="shared" ca="1" si="22"/>
        <v>96.308776078591819</v>
      </c>
      <c r="H57" s="224">
        <f t="shared" ca="1" si="23"/>
        <v>232.42984024089401</v>
      </c>
      <c r="I57" s="224">
        <f t="shared" ca="1" si="0"/>
        <v>671.2613836805142</v>
      </c>
      <c r="J57" s="227">
        <f t="shared" ca="1" si="1"/>
        <v>1000</v>
      </c>
      <c r="K57" s="238">
        <f t="shared" ca="1" si="24"/>
        <v>1.8550435640301686</v>
      </c>
      <c r="L57" s="239">
        <f t="shared" ca="1" si="25"/>
        <v>6.4388445508517407</v>
      </c>
      <c r="M57" s="238">
        <f t="shared" ca="1" si="26"/>
        <v>97.236297860606896</v>
      </c>
      <c r="N57" s="238">
        <f t="shared" ca="1" si="27"/>
        <v>234.72174073430477</v>
      </c>
      <c r="O57" s="239">
        <f t="shared" ca="1" si="28"/>
        <v>668.04196140508839</v>
      </c>
      <c r="P57" s="217"/>
      <c r="Q57" s="217"/>
      <c r="R57" s="224"/>
      <c r="S57" s="230">
        <f t="shared" ca="1" si="29"/>
        <v>146023.40481387134</v>
      </c>
      <c r="T57" s="231">
        <f t="shared" ca="1" si="30"/>
        <v>9089.3051607596244</v>
      </c>
      <c r="U57" s="231">
        <f t="shared" ca="1" si="53"/>
        <v>13691.448224884769</v>
      </c>
      <c r="V57" s="231"/>
      <c r="W57" s="231">
        <f t="shared" ca="1" si="31"/>
        <v>36617.633993538788</v>
      </c>
      <c r="X57" s="231">
        <f t="shared" ca="1" si="32"/>
        <v>4577.2042491923485</v>
      </c>
      <c r="Y57" s="231"/>
      <c r="Z57" s="232">
        <f t="shared" ca="1" si="2"/>
        <v>209998.99644224689</v>
      </c>
      <c r="AA57" s="231">
        <f t="shared" ca="1" si="3"/>
        <v>1611.8145378071829</v>
      </c>
      <c r="AB57" s="231">
        <f t="shared" ca="1" si="33"/>
        <v>59280.068173911211</v>
      </c>
      <c r="AC57" s="231">
        <f t="shared" ca="1" si="34"/>
        <v>318212.82724567479</v>
      </c>
      <c r="AD57" s="231">
        <f t="shared" ca="1" si="35"/>
        <v>11049.056501585928</v>
      </c>
      <c r="AE57" s="231">
        <f t="shared" ca="1" si="4"/>
        <v>184476.24393718436</v>
      </c>
      <c r="AF57" s="231">
        <f t="shared" ca="1" si="5"/>
        <v>574630.01039616344</v>
      </c>
      <c r="AG57" s="232">
        <f t="shared" ca="1" si="6"/>
        <v>784629.00683841039</v>
      </c>
      <c r="AH57" s="244">
        <f t="shared" ca="1" si="36"/>
        <v>7.454117289793273</v>
      </c>
      <c r="AI57" s="243">
        <f t="shared" ca="1" si="37"/>
        <v>17.993726873540133</v>
      </c>
      <c r="AJ57" s="242">
        <f t="shared" ca="1" si="38"/>
        <v>25.447844163333407</v>
      </c>
      <c r="AK57" s="241">
        <f t="shared" ca="1" si="39"/>
        <v>5.3669644486511565</v>
      </c>
      <c r="AL57" s="243">
        <f t="shared" ca="1" si="40"/>
        <v>7.971221004978279</v>
      </c>
      <c r="AM57" s="243"/>
      <c r="AN57" s="242">
        <f t="shared" ca="1" si="7"/>
        <v>13.338185453629436</v>
      </c>
      <c r="AO57" s="224"/>
      <c r="AP57" s="235">
        <f t="shared" si="41"/>
        <v>3.9230769230769229</v>
      </c>
      <c r="AQ57" s="235">
        <f t="shared" si="8"/>
        <v>0.89050954737312527</v>
      </c>
      <c r="AR57" s="235">
        <f t="shared" si="9"/>
        <v>0.94326391119777209</v>
      </c>
      <c r="AT57" s="230">
        <f t="shared" ca="1" si="10"/>
        <v>130035.2361266832</v>
      </c>
      <c r="AU57" s="231">
        <f t="shared" ca="1" si="11"/>
        <v>8094.1130246442644</v>
      </c>
      <c r="AV57" s="231">
        <f t="shared" ca="1" si="42"/>
        <v>12192.365361624716</v>
      </c>
      <c r="AW57" s="231"/>
      <c r="AX57" s="231">
        <f t="shared" ca="1" si="43"/>
        <v>32608.352673460991</v>
      </c>
      <c r="AY57" s="231">
        <f t="shared" ca="1" si="44"/>
        <v>4076.0440841826239</v>
      </c>
      <c r="AZ57" s="231"/>
      <c r="BA57" s="232">
        <f t="shared" ca="1" si="12"/>
        <v>187006.11127059581</v>
      </c>
      <c r="BB57" s="231">
        <f t="shared" ca="1" si="13"/>
        <v>1435.3362345120975</v>
      </c>
      <c r="BC57" s="231">
        <f t="shared" ca="1" si="45"/>
        <v>52789.466677797682</v>
      </c>
      <c r="BD57" s="231">
        <f t="shared" ca="1" si="46"/>
        <v>283371.56075886835</v>
      </c>
      <c r="BE57" s="231">
        <f t="shared" ca="1" si="47"/>
        <v>9839.2903041273712</v>
      </c>
      <c r="BF57" s="231">
        <f t="shared" ca="1" si="14"/>
        <v>164277.85648959631</v>
      </c>
      <c r="BG57" s="231">
        <f t="shared" ca="1" si="15"/>
        <v>511713.5104649018</v>
      </c>
      <c r="BH57" s="232">
        <f t="shared" ca="1" si="16"/>
        <v>698719.62173549761</v>
      </c>
      <c r="BI57" s="244">
        <f t="shared" ca="1" si="48"/>
        <v>7.0311998292973392</v>
      </c>
      <c r="BJ57" s="243">
        <f t="shared" ca="1" si="49"/>
        <v>16.972833187759925</v>
      </c>
      <c r="BK57" s="242">
        <f t="shared" ca="1" si="50"/>
        <v>24.004033017057267</v>
      </c>
      <c r="BL57" s="241">
        <f t="shared" ca="1" si="51"/>
        <v>5.0624638770940846</v>
      </c>
      <c r="BM57" s="243">
        <f t="shared" ca="1" si="52"/>
        <v>7.5189651021776474</v>
      </c>
      <c r="BN57" s="243">
        <f t="shared" si="17"/>
        <v>0</v>
      </c>
      <c r="BO57" s="242">
        <f t="shared" ca="1" si="18"/>
        <v>12.581428979271731</v>
      </c>
      <c r="BP57" s="67"/>
      <c r="BQ57" s="67"/>
      <c r="BR57" s="67"/>
      <c r="BS57" s="67"/>
      <c r="BT57" s="67"/>
      <c r="BU57" s="67"/>
    </row>
    <row r="58" spans="1:73" ht="12" customHeight="1" x14ac:dyDescent="0.15">
      <c r="A58" s="213">
        <f t="shared" si="19"/>
        <v>52</v>
      </c>
      <c r="B58" s="67">
        <f t="shared" si="20"/>
        <v>208</v>
      </c>
      <c r="C58" s="224">
        <f t="shared" si="21"/>
        <v>48</v>
      </c>
      <c r="D58" s="225">
        <f ca="1">IFERROR(OFFSET(extrapolation!V67,0,OS_dist_choice-1,1,1),0)</f>
        <v>0.32248666639355172</v>
      </c>
      <c r="E58" s="225">
        <f ca="1">IFERROR(OFFSET(extrapolation!J67,0,PFS_dist_choice-1,1,1),0)</f>
        <v>9.452147475724626E-2</v>
      </c>
      <c r="F58" s="214"/>
      <c r="G58" s="226">
        <f t="shared" ca="1" si="22"/>
        <v>94.521474757246267</v>
      </c>
      <c r="H58" s="224">
        <f t="shared" ca="1" si="23"/>
        <v>227.96519163630535</v>
      </c>
      <c r="I58" s="224">
        <f t="shared" ca="1" si="0"/>
        <v>677.51333360644833</v>
      </c>
      <c r="J58" s="227">
        <f t="shared" ca="1" si="1"/>
        <v>1000</v>
      </c>
      <c r="K58" s="238">
        <f t="shared" ca="1" si="24"/>
        <v>1.7873013213455522</v>
      </c>
      <c r="L58" s="239">
        <f t="shared" ca="1" si="25"/>
        <v>6.2519499259341274</v>
      </c>
      <c r="M58" s="238">
        <f t="shared" ca="1" si="26"/>
        <v>95.415125417919043</v>
      </c>
      <c r="N58" s="238">
        <f t="shared" ca="1" si="27"/>
        <v>230.19751593859968</v>
      </c>
      <c r="O58" s="239">
        <f t="shared" ca="1" si="28"/>
        <v>674.38735864348132</v>
      </c>
      <c r="P58" s="217"/>
      <c r="Q58" s="217"/>
      <c r="R58" s="224"/>
      <c r="S58" s="230">
        <f t="shared" ca="1" si="29"/>
        <v>143313.49783552668</v>
      </c>
      <c r="T58" s="231">
        <f t="shared" ca="1" si="30"/>
        <v>8920.6255472768225</v>
      </c>
      <c r="U58" s="231">
        <f t="shared" ca="1" si="53"/>
        <v>13437.361894439642</v>
      </c>
      <c r="V58" s="231"/>
      <c r="W58" s="231">
        <f t="shared" ca="1" si="31"/>
        <v>35931.809590381628</v>
      </c>
      <c r="X58" s="231">
        <f t="shared" ca="1" si="32"/>
        <v>4491.4761987977035</v>
      </c>
      <c r="Y58" s="231"/>
      <c r="Z58" s="232">
        <f t="shared" ca="1" si="2"/>
        <v>206094.77106642246</v>
      </c>
      <c r="AA58" s="231">
        <f t="shared" ca="1" si="3"/>
        <v>1552.9545014716959</v>
      </c>
      <c r="AB58" s="231">
        <f t="shared" ca="1" si="33"/>
        <v>58137.454142997536</v>
      </c>
      <c r="AC58" s="231">
        <f t="shared" ca="1" si="34"/>
        <v>312079.32483199786</v>
      </c>
      <c r="AD58" s="231">
        <f t="shared" ca="1" si="35"/>
        <v>10836.087667777703</v>
      </c>
      <c r="AE58" s="231">
        <f t="shared" ca="1" si="4"/>
        <v>179121.61576677926</v>
      </c>
      <c r="AF58" s="231">
        <f t="shared" ca="1" si="5"/>
        <v>561727.43691102404</v>
      </c>
      <c r="AG58" s="232">
        <f t="shared" ca="1" si="6"/>
        <v>767822.20797744649</v>
      </c>
      <c r="AH58" s="244">
        <f t="shared" ca="1" si="36"/>
        <v>7.3145065344332192</v>
      </c>
      <c r="AI58" s="243">
        <f t="shared" ca="1" si="37"/>
        <v>17.646900605833789</v>
      </c>
      <c r="AJ58" s="242">
        <f t="shared" ca="1" si="38"/>
        <v>24.961407140267006</v>
      </c>
      <c r="AK58" s="241">
        <f t="shared" ca="1" si="39"/>
        <v>5.2664447047919181</v>
      </c>
      <c r="AL58" s="243">
        <f t="shared" ca="1" si="40"/>
        <v>7.817576968384369</v>
      </c>
      <c r="AM58" s="243"/>
      <c r="AN58" s="242">
        <f t="shared" ca="1" si="7"/>
        <v>13.084021673176288</v>
      </c>
      <c r="AO58" s="224"/>
      <c r="AP58" s="235">
        <f t="shared" si="41"/>
        <v>4</v>
      </c>
      <c r="AQ58" s="235">
        <f t="shared" si="8"/>
        <v>0.888487047915689</v>
      </c>
      <c r="AR58" s="235">
        <f t="shared" si="9"/>
        <v>0.94218423028672449</v>
      </c>
      <c r="AT58" s="230">
        <f t="shared" ca="1" si="10"/>
        <v>127332.18661835858</v>
      </c>
      <c r="AU58" s="231">
        <f t="shared" ca="1" si="11"/>
        <v>7925.8602580612614</v>
      </c>
      <c r="AV58" s="231">
        <f t="shared" ca="1" si="42"/>
        <v>11938.922001365449</v>
      </c>
      <c r="AW58" s="231"/>
      <c r="AX58" s="231">
        <f t="shared" ca="1" si="43"/>
        <v>31924.947429226817</v>
      </c>
      <c r="AY58" s="231">
        <f t="shared" ca="1" si="44"/>
        <v>3990.6184286533521</v>
      </c>
      <c r="AZ58" s="231"/>
      <c r="BA58" s="232">
        <f t="shared" ca="1" si="12"/>
        <v>183112.53473566545</v>
      </c>
      <c r="BB58" s="231">
        <f t="shared" ca="1" si="13"/>
        <v>1379.7799605599675</v>
      </c>
      <c r="BC58" s="231">
        <f t="shared" ca="1" si="45"/>
        <v>51654.37500484562</v>
      </c>
      <c r="BD58" s="231">
        <f t="shared" ca="1" si="46"/>
        <v>277278.43803550315</v>
      </c>
      <c r="BE58" s="231">
        <f t="shared" ca="1" si="47"/>
        <v>9627.7235428994154</v>
      </c>
      <c r="BF58" s="231">
        <f t="shared" ca="1" si="14"/>
        <v>159147.23561051404</v>
      </c>
      <c r="BG58" s="231">
        <f t="shared" ca="1" si="15"/>
        <v>499087.55215432215</v>
      </c>
      <c r="BH58" s="232">
        <f t="shared" ca="1" si="16"/>
        <v>682200.08688998758</v>
      </c>
      <c r="BI58" s="244">
        <f t="shared" ca="1" si="48"/>
        <v>6.891612709072179</v>
      </c>
      <c r="BJ58" s="243">
        <f t="shared" ca="1" si="49"/>
        <v>16.62663146425384</v>
      </c>
      <c r="BK58" s="242">
        <f t="shared" ca="1" si="50"/>
        <v>23.518244173326018</v>
      </c>
      <c r="BL58" s="241">
        <f t="shared" ca="1" si="51"/>
        <v>4.9619611505319696</v>
      </c>
      <c r="BM58" s="243">
        <f t="shared" ca="1" si="52"/>
        <v>7.3655977386644516</v>
      </c>
      <c r="BN58" s="243">
        <f t="shared" si="17"/>
        <v>0</v>
      </c>
      <c r="BO58" s="242">
        <f t="shared" ca="1" si="18"/>
        <v>12.327558889196421</v>
      </c>
      <c r="BP58" s="67"/>
      <c r="BQ58" s="67"/>
      <c r="BR58" s="67"/>
      <c r="BS58" s="67"/>
      <c r="BT58" s="67"/>
      <c r="BU58" s="67"/>
    </row>
    <row r="59" spans="1:73" ht="12" customHeight="1" x14ac:dyDescent="0.15">
      <c r="A59" s="213">
        <f t="shared" si="19"/>
        <v>53</v>
      </c>
      <c r="B59" s="67">
        <f t="shared" si="20"/>
        <v>212</v>
      </c>
      <c r="C59" s="224">
        <f t="shared" si="21"/>
        <v>48.92307692307692</v>
      </c>
      <c r="D59" s="225">
        <f ca="1">IFERROR(OFFSET(extrapolation!V68,0,OS_dist_choice-1,1,1),0)</f>
        <v>0.31641488806855245</v>
      </c>
      <c r="E59" s="225">
        <f ca="1">IFERROR(OFFSET(extrapolation!J68,0,PFS_dist_choice-1,1,1),0)</f>
        <v>9.2798288694194792E-2</v>
      </c>
      <c r="F59" s="214"/>
      <c r="G59" s="226">
        <f t="shared" ca="1" si="22"/>
        <v>92.798288694194795</v>
      </c>
      <c r="H59" s="224">
        <f t="shared" ca="1" si="23"/>
        <v>223.61659937435775</v>
      </c>
      <c r="I59" s="224">
        <f t="shared" ca="1" si="0"/>
        <v>683.5851119314475</v>
      </c>
      <c r="J59" s="227">
        <f t="shared" ca="1" si="1"/>
        <v>1000</v>
      </c>
      <c r="K59" s="238">
        <f t="shared" ca="1" si="24"/>
        <v>1.7231860630514717</v>
      </c>
      <c r="L59" s="239">
        <f t="shared" ca="1" si="25"/>
        <v>6.0717783249991726</v>
      </c>
      <c r="M59" s="238">
        <f t="shared" ca="1" si="26"/>
        <v>93.659881725720538</v>
      </c>
      <c r="N59" s="238">
        <f t="shared" ca="1" si="27"/>
        <v>225.79089550533155</v>
      </c>
      <c r="O59" s="239">
        <f t="shared" ca="1" si="28"/>
        <v>680.54922276894786</v>
      </c>
      <c r="P59" s="217"/>
      <c r="Q59" s="217"/>
      <c r="R59" s="224"/>
      <c r="S59" s="230">
        <f t="shared" ca="1" si="29"/>
        <v>140700.80243745362</v>
      </c>
      <c r="T59" s="231">
        <f t="shared" ca="1" si="30"/>
        <v>8757.9969207530921</v>
      </c>
      <c r="U59" s="231">
        <f t="shared" ca="1" si="53"/>
        <v>13192.390317344118</v>
      </c>
      <c r="V59" s="231"/>
      <c r="W59" s="231">
        <f t="shared" ca="1" si="31"/>
        <v>35270.812899798744</v>
      </c>
      <c r="X59" s="231">
        <f t="shared" ca="1" si="32"/>
        <v>4408.851612474843</v>
      </c>
      <c r="Y59" s="231"/>
      <c r="Z59" s="232">
        <f t="shared" ca="1" si="2"/>
        <v>202330.85418782441</v>
      </c>
      <c r="AA59" s="231">
        <f t="shared" ca="1" si="3"/>
        <v>1497.2458877132426</v>
      </c>
      <c r="AB59" s="231">
        <f t="shared" ca="1" si="33"/>
        <v>57024.541641226424</v>
      </c>
      <c r="AC59" s="231">
        <f t="shared" ca="1" si="34"/>
        <v>306105.25893472723</v>
      </c>
      <c r="AD59" s="231">
        <f t="shared" ca="1" si="35"/>
        <v>10628.654824122472</v>
      </c>
      <c r="AE59" s="231">
        <f t="shared" ca="1" si="4"/>
        <v>173959.60572877747</v>
      </c>
      <c r="AF59" s="231">
        <f t="shared" ca="1" si="5"/>
        <v>549215.30701656686</v>
      </c>
      <c r="AG59" s="232">
        <f t="shared" ca="1" si="6"/>
        <v>751546.16120439128</v>
      </c>
      <c r="AH59" s="244">
        <f t="shared" ca="1" si="36"/>
        <v>7.1799498653529774</v>
      </c>
      <c r="AI59" s="243">
        <f t="shared" ca="1" si="37"/>
        <v>17.309089867622951</v>
      </c>
      <c r="AJ59" s="242">
        <f t="shared" ca="1" si="38"/>
        <v>24.489039732975929</v>
      </c>
      <c r="AK59" s="241">
        <f t="shared" ca="1" si="39"/>
        <v>5.1695639030541436</v>
      </c>
      <c r="AL59" s="243">
        <f t="shared" ca="1" si="40"/>
        <v>7.6679268113569679</v>
      </c>
      <c r="AM59" s="243"/>
      <c r="AN59" s="242">
        <f t="shared" ca="1" si="7"/>
        <v>12.837490714411111</v>
      </c>
      <c r="AO59" s="224"/>
      <c r="AP59" s="235">
        <f t="shared" si="41"/>
        <v>4.0769230769230766</v>
      </c>
      <c r="AQ59" s="235">
        <f t="shared" si="8"/>
        <v>0.88646914190036363</v>
      </c>
      <c r="AR59" s="235">
        <f t="shared" si="9"/>
        <v>0.94110578520252819</v>
      </c>
      <c r="AT59" s="230">
        <f t="shared" ca="1" si="10"/>
        <v>124726.91960142209</v>
      </c>
      <c r="AU59" s="231">
        <f t="shared" ca="1" si="11"/>
        <v>7763.6940151060207</v>
      </c>
      <c r="AV59" s="231">
        <f t="shared" ca="1" si="42"/>
        <v>11694.646924230707</v>
      </c>
      <c r="AW59" s="231"/>
      <c r="AX59" s="231">
        <f t="shared" ca="1" si="43"/>
        <v>31266.487245412871</v>
      </c>
      <c r="AY59" s="231">
        <f t="shared" ca="1" si="44"/>
        <v>3908.3109056766089</v>
      </c>
      <c r="AZ59" s="231"/>
      <c r="BA59" s="232">
        <f t="shared" ca="1" si="12"/>
        <v>179360.0586918483</v>
      </c>
      <c r="BB59" s="231">
        <f t="shared" ca="1" si="13"/>
        <v>1327.2622772950065</v>
      </c>
      <c r="BC59" s="231">
        <f t="shared" ca="1" si="45"/>
        <v>50550.496495959538</v>
      </c>
      <c r="BD59" s="231">
        <f t="shared" ca="1" si="46"/>
        <v>271352.86621905625</v>
      </c>
      <c r="BE59" s="231">
        <f t="shared" ca="1" si="47"/>
        <v>9421.9745214950071</v>
      </c>
      <c r="BF59" s="231">
        <f t="shared" ca="1" si="14"/>
        <v>154209.82241571494</v>
      </c>
      <c r="BG59" s="231">
        <f t="shared" ca="1" si="15"/>
        <v>486862.42192952079</v>
      </c>
      <c r="BH59" s="232">
        <f t="shared" ca="1" si="16"/>
        <v>666222.48062136909</v>
      </c>
      <c r="BI59" s="244">
        <f t="shared" ca="1" si="48"/>
        <v>6.7570923557478002</v>
      </c>
      <c r="BJ59" s="243">
        <f t="shared" ca="1" si="49"/>
        <v>16.289684611010422</v>
      </c>
      <c r="BK59" s="242">
        <f t="shared" ca="1" si="50"/>
        <v>23.046776966758223</v>
      </c>
      <c r="BL59" s="241">
        <f t="shared" ca="1" si="51"/>
        <v>4.8651064961384165</v>
      </c>
      <c r="BM59" s="243">
        <f t="shared" ca="1" si="52"/>
        <v>7.2163302826776174</v>
      </c>
      <c r="BN59" s="243">
        <f t="shared" si="17"/>
        <v>0</v>
      </c>
      <c r="BO59" s="242">
        <f t="shared" ca="1" si="18"/>
        <v>12.081436778816032</v>
      </c>
      <c r="BP59" s="67"/>
      <c r="BQ59" s="67"/>
      <c r="BR59" s="67"/>
      <c r="BS59" s="67"/>
      <c r="BT59" s="67"/>
      <c r="BU59" s="67"/>
    </row>
    <row r="60" spans="1:73" ht="12" customHeight="1" x14ac:dyDescent="0.15">
      <c r="A60" s="213">
        <f t="shared" si="19"/>
        <v>54</v>
      </c>
      <c r="B60" s="67">
        <f t="shared" si="20"/>
        <v>216</v>
      </c>
      <c r="C60" s="224">
        <f t="shared" si="21"/>
        <v>49.846153846153854</v>
      </c>
      <c r="D60" s="225">
        <f ca="1">IFERROR(OFFSET(extrapolation!V69,0,OS_dist_choice-1,1,1),0)</f>
        <v>0.31051681678994181</v>
      </c>
      <c r="E60" s="225">
        <f ca="1">IFERROR(OFFSET(extrapolation!J69,0,PFS_dist_choice-1,1,1),0)</f>
        <v>9.1135844696402846E-2</v>
      </c>
      <c r="F60" s="214"/>
      <c r="G60" s="226">
        <f t="shared" ca="1" si="22"/>
        <v>91.135844696402842</v>
      </c>
      <c r="H60" s="224">
        <f t="shared" ca="1" si="23"/>
        <v>219.38097209353896</v>
      </c>
      <c r="I60" s="224">
        <f t="shared" ca="1" si="0"/>
        <v>689.4831832100582</v>
      </c>
      <c r="J60" s="227">
        <f t="shared" ca="1" si="1"/>
        <v>1000</v>
      </c>
      <c r="K60" s="238">
        <f t="shared" ca="1" si="24"/>
        <v>1.6624439977919536</v>
      </c>
      <c r="L60" s="239">
        <f t="shared" ca="1" si="25"/>
        <v>5.8980712786107006</v>
      </c>
      <c r="M60" s="238">
        <f t="shared" ca="1" si="26"/>
        <v>91.967066695298826</v>
      </c>
      <c r="N60" s="238">
        <f t="shared" ca="1" si="27"/>
        <v>221.49878573394835</v>
      </c>
      <c r="O60" s="239">
        <f t="shared" ca="1" si="28"/>
        <v>686.53414757075279</v>
      </c>
      <c r="P60" s="217"/>
      <c r="Q60" s="217"/>
      <c r="R60" s="224"/>
      <c r="S60" s="230">
        <f t="shared" ca="1" si="29"/>
        <v>138180.20418302386</v>
      </c>
      <c r="T60" s="231">
        <f t="shared" ca="1" si="30"/>
        <v>8601.1009303370829</v>
      </c>
      <c r="U60" s="231">
        <f t="shared" ca="1" si="53"/>
        <v>12956.053953730019</v>
      </c>
      <c r="V60" s="231"/>
      <c r="W60" s="231">
        <f t="shared" ca="1" si="31"/>
        <v>34633.325844382416</v>
      </c>
      <c r="X60" s="231">
        <f t="shared" ca="1" si="32"/>
        <v>4329.165730547802</v>
      </c>
      <c r="Y60" s="231"/>
      <c r="Z60" s="232">
        <f t="shared" ca="1" si="2"/>
        <v>198699.85064202116</v>
      </c>
      <c r="AA60" s="231">
        <f t="shared" ca="1" si="3"/>
        <v>1444.468181712085</v>
      </c>
      <c r="AB60" s="231">
        <f t="shared" ca="1" si="33"/>
        <v>55940.549340123318</v>
      </c>
      <c r="AC60" s="231">
        <f t="shared" ca="1" si="34"/>
        <v>300286.43541659956</v>
      </c>
      <c r="AD60" s="231">
        <f t="shared" ca="1" si="35"/>
        <v>10426.612340854152</v>
      </c>
      <c r="AE60" s="231">
        <f t="shared" ca="1" si="4"/>
        <v>168982.80853945433</v>
      </c>
      <c r="AF60" s="231">
        <f t="shared" ca="1" si="5"/>
        <v>537080.87381874339</v>
      </c>
      <c r="AG60" s="232">
        <f t="shared" ca="1" si="6"/>
        <v>735780.72446076456</v>
      </c>
      <c r="AH60" s="244">
        <f t="shared" ca="1" si="36"/>
        <v>7.0501789663747214</v>
      </c>
      <c r="AI60" s="243">
        <f t="shared" ca="1" si="37"/>
        <v>16.980057496373863</v>
      </c>
      <c r="AJ60" s="242">
        <f t="shared" ca="1" si="38"/>
        <v>24.030236462748583</v>
      </c>
      <c r="AK60" s="241">
        <f t="shared" ca="1" si="39"/>
        <v>5.0761288557897997</v>
      </c>
      <c r="AL60" s="243">
        <f t="shared" ca="1" si="40"/>
        <v>7.5221654708936212</v>
      </c>
      <c r="AM60" s="243"/>
      <c r="AN60" s="242">
        <f t="shared" ca="1" si="7"/>
        <v>12.598294326683421</v>
      </c>
      <c r="AO60" s="224"/>
      <c r="AP60" s="235">
        <f t="shared" si="41"/>
        <v>4.1538461538461542</v>
      </c>
      <c r="AQ60" s="235">
        <f t="shared" si="8"/>
        <v>0.88445581889465696</v>
      </c>
      <c r="AR60" s="235">
        <f t="shared" si="9"/>
        <v>0.94002857453062871</v>
      </c>
      <c r="AT60" s="230">
        <f t="shared" ca="1" si="10"/>
        <v>122214.28564572727</v>
      </c>
      <c r="AU60" s="231">
        <f t="shared" ca="1" si="11"/>
        <v>7607.2937667368806</v>
      </c>
      <c r="AV60" s="231">
        <f t="shared" ca="1" si="42"/>
        <v>11459.057309289643</v>
      </c>
      <c r="AW60" s="231"/>
      <c r="AX60" s="231">
        <f t="shared" ca="1" si="43"/>
        <v>30631.646570738736</v>
      </c>
      <c r="AY60" s="231">
        <f t="shared" ca="1" si="44"/>
        <v>3828.955821342342</v>
      </c>
      <c r="AZ60" s="231"/>
      <c r="BA60" s="232">
        <f t="shared" ca="1" si="12"/>
        <v>175741.23911383486</v>
      </c>
      <c r="BB60" s="231">
        <f t="shared" ca="1" si="13"/>
        <v>1277.5682885234382</v>
      </c>
      <c r="BC60" s="231">
        <f t="shared" ca="1" si="45"/>
        <v>49476.944376035732</v>
      </c>
      <c r="BD60" s="231">
        <f t="shared" ca="1" si="46"/>
        <v>265590.08513934608</v>
      </c>
      <c r="BE60" s="231">
        <f t="shared" ca="1" si="47"/>
        <v>9221.8779562272957</v>
      </c>
      <c r="BF60" s="231">
        <f t="shared" ca="1" si="14"/>
        <v>149457.82830588211</v>
      </c>
      <c r="BG60" s="231">
        <f t="shared" ca="1" si="15"/>
        <v>475024.30406601459</v>
      </c>
      <c r="BH60" s="232">
        <f t="shared" ca="1" si="16"/>
        <v>650765.54317984951</v>
      </c>
      <c r="BI60" s="244">
        <f t="shared" ca="1" si="48"/>
        <v>6.6273696839470508</v>
      </c>
      <c r="BJ60" s="243">
        <f t="shared" ca="1" si="49"/>
        <v>15.961739243764439</v>
      </c>
      <c r="BK60" s="242">
        <f t="shared" ca="1" si="50"/>
        <v>22.589108927711489</v>
      </c>
      <c r="BL60" s="241">
        <f t="shared" ca="1" si="51"/>
        <v>4.7717061724418768</v>
      </c>
      <c r="BM60" s="243">
        <f t="shared" ca="1" si="52"/>
        <v>7.0710504849876461</v>
      </c>
      <c r="BN60" s="243">
        <f t="shared" si="17"/>
        <v>0</v>
      </c>
      <c r="BO60" s="242">
        <f t="shared" ca="1" si="18"/>
        <v>11.842756657429524</v>
      </c>
      <c r="BP60" s="67"/>
      <c r="BQ60" s="67"/>
      <c r="BR60" s="67"/>
      <c r="BS60" s="67"/>
      <c r="BT60" s="67"/>
      <c r="BU60" s="67"/>
    </row>
    <row r="61" spans="1:73" ht="12" customHeight="1" x14ac:dyDescent="0.15">
      <c r="A61" s="213">
        <f t="shared" si="19"/>
        <v>55</v>
      </c>
      <c r="B61" s="67">
        <f t="shared" si="20"/>
        <v>220</v>
      </c>
      <c r="C61" s="224">
        <f t="shared" si="21"/>
        <v>50.769230769230774</v>
      </c>
      <c r="D61" s="225">
        <f ca="1">IFERROR(OFFSET(extrapolation!V70,0,OS_dist_choice-1,1,1),0)</f>
        <v>0.30478623854234294</v>
      </c>
      <c r="E61" s="225">
        <f ca="1">IFERROR(OFFSET(extrapolation!J70,0,PFS_dist_choice-1,1,1),0)</f>
        <v>8.9531001578453701E-2</v>
      </c>
      <c r="F61" s="214"/>
      <c r="G61" s="226">
        <f t="shared" ca="1" si="22"/>
        <v>89.531001578453697</v>
      </c>
      <c r="H61" s="224">
        <f t="shared" ca="1" si="23"/>
        <v>215.25523696388927</v>
      </c>
      <c r="I61" s="224">
        <f t="shared" ca="1" si="0"/>
        <v>695.21376145765703</v>
      </c>
      <c r="J61" s="227">
        <f t="shared" ca="1" si="1"/>
        <v>1000</v>
      </c>
      <c r="K61" s="238">
        <f t="shared" ca="1" si="24"/>
        <v>1.6048431179491445</v>
      </c>
      <c r="L61" s="239">
        <f t="shared" ca="1" si="25"/>
        <v>5.7305782475988281</v>
      </c>
      <c r="M61" s="238">
        <f t="shared" ca="1" si="26"/>
        <v>90.333423137428269</v>
      </c>
      <c r="N61" s="238">
        <f t="shared" ca="1" si="27"/>
        <v>217.31810452871412</v>
      </c>
      <c r="O61" s="239">
        <f t="shared" ca="1" si="28"/>
        <v>692.34847233385767</v>
      </c>
      <c r="P61" s="217"/>
      <c r="Q61" s="217"/>
      <c r="R61" s="224"/>
      <c r="S61" s="230">
        <f t="shared" ca="1" si="29"/>
        <v>135746.94040565213</v>
      </c>
      <c r="T61" s="231">
        <f t="shared" ca="1" si="30"/>
        <v>8449.6411212924631</v>
      </c>
      <c r="U61" s="231">
        <f t="shared" ca="1" si="53"/>
        <v>12727.906246396133</v>
      </c>
      <c r="V61" s="231"/>
      <c r="W61" s="231">
        <f t="shared" ca="1" si="31"/>
        <v>34018.121818785286</v>
      </c>
      <c r="X61" s="231">
        <f t="shared" ca="1" si="32"/>
        <v>4252.2652273481608</v>
      </c>
      <c r="Y61" s="231"/>
      <c r="Z61" s="232">
        <f t="shared" ca="1" si="2"/>
        <v>195194.87481947418</v>
      </c>
      <c r="AA61" s="231">
        <f t="shared" ca="1" si="3"/>
        <v>1394.419796153192</v>
      </c>
      <c r="AB61" s="231">
        <f t="shared" ca="1" si="33"/>
        <v>54884.698842063961</v>
      </c>
      <c r="AC61" s="231">
        <f t="shared" ca="1" si="34"/>
        <v>294618.67587302864</v>
      </c>
      <c r="AD61" s="231">
        <f t="shared" ca="1" si="35"/>
        <v>10229.815134480159</v>
      </c>
      <c r="AE61" s="231">
        <f t="shared" ca="1" si="4"/>
        <v>164184.04612133736</v>
      </c>
      <c r="AF61" s="231">
        <f t="shared" ca="1" si="5"/>
        <v>525311.65576706326</v>
      </c>
      <c r="AG61" s="232">
        <f t="shared" ca="1" si="6"/>
        <v>720506.53058653744</v>
      </c>
      <c r="AH61" s="244">
        <f t="shared" ca="1" si="36"/>
        <v>6.9249441419520634</v>
      </c>
      <c r="AI61" s="243">
        <f t="shared" ca="1" si="37"/>
        <v>16.659567219175894</v>
      </c>
      <c r="AJ61" s="242">
        <f t="shared" ca="1" si="38"/>
        <v>23.584511361127959</v>
      </c>
      <c r="AK61" s="241">
        <f t="shared" ca="1" si="39"/>
        <v>4.9859597822054855</v>
      </c>
      <c r="AL61" s="243">
        <f t="shared" ca="1" si="40"/>
        <v>7.3801882780949208</v>
      </c>
      <c r="AM61" s="243"/>
      <c r="AN61" s="242">
        <f t="shared" ca="1" si="7"/>
        <v>12.366148060300407</v>
      </c>
      <c r="AO61" s="224"/>
      <c r="AP61" s="235">
        <f t="shared" si="41"/>
        <v>4.2307692307692308</v>
      </c>
      <c r="AQ61" s="235">
        <f t="shared" si="8"/>
        <v>0.88244706848977073</v>
      </c>
      <c r="AR61" s="235">
        <f t="shared" si="9"/>
        <v>0.93895259685809018</v>
      </c>
      <c r="AT61" s="230">
        <f t="shared" ca="1" si="10"/>
        <v>119789.48961742333</v>
      </c>
      <c r="AU61" s="231">
        <f t="shared" ca="1" si="11"/>
        <v>7456.3610372751536</v>
      </c>
      <c r="AV61" s="231">
        <f t="shared" ca="1" si="42"/>
        <v>11231.703555144908</v>
      </c>
      <c r="AW61" s="231"/>
      <c r="AX61" s="231">
        <f t="shared" ca="1" si="43"/>
        <v>30019.191874514985</v>
      </c>
      <c r="AY61" s="231">
        <f t="shared" ca="1" si="44"/>
        <v>3752.3989843143731</v>
      </c>
      <c r="AZ61" s="231"/>
      <c r="BA61" s="232">
        <f t="shared" ca="1" si="12"/>
        <v>172249.14506867275</v>
      </c>
      <c r="BB61" s="231">
        <f t="shared" ca="1" si="13"/>
        <v>1230.501661359488</v>
      </c>
      <c r="BC61" s="231">
        <f t="shared" ca="1" si="45"/>
        <v>48432.841598123254</v>
      </c>
      <c r="BD61" s="231">
        <f t="shared" ca="1" si="46"/>
        <v>259985.38684649207</v>
      </c>
      <c r="BE61" s="231">
        <f t="shared" ca="1" si="47"/>
        <v>9027.2703766143059</v>
      </c>
      <c r="BF61" s="231">
        <f t="shared" ca="1" si="14"/>
        <v>144883.73019256347</v>
      </c>
      <c r="BG61" s="231">
        <f t="shared" ca="1" si="15"/>
        <v>463559.73067515256</v>
      </c>
      <c r="BH61" s="232">
        <f t="shared" ca="1" si="16"/>
        <v>635808.87574382534</v>
      </c>
      <c r="BI61" s="244">
        <f t="shared" ca="1" si="48"/>
        <v>6.5021942851831094</v>
      </c>
      <c r="BJ61" s="243">
        <f t="shared" ca="1" si="49"/>
        <v>15.642543902977119</v>
      </c>
      <c r="BK61" s="242">
        <f t="shared" ca="1" si="50"/>
        <v>22.144738188160229</v>
      </c>
      <c r="BL61" s="241">
        <f t="shared" ca="1" si="51"/>
        <v>4.6815798853318382</v>
      </c>
      <c r="BM61" s="243">
        <f t="shared" ca="1" si="52"/>
        <v>6.9296469490188626</v>
      </c>
      <c r="BN61" s="243">
        <f t="shared" si="17"/>
        <v>0</v>
      </c>
      <c r="BO61" s="242">
        <f t="shared" ca="1" si="18"/>
        <v>11.611226834350703</v>
      </c>
      <c r="BP61" s="67"/>
      <c r="BQ61" s="67"/>
      <c r="BR61" s="67"/>
      <c r="BS61" s="67"/>
      <c r="BT61" s="67"/>
      <c r="BU61" s="67"/>
    </row>
    <row r="62" spans="1:73" ht="12" customHeight="1" x14ac:dyDescent="0.15">
      <c r="A62" s="213">
        <f t="shared" si="19"/>
        <v>56</v>
      </c>
      <c r="B62" s="67">
        <f t="shared" si="20"/>
        <v>224</v>
      </c>
      <c r="C62" s="224">
        <f t="shared" si="21"/>
        <v>51.692307692307693</v>
      </c>
      <c r="D62" s="225">
        <f ca="1">IFERROR(OFFSET(extrapolation!V71,0,OS_dist_choice-1,1,1),0)</f>
        <v>0.2992171817327548</v>
      </c>
      <c r="E62" s="225">
        <f ca="1">IFERROR(OFFSET(extrapolation!J71,0,PFS_dist_choice-1,1,1),0)</f>
        <v>8.7980830582099698E-2</v>
      </c>
      <c r="F62" s="214"/>
      <c r="G62" s="226">
        <f t="shared" ca="1" si="22"/>
        <v>87.980830582099699</v>
      </c>
      <c r="H62" s="224">
        <f t="shared" ca="1" si="23"/>
        <v>211.2363511506552</v>
      </c>
      <c r="I62" s="224">
        <f t="shared" ca="1" si="0"/>
        <v>700.78281826724515</v>
      </c>
      <c r="J62" s="227">
        <f t="shared" ca="1" si="1"/>
        <v>1000</v>
      </c>
      <c r="K62" s="238">
        <f t="shared" ca="1" si="24"/>
        <v>1.550170996353998</v>
      </c>
      <c r="L62" s="239">
        <f t="shared" ca="1" si="25"/>
        <v>5.569056809588119</v>
      </c>
      <c r="M62" s="238">
        <f t="shared" ca="1" si="26"/>
        <v>88.755916080276705</v>
      </c>
      <c r="N62" s="238">
        <f t="shared" ca="1" si="27"/>
        <v>213.24579405727224</v>
      </c>
      <c r="O62" s="239">
        <f t="shared" ca="1" si="28"/>
        <v>697.99828986245109</v>
      </c>
      <c r="P62" s="217"/>
      <c r="Q62" s="217"/>
      <c r="R62" s="224"/>
      <c r="S62" s="230">
        <f t="shared" ca="1" si="29"/>
        <v>133396.5705209118</v>
      </c>
      <c r="T62" s="231">
        <f t="shared" ca="1" si="30"/>
        <v>8303.341087059629</v>
      </c>
      <c r="U62" s="231">
        <f t="shared" ca="1" si="53"/>
        <v>12507.530837212455</v>
      </c>
      <c r="V62" s="231"/>
      <c r="W62" s="231">
        <f t="shared" ca="1" si="31"/>
        <v>33424.057901174921</v>
      </c>
      <c r="X62" s="231">
        <f t="shared" ca="1" si="32"/>
        <v>4178.0072376468652</v>
      </c>
      <c r="Y62" s="231"/>
      <c r="Z62" s="232">
        <f t="shared" ca="1" si="2"/>
        <v>191809.50758400568</v>
      </c>
      <c r="AA62" s="231">
        <f t="shared" ca="1" si="3"/>
        <v>1346.9161568271315</v>
      </c>
      <c r="AB62" s="231">
        <f t="shared" ca="1" si="33"/>
        <v>53856.217877253504</v>
      </c>
      <c r="AC62" s="231">
        <f t="shared" ca="1" si="34"/>
        <v>289097.83479334973</v>
      </c>
      <c r="AD62" s="231">
        <f t="shared" ca="1" si="35"/>
        <v>10038.119263657976</v>
      </c>
      <c r="AE62" s="231">
        <f t="shared" ca="1" si="4"/>
        <v>159556.37294733492</v>
      </c>
      <c r="AF62" s="231">
        <f t="shared" ca="1" si="5"/>
        <v>513895.46103842324</v>
      </c>
      <c r="AG62" s="232">
        <f t="shared" ca="1" si="6"/>
        <v>705704.96862242895</v>
      </c>
      <c r="AH62" s="244">
        <f t="shared" ca="1" si="36"/>
        <v>6.8040127316844563</v>
      </c>
      <c r="AI62" s="243">
        <f t="shared" ca="1" si="37"/>
        <v>16.347384623144759</v>
      </c>
      <c r="AJ62" s="242">
        <f t="shared" ca="1" si="38"/>
        <v>23.151397354829214</v>
      </c>
      <c r="AK62" s="241">
        <f t="shared" ca="1" si="39"/>
        <v>4.8988891668128085</v>
      </c>
      <c r="AL62" s="243">
        <f t="shared" ca="1" si="40"/>
        <v>7.2418913880531282</v>
      </c>
      <c r="AM62" s="243"/>
      <c r="AN62" s="242">
        <f t="shared" ca="1" si="7"/>
        <v>12.140780554865938</v>
      </c>
      <c r="AO62" s="224"/>
      <c r="AP62" s="235">
        <f t="shared" si="41"/>
        <v>4.3076923076923075</v>
      </c>
      <c r="AQ62" s="235">
        <f t="shared" si="8"/>
        <v>0.88044288030054607</v>
      </c>
      <c r="AR62" s="235">
        <f t="shared" si="9"/>
        <v>0.93787785077359376</v>
      </c>
      <c r="AT62" s="230">
        <f t="shared" ca="1" si="10"/>
        <v>117448.0607716465</v>
      </c>
      <c r="AU62" s="231">
        <f t="shared" ca="1" si="11"/>
        <v>7310.6175428086472</v>
      </c>
      <c r="AV62" s="231">
        <f t="shared" ca="1" si="42"/>
        <v>11012.166475763233</v>
      </c>
      <c r="AW62" s="231"/>
      <c r="AX62" s="231">
        <f t="shared" ca="1" si="43"/>
        <v>29427.973809842671</v>
      </c>
      <c r="AY62" s="231">
        <f t="shared" ca="1" si="44"/>
        <v>3678.4967262303339</v>
      </c>
      <c r="AZ62" s="231"/>
      <c r="BA62" s="232">
        <f t="shared" ca="1" si="12"/>
        <v>168877.3153262914</v>
      </c>
      <c r="BB62" s="231">
        <f t="shared" ca="1" si="13"/>
        <v>1185.8827406402218</v>
      </c>
      <c r="BC62" s="231">
        <f t="shared" ca="1" si="45"/>
        <v>47417.32358994284</v>
      </c>
      <c r="BD62" s="231">
        <f t="shared" ca="1" si="46"/>
        <v>254534.13035410826</v>
      </c>
      <c r="BE62" s="231">
        <f t="shared" ca="1" si="47"/>
        <v>8837.9906372954247</v>
      </c>
      <c r="BF62" s="231">
        <f t="shared" ca="1" si="14"/>
        <v>140480.27256805968</v>
      </c>
      <c r="BG62" s="231">
        <f t="shared" ca="1" si="15"/>
        <v>452455.5998900464</v>
      </c>
      <c r="BH62" s="232">
        <f t="shared" ca="1" si="16"/>
        <v>621332.91521633777</v>
      </c>
      <c r="BI62" s="244">
        <f t="shared" ca="1" si="48"/>
        <v>6.3813328374283866</v>
      </c>
      <c r="BJ62" s="243">
        <f t="shared" ca="1" si="49"/>
        <v>15.331849956124302</v>
      </c>
      <c r="BK62" s="242">
        <f t="shared" ca="1" si="50"/>
        <v>21.713182793552686</v>
      </c>
      <c r="BL62" s="241">
        <f t="shared" ca="1" si="51"/>
        <v>4.5945596429484379</v>
      </c>
      <c r="BM62" s="243">
        <f t="shared" ca="1" si="52"/>
        <v>6.7920095305630657</v>
      </c>
      <c r="BN62" s="243">
        <f t="shared" si="17"/>
        <v>0</v>
      </c>
      <c r="BO62" s="242">
        <f t="shared" ca="1" si="18"/>
        <v>11.386569173511505</v>
      </c>
      <c r="BP62" s="67"/>
      <c r="BQ62" s="67"/>
      <c r="BR62" s="67"/>
      <c r="BS62" s="67"/>
      <c r="BT62" s="67"/>
      <c r="BU62" s="67"/>
    </row>
    <row r="63" spans="1:73" ht="12" customHeight="1" x14ac:dyDescent="0.15">
      <c r="A63" s="213">
        <f t="shared" si="19"/>
        <v>57</v>
      </c>
      <c r="B63" s="67">
        <f t="shared" si="20"/>
        <v>228</v>
      </c>
      <c r="C63" s="224">
        <f t="shared" si="21"/>
        <v>52.61538461538462</v>
      </c>
      <c r="D63" s="225">
        <f ca="1">IFERROR(OFFSET(extrapolation!V72,0,OS_dist_choice-1,1,1),0)</f>
        <v>0.29380390897614445</v>
      </c>
      <c r="E63" s="225">
        <f ca="1">IFERROR(OFFSET(extrapolation!J72,0,PFS_dist_choice-1,1,1),0)</f>
        <v>8.6482597743682263E-2</v>
      </c>
      <c r="F63" s="214"/>
      <c r="G63" s="226">
        <f t="shared" ca="1" si="22"/>
        <v>86.482597743682263</v>
      </c>
      <c r="H63" s="224">
        <f t="shared" ca="1" si="23"/>
        <v>207.32131123246211</v>
      </c>
      <c r="I63" s="224">
        <f t="shared" ca="1" si="0"/>
        <v>706.19609102385562</v>
      </c>
      <c r="J63" s="227">
        <f t="shared" ca="1" si="1"/>
        <v>1000</v>
      </c>
      <c r="K63" s="238">
        <f t="shared" ca="1" si="24"/>
        <v>1.4982328384174366</v>
      </c>
      <c r="L63" s="239">
        <f t="shared" ca="1" si="25"/>
        <v>5.4132727566104677</v>
      </c>
      <c r="M63" s="238">
        <f t="shared" ca="1" si="26"/>
        <v>87.231714162890981</v>
      </c>
      <c r="N63" s="238">
        <f t="shared" ca="1" si="27"/>
        <v>209.27883119155865</v>
      </c>
      <c r="O63" s="239">
        <f t="shared" ca="1" si="28"/>
        <v>703.48945464555038</v>
      </c>
      <c r="P63" s="217"/>
      <c r="Q63" s="217"/>
      <c r="R63" s="224"/>
      <c r="S63" s="230">
        <f t="shared" ca="1" si="29"/>
        <v>131124.94929201013</v>
      </c>
      <c r="T63" s="231">
        <f t="shared" ca="1" si="30"/>
        <v>8161.9428051508812</v>
      </c>
      <c r="U63" s="231">
        <f t="shared" ca="1" si="53"/>
        <v>12294.539060437355</v>
      </c>
      <c r="V63" s="231"/>
      <c r="W63" s="231">
        <f t="shared" ca="1" si="31"/>
        <v>32850.067846318139</v>
      </c>
      <c r="X63" s="231">
        <f t="shared" ca="1" si="32"/>
        <v>4106.2584807897674</v>
      </c>
      <c r="Y63" s="231"/>
      <c r="Z63" s="232">
        <f t="shared" ca="1" si="2"/>
        <v>188537.75748470629</v>
      </c>
      <c r="AA63" s="231">
        <f t="shared" ca="1" si="3"/>
        <v>1301.7880101612918</v>
      </c>
      <c r="AB63" s="231">
        <f t="shared" ca="1" si="33"/>
        <v>52854.342940627721</v>
      </c>
      <c r="AC63" s="231">
        <f t="shared" ca="1" si="34"/>
        <v>283719.81371559098</v>
      </c>
      <c r="AD63" s="231">
        <f t="shared" ca="1" si="35"/>
        <v>9851.3824206802401</v>
      </c>
      <c r="AE63" s="231">
        <f t="shared" ca="1" si="4"/>
        <v>155093.07883739608</v>
      </c>
      <c r="AF63" s="231">
        <f t="shared" ca="1" si="5"/>
        <v>502820.40592445631</v>
      </c>
      <c r="AG63" s="232">
        <f t="shared" ca="1" si="6"/>
        <v>691358.16340916255</v>
      </c>
      <c r="AH63" s="244">
        <f t="shared" ca="1" si="36"/>
        <v>6.6871676839450993</v>
      </c>
      <c r="AI63" s="243">
        <f t="shared" ca="1" si="37"/>
        <v>16.043277955821058</v>
      </c>
      <c r="AJ63" s="242">
        <f t="shared" ca="1" si="38"/>
        <v>22.730445639766156</v>
      </c>
      <c r="AK63" s="241">
        <f t="shared" ca="1" si="39"/>
        <v>4.8147607324404715</v>
      </c>
      <c r="AL63" s="243">
        <f t="shared" ca="1" si="40"/>
        <v>7.1071721344287289</v>
      </c>
      <c r="AM63" s="243"/>
      <c r="AN63" s="242">
        <f t="shared" ca="1" si="7"/>
        <v>11.9219328668692</v>
      </c>
      <c r="AO63" s="224"/>
      <c r="AP63" s="235">
        <f t="shared" si="41"/>
        <v>4.384615384615385</v>
      </c>
      <c r="AQ63" s="235">
        <f t="shared" si="8"/>
        <v>0.8784432439654114</v>
      </c>
      <c r="AR63" s="235">
        <f t="shared" si="9"/>
        <v>0.93680433486743664</v>
      </c>
      <c r="AT63" s="230">
        <f t="shared" ca="1" si="10"/>
        <v>115185.82582087346</v>
      </c>
      <c r="AU63" s="231">
        <f t="shared" ca="1" si="11"/>
        <v>7169.8035148168901</v>
      </c>
      <c r="AV63" s="231">
        <f t="shared" ca="1" si="42"/>
        <v>10800.054775310051</v>
      </c>
      <c r="AW63" s="231"/>
      <c r="AX63" s="231">
        <f t="shared" ca="1" si="43"/>
        <v>28856.920163403563</v>
      </c>
      <c r="AY63" s="231">
        <f t="shared" ca="1" si="44"/>
        <v>3607.1150204254454</v>
      </c>
      <c r="AZ63" s="231"/>
      <c r="BA63" s="232">
        <f t="shared" ca="1" si="12"/>
        <v>165619.71929482941</v>
      </c>
      <c r="BB63" s="231">
        <f t="shared" ca="1" si="13"/>
        <v>1143.5468826013632</v>
      </c>
      <c r="BC63" s="231">
        <f t="shared" ca="1" si="45"/>
        <v>46429.54047042536</v>
      </c>
      <c r="BD63" s="231">
        <f t="shared" ca="1" si="46"/>
        <v>249231.75353758596</v>
      </c>
      <c r="BE63" s="231">
        <f t="shared" ca="1" si="47"/>
        <v>8653.8803311661777</v>
      </c>
      <c r="BF63" s="231">
        <f t="shared" ca="1" si="14"/>
        <v>136240.4672905055</v>
      </c>
      <c r="BG63" s="231">
        <f t="shared" ca="1" si="15"/>
        <v>441699.18851228437</v>
      </c>
      <c r="BH63" s="232">
        <f t="shared" ca="1" si="16"/>
        <v>607318.90780711372</v>
      </c>
      <c r="BI63" s="244">
        <f t="shared" ca="1" si="48"/>
        <v>6.2645676743052059</v>
      </c>
      <c r="BJ63" s="243">
        <f t="shared" ca="1" si="49"/>
        <v>15.029412334496355</v>
      </c>
      <c r="BK63" s="242">
        <f t="shared" ca="1" si="50"/>
        <v>21.293980008801558</v>
      </c>
      <c r="BL63" s="241">
        <f t="shared" ca="1" si="51"/>
        <v>4.5104887254997479</v>
      </c>
      <c r="BM63" s="243">
        <f t="shared" ca="1" si="52"/>
        <v>6.6580296641818855</v>
      </c>
      <c r="BN63" s="243">
        <f t="shared" si="17"/>
        <v>0</v>
      </c>
      <c r="BO63" s="242">
        <f t="shared" ca="1" si="18"/>
        <v>11.168518389681633</v>
      </c>
      <c r="BP63" s="67"/>
      <c r="BQ63" s="67"/>
      <c r="BR63" s="67"/>
      <c r="BS63" s="67"/>
      <c r="BT63" s="67"/>
      <c r="BU63" s="67"/>
    </row>
    <row r="64" spans="1:73" ht="12" customHeight="1" x14ac:dyDescent="0.15">
      <c r="A64" s="213">
        <f t="shared" si="19"/>
        <v>58</v>
      </c>
      <c r="B64" s="67">
        <f t="shared" si="20"/>
        <v>232</v>
      </c>
      <c r="C64" s="224">
        <f t="shared" si="21"/>
        <v>53.53846153846154</v>
      </c>
      <c r="D64" s="225">
        <f ca="1">IFERROR(OFFSET(extrapolation!V73,0,OS_dist_choice-1,1,1),0)</f>
        <v>0.28854090885682721</v>
      </c>
      <c r="E64" s="225">
        <f ca="1">IFERROR(OFFSET(extrapolation!J73,0,PFS_dist_choice-1,1,1),0)</f>
        <v>8.503374798725391E-2</v>
      </c>
      <c r="F64" s="214"/>
      <c r="G64" s="226">
        <f t="shared" ca="1" si="22"/>
        <v>85.033747987253903</v>
      </c>
      <c r="H64" s="224">
        <f t="shared" ca="1" si="23"/>
        <v>203.50716086957323</v>
      </c>
      <c r="I64" s="224">
        <f t="shared" ca="1" si="0"/>
        <v>711.45909114317283</v>
      </c>
      <c r="J64" s="227">
        <f t="shared" ca="1" si="1"/>
        <v>1000</v>
      </c>
      <c r="K64" s="238">
        <f t="shared" ca="1" si="24"/>
        <v>1.4488497564283591</v>
      </c>
      <c r="L64" s="239">
        <f t="shared" ca="1" si="25"/>
        <v>5.263000119317212</v>
      </c>
      <c r="M64" s="238">
        <f t="shared" ca="1" si="26"/>
        <v>85.758172865468083</v>
      </c>
      <c r="N64" s="238">
        <f t="shared" ca="1" si="27"/>
        <v>205.41423605101767</v>
      </c>
      <c r="O64" s="239">
        <f t="shared" ca="1" si="28"/>
        <v>708.82759108351422</v>
      </c>
      <c r="P64" s="217"/>
      <c r="Q64" s="217"/>
      <c r="R64" s="224"/>
      <c r="S64" s="230">
        <f t="shared" ca="1" si="29"/>
        <v>128928.20271177356</v>
      </c>
      <c r="T64" s="231">
        <f t="shared" ca="1" si="30"/>
        <v>8025.2051359116513</v>
      </c>
      <c r="U64" s="231">
        <f t="shared" ca="1" si="53"/>
        <v>12088.567681363988</v>
      </c>
      <c r="V64" s="231"/>
      <c r="W64" s="231">
        <f t="shared" ca="1" si="31"/>
        <v>32295.155770369434</v>
      </c>
      <c r="X64" s="231">
        <f t="shared" ca="1" si="32"/>
        <v>4036.8944712961793</v>
      </c>
      <c r="Y64" s="231"/>
      <c r="Z64" s="232">
        <f t="shared" ca="1" si="2"/>
        <v>185374.0257707148</v>
      </c>
      <c r="AA64" s="231">
        <f t="shared" ca="1" si="3"/>
        <v>1258.8799237879496</v>
      </c>
      <c r="AB64" s="231">
        <f t="shared" ca="1" si="33"/>
        <v>51878.321449481919</v>
      </c>
      <c r="AC64" s="231">
        <f t="shared" ca="1" si="34"/>
        <v>278480.57280853117</v>
      </c>
      <c r="AD64" s="231">
        <f t="shared" ca="1" si="35"/>
        <v>9669.4643336295539</v>
      </c>
      <c r="AE64" s="231">
        <f t="shared" ca="1" si="4"/>
        <v>150787.68965220018</v>
      </c>
      <c r="AF64" s="231">
        <f t="shared" ca="1" si="5"/>
        <v>492074.92816763069</v>
      </c>
      <c r="AG64" s="232">
        <f t="shared" ca="1" si="6"/>
        <v>677448.95393834542</v>
      </c>
      <c r="AH64" s="244">
        <f t="shared" ca="1" si="36"/>
        <v>6.5742062703165134</v>
      </c>
      <c r="AI64" s="243">
        <f t="shared" ca="1" si="37"/>
        <v>15.747018780091702</v>
      </c>
      <c r="AJ64" s="242">
        <f t="shared" ca="1" si="38"/>
        <v>22.321225050408216</v>
      </c>
      <c r="AK64" s="241">
        <f t="shared" ca="1" si="39"/>
        <v>4.7334285146278896</v>
      </c>
      <c r="AL64" s="243">
        <f t="shared" ca="1" si="40"/>
        <v>6.975929319580624</v>
      </c>
      <c r="AM64" s="243"/>
      <c r="AN64" s="242">
        <f t="shared" ca="1" si="7"/>
        <v>11.709357834208515</v>
      </c>
      <c r="AO64" s="224"/>
      <c r="AP64" s="235">
        <f t="shared" si="41"/>
        <v>4.4615384615384617</v>
      </c>
      <c r="AQ64" s="235">
        <f t="shared" si="8"/>
        <v>0.87644814914632785</v>
      </c>
      <c r="AR64" s="235">
        <f t="shared" si="9"/>
        <v>0.93573204773152907</v>
      </c>
      <c r="AT64" s="230">
        <f t="shared" ca="1" si="10"/>
        <v>112998.88463949649</v>
      </c>
      <c r="AU64" s="231">
        <f t="shared" ca="1" si="11"/>
        <v>7033.6761878893712</v>
      </c>
      <c r="AV64" s="231">
        <f t="shared" ca="1" si="42"/>
        <v>10595.002770161584</v>
      </c>
      <c r="AW64" s="231"/>
      <c r="AX64" s="231">
        <f t="shared" ca="1" si="43"/>
        <v>28305.029501332639</v>
      </c>
      <c r="AY64" s="231">
        <f t="shared" ca="1" si="44"/>
        <v>3538.1286876665799</v>
      </c>
      <c r="AZ64" s="231"/>
      <c r="BA64" s="232">
        <f t="shared" ca="1" si="12"/>
        <v>162470.72178654667</v>
      </c>
      <c r="BB64" s="231">
        <f t="shared" ca="1" si="13"/>
        <v>1103.3429792014188</v>
      </c>
      <c r="BC64" s="231">
        <f t="shared" ca="1" si="45"/>
        <v>45468.658815216666</v>
      </c>
      <c r="BD64" s="231">
        <f t="shared" ca="1" si="46"/>
        <v>244073.78261124634</v>
      </c>
      <c r="BE64" s="231">
        <f t="shared" ca="1" si="47"/>
        <v>8474.7841184460522</v>
      </c>
      <c r="BF64" s="231">
        <f t="shared" ca="1" si="14"/>
        <v>132157.59150972174</v>
      </c>
      <c r="BG64" s="231">
        <f t="shared" ca="1" si="15"/>
        <v>431278.16003383213</v>
      </c>
      <c r="BH64" s="232">
        <f t="shared" ca="1" si="16"/>
        <v>593748.88182037871</v>
      </c>
      <c r="BI64" s="244">
        <f t="shared" ca="1" si="48"/>
        <v>6.1516954955327297</v>
      </c>
      <c r="BJ64" s="243">
        <f t="shared" ca="1" si="49"/>
        <v>14.734990128762053</v>
      </c>
      <c r="BK64" s="242">
        <f t="shared" ca="1" si="50"/>
        <v>20.886685624294785</v>
      </c>
      <c r="BL64" s="241">
        <f t="shared" ca="1" si="51"/>
        <v>4.4292207567835655</v>
      </c>
      <c r="BM64" s="243">
        <f t="shared" ca="1" si="52"/>
        <v>6.5276006270415898</v>
      </c>
      <c r="BN64" s="243">
        <f t="shared" si="17"/>
        <v>0</v>
      </c>
      <c r="BO64" s="242">
        <f t="shared" ca="1" si="18"/>
        <v>10.956821383825156</v>
      </c>
      <c r="BP64" s="67"/>
      <c r="BQ64" s="67"/>
      <c r="BR64" s="67"/>
      <c r="BS64" s="67"/>
      <c r="BT64" s="67"/>
      <c r="BU64" s="67"/>
    </row>
    <row r="65" spans="1:73" ht="12" customHeight="1" x14ac:dyDescent="0.15">
      <c r="A65" s="213">
        <f t="shared" si="19"/>
        <v>59</v>
      </c>
      <c r="B65" s="67">
        <f t="shared" si="20"/>
        <v>236</v>
      </c>
      <c r="C65" s="224">
        <f t="shared" si="21"/>
        <v>54.46153846153846</v>
      </c>
      <c r="D65" s="225">
        <f ca="1">IFERROR(OFFSET(extrapolation!V74,0,OS_dist_choice-1,1,1),0)</f>
        <v>0.28342288772584817</v>
      </c>
      <c r="E65" s="225">
        <f ca="1">IFERROR(OFFSET(extrapolation!J74,0,PFS_dist_choice-1,1,1),0)</f>
        <v>8.3631890749707963E-2</v>
      </c>
      <c r="F65" s="214"/>
      <c r="G65" s="226">
        <f t="shared" ca="1" si="22"/>
        <v>83.631890749707964</v>
      </c>
      <c r="H65" s="224">
        <f t="shared" ca="1" si="23"/>
        <v>199.79099697614026</v>
      </c>
      <c r="I65" s="224">
        <f t="shared" ca="1" si="0"/>
        <v>716.57711227415177</v>
      </c>
      <c r="J65" s="227">
        <f t="shared" ca="1" si="1"/>
        <v>1000</v>
      </c>
      <c r="K65" s="238">
        <f t="shared" ca="1" si="24"/>
        <v>1.4018572375459399</v>
      </c>
      <c r="L65" s="239">
        <f t="shared" ca="1" si="25"/>
        <v>5.1180211309789456</v>
      </c>
      <c r="M65" s="238">
        <f t="shared" ca="1" si="26"/>
        <v>84.332819368480926</v>
      </c>
      <c r="N65" s="238">
        <f t="shared" ca="1" si="27"/>
        <v>201.64907892285675</v>
      </c>
      <c r="O65" s="239">
        <f t="shared" ca="1" si="28"/>
        <v>714.01810170866224</v>
      </c>
      <c r="P65" s="217"/>
      <c r="Q65" s="217"/>
      <c r="R65" s="224"/>
      <c r="S65" s="230">
        <f t="shared" ca="1" si="29"/>
        <v>126802.7062074635</v>
      </c>
      <c r="T65" s="231">
        <f t="shared" ca="1" si="30"/>
        <v>7892.9024658675771</v>
      </c>
      <c r="U65" s="231">
        <f t="shared" ca="1" si="53"/>
        <v>11889.276852759982</v>
      </c>
      <c r="V65" s="231"/>
      <c r="W65" s="231">
        <f t="shared" ca="1" si="31"/>
        <v>31758.390449060022</v>
      </c>
      <c r="X65" s="231">
        <f t="shared" ca="1" si="32"/>
        <v>3969.7988061325027</v>
      </c>
      <c r="Y65" s="231"/>
      <c r="Z65" s="232">
        <f t="shared" ca="1" si="2"/>
        <v>182313.07478128359</v>
      </c>
      <c r="AA65" s="231">
        <f t="shared" ca="1" si="3"/>
        <v>1218.0489554098776</v>
      </c>
      <c r="AB65" s="231">
        <f t="shared" ca="1" si="33"/>
        <v>50927.413491213498</v>
      </c>
      <c r="AC65" s="231">
        <f t="shared" ca="1" si="34"/>
        <v>273376.14025350631</v>
      </c>
      <c r="AD65" s="231">
        <f t="shared" ca="1" si="35"/>
        <v>9492.2270921356358</v>
      </c>
      <c r="AE65" s="231">
        <f t="shared" ca="1" si="4"/>
        <v>146633.9662617328</v>
      </c>
      <c r="AF65" s="231">
        <f t="shared" ca="1" si="5"/>
        <v>481647.79605399811</v>
      </c>
      <c r="AG65" s="232">
        <f t="shared" ca="1" si="6"/>
        <v>663960.87083528168</v>
      </c>
      <c r="AH65" s="244">
        <f t="shared" ca="1" si="36"/>
        <v>6.4649389248938149</v>
      </c>
      <c r="AI65" s="243">
        <f t="shared" ca="1" si="37"/>
        <v>15.458382504695384</v>
      </c>
      <c r="AJ65" s="242">
        <f t="shared" ca="1" si="38"/>
        <v>21.923321429589201</v>
      </c>
      <c r="AK65" s="241">
        <f t="shared" ca="1" si="39"/>
        <v>4.6547560259235468</v>
      </c>
      <c r="AL65" s="243">
        <f t="shared" ca="1" si="40"/>
        <v>6.8480634495800556</v>
      </c>
      <c r="AM65" s="243"/>
      <c r="AN65" s="242">
        <f t="shared" ca="1" si="7"/>
        <v>11.502819475503603</v>
      </c>
      <c r="AO65" s="224"/>
      <c r="AP65" s="235">
        <f t="shared" si="41"/>
        <v>4.5384615384615383</v>
      </c>
      <c r="AQ65" s="235">
        <f t="shared" si="8"/>
        <v>0.87445758552873531</v>
      </c>
      <c r="AR65" s="235">
        <f t="shared" si="9"/>
        <v>0.93466098795939323</v>
      </c>
      <c r="AT65" s="230">
        <f t="shared" ca="1" si="10"/>
        <v>110883.58830868811</v>
      </c>
      <c r="AU65" s="231">
        <f t="shared" ca="1" si="11"/>
        <v>6902.0084331163625</v>
      </c>
      <c r="AV65" s="231">
        <f t="shared" ca="1" si="42"/>
        <v>10396.668330347175</v>
      </c>
      <c r="AW65" s="231"/>
      <c r="AX65" s="231">
        <f t="shared" ca="1" si="43"/>
        <v>27771.365432363873</v>
      </c>
      <c r="AY65" s="231">
        <f t="shared" ca="1" si="44"/>
        <v>3471.4206790454841</v>
      </c>
      <c r="AZ65" s="231"/>
      <c r="BA65" s="232">
        <f t="shared" ca="1" si="12"/>
        <v>159425.05118356101</v>
      </c>
      <c r="BB65" s="231">
        <f t="shared" ca="1" si="13"/>
        <v>1065.1321486035197</v>
      </c>
      <c r="BC65" s="231">
        <f t="shared" ca="1" si="45"/>
        <v>44533.863038750096</v>
      </c>
      <c r="BD65" s="231">
        <f t="shared" ca="1" si="46"/>
        <v>239055.83954724603</v>
      </c>
      <c r="BE65" s="231">
        <f t="shared" ca="1" si="47"/>
        <v>8300.5499842793761</v>
      </c>
      <c r="BF65" s="231">
        <f t="shared" ca="1" si="14"/>
        <v>128225.1840937369</v>
      </c>
      <c r="BG65" s="231">
        <f t="shared" ca="1" si="15"/>
        <v>421180.56881261594</v>
      </c>
      <c r="BH65" s="232">
        <f t="shared" ca="1" si="16"/>
        <v>580605.61999617692</v>
      </c>
      <c r="BI65" s="244">
        <f t="shared" ca="1" si="48"/>
        <v>6.042526202638391</v>
      </c>
      <c r="BJ65" s="243">
        <f t="shared" ca="1" si="49"/>
        <v>14.448347064092788</v>
      </c>
      <c r="BK65" s="242">
        <f t="shared" ca="1" si="50"/>
        <v>20.490873266731178</v>
      </c>
      <c r="BL65" s="241">
        <f t="shared" ca="1" si="51"/>
        <v>4.3506188658996416</v>
      </c>
      <c r="BM65" s="243">
        <f t="shared" ca="1" si="52"/>
        <v>6.4006177493931053</v>
      </c>
      <c r="BN65" s="243">
        <f t="shared" si="17"/>
        <v>0</v>
      </c>
      <c r="BO65" s="242">
        <f t="shared" ca="1" si="18"/>
        <v>10.751236615292747</v>
      </c>
      <c r="BP65" s="67"/>
      <c r="BQ65" s="67"/>
      <c r="BR65" s="67"/>
      <c r="BS65" s="67"/>
      <c r="BT65" s="67"/>
      <c r="BU65" s="67"/>
    </row>
    <row r="66" spans="1:73" ht="12" customHeight="1" x14ac:dyDescent="0.15">
      <c r="A66" s="213">
        <f t="shared" si="19"/>
        <v>60</v>
      </c>
      <c r="B66" s="67">
        <f t="shared" si="20"/>
        <v>240</v>
      </c>
      <c r="C66" s="224">
        <f t="shared" si="21"/>
        <v>55.38461538461538</v>
      </c>
      <c r="D66" s="225">
        <f ca="1">IFERROR(OFFSET(extrapolation!V75,0,OS_dist_choice-1,1,1),0)</f>
        <v>0.27844476158337095</v>
      </c>
      <c r="E66" s="225">
        <f ca="1">IFERROR(OFFSET(extrapolation!J75,0,PFS_dist_choice-1,1,1),0)</f>
        <v>8.2274786968652078E-2</v>
      </c>
      <c r="F66" s="214"/>
      <c r="G66" s="226">
        <f t="shared" ca="1" si="22"/>
        <v>82.27478696865208</v>
      </c>
      <c r="H66" s="224">
        <f t="shared" ca="1" si="23"/>
        <v>196.16997461471885</v>
      </c>
      <c r="I66" s="224">
        <f t="shared" ca="1" si="0"/>
        <v>721.55523841662909</v>
      </c>
      <c r="J66" s="227">
        <f t="shared" ca="1" si="1"/>
        <v>1000</v>
      </c>
      <c r="K66" s="238">
        <f t="shared" ca="1" si="24"/>
        <v>1.3571037810558835</v>
      </c>
      <c r="L66" s="239">
        <f t="shared" ca="1" si="25"/>
        <v>4.978126142477322</v>
      </c>
      <c r="M66" s="238">
        <f t="shared" ca="1" si="26"/>
        <v>82.953338859180022</v>
      </c>
      <c r="N66" s="238">
        <f t="shared" ca="1" si="27"/>
        <v>197.98048579542956</v>
      </c>
      <c r="O66" s="239">
        <f t="shared" ca="1" si="28"/>
        <v>719.06617534539043</v>
      </c>
      <c r="P66" s="217"/>
      <c r="Q66" s="217"/>
      <c r="R66" s="224"/>
      <c r="S66" s="230">
        <f t="shared" ca="1" si="29"/>
        <v>124745.06491178507</v>
      </c>
      <c r="T66" s="231">
        <f t="shared" ca="1" si="30"/>
        <v>7764.8234796828528</v>
      </c>
      <c r="U66" s="231">
        <f t="shared" ca="1" si="53"/>
        <v>11696.348265037515</v>
      </c>
      <c r="V66" s="231"/>
      <c r="W66" s="231">
        <f t="shared" ca="1" si="31"/>
        <v>31238.90016094545</v>
      </c>
      <c r="X66" s="231">
        <f t="shared" ca="1" si="32"/>
        <v>3904.8625201181812</v>
      </c>
      <c r="Y66" s="231"/>
      <c r="Z66" s="232">
        <f t="shared" ca="1" si="2"/>
        <v>179349.99933756908</v>
      </c>
      <c r="AA66" s="231">
        <f t="shared" ca="1" si="3"/>
        <v>1179.1634687364115</v>
      </c>
      <c r="AB66" s="231">
        <f t="shared" ca="1" si="33"/>
        <v>50000.89322080362</v>
      </c>
      <c r="AC66" s="231">
        <f t="shared" ca="1" si="34"/>
        <v>268402.61974602978</v>
      </c>
      <c r="AD66" s="231">
        <f t="shared" ca="1" si="35"/>
        <v>9319.535407848256</v>
      </c>
      <c r="AE66" s="231">
        <f t="shared" ca="1" si="4"/>
        <v>142625.90210975677</v>
      </c>
      <c r="AF66" s="231">
        <f t="shared" ca="1" si="5"/>
        <v>471528.11395317485</v>
      </c>
      <c r="AG66" s="232">
        <f t="shared" ca="1" si="6"/>
        <v>650878.1132907439</v>
      </c>
      <c r="AH66" s="244">
        <f t="shared" ca="1" si="36"/>
        <v>6.3591881945435746</v>
      </c>
      <c r="AI66" s="243">
        <f t="shared" ca="1" si="37"/>
        <v>15.177148808410752</v>
      </c>
      <c r="AJ66" s="242">
        <f t="shared" ca="1" si="38"/>
        <v>21.536337002954326</v>
      </c>
      <c r="AK66" s="241">
        <f t="shared" ca="1" si="39"/>
        <v>4.5786155000713737</v>
      </c>
      <c r="AL66" s="243">
        <f t="shared" ca="1" si="40"/>
        <v>6.7234769221259638</v>
      </c>
      <c r="AM66" s="243"/>
      <c r="AN66" s="242">
        <f t="shared" ca="1" si="7"/>
        <v>11.302092422197337</v>
      </c>
      <c r="AO66" s="224"/>
      <c r="AP66" s="235">
        <f t="shared" si="41"/>
        <v>4.615384615384615</v>
      </c>
      <c r="AQ66" s="235">
        <f t="shared" si="8"/>
        <v>0.87247154282150097</v>
      </c>
      <c r="AR66" s="235">
        <f t="shared" si="9"/>
        <v>0.93359115414616112</v>
      </c>
      <c r="AT66" s="230">
        <f t="shared" ca="1" si="10"/>
        <v>108836.51924295341</v>
      </c>
      <c r="AU66" s="231">
        <f t="shared" ca="1" si="11"/>
        <v>6774.5875210555141</v>
      </c>
      <c r="AV66" s="231">
        <f t="shared" ca="1" si="42"/>
        <v>10204.731016174866</v>
      </c>
      <c r="AW66" s="231"/>
      <c r="AX66" s="231">
        <f t="shared" ca="1" si="43"/>
        <v>27255.051419466912</v>
      </c>
      <c r="AY66" s="231">
        <f t="shared" ca="1" si="44"/>
        <v>3406.881427433364</v>
      </c>
      <c r="AZ66" s="231"/>
      <c r="BA66" s="232">
        <f t="shared" ca="1" si="12"/>
        <v>156477.77062708407</v>
      </c>
      <c r="BB66" s="231">
        <f t="shared" ca="1" si="13"/>
        <v>1028.7865708072097</v>
      </c>
      <c r="BC66" s="231">
        <f t="shared" ca="1" si="45"/>
        <v>43624.35645080766</v>
      </c>
      <c r="BD66" s="231">
        <f t="shared" ca="1" si="46"/>
        <v>234173.64774715126</v>
      </c>
      <c r="BE66" s="231">
        <f t="shared" ca="1" si="47"/>
        <v>8131.0294356649738</v>
      </c>
      <c r="BF66" s="231">
        <f t="shared" ca="1" si="14"/>
        <v>124437.04086000787</v>
      </c>
      <c r="BG66" s="231">
        <f t="shared" ca="1" si="15"/>
        <v>411394.861064439</v>
      </c>
      <c r="BH66" s="232">
        <f t="shared" ca="1" si="16"/>
        <v>567872.63169152301</v>
      </c>
      <c r="BI66" s="244">
        <f t="shared" ca="1" si="48"/>
        <v>5.9368818459765782</v>
      </c>
      <c r="BJ66" s="243">
        <f t="shared" ca="1" si="49"/>
        <v>14.169251872692229</v>
      </c>
      <c r="BK66" s="242">
        <f t="shared" ca="1" si="50"/>
        <v>20.106133718668804</v>
      </c>
      <c r="BL66" s="241">
        <f t="shared" ca="1" si="51"/>
        <v>4.2745549291031368</v>
      </c>
      <c r="BM66" s="243">
        <f t="shared" ca="1" si="52"/>
        <v>6.276978579602658</v>
      </c>
      <c r="BN66" s="243">
        <f t="shared" si="17"/>
        <v>0</v>
      </c>
      <c r="BO66" s="242">
        <f t="shared" ca="1" si="18"/>
        <v>10.551533508705793</v>
      </c>
      <c r="BP66" s="67"/>
      <c r="BQ66" s="67"/>
      <c r="BR66" s="67"/>
      <c r="BS66" s="67"/>
      <c r="BT66" s="67"/>
      <c r="BU66" s="67"/>
    </row>
    <row r="67" spans="1:73" ht="12" customHeight="1" x14ac:dyDescent="0.15">
      <c r="A67" s="213">
        <f t="shared" si="19"/>
        <v>61</v>
      </c>
      <c r="B67" s="67">
        <f t="shared" si="20"/>
        <v>244</v>
      </c>
      <c r="C67" s="224">
        <f t="shared" si="21"/>
        <v>56.307692307692307</v>
      </c>
      <c r="D67" s="225">
        <f ca="1">IFERROR(OFFSET(extrapolation!V76,0,OS_dist_choice-1,1,1),0)</f>
        <v>0.27360164808557208</v>
      </c>
      <c r="E67" s="225">
        <f ca="1">IFERROR(OFFSET(extrapolation!J76,0,PFS_dist_choice-1,1,1),0)</f>
        <v>8.0960337284785758E-2</v>
      </c>
      <c r="F67" s="214"/>
      <c r="G67" s="226">
        <f t="shared" ca="1" si="22"/>
        <v>80.960337284785751</v>
      </c>
      <c r="H67" s="224">
        <f t="shared" ca="1" si="23"/>
        <v>192.6413108007863</v>
      </c>
      <c r="I67" s="224">
        <f t="shared" ca="1" si="0"/>
        <v>726.39835191442796</v>
      </c>
      <c r="J67" s="227">
        <f t="shared" ca="1" si="1"/>
        <v>1000</v>
      </c>
      <c r="K67" s="238">
        <f t="shared" ca="1" si="24"/>
        <v>1.3144496838663287</v>
      </c>
      <c r="L67" s="239">
        <f t="shared" ca="1" si="25"/>
        <v>4.8431134977988677</v>
      </c>
      <c r="M67" s="238">
        <f t="shared" ca="1" si="26"/>
        <v>81.617562126718923</v>
      </c>
      <c r="N67" s="238">
        <f t="shared" ca="1" si="27"/>
        <v>194.40564270775258</v>
      </c>
      <c r="O67" s="239">
        <f t="shared" ca="1" si="28"/>
        <v>723.97679516552853</v>
      </c>
      <c r="P67" s="217"/>
      <c r="Q67" s="217"/>
      <c r="R67" s="224"/>
      <c r="S67" s="230">
        <f t="shared" ca="1" si="29"/>
        <v>122752.09577532706</v>
      </c>
      <c r="T67" s="231">
        <f t="shared" ca="1" si="30"/>
        <v>7640.7700467394679</v>
      </c>
      <c r="U67" s="231">
        <f t="shared" ca="1" si="53"/>
        <v>11509.483469079711</v>
      </c>
      <c r="V67" s="231"/>
      <c r="W67" s="231">
        <f t="shared" ca="1" si="31"/>
        <v>30735.868015928318</v>
      </c>
      <c r="X67" s="231">
        <f t="shared" ca="1" si="32"/>
        <v>3841.9835019910397</v>
      </c>
      <c r="Y67" s="231"/>
      <c r="Z67" s="232">
        <f t="shared" ca="1" si="2"/>
        <v>176480.2008090656</v>
      </c>
      <c r="AA67" s="231">
        <f t="shared" ca="1" si="3"/>
        <v>1142.102078222325</v>
      </c>
      <c r="AB67" s="231">
        <f t="shared" ca="1" si="33"/>
        <v>49098.049959307835</v>
      </c>
      <c r="AC67" s="231">
        <f t="shared" ca="1" si="34"/>
        <v>263556.19639244268</v>
      </c>
      <c r="AD67" s="231">
        <f t="shared" ca="1" si="35"/>
        <v>9151.2568191820374</v>
      </c>
      <c r="AE67" s="231">
        <f t="shared" ca="1" si="4"/>
        <v>138757.71964664507</v>
      </c>
      <c r="AF67" s="231">
        <f t="shared" ca="1" si="5"/>
        <v>461705.32489579992</v>
      </c>
      <c r="AG67" s="232">
        <f t="shared" ca="1" si="6"/>
        <v>638185.52570486558</v>
      </c>
      <c r="AH67" s="244">
        <f t="shared" ca="1" si="36"/>
        <v>6.2567877879483369</v>
      </c>
      <c r="AI67" s="243">
        <f t="shared" ca="1" si="37"/>
        <v>14.903101973489589</v>
      </c>
      <c r="AJ67" s="242">
        <f t="shared" ca="1" si="38"/>
        <v>21.159889761437924</v>
      </c>
      <c r="AK67" s="241">
        <f t="shared" ca="1" si="39"/>
        <v>4.5048872073228026</v>
      </c>
      <c r="AL67" s="243">
        <f t="shared" ca="1" si="40"/>
        <v>6.6020741742558879</v>
      </c>
      <c r="AM67" s="243"/>
      <c r="AN67" s="242">
        <f t="shared" ca="1" si="7"/>
        <v>11.106961381578691</v>
      </c>
      <c r="AO67" s="224"/>
      <c r="AP67" s="235">
        <f t="shared" si="41"/>
        <v>4.6923076923076925</v>
      </c>
      <c r="AQ67" s="235">
        <f t="shared" si="8"/>
        <v>0.87049001075686383</v>
      </c>
      <c r="AR67" s="235">
        <f t="shared" si="9"/>
        <v>0.932522544888573</v>
      </c>
      <c r="AT67" s="230">
        <f t="shared" ca="1" si="10"/>
        <v>106854.47317189204</v>
      </c>
      <c r="AU67" s="231">
        <f t="shared" ca="1" si="11"/>
        <v>6651.2140001769621</v>
      </c>
      <c r="AV67" s="231">
        <f t="shared" ca="1" si="42"/>
        <v>10018.890388805145</v>
      </c>
      <c r="AW67" s="231"/>
      <c r="AX67" s="231">
        <f t="shared" ca="1" si="43"/>
        <v>26755.266079806988</v>
      </c>
      <c r="AY67" s="231">
        <f t="shared" ca="1" si="44"/>
        <v>3344.4082599758735</v>
      </c>
      <c r="AZ67" s="231"/>
      <c r="BA67" s="232">
        <f t="shared" ca="1" si="12"/>
        <v>153624.25190065699</v>
      </c>
      <c r="BB67" s="231">
        <f t="shared" ca="1" si="13"/>
        <v>994.18845035718823</v>
      </c>
      <c r="BC67" s="231">
        <f t="shared" ca="1" si="45"/>
        <v>42739.362037218918</v>
      </c>
      <c r="BD67" s="231">
        <f t="shared" ca="1" si="46"/>
        <v>229423.03623269554</v>
      </c>
      <c r="BE67" s="231">
        <f t="shared" ca="1" si="47"/>
        <v>7966.0776469685952</v>
      </c>
      <c r="BF67" s="231">
        <f t="shared" ca="1" si="14"/>
        <v>120787.20886780597</v>
      </c>
      <c r="BG67" s="231">
        <f t="shared" ca="1" si="15"/>
        <v>401909.87323504617</v>
      </c>
      <c r="BH67" s="232">
        <f t="shared" ca="1" si="16"/>
        <v>555534.12513570325</v>
      </c>
      <c r="BI67" s="244">
        <f t="shared" ca="1" si="48"/>
        <v>5.8345956708453279</v>
      </c>
      <c r="BJ67" s="243">
        <f t="shared" ca="1" si="49"/>
        <v>13.897478579052427</v>
      </c>
      <c r="BK67" s="242">
        <f t="shared" ca="1" si="50"/>
        <v>19.732074249897753</v>
      </c>
      <c r="BL67" s="241">
        <f t="shared" ca="1" si="51"/>
        <v>4.2009088830086361</v>
      </c>
      <c r="BM67" s="243">
        <f t="shared" ca="1" si="52"/>
        <v>6.1565830105202251</v>
      </c>
      <c r="BN67" s="243">
        <f t="shared" si="17"/>
        <v>0</v>
      </c>
      <c r="BO67" s="242">
        <f t="shared" ca="1" si="18"/>
        <v>10.357491893528861</v>
      </c>
      <c r="BP67" s="67"/>
      <c r="BQ67" s="67"/>
      <c r="BR67" s="67"/>
      <c r="BS67" s="67"/>
      <c r="BT67" s="67"/>
      <c r="BU67" s="67"/>
    </row>
    <row r="68" spans="1:73" ht="12" customHeight="1" x14ac:dyDescent="0.15">
      <c r="A68" s="213">
        <f t="shared" si="19"/>
        <v>62</v>
      </c>
      <c r="B68" s="67">
        <f t="shared" si="20"/>
        <v>248</v>
      </c>
      <c r="C68" s="224">
        <f t="shared" si="21"/>
        <v>57.230769230769226</v>
      </c>
      <c r="D68" s="225">
        <f ca="1">IFERROR(OFFSET(extrapolation!V77,0,OS_dist_choice-1,1,1),0)</f>
        <v>0.26888885870747758</v>
      </c>
      <c r="E68" s="225">
        <f ca="1">IFERROR(OFFSET(extrapolation!J77,0,PFS_dist_choice-1,1,1),0)</f>
        <v>7.9686571328672642E-2</v>
      </c>
      <c r="F68" s="214"/>
      <c r="G68" s="226">
        <f t="shared" ca="1" si="22"/>
        <v>79.686571328672642</v>
      </c>
      <c r="H68" s="224">
        <f t="shared" ca="1" si="23"/>
        <v>189.20228737880484</v>
      </c>
      <c r="I68" s="224">
        <f t="shared" ca="1" si="0"/>
        <v>731.11114129252246</v>
      </c>
      <c r="J68" s="227">
        <f t="shared" ca="1" si="1"/>
        <v>1000</v>
      </c>
      <c r="K68" s="238">
        <f t="shared" ca="1" si="24"/>
        <v>1.2737659561131096</v>
      </c>
      <c r="L68" s="239">
        <f t="shared" ca="1" si="25"/>
        <v>4.7127893780944987</v>
      </c>
      <c r="M68" s="238">
        <f t="shared" ca="1" si="26"/>
        <v>80.32345430672919</v>
      </c>
      <c r="N68" s="238">
        <f t="shared" ca="1" si="27"/>
        <v>190.92179908979557</v>
      </c>
      <c r="O68" s="239">
        <f t="shared" ca="1" si="28"/>
        <v>728.75474660347527</v>
      </c>
      <c r="P68" s="217"/>
      <c r="Q68" s="217"/>
      <c r="R68" s="224"/>
      <c r="S68" s="230">
        <f t="shared" ca="1" si="29"/>
        <v>120820.81132316199</v>
      </c>
      <c r="T68" s="231">
        <f t="shared" ca="1" si="30"/>
        <v>7520.5562100580528</v>
      </c>
      <c r="U68" s="231">
        <f t="shared" ca="1" si="53"/>
        <v>11328.402353226758</v>
      </c>
      <c r="V68" s="231"/>
      <c r="W68" s="231">
        <f t="shared" ca="1" si="31"/>
        <v>30248.527716645305</v>
      </c>
      <c r="X68" s="231">
        <f t="shared" ca="1" si="32"/>
        <v>3781.0659645806631</v>
      </c>
      <c r="Y68" s="231"/>
      <c r="Z68" s="232">
        <f t="shared" ca="1" si="2"/>
        <v>173699.36356767276</v>
      </c>
      <c r="AA68" s="231">
        <f t="shared" ca="1" si="3"/>
        <v>1106.7527068564234</v>
      </c>
      <c r="AB68" s="231">
        <f t="shared" ca="1" si="33"/>
        <v>48218.189037462034</v>
      </c>
      <c r="AC68" s="231">
        <f t="shared" ca="1" si="34"/>
        <v>258833.14123835368</v>
      </c>
      <c r="AD68" s="231">
        <f t="shared" ca="1" si="35"/>
        <v>8987.2618485539479</v>
      </c>
      <c r="AE68" s="231">
        <f t="shared" ca="1" si="4"/>
        <v>135023.86586160507</v>
      </c>
      <c r="AF68" s="231">
        <f t="shared" ca="1" si="5"/>
        <v>452169.2106928312</v>
      </c>
      <c r="AG68" s="232">
        <f t="shared" ca="1" si="6"/>
        <v>625868.57426050398</v>
      </c>
      <c r="AH68" s="244">
        <f t="shared" ca="1" si="36"/>
        <v>6.1575817127677404</v>
      </c>
      <c r="AI68" s="243">
        <f t="shared" ca="1" si="37"/>
        <v>14.636031141722864</v>
      </c>
      <c r="AJ68" s="242">
        <f t="shared" ca="1" si="38"/>
        <v>20.793612854490604</v>
      </c>
      <c r="AK68" s="241">
        <f t="shared" ca="1" si="39"/>
        <v>4.4334588331927725</v>
      </c>
      <c r="AL68" s="243">
        <f t="shared" ca="1" si="40"/>
        <v>6.483761795783229</v>
      </c>
      <c r="AM68" s="243"/>
      <c r="AN68" s="242">
        <f t="shared" ca="1" si="7"/>
        <v>10.917220628976001</v>
      </c>
      <c r="AO68" s="224"/>
      <c r="AP68" s="235">
        <f t="shared" si="41"/>
        <v>4.7692307692307692</v>
      </c>
      <c r="AQ68" s="235">
        <f t="shared" si="8"/>
        <v>0.86851297909038372</v>
      </c>
      <c r="AR68" s="235">
        <f t="shared" si="9"/>
        <v>0.93145515878497509</v>
      </c>
      <c r="AT68" s="230">
        <f t="shared" ca="1" si="10"/>
        <v>104934.44277839659</v>
      </c>
      <c r="AU68" s="231">
        <f t="shared" ca="1" si="11"/>
        <v>6531.700678414205</v>
      </c>
      <c r="AV68" s="231">
        <f t="shared" ca="1" si="42"/>
        <v>9838.8644761354844</v>
      </c>
      <c r="AW68" s="231"/>
      <c r="AX68" s="231">
        <f t="shared" ca="1" si="43"/>
        <v>26271.238920281656</v>
      </c>
      <c r="AY68" s="231">
        <f t="shared" ca="1" si="44"/>
        <v>3283.904865035207</v>
      </c>
      <c r="AZ68" s="231"/>
      <c r="BA68" s="232">
        <f t="shared" ca="1" si="12"/>
        <v>150860.15171826314</v>
      </c>
      <c r="BB68" s="231">
        <f t="shared" ca="1" si="13"/>
        <v>961.22909054821844</v>
      </c>
      <c r="BC68" s="231">
        <f t="shared" ca="1" si="45"/>
        <v>41878.123007269431</v>
      </c>
      <c r="BD68" s="231">
        <f t="shared" ca="1" si="46"/>
        <v>224799.94258424459</v>
      </c>
      <c r="BE68" s="231">
        <f t="shared" ca="1" si="47"/>
        <v>7805.5535619529383</v>
      </c>
      <c r="BF68" s="231">
        <f t="shared" ca="1" si="14"/>
        <v>117269.97998776298</v>
      </c>
      <c r="BG68" s="231">
        <f t="shared" ca="1" si="15"/>
        <v>392714.82823177823</v>
      </c>
      <c r="BH68" s="232">
        <f t="shared" ca="1" si="16"/>
        <v>543574.97995004139</v>
      </c>
      <c r="BI68" s="244">
        <f t="shared" ca="1" si="48"/>
        <v>5.7355112519975346</v>
      </c>
      <c r="BJ68" s="243">
        <f t="shared" ca="1" si="49"/>
        <v>13.632806711095311</v>
      </c>
      <c r="BK68" s="242">
        <f t="shared" ca="1" si="50"/>
        <v>19.368317963092846</v>
      </c>
      <c r="BL68" s="241">
        <f t="shared" ca="1" si="51"/>
        <v>4.1295681014382239</v>
      </c>
      <c r="BM68" s="243">
        <f t="shared" ca="1" si="52"/>
        <v>6.0393333730152232</v>
      </c>
      <c r="BN68" s="243">
        <f t="shared" si="17"/>
        <v>0</v>
      </c>
      <c r="BO68" s="242">
        <f t="shared" ca="1" si="18"/>
        <v>10.168901474453445</v>
      </c>
      <c r="BP68" s="67"/>
      <c r="BQ68" s="67"/>
      <c r="BR68" s="67"/>
      <c r="BS68" s="67"/>
      <c r="BT68" s="67"/>
      <c r="BU68" s="67"/>
    </row>
    <row r="69" spans="1:73" ht="12" customHeight="1" x14ac:dyDescent="0.15">
      <c r="A69" s="213">
        <f t="shared" si="19"/>
        <v>63</v>
      </c>
      <c r="B69" s="67">
        <f t="shared" si="20"/>
        <v>252</v>
      </c>
      <c r="C69" s="224">
        <f t="shared" si="21"/>
        <v>58.153846153846146</v>
      </c>
      <c r="D69" s="225">
        <f ca="1">IFERROR(OFFSET(extrapolation!V78,0,OS_dist_choice-1,1,1),0)</f>
        <v>0.26430189108638019</v>
      </c>
      <c r="E69" s="225">
        <f ca="1">IFERROR(OFFSET(extrapolation!J78,0,PFS_dist_choice-1,1,1),0)</f>
        <v>7.8451637977477465E-2</v>
      </c>
      <c r="F69" s="214"/>
      <c r="G69" s="226">
        <f t="shared" ca="1" si="22"/>
        <v>78.451637977477461</v>
      </c>
      <c r="H69" s="224">
        <f t="shared" ca="1" si="23"/>
        <v>185.85025310890262</v>
      </c>
      <c r="I69" s="224">
        <f t="shared" ca="1" si="0"/>
        <v>735.69810891361988</v>
      </c>
      <c r="J69" s="227">
        <f t="shared" ca="1" si="1"/>
        <v>1000</v>
      </c>
      <c r="K69" s="238">
        <f t="shared" ca="1" si="24"/>
        <v>1.2349333511951812</v>
      </c>
      <c r="L69" s="239">
        <f t="shared" ca="1" si="25"/>
        <v>4.5869676210974148</v>
      </c>
      <c r="M69" s="238">
        <f t="shared" ca="1" si="26"/>
        <v>79.069104653075044</v>
      </c>
      <c r="N69" s="238">
        <f t="shared" ca="1" si="27"/>
        <v>187.52627024385373</v>
      </c>
      <c r="O69" s="239">
        <f t="shared" ca="1" si="28"/>
        <v>733.40462510307111</v>
      </c>
      <c r="P69" s="217"/>
      <c r="Q69" s="217"/>
      <c r="R69" s="224"/>
      <c r="S69" s="230">
        <f t="shared" ca="1" si="29"/>
        <v>118948.40488210651</v>
      </c>
      <c r="T69" s="231">
        <f t="shared" ca="1" si="30"/>
        <v>7404.0072667607901</v>
      </c>
      <c r="U69" s="231">
        <f t="shared" ca="1" si="53"/>
        <v>11152.841758154149</v>
      </c>
      <c r="V69" s="231"/>
      <c r="W69" s="231">
        <f t="shared" ca="1" si="31"/>
        <v>29776.159706673614</v>
      </c>
      <c r="X69" s="231">
        <f t="shared" ca="1" si="32"/>
        <v>3722.0199633342017</v>
      </c>
      <c r="Y69" s="231"/>
      <c r="Z69" s="232">
        <f t="shared" ca="1" si="2"/>
        <v>171003.43357702927</v>
      </c>
      <c r="AA69" s="231">
        <f t="shared" ca="1" si="3"/>
        <v>1073.0117433764835</v>
      </c>
      <c r="AB69" s="231">
        <f t="shared" ca="1" si="33"/>
        <v>47360.632422364484</v>
      </c>
      <c r="AC69" s="231">
        <f t="shared" ca="1" si="34"/>
        <v>254229.81463264112</v>
      </c>
      <c r="AD69" s="231">
        <f t="shared" ca="1" si="35"/>
        <v>8827.4241191889269</v>
      </c>
      <c r="AE69" s="231">
        <f t="shared" ca="1" si="4"/>
        <v>131419.00710890716</v>
      </c>
      <c r="AF69" s="231">
        <f t="shared" ca="1" si="5"/>
        <v>442909.89002647816</v>
      </c>
      <c r="AG69" s="232">
        <f t="shared" ca="1" si="6"/>
        <v>613913.32360350736</v>
      </c>
      <c r="AH69" s="244">
        <f t="shared" ca="1" si="36"/>
        <v>6.0614234915430556</v>
      </c>
      <c r="AI69" s="243">
        <f t="shared" ca="1" si="37"/>
        <v>14.375730504662299</v>
      </c>
      <c r="AJ69" s="242">
        <f t="shared" ca="1" si="38"/>
        <v>20.437153996205353</v>
      </c>
      <c r="AK69" s="241">
        <f t="shared" ca="1" si="39"/>
        <v>4.3642249139109994</v>
      </c>
      <c r="AL69" s="243">
        <f t="shared" ca="1" si="40"/>
        <v>6.3684486135653984</v>
      </c>
      <c r="AM69" s="243"/>
      <c r="AN69" s="242">
        <f t="shared" ca="1" si="7"/>
        <v>10.732673527476397</v>
      </c>
      <c r="AO69" s="224"/>
      <c r="AP69" s="235">
        <f t="shared" si="41"/>
        <v>4.8461538461538458</v>
      </c>
      <c r="AQ69" s="235">
        <f t="shared" si="8"/>
        <v>0.86654043760088673</v>
      </c>
      <c r="AR69" s="235">
        <f t="shared" si="9"/>
        <v>0.93038899443531797</v>
      </c>
      <c r="AT69" s="230">
        <f t="shared" ca="1" si="10"/>
        <v>103073.60281846802</v>
      </c>
      <c r="AU69" s="231">
        <f t="shared" ca="1" si="11"/>
        <v>6415.8716969390407</v>
      </c>
      <c r="AV69" s="231">
        <f t="shared" ca="1" si="42"/>
        <v>9664.3883776043385</v>
      </c>
      <c r="AW69" s="231"/>
      <c r="AX69" s="231">
        <f t="shared" ca="1" si="43"/>
        <v>25802.246462294843</v>
      </c>
      <c r="AY69" s="231">
        <f t="shared" ca="1" si="44"/>
        <v>3225.2808077868553</v>
      </c>
      <c r="AZ69" s="231"/>
      <c r="BA69" s="232">
        <f t="shared" ca="1" si="12"/>
        <v>148181.39016309311</v>
      </c>
      <c r="BB69" s="231">
        <f t="shared" ca="1" si="13"/>
        <v>929.80806565634839</v>
      </c>
      <c r="BC69" s="231">
        <f t="shared" ca="1" si="45"/>
        <v>41039.903144330463</v>
      </c>
      <c r="BD69" s="231">
        <f t="shared" ca="1" si="46"/>
        <v>220300.41482296115</v>
      </c>
      <c r="BE69" s="231">
        <f t="shared" ca="1" si="47"/>
        <v>7649.3199591305947</v>
      </c>
      <c r="BF69" s="231">
        <f t="shared" ca="1" si="14"/>
        <v>113879.88392922645</v>
      </c>
      <c r="BG69" s="231">
        <f t="shared" ca="1" si="15"/>
        <v>383799.329921305</v>
      </c>
      <c r="BH69" s="232">
        <f t="shared" ca="1" si="16"/>
        <v>531980.72008439805</v>
      </c>
      <c r="BI69" s="244">
        <f t="shared" ca="1" si="48"/>
        <v>5.6394817071433572</v>
      </c>
      <c r="BJ69" s="243">
        <f t="shared" ca="1" si="49"/>
        <v>13.375021448505882</v>
      </c>
      <c r="BK69" s="242">
        <f t="shared" ca="1" si="50"/>
        <v>19.014503155649241</v>
      </c>
      <c r="BL69" s="241">
        <f t="shared" ca="1" si="51"/>
        <v>4.0604268291432168</v>
      </c>
      <c r="BM69" s="243">
        <f t="shared" ca="1" si="52"/>
        <v>5.9251345016881061</v>
      </c>
      <c r="BN69" s="243">
        <f t="shared" si="17"/>
        <v>0</v>
      </c>
      <c r="BO69" s="242">
        <f t="shared" ca="1" si="18"/>
        <v>9.985561330831322</v>
      </c>
      <c r="BP69" s="67"/>
      <c r="BQ69" s="67"/>
      <c r="BR69" s="67"/>
      <c r="BS69" s="67"/>
      <c r="BT69" s="67"/>
      <c r="BU69" s="67"/>
    </row>
    <row r="70" spans="1:73" ht="12" customHeight="1" x14ac:dyDescent="0.15">
      <c r="A70" s="213">
        <f t="shared" si="19"/>
        <v>64</v>
      </c>
      <c r="B70" s="67">
        <f t="shared" si="20"/>
        <v>256</v>
      </c>
      <c r="C70" s="224">
        <f t="shared" si="21"/>
        <v>59.07692307692308</v>
      </c>
      <c r="D70" s="225">
        <f ca="1">IFERROR(OFFSET(extrapolation!V79,0,OS_dist_choice-1,1,1),0)</f>
        <v>0.25983642156473208</v>
      </c>
      <c r="E70" s="225">
        <f ca="1">IFERROR(OFFSET(extrapolation!J79,0,PFS_dist_choice-1,1,1),0)</f>
        <v>7.7253796480819675E-2</v>
      </c>
      <c r="F70" s="214"/>
      <c r="G70" s="226">
        <f t="shared" ca="1" si="22"/>
        <v>77.253796480819673</v>
      </c>
      <c r="H70" s="224">
        <f t="shared" ca="1" si="23"/>
        <v>182.58262508391238</v>
      </c>
      <c r="I70" s="224">
        <f t="shared" ref="I70:I133" ca="1" si="54">cohort_size*(1-D70)</f>
        <v>740.16357843526794</v>
      </c>
      <c r="J70" s="227">
        <f t="shared" ref="J70:J133" ca="1" si="55">G70+H70+I70</f>
        <v>1000</v>
      </c>
      <c r="K70" s="238">
        <f t="shared" ca="1" si="24"/>
        <v>1.1978414966577873</v>
      </c>
      <c r="L70" s="239">
        <f t="shared" ca="1" si="25"/>
        <v>4.4654695216480604</v>
      </c>
      <c r="M70" s="238">
        <f t="shared" ca="1" si="26"/>
        <v>77.852717229148567</v>
      </c>
      <c r="N70" s="238">
        <f t="shared" ca="1" si="27"/>
        <v>184.2164390964075</v>
      </c>
      <c r="O70" s="239">
        <f t="shared" ca="1" si="28"/>
        <v>737.93084367444385</v>
      </c>
      <c r="P70" s="217"/>
      <c r="Q70" s="217"/>
      <c r="R70" s="224"/>
      <c r="S70" s="230">
        <f t="shared" ca="1" si="29"/>
        <v>117132.23712573737</v>
      </c>
      <c r="T70" s="231">
        <f t="shared" ca="1" si="30"/>
        <v>7290.9589305587087</v>
      </c>
      <c r="U70" s="231">
        <f t="shared" ca="1" si="53"/>
        <v>10982.554215306285</v>
      </c>
      <c r="V70" s="231"/>
      <c r="W70" s="231">
        <f t="shared" ca="1" si="31"/>
        <v>29318.087665021685</v>
      </c>
      <c r="X70" s="231">
        <f t="shared" ca="1" si="32"/>
        <v>3664.7609581277106</v>
      </c>
      <c r="Y70" s="231"/>
      <c r="Z70" s="232">
        <f t="shared" ref="Z70:Z133" ca="1" si="56">SUM(S70:Y70)</f>
        <v>168388.59889475175</v>
      </c>
      <c r="AA70" s="231">
        <f t="shared" ref="AA70:AA133" ca="1" si="57">PD_lumpsum_placebo*K70</f>
        <v>1040.7832871090118</v>
      </c>
      <c r="AB70" s="231">
        <f t="shared" ca="1" si="33"/>
        <v>46524.719159916225</v>
      </c>
      <c r="AC70" s="231">
        <f t="shared" ca="1" si="34"/>
        <v>249742.66860245349</v>
      </c>
      <c r="AD70" s="231">
        <f t="shared" ca="1" si="35"/>
        <v>8671.6204375851903</v>
      </c>
      <c r="AE70" s="231">
        <f t="shared" ref="AE70:AE133" ca="1" si="58">End_of_life_costs_per_patient*L70</f>
        <v>127938.02339282125</v>
      </c>
      <c r="AF70" s="231">
        <f t="shared" ref="AF70:AF133" ca="1" si="59">SUM(AA70:AE70)</f>
        <v>433917.81487988512</v>
      </c>
      <c r="AG70" s="232">
        <f t="shared" ref="AG70:AG133" ca="1" si="60">Z70+AF70</f>
        <v>602306.41377463681</v>
      </c>
      <c r="AH70" s="244">
        <f t="shared" ca="1" si="36"/>
        <v>5.9681754480935245</v>
      </c>
      <c r="AI70" s="243">
        <f t="shared" ca="1" si="37"/>
        <v>14.121999437917617</v>
      </c>
      <c r="AJ70" s="242">
        <f t="shared" ca="1" si="38"/>
        <v>20.090174886011141</v>
      </c>
      <c r="AK70" s="241">
        <f t="shared" ca="1" si="39"/>
        <v>4.2970863226273375</v>
      </c>
      <c r="AL70" s="243">
        <f t="shared" ca="1" si="40"/>
        <v>6.2560457509975045</v>
      </c>
      <c r="AM70" s="243"/>
      <c r="AN70" s="242">
        <f t="shared" ref="AN70:AN133" ca="1" si="61">AK70+AL70-AM70</f>
        <v>10.553132073624841</v>
      </c>
      <c r="AO70" s="224"/>
      <c r="AP70" s="235">
        <f t="shared" si="41"/>
        <v>4.9230769230769234</v>
      </c>
      <c r="AQ70" s="235">
        <f t="shared" ref="AQ70:AQ133" si="62">1/(1+cDR)^AP70</f>
        <v>0.86457237609041282</v>
      </c>
      <c r="AR70" s="235">
        <f t="shared" ref="AR70:AR133" si="63">1/(1+oDR)^AP70</f>
        <v>0.92932405044115496</v>
      </c>
      <c r="AT70" s="230">
        <f t="shared" ref="AT70:AT133" ca="1" si="64">S70*AQ70</f>
        <v>101269.29656858442</v>
      </c>
      <c r="AU70" s="231">
        <f t="shared" ref="AU70:AU133" ca="1" si="65">T70*AQ70</f>
        <v>6303.561686570758</v>
      </c>
      <c r="AV70" s="231">
        <f t="shared" ca="1" si="42"/>
        <v>9495.2129934691347</v>
      </c>
      <c r="AW70" s="231"/>
      <c r="AX70" s="231">
        <f t="shared" ca="1" si="43"/>
        <v>25347.60871497482</v>
      </c>
      <c r="AY70" s="231">
        <f t="shared" ca="1" si="44"/>
        <v>3168.4510893718525</v>
      </c>
      <c r="AZ70" s="231"/>
      <c r="BA70" s="232">
        <f t="shared" ref="BA70:BA133" ca="1" si="66">Z70*AQ70</f>
        <v>145584.13105297097</v>
      </c>
      <c r="BB70" s="231">
        <f t="shared" ref="BB70:BB133" ca="1" si="67">AA70*AQ70</f>
        <v>899.83247953102864</v>
      </c>
      <c r="BC70" s="231">
        <f t="shared" ca="1" si="45"/>
        <v>40223.986991027923</v>
      </c>
      <c r="BD70" s="231">
        <f t="shared" ca="1" si="46"/>
        <v>215920.61240478375</v>
      </c>
      <c r="BE70" s="231">
        <f t="shared" ca="1" si="47"/>
        <v>7497.2434862772134</v>
      </c>
      <c r="BF70" s="231">
        <f t="shared" ref="BF70:BF133" ca="1" si="68">AE70*AQ70</f>
        <v>110611.68087704229</v>
      </c>
      <c r="BG70" s="231">
        <f t="shared" ref="BG70:BG133" ca="1" si="69">AF70*AQ70</f>
        <v>375153.35623866215</v>
      </c>
      <c r="BH70" s="232">
        <f t="shared" ref="BH70:BH133" ca="1" si="70">AG70*AQ70</f>
        <v>520737.48729163309</v>
      </c>
      <c r="BI70" s="244">
        <f t="shared" ca="1" si="48"/>
        <v>5.5463689811657293</v>
      </c>
      <c r="BJ70" s="243">
        <f t="shared" ca="1" si="49"/>
        <v>13.123913717973315</v>
      </c>
      <c r="BK70" s="242">
        <f t="shared" ca="1" si="50"/>
        <v>18.670282699139044</v>
      </c>
      <c r="BL70" s="241">
        <f t="shared" ca="1" si="51"/>
        <v>3.993385666439325</v>
      </c>
      <c r="BM70" s="243">
        <f t="shared" ca="1" si="52"/>
        <v>5.8138937770621784</v>
      </c>
      <c r="BN70" s="243">
        <f t="shared" ref="BN70:BN133" si="71">AM70*AR70</f>
        <v>0</v>
      </c>
      <c r="BO70" s="242">
        <f t="shared" ref="BO70:BO133" ca="1" si="72">AN70*AR70</f>
        <v>9.8072794435015016</v>
      </c>
      <c r="BP70" s="67"/>
      <c r="BQ70" s="67"/>
      <c r="BR70" s="67"/>
      <c r="BS70" s="67"/>
      <c r="BT70" s="67"/>
      <c r="BU70" s="67"/>
    </row>
    <row r="71" spans="1:73" ht="12" customHeight="1" x14ac:dyDescent="0.15">
      <c r="A71" s="213">
        <f t="shared" ref="A71:A134" si="73">A70+1</f>
        <v>65</v>
      </c>
      <c r="B71" s="67">
        <f t="shared" ref="B71:B134" si="74">A71*cycle_length_days/7</f>
        <v>260</v>
      </c>
      <c r="C71" s="224">
        <f t="shared" ref="C71:C134" si="75">B71/52*12</f>
        <v>60</v>
      </c>
      <c r="D71" s="225">
        <f ca="1">IFERROR(OFFSET(extrapolation!V80,0,OS_dist_choice-1,1,1),0)</f>
        <v>0.25548829794658101</v>
      </c>
      <c r="E71" s="225">
        <f ca="1">IFERROR(OFFSET(extrapolation!J80,0,PFS_dist_choice-1,1,1),0)</f>
        <v>7.6091408366696159E-2</v>
      </c>
      <c r="F71" s="214"/>
      <c r="G71" s="226">
        <f t="shared" ref="G71:G134" ca="1" si="76">cohort_size*IF(E71&gt;D71,D71,E71)</f>
        <v>76.091408366696157</v>
      </c>
      <c r="H71" s="224">
        <f t="shared" ref="H71:H134" ca="1" si="77">cohort_size-G71-I71</f>
        <v>179.39688957988483</v>
      </c>
      <c r="I71" s="224">
        <f t="shared" ca="1" si="54"/>
        <v>744.51170205341896</v>
      </c>
      <c r="J71" s="227">
        <f t="shared" ca="1" si="55"/>
        <v>1000</v>
      </c>
      <c r="K71" s="238">
        <f t="shared" ref="K71:K134" ca="1" si="78">MAX(0,G70-G71)</f>
        <v>1.1623881141235159</v>
      </c>
      <c r="L71" s="239">
        <f t="shared" ref="L71:L134" ca="1" si="79">I71-I70</f>
        <v>4.3481236181510212</v>
      </c>
      <c r="M71" s="238">
        <f t="shared" ref="M71:M134" ca="1" si="80">(G71+G70)/2</f>
        <v>76.672602423757922</v>
      </c>
      <c r="N71" s="238">
        <f t="shared" ref="N71:N134" ca="1" si="81">(H71+H70)/2</f>
        <v>180.9897573318986</v>
      </c>
      <c r="O71" s="239">
        <f t="shared" ref="O71:O134" ca="1" si="82">(I71+I70)/2</f>
        <v>742.33764024434345</v>
      </c>
      <c r="P71" s="217"/>
      <c r="Q71" s="217"/>
      <c r="R71" s="224"/>
      <c r="S71" s="230">
        <f t="shared" ref="S71:S134" ca="1" si="83">SD_drugacq_c2_placebo*G71</f>
        <v>115369.82380214805</v>
      </c>
      <c r="T71" s="231">
        <f t="shared" ref="T71:T134" ca="1" si="84">SD_admin_c2_placebo*G71</f>
        <v>7181.2565678593137</v>
      </c>
      <c r="U71" s="231">
        <f t="shared" ca="1" si="53"/>
        <v>10817.306796226258</v>
      </c>
      <c r="V71" s="231"/>
      <c r="W71" s="231">
        <f t="shared" ref="W71:W134" ca="1" si="85">Societal_informal_PFS_per_cycle*M71</f>
        <v>28873.675311148454</v>
      </c>
      <c r="X71" s="231">
        <f t="shared" ref="X71:X134" ca="1" si="86">Patient_time_c2plus*M71</f>
        <v>3609.2094138935568</v>
      </c>
      <c r="Y71" s="231"/>
      <c r="Z71" s="232">
        <f t="shared" ca="1" si="56"/>
        <v>165851.27189127562</v>
      </c>
      <c r="AA71" s="231">
        <f t="shared" ca="1" si="57"/>
        <v>1009.9784701811392</v>
      </c>
      <c r="AB71" s="231">
        <f t="shared" ref="AB71:AB134" ca="1" si="87">PD_ongoing_placebo*N71</f>
        <v>45709.805661161452</v>
      </c>
      <c r="AC71" s="231">
        <f t="shared" ref="AC71:AC134" ca="1" si="88">Societal_informal_PD_per_cycle*N71</f>
        <v>245368.24839027255</v>
      </c>
      <c r="AD71" s="231">
        <f t="shared" ref="AD71:AD134" ca="1" si="89">Patient_time_PD_per_cycle*N71</f>
        <v>8519.7308468844622</v>
      </c>
      <c r="AE71" s="231">
        <f t="shared" ca="1" si="58"/>
        <v>124576.00224949585</v>
      </c>
      <c r="AF71" s="231">
        <f t="shared" ca="1" si="59"/>
        <v>425183.76561799552</v>
      </c>
      <c r="AG71" s="232">
        <f t="shared" ca="1" si="60"/>
        <v>591035.03750927118</v>
      </c>
      <c r="AH71" s="244">
        <f t="shared" ref="AH71:AH134" ca="1" si="90">M71*cycle_length_days/365.25</f>
        <v>5.8777080571258642</v>
      </c>
      <c r="AI71" s="243">
        <f t="shared" ref="AI71:AI134" ca="1" si="91">N71*cycle_length_days/365.25</f>
        <v>13.874642588071625</v>
      </c>
      <c r="AJ71" s="242">
        <f t="shared" ref="AJ71:AJ134" ca="1" si="92">AH71+AI71</f>
        <v>19.752350645197488</v>
      </c>
      <c r="AK71" s="241">
        <f t="shared" ref="AK71:AK134" ca="1" si="93">AH71*utility_pfs</f>
        <v>4.2319498011306225</v>
      </c>
      <c r="AL71" s="243">
        <f t="shared" ref="AL71:AL134" ca="1" si="94">AI71*utility_pd</f>
        <v>6.1464666665157299</v>
      </c>
      <c r="AM71" s="243"/>
      <c r="AN71" s="242">
        <f t="shared" ca="1" si="61"/>
        <v>10.378416467646353</v>
      </c>
      <c r="AO71" s="224"/>
      <c r="AP71" s="235">
        <f t="shared" ref="AP71:AP134" si="95">B71/52</f>
        <v>5</v>
      </c>
      <c r="AQ71" s="235">
        <f t="shared" si="62"/>
        <v>0.86260878438416411</v>
      </c>
      <c r="AR71" s="235">
        <f t="shared" si="63"/>
        <v>0.92826032540563996</v>
      </c>
      <c r="AT71" s="230">
        <f t="shared" ca="1" si="64"/>
        <v>99519.023464586135</v>
      </c>
      <c r="AU71" s="231">
        <f t="shared" ca="1" si="65"/>
        <v>6194.6149983519172</v>
      </c>
      <c r="AV71" s="231">
        <f t="shared" ref="AV71:AV134" ca="1" si="96">U71*AQ71</f>
        <v>9331.1038658032885</v>
      </c>
      <c r="AW71" s="231"/>
      <c r="AX71" s="231">
        <f t="shared" ref="AX71:AX134" ca="1" si="97">W71*AQ71</f>
        <v>24906.685960852818</v>
      </c>
      <c r="AY71" s="231">
        <f t="shared" ref="AY71:AY134" ca="1" si="98">X71*AQ71</f>
        <v>3113.3357451066022</v>
      </c>
      <c r="AZ71" s="231"/>
      <c r="BA71" s="232">
        <f t="shared" ca="1" si="66"/>
        <v>143064.76403470075</v>
      </c>
      <c r="BB71" s="231">
        <f t="shared" ca="1" si="67"/>
        <v>871.21630041713024</v>
      </c>
      <c r="BC71" s="231">
        <f t="shared" ref="BC71:BC134" ca="1" si="99">AB71*AQ71</f>
        <v>39429.679895810863</v>
      </c>
      <c r="BD71" s="231">
        <f t="shared" ref="BD71:BD134" ca="1" si="100">AC71*AQ71</f>
        <v>211656.80647040464</v>
      </c>
      <c r="BE71" s="231">
        <f t="shared" ref="BE71:BE134" ca="1" si="101">AD71*AQ71</f>
        <v>7349.1946691112707</v>
      </c>
      <c r="BF71" s="231">
        <f t="shared" ca="1" si="68"/>
        <v>107460.35386387652</v>
      </c>
      <c r="BG71" s="231">
        <f t="shared" ca="1" si="69"/>
        <v>366767.25119962048</v>
      </c>
      <c r="BH71" s="232">
        <f t="shared" ca="1" si="70"/>
        <v>509832.01523432124</v>
      </c>
      <c r="BI71" s="244">
        <f t="shared" ref="BI71:BI134" ca="1" si="102">AH71*AR71</f>
        <v>5.4560431937470062</v>
      </c>
      <c r="BJ71" s="243">
        <f t="shared" ref="BJ71:BJ134" ca="1" si="103">AI71*AR71</f>
        <v>12.879280243690317</v>
      </c>
      <c r="BK71" s="242">
        <f t="shared" ref="BK71:BK134" ca="1" si="104">AJ71*AR71</f>
        <v>18.335323437437324</v>
      </c>
      <c r="BL71" s="241">
        <f t="shared" ref="BL71:BL134" ca="1" si="105">AK71*AR71</f>
        <v>3.9283510994978448</v>
      </c>
      <c r="BM71" s="243">
        <f t="shared" ref="BM71:BM134" ca="1" si="106">AL71*AR71</f>
        <v>5.7055211479548102</v>
      </c>
      <c r="BN71" s="243">
        <f t="shared" si="71"/>
        <v>0</v>
      </c>
      <c r="BO71" s="242">
        <f t="shared" ca="1" si="72"/>
        <v>9.6338722474526559</v>
      </c>
      <c r="BP71" s="67"/>
      <c r="BQ71" s="67"/>
      <c r="BR71" s="67"/>
      <c r="BS71" s="67"/>
      <c r="BT71" s="67"/>
      <c r="BU71" s="67"/>
    </row>
    <row r="72" spans="1:73" ht="12" customHeight="1" x14ac:dyDescent="0.15">
      <c r="A72" s="213">
        <f t="shared" si="73"/>
        <v>66</v>
      </c>
      <c r="B72" s="67">
        <f t="shared" si="74"/>
        <v>264</v>
      </c>
      <c r="C72" s="224">
        <f t="shared" si="75"/>
        <v>60.92307692307692</v>
      </c>
      <c r="D72" s="225">
        <f ca="1">IFERROR(OFFSET(extrapolation!V81,0,OS_dist_choice-1,1,1),0)</f>
        <v>0.25125353247757115</v>
      </c>
      <c r="E72" s="225">
        <f ca="1">IFERROR(OFFSET(extrapolation!J81,0,PFS_dist_choice-1,1,1),0)</f>
        <v>7.4962930048694615E-2</v>
      </c>
      <c r="F72" s="214"/>
      <c r="G72" s="226">
        <f t="shared" ca="1" si="76"/>
        <v>74.962930048694616</v>
      </c>
      <c r="H72" s="224">
        <f t="shared" ca="1" si="77"/>
        <v>176.29060242887647</v>
      </c>
      <c r="I72" s="224">
        <f t="shared" ca="1" si="54"/>
        <v>748.74646752242893</v>
      </c>
      <c r="J72" s="227">
        <f t="shared" ca="1" si="55"/>
        <v>1000</v>
      </c>
      <c r="K72" s="238">
        <f t="shared" ca="1" si="78"/>
        <v>1.128478318001541</v>
      </c>
      <c r="L72" s="239">
        <f t="shared" ca="1" si="79"/>
        <v>4.2347654690099716</v>
      </c>
      <c r="M72" s="238">
        <f t="shared" ca="1" si="80"/>
        <v>75.52716920769538</v>
      </c>
      <c r="N72" s="238">
        <f t="shared" ca="1" si="81"/>
        <v>177.84374600438065</v>
      </c>
      <c r="O72" s="239">
        <f t="shared" ca="1" si="82"/>
        <v>746.62908478792394</v>
      </c>
      <c r="P72" s="217"/>
      <c r="Q72" s="217"/>
      <c r="R72" s="224"/>
      <c r="S72" s="230">
        <f t="shared" ca="1" si="83"/>
        <v>113658.8245250028</v>
      </c>
      <c r="T72" s="231">
        <f t="shared" ca="1" si="84"/>
        <v>7074.7545000597338</v>
      </c>
      <c r="U72" s="231">
        <f t="shared" ref="U72:U135" ca="1" si="107">SD_hcru_c3plus_placebo*G72</f>
        <v>10656.880061582522</v>
      </c>
      <c r="V72" s="231"/>
      <c r="W72" s="231">
        <f t="shared" ca="1" si="85"/>
        <v>28442.323488910759</v>
      </c>
      <c r="X72" s="231">
        <f t="shared" ca="1" si="86"/>
        <v>3555.2904361138449</v>
      </c>
      <c r="Y72" s="231"/>
      <c r="Z72" s="232">
        <f t="shared" ca="1" si="56"/>
        <v>163388.07301166965</v>
      </c>
      <c r="AA72" s="231">
        <f t="shared" ca="1" si="57"/>
        <v>980.51484818148458</v>
      </c>
      <c r="AB72" s="231">
        <f t="shared" ca="1" si="87"/>
        <v>44915.265856762737</v>
      </c>
      <c r="AC72" s="231">
        <f t="shared" ca="1" si="88"/>
        <v>241103.19328312928</v>
      </c>
      <c r="AD72" s="231">
        <f t="shared" ca="1" si="89"/>
        <v>8371.6386556642101</v>
      </c>
      <c r="AE72" s="231">
        <f t="shared" ca="1" si="58"/>
        <v>121328.23234170304</v>
      </c>
      <c r="AF72" s="231">
        <f t="shared" ca="1" si="59"/>
        <v>416698.84498544078</v>
      </c>
      <c r="AG72" s="232">
        <f t="shared" ca="1" si="60"/>
        <v>580086.9179971104</v>
      </c>
      <c r="AH72" s="244">
        <f t="shared" ca="1" si="90"/>
        <v>5.7898993506241503</v>
      </c>
      <c r="AI72" s="243">
        <f t="shared" ca="1" si="91"/>
        <v>13.633469919569222</v>
      </c>
      <c r="AJ72" s="242">
        <f t="shared" ca="1" si="92"/>
        <v>19.423369270193373</v>
      </c>
      <c r="AK72" s="241">
        <f t="shared" ca="1" si="93"/>
        <v>4.1687275324493882</v>
      </c>
      <c r="AL72" s="243">
        <f t="shared" ca="1" si="94"/>
        <v>6.0396271743691656</v>
      </c>
      <c r="AM72" s="243"/>
      <c r="AN72" s="242">
        <f t="shared" ca="1" si="61"/>
        <v>10.208354706818554</v>
      </c>
      <c r="AO72" s="224"/>
      <c r="AP72" s="235">
        <f t="shared" si="95"/>
        <v>5.0769230769230766</v>
      </c>
      <c r="AQ72" s="235">
        <f t="shared" si="62"/>
        <v>0.8606496523304501</v>
      </c>
      <c r="AR72" s="235">
        <f t="shared" si="63"/>
        <v>0.9271978179335254</v>
      </c>
      <c r="AT72" s="230">
        <f t="shared" ca="1" si="64"/>
        <v>97820.427811731293</v>
      </c>
      <c r="AU72" s="231">
        <f t="shared" ca="1" si="65"/>
        <v>6088.8850007996971</v>
      </c>
      <c r="AV72" s="231">
        <f t="shared" ca="1" si="96"/>
        <v>9171.8401199283035</v>
      </c>
      <c r="AW72" s="231"/>
      <c r="AX72" s="231">
        <f t="shared" ca="1" si="97"/>
        <v>24478.87582220124</v>
      </c>
      <c r="AY72" s="231">
        <f t="shared" ca="1" si="98"/>
        <v>3059.859477775155</v>
      </c>
      <c r="AZ72" s="231"/>
      <c r="BA72" s="232">
        <f t="shared" ca="1" si="66"/>
        <v>140619.88823243568</v>
      </c>
      <c r="BB72" s="231">
        <f t="shared" ca="1" si="67"/>
        <v>843.87976319223878</v>
      </c>
      <c r="BC72" s="231">
        <f t="shared" ca="1" si="99"/>
        <v>38656.307943952583</v>
      </c>
      <c r="BD72" s="231">
        <f t="shared" ca="1" si="100"/>
        <v>207505.37947488652</v>
      </c>
      <c r="BE72" s="231">
        <f t="shared" ca="1" si="101"/>
        <v>7205.0478984335587</v>
      </c>
      <c r="BF72" s="231">
        <f t="shared" ca="1" si="68"/>
        <v>104421.1009827548</v>
      </c>
      <c r="BG72" s="231">
        <f t="shared" ca="1" si="69"/>
        <v>358631.7160632197</v>
      </c>
      <c r="BH72" s="232">
        <f t="shared" ca="1" si="70"/>
        <v>499251.60429565539</v>
      </c>
      <c r="BI72" s="244">
        <f t="shared" ca="1" si="102"/>
        <v>5.3683820439534475</v>
      </c>
      <c r="BJ72" s="243">
        <f t="shared" ca="1" si="103"/>
        <v>12.640923560286939</v>
      </c>
      <c r="BK72" s="242">
        <f t="shared" ca="1" si="104"/>
        <v>18.009305604240385</v>
      </c>
      <c r="BL72" s="241">
        <f t="shared" ca="1" si="105"/>
        <v>3.8652350716464823</v>
      </c>
      <c r="BM72" s="243">
        <f t="shared" ca="1" si="106"/>
        <v>5.5999291372071145</v>
      </c>
      <c r="BN72" s="243">
        <f t="shared" si="71"/>
        <v>0</v>
      </c>
      <c r="BO72" s="242">
        <f t="shared" ca="1" si="72"/>
        <v>9.4651642088535972</v>
      </c>
      <c r="BP72" s="67"/>
      <c r="BQ72" s="67"/>
      <c r="BR72" s="67"/>
      <c r="BS72" s="67"/>
      <c r="BT72" s="67"/>
      <c r="BU72" s="67"/>
    </row>
    <row r="73" spans="1:73" ht="12" customHeight="1" x14ac:dyDescent="0.15">
      <c r="A73" s="213">
        <f t="shared" si="73"/>
        <v>67</v>
      </c>
      <c r="B73" s="67">
        <f t="shared" si="74"/>
        <v>268</v>
      </c>
      <c r="C73" s="224">
        <f t="shared" si="75"/>
        <v>61.846153846153854</v>
      </c>
      <c r="D73" s="225">
        <f ca="1">IFERROR(OFFSET(extrapolation!V82,0,OS_dist_choice-1,1,1),0)</f>
        <v>0.24712829505515313</v>
      </c>
      <c r="E73" s="225">
        <f ca="1">IFERROR(OFFSET(extrapolation!J82,0,PFS_dist_choice-1,1,1),0)</f>
        <v>7.386690606467311E-2</v>
      </c>
      <c r="F73" s="214"/>
      <c r="G73" s="226">
        <f t="shared" ca="1" si="76"/>
        <v>73.866906064673117</v>
      </c>
      <c r="H73" s="224">
        <f t="shared" ca="1" si="77"/>
        <v>173.26138899047999</v>
      </c>
      <c r="I73" s="224">
        <f t="shared" ca="1" si="54"/>
        <v>752.8717049448469</v>
      </c>
      <c r="J73" s="227">
        <f t="shared" ca="1" si="55"/>
        <v>1000</v>
      </c>
      <c r="K73" s="238">
        <f t="shared" ca="1" si="78"/>
        <v>1.0960239840214996</v>
      </c>
      <c r="L73" s="239">
        <f t="shared" ca="1" si="79"/>
        <v>4.1252374224179675</v>
      </c>
      <c r="M73" s="238">
        <f t="shared" ca="1" si="80"/>
        <v>74.41491805668386</v>
      </c>
      <c r="N73" s="238">
        <f t="shared" ca="1" si="81"/>
        <v>174.77599570967823</v>
      </c>
      <c r="O73" s="239">
        <f t="shared" ca="1" si="82"/>
        <v>750.80908623363791</v>
      </c>
      <c r="P73" s="217"/>
      <c r="Q73" s="217"/>
      <c r="R73" s="224"/>
      <c r="S73" s="230">
        <f t="shared" ca="1" si="83"/>
        <v>111997.0325220198</v>
      </c>
      <c r="T73" s="231">
        <f t="shared" ca="1" si="84"/>
        <v>6971.3153654355592</v>
      </c>
      <c r="U73" s="231">
        <f t="shared" ca="1" si="107"/>
        <v>10501.067099966058</v>
      </c>
      <c r="V73" s="231"/>
      <c r="W73" s="231">
        <f t="shared" ca="1" si="85"/>
        <v>28023.467501458235</v>
      </c>
      <c r="X73" s="231">
        <f t="shared" ca="1" si="86"/>
        <v>3502.9334376822794</v>
      </c>
      <c r="Y73" s="231"/>
      <c r="Z73" s="232">
        <f t="shared" ca="1" si="56"/>
        <v>160995.81592656195</v>
      </c>
      <c r="AA73" s="231">
        <f t="shared" ca="1" si="57"/>
        <v>952.31585149041302</v>
      </c>
      <c r="AB73" s="231">
        <f t="shared" ca="1" si="87"/>
        <v>44140.491240480602</v>
      </c>
      <c r="AC73" s="231">
        <f t="shared" ca="1" si="88"/>
        <v>236944.23684600051</v>
      </c>
      <c r="AD73" s="231">
        <f t="shared" ca="1" si="89"/>
        <v>8227.2304460416835</v>
      </c>
      <c r="AE73" s="231">
        <f t="shared" ca="1" si="58"/>
        <v>118190.1968632107</v>
      </c>
      <c r="AF73" s="231">
        <f t="shared" ca="1" si="59"/>
        <v>408454.4712472239</v>
      </c>
      <c r="AG73" s="232">
        <f t="shared" ca="1" si="60"/>
        <v>569450.28717378585</v>
      </c>
      <c r="AH73" s="244">
        <f t="shared" ca="1" si="90"/>
        <v>5.7046343753241562</v>
      </c>
      <c r="AI73" s="243">
        <f t="shared" ca="1" si="91"/>
        <v>13.398296727915101</v>
      </c>
      <c r="AJ73" s="242">
        <f t="shared" ca="1" si="92"/>
        <v>19.102931103239257</v>
      </c>
      <c r="AK73" s="241">
        <f t="shared" ca="1" si="93"/>
        <v>4.107336750233392</v>
      </c>
      <c r="AL73" s="243">
        <f t="shared" ca="1" si="94"/>
        <v>5.93544545046639</v>
      </c>
      <c r="AM73" s="243"/>
      <c r="AN73" s="242">
        <f t="shared" ca="1" si="61"/>
        <v>10.042782200699783</v>
      </c>
      <c r="AO73" s="224"/>
      <c r="AP73" s="235">
        <f t="shared" si="95"/>
        <v>5.1538461538461542</v>
      </c>
      <c r="AQ73" s="235">
        <f t="shared" si="62"/>
        <v>0.85869496980063797</v>
      </c>
      <c r="AR73" s="235">
        <f t="shared" si="63"/>
        <v>0.92613652663116131</v>
      </c>
      <c r="AT73" s="230">
        <f t="shared" ca="1" si="64"/>
        <v>96171.288459256859</v>
      </c>
      <c r="AU73" s="231">
        <f t="shared" ca="1" si="65"/>
        <v>5986.2334371934112</v>
      </c>
      <c r="AV73" s="231">
        <f t="shared" ca="1" si="96"/>
        <v>9017.2134962798264</v>
      </c>
      <c r="AW73" s="231"/>
      <c r="AX73" s="231">
        <f t="shared" ca="1" si="97"/>
        <v>24063.610579873839</v>
      </c>
      <c r="AY73" s="231">
        <f t="shared" ca="1" si="98"/>
        <v>3007.9513224842299</v>
      </c>
      <c r="AZ73" s="231"/>
      <c r="BA73" s="232">
        <f t="shared" ca="1" si="66"/>
        <v>138246.29729508818</v>
      </c>
      <c r="BB73" s="231">
        <f t="shared" ca="1" si="67"/>
        <v>817.74883133622905</v>
      </c>
      <c r="BC73" s="231">
        <f t="shared" ca="1" si="99"/>
        <v>37903.217792729818</v>
      </c>
      <c r="BD73" s="231">
        <f t="shared" ca="1" si="100"/>
        <v>203462.82430291161</v>
      </c>
      <c r="BE73" s="231">
        <f t="shared" ca="1" si="101"/>
        <v>7064.6813994066524</v>
      </c>
      <c r="BF73" s="231">
        <f t="shared" ca="1" si="68"/>
        <v>101489.32752618617</v>
      </c>
      <c r="BG73" s="231">
        <f t="shared" ca="1" si="69"/>
        <v>350737.79985257046</v>
      </c>
      <c r="BH73" s="232">
        <f t="shared" ca="1" si="70"/>
        <v>488984.09714765864</v>
      </c>
      <c r="BI73" s="244">
        <f t="shared" ca="1" si="102"/>
        <v>5.2832702660634387</v>
      </c>
      <c r="BJ73" s="243">
        <f t="shared" ca="1" si="103"/>
        <v>12.408651994364945</v>
      </c>
      <c r="BK73" s="242">
        <f t="shared" ca="1" si="104"/>
        <v>17.691922260428385</v>
      </c>
      <c r="BL73" s="241">
        <f t="shared" ca="1" si="105"/>
        <v>3.8039545915656752</v>
      </c>
      <c r="BM73" s="243">
        <f t="shared" ca="1" si="106"/>
        <v>5.4970328335036713</v>
      </c>
      <c r="BN73" s="243">
        <f t="shared" si="71"/>
        <v>0</v>
      </c>
      <c r="BO73" s="242">
        <f t="shared" ca="1" si="72"/>
        <v>9.3009874250693478</v>
      </c>
      <c r="BP73" s="67"/>
      <c r="BQ73" s="67"/>
      <c r="BR73" s="67"/>
      <c r="BS73" s="67"/>
      <c r="BT73" s="67"/>
      <c r="BU73" s="67"/>
    </row>
    <row r="74" spans="1:73" ht="12" customHeight="1" x14ac:dyDescent="0.15">
      <c r="A74" s="213">
        <f t="shared" si="73"/>
        <v>68</v>
      </c>
      <c r="B74" s="67">
        <f t="shared" si="74"/>
        <v>272</v>
      </c>
      <c r="C74" s="224">
        <f t="shared" si="75"/>
        <v>62.769230769230774</v>
      </c>
      <c r="D74" s="225">
        <f ca="1">IFERROR(OFFSET(extrapolation!V83,0,OS_dist_choice-1,1,1),0)</f>
        <v>0.2431089066728338</v>
      </c>
      <c r="E74" s="225">
        <f ca="1">IFERROR(OFFSET(extrapolation!J83,0,PFS_dist_choice-1,1,1),0)</f>
        <v>7.2801962884912835E-2</v>
      </c>
      <c r="F74" s="214"/>
      <c r="G74" s="226">
        <f t="shared" ca="1" si="76"/>
        <v>72.80196288491284</v>
      </c>
      <c r="H74" s="224">
        <f t="shared" ca="1" si="77"/>
        <v>170.30694378792089</v>
      </c>
      <c r="I74" s="224">
        <f t="shared" ca="1" si="54"/>
        <v>756.89109332716623</v>
      </c>
      <c r="J74" s="227">
        <f t="shared" ca="1" si="55"/>
        <v>1000</v>
      </c>
      <c r="K74" s="238">
        <f t="shared" ca="1" si="78"/>
        <v>1.0649431797602773</v>
      </c>
      <c r="L74" s="239">
        <f t="shared" ca="1" si="79"/>
        <v>4.0193883823193346</v>
      </c>
      <c r="M74" s="238">
        <f t="shared" ca="1" si="80"/>
        <v>73.334434474792971</v>
      </c>
      <c r="N74" s="238">
        <f t="shared" ca="1" si="81"/>
        <v>171.78416638920044</v>
      </c>
      <c r="O74" s="239">
        <f t="shared" ca="1" si="82"/>
        <v>754.88139913600662</v>
      </c>
      <c r="P74" s="217"/>
      <c r="Q74" s="217"/>
      <c r="R74" s="224"/>
      <c r="S74" s="230">
        <f t="shared" ca="1" si="83"/>
        <v>110382.36524689</v>
      </c>
      <c r="T74" s="231">
        <f t="shared" ca="1" si="84"/>
        <v>6870.8095347746867</v>
      </c>
      <c r="U74" s="231">
        <f t="shared" ca="1" si="107"/>
        <v>10349.672647644977</v>
      </c>
      <c r="V74" s="231"/>
      <c r="W74" s="231">
        <f t="shared" ca="1" si="85"/>
        <v>27616.574672255436</v>
      </c>
      <c r="X74" s="231">
        <f t="shared" ca="1" si="86"/>
        <v>3452.0718340319295</v>
      </c>
      <c r="Y74" s="231"/>
      <c r="Z74" s="232">
        <f t="shared" ca="1" si="56"/>
        <v>158671.49393559701</v>
      </c>
      <c r="AA74" s="231">
        <f t="shared" ca="1" si="57"/>
        <v>925.31029047483207</v>
      </c>
      <c r="AB74" s="231">
        <f t="shared" ca="1" si="87"/>
        <v>43384.890819625725</v>
      </c>
      <c r="AC74" s="231">
        <f t="shared" ca="1" si="88"/>
        <v>232888.20665583838</v>
      </c>
      <c r="AD74" s="231">
        <f t="shared" ca="1" si="89"/>
        <v>8086.3960644388326</v>
      </c>
      <c r="AE74" s="231">
        <f t="shared" ca="1" si="58"/>
        <v>115157.56683346891</v>
      </c>
      <c r="AF74" s="231">
        <f t="shared" ca="1" si="59"/>
        <v>400442.37066384673</v>
      </c>
      <c r="AG74" s="232">
        <f t="shared" ca="1" si="60"/>
        <v>559113.86459944374</v>
      </c>
      <c r="AH74" s="244">
        <f t="shared" ca="1" si="90"/>
        <v>5.6218046962195851</v>
      </c>
      <c r="AI74" s="243">
        <f t="shared" ca="1" si="91"/>
        <v>13.168943624634119</v>
      </c>
      <c r="AJ74" s="242">
        <f t="shared" ca="1" si="92"/>
        <v>18.790748320853705</v>
      </c>
      <c r="AK74" s="241">
        <f t="shared" ca="1" si="93"/>
        <v>4.0476993812781012</v>
      </c>
      <c r="AL74" s="243">
        <f t="shared" ca="1" si="94"/>
        <v>5.8338420257129151</v>
      </c>
      <c r="AM74" s="243"/>
      <c r="AN74" s="242">
        <f t="shared" ca="1" si="61"/>
        <v>9.8815414069910155</v>
      </c>
      <c r="AO74" s="224"/>
      <c r="AP74" s="235">
        <f t="shared" si="95"/>
        <v>5.2307692307692308</v>
      </c>
      <c r="AQ74" s="235">
        <f t="shared" si="62"/>
        <v>0.85674472668909774</v>
      </c>
      <c r="AR74" s="235">
        <f t="shared" si="63"/>
        <v>0.92507645010649275</v>
      </c>
      <c r="AT74" s="230">
        <f t="shared" ca="1" si="64"/>
        <v>94569.509344742924</v>
      </c>
      <c r="AU74" s="231">
        <f t="shared" ca="1" si="65"/>
        <v>5886.5298370033861</v>
      </c>
      <c r="AV74" s="231">
        <f t="shared" ca="1" si="96"/>
        <v>8867.0274638282262</v>
      </c>
      <c r="AW74" s="231"/>
      <c r="AX74" s="231">
        <f t="shared" ca="1" si="97"/>
        <v>23660.354719670544</v>
      </c>
      <c r="AY74" s="231">
        <f t="shared" ca="1" si="98"/>
        <v>2957.544339958818</v>
      </c>
      <c r="AZ74" s="231"/>
      <c r="BA74" s="232">
        <f t="shared" ca="1" si="66"/>
        <v>135940.96570520388</v>
      </c>
      <c r="BB74" s="231">
        <f t="shared" ca="1" si="67"/>
        <v>792.75471191546967</v>
      </c>
      <c r="BC74" s="231">
        <f t="shared" ca="1" si="99"/>
        <v>37169.77642769659</v>
      </c>
      <c r="BD74" s="231">
        <f t="shared" ca="1" si="100"/>
        <v>199525.74296047038</v>
      </c>
      <c r="BE74" s="231">
        <f t="shared" ca="1" si="101"/>
        <v>6927.977186127443</v>
      </c>
      <c r="BF74" s="231">
        <f t="shared" ca="1" si="68"/>
        <v>98660.638122921824</v>
      </c>
      <c r="BG74" s="231">
        <f t="shared" ca="1" si="69"/>
        <v>343076.88940913172</v>
      </c>
      <c r="BH74" s="232">
        <f t="shared" ca="1" si="70"/>
        <v>479017.8551143356</v>
      </c>
      <c r="BI74" s="244">
        <f t="shared" ca="1" si="102"/>
        <v>5.200599131570824</v>
      </c>
      <c r="BJ74" s="243">
        <f t="shared" ca="1" si="103"/>
        <v>12.18227961992906</v>
      </c>
      <c r="BK74" s="242">
        <f t="shared" ca="1" si="104"/>
        <v>17.382878751499884</v>
      </c>
      <c r="BL74" s="241">
        <f t="shared" ca="1" si="105"/>
        <v>3.744431374730993</v>
      </c>
      <c r="BM74" s="243">
        <f t="shared" ca="1" si="106"/>
        <v>5.3967498716285744</v>
      </c>
      <c r="BN74" s="243">
        <f t="shared" si="71"/>
        <v>0</v>
      </c>
      <c r="BO74" s="242">
        <f t="shared" ca="1" si="72"/>
        <v>9.141181246359567</v>
      </c>
      <c r="BP74" s="67"/>
      <c r="BQ74" s="67"/>
      <c r="BR74" s="67"/>
      <c r="BS74" s="67"/>
      <c r="BT74" s="67"/>
      <c r="BU74" s="67"/>
    </row>
    <row r="75" spans="1:73" ht="12" customHeight="1" x14ac:dyDescent="0.15">
      <c r="A75" s="213">
        <f t="shared" si="73"/>
        <v>69</v>
      </c>
      <c r="B75" s="67">
        <f t="shared" si="74"/>
        <v>276</v>
      </c>
      <c r="C75" s="224">
        <f t="shared" si="75"/>
        <v>63.692307692307693</v>
      </c>
      <c r="D75" s="225">
        <f ca="1">IFERROR(OFFSET(extrapolation!V84,0,OS_dist_choice-1,1,1),0)</f>
        <v>0.23919183309997205</v>
      </c>
      <c r="E75" s="225">
        <f ca="1">IFERROR(OFFSET(extrapolation!J84,0,PFS_dist_choice-1,1,1),0)</f>
        <v>7.1766803234603813E-2</v>
      </c>
      <c r="F75" s="214"/>
      <c r="G75" s="226">
        <f t="shared" ca="1" si="76"/>
        <v>71.766803234603813</v>
      </c>
      <c r="H75" s="224">
        <f t="shared" ca="1" si="77"/>
        <v>167.42502986536829</v>
      </c>
      <c r="I75" s="224">
        <f t="shared" ca="1" si="54"/>
        <v>760.80816690002791</v>
      </c>
      <c r="J75" s="227">
        <f t="shared" ca="1" si="55"/>
        <v>1000</v>
      </c>
      <c r="K75" s="238">
        <f t="shared" ca="1" si="78"/>
        <v>1.0351596503090263</v>
      </c>
      <c r="L75" s="239">
        <f t="shared" ca="1" si="79"/>
        <v>3.9170735728616819</v>
      </c>
      <c r="M75" s="238">
        <f t="shared" ca="1" si="80"/>
        <v>72.284383059758326</v>
      </c>
      <c r="N75" s="238">
        <f t="shared" ca="1" si="81"/>
        <v>168.86598682664459</v>
      </c>
      <c r="O75" s="239">
        <f t="shared" ca="1" si="82"/>
        <v>758.84963011359707</v>
      </c>
      <c r="P75" s="217"/>
      <c r="Q75" s="217"/>
      <c r="R75" s="224"/>
      <c r="S75" s="230">
        <f t="shared" ca="1" si="83"/>
        <v>108812.85577102759</v>
      </c>
      <c r="T75" s="231">
        <f t="shared" ca="1" si="84"/>
        <v>6773.1145755522166</v>
      </c>
      <c r="U75" s="231">
        <f t="shared" ca="1" si="107"/>
        <v>10202.512281437746</v>
      </c>
      <c r="V75" s="231"/>
      <c r="W75" s="231">
        <f t="shared" ca="1" si="85"/>
        <v>27221.142110176032</v>
      </c>
      <c r="X75" s="231">
        <f t="shared" ca="1" si="86"/>
        <v>3402.6427637720039</v>
      </c>
      <c r="Y75" s="231"/>
      <c r="Z75" s="232">
        <f t="shared" ca="1" si="56"/>
        <v>156412.26750196557</v>
      </c>
      <c r="AA75" s="231">
        <f t="shared" ca="1" si="57"/>
        <v>899.43190859336266</v>
      </c>
      <c r="AB75" s="231">
        <f t="shared" ca="1" si="87"/>
        <v>42647.890987949104</v>
      </c>
      <c r="AC75" s="231">
        <f t="shared" ca="1" si="88"/>
        <v>228932.02361925048</v>
      </c>
      <c r="AD75" s="231">
        <f t="shared" ca="1" si="89"/>
        <v>7949.0285978906404</v>
      </c>
      <c r="AE75" s="231">
        <f t="shared" ca="1" si="58"/>
        <v>112226.19434903773</v>
      </c>
      <c r="AF75" s="231">
        <f t="shared" ca="1" si="59"/>
        <v>392654.56946272129</v>
      </c>
      <c r="AG75" s="232">
        <f t="shared" ca="1" si="60"/>
        <v>549066.83696468687</v>
      </c>
      <c r="AH75" s="244">
        <f t="shared" ca="1" si="90"/>
        <v>5.5413079416104942</v>
      </c>
      <c r="AI75" s="243">
        <f t="shared" ca="1" si="91"/>
        <v>12.945236498688702</v>
      </c>
      <c r="AJ75" s="242">
        <f t="shared" ca="1" si="92"/>
        <v>18.486544440299198</v>
      </c>
      <c r="AK75" s="241">
        <f t="shared" ca="1" si="93"/>
        <v>3.9897417179595558</v>
      </c>
      <c r="AL75" s="243">
        <f t="shared" ca="1" si="94"/>
        <v>5.7347397689190949</v>
      </c>
      <c r="AM75" s="243"/>
      <c r="AN75" s="242">
        <f t="shared" ca="1" si="61"/>
        <v>9.7244814868786502</v>
      </c>
      <c r="AO75" s="224"/>
      <c r="AP75" s="235">
        <f t="shared" si="95"/>
        <v>5.3076923076923075</v>
      </c>
      <c r="AQ75" s="235">
        <f t="shared" si="62"/>
        <v>0.85479891291315158</v>
      </c>
      <c r="AR75" s="235">
        <f t="shared" si="63"/>
        <v>0.924017586969058</v>
      </c>
      <c r="AT75" s="230">
        <f t="shared" ca="1" si="64"/>
        <v>93013.110824049945</v>
      </c>
      <c r="AU75" s="231">
        <f t="shared" ca="1" si="65"/>
        <v>5789.6509762182568</v>
      </c>
      <c r="AV75" s="231">
        <f t="shared" ca="1" si="96"/>
        <v>8721.0964071560629</v>
      </c>
      <c r="AW75" s="231"/>
      <c r="AX75" s="231">
        <f t="shared" ca="1" si="97"/>
        <v>23268.602684032885</v>
      </c>
      <c r="AY75" s="231">
        <f t="shared" ca="1" si="98"/>
        <v>2908.5753355041106</v>
      </c>
      <c r="AZ75" s="231"/>
      <c r="BA75" s="232">
        <f t="shared" ca="1" si="66"/>
        <v>133701.03622696124</v>
      </c>
      <c r="BB75" s="231">
        <f t="shared" ca="1" si="67"/>
        <v>768.83341770500749</v>
      </c>
      <c r="BC75" s="231">
        <f t="shared" ca="1" si="99"/>
        <v>36455.37085453749</v>
      </c>
      <c r="BD75" s="231">
        <f t="shared" ca="1" si="100"/>
        <v>195690.84492074326</v>
      </c>
      <c r="BE75" s="231">
        <f t="shared" ca="1" si="101"/>
        <v>6794.8210041924731</v>
      </c>
      <c r="BF75" s="231">
        <f t="shared" ca="1" si="68"/>
        <v>95930.828929937532</v>
      </c>
      <c r="BG75" s="231">
        <f t="shared" ca="1" si="69"/>
        <v>335640.69912711572</v>
      </c>
      <c r="BH75" s="232">
        <f t="shared" ca="1" si="70"/>
        <v>469341.73535407695</v>
      </c>
      <c r="BI75" s="244">
        <f t="shared" ca="1" si="102"/>
        <v>5.120265992859407</v>
      </c>
      <c r="BJ75" s="243">
        <f t="shared" ca="1" si="103"/>
        <v>11.961626192262113</v>
      </c>
      <c r="BK75" s="242">
        <f t="shared" ca="1" si="104"/>
        <v>17.081892185121522</v>
      </c>
      <c r="BL75" s="241">
        <f t="shared" ca="1" si="105"/>
        <v>3.6865915148587729</v>
      </c>
      <c r="BM75" s="243">
        <f t="shared" ca="1" si="106"/>
        <v>5.2990004031721156</v>
      </c>
      <c r="BN75" s="243">
        <f t="shared" si="71"/>
        <v>0</v>
      </c>
      <c r="BO75" s="242">
        <f t="shared" ca="1" si="72"/>
        <v>8.9855919180308881</v>
      </c>
      <c r="BP75" s="67"/>
      <c r="BQ75" s="67"/>
      <c r="BR75" s="67"/>
      <c r="BS75" s="67"/>
      <c r="BT75" s="67"/>
      <c r="BU75" s="67"/>
    </row>
    <row r="76" spans="1:73" ht="12" customHeight="1" x14ac:dyDescent="0.15">
      <c r="A76" s="213">
        <f t="shared" si="73"/>
        <v>70</v>
      </c>
      <c r="B76" s="67">
        <f t="shared" si="74"/>
        <v>280</v>
      </c>
      <c r="C76" s="224">
        <f t="shared" si="75"/>
        <v>64.615384615384613</v>
      </c>
      <c r="D76" s="225">
        <f ca="1">IFERROR(OFFSET(extrapolation!V85,0,OS_dist_choice-1,1,1),0)</f>
        <v>0.23537367879671478</v>
      </c>
      <c r="E76" s="225">
        <f ca="1">IFERROR(OFFSET(extrapolation!J85,0,PFS_dist_choice-1,1,1),0)</f>
        <v>7.0760200881536742E-2</v>
      </c>
      <c r="F76" s="214"/>
      <c r="G76" s="226">
        <f t="shared" ca="1" si="76"/>
        <v>70.760200881536747</v>
      </c>
      <c r="H76" s="224">
        <f t="shared" ca="1" si="77"/>
        <v>164.61347791517801</v>
      </c>
      <c r="I76" s="224">
        <f t="shared" ca="1" si="54"/>
        <v>764.62632120328522</v>
      </c>
      <c r="J76" s="227">
        <f t="shared" ca="1" si="55"/>
        <v>1000</v>
      </c>
      <c r="K76" s="238">
        <f t="shared" ca="1" si="78"/>
        <v>1.0066023530670662</v>
      </c>
      <c r="L76" s="239">
        <f t="shared" ca="1" si="79"/>
        <v>3.8181543032573018</v>
      </c>
      <c r="M76" s="238">
        <f t="shared" ca="1" si="80"/>
        <v>71.263502058070287</v>
      </c>
      <c r="N76" s="238">
        <f t="shared" ca="1" si="81"/>
        <v>166.01925389027315</v>
      </c>
      <c r="O76" s="239">
        <f t="shared" ca="1" si="82"/>
        <v>762.71724405165651</v>
      </c>
      <c r="P76" s="217"/>
      <c r="Q76" s="217"/>
      <c r="R76" s="224"/>
      <c r="S76" s="230">
        <f t="shared" ca="1" si="83"/>
        <v>107286.64488066637</v>
      </c>
      <c r="T76" s="231">
        <f t="shared" ca="1" si="84"/>
        <v>6678.1147600099757</v>
      </c>
      <c r="U76" s="231">
        <f t="shared" ca="1" si="107"/>
        <v>10059.411677721026</v>
      </c>
      <c r="V76" s="231"/>
      <c r="W76" s="231">
        <f t="shared" ca="1" si="85"/>
        <v>26836.69465903634</v>
      </c>
      <c r="X76" s="231">
        <f t="shared" ca="1" si="86"/>
        <v>3354.5868323795426</v>
      </c>
      <c r="Y76" s="231"/>
      <c r="Z76" s="232">
        <f t="shared" ca="1" si="56"/>
        <v>154215.45280981326</v>
      </c>
      <c r="AA76" s="231">
        <f t="shared" ca="1" si="57"/>
        <v>874.6189781869889</v>
      </c>
      <c r="AB76" s="231">
        <f t="shared" ca="1" si="87"/>
        <v>41928.935334275593</v>
      </c>
      <c r="AC76" s="231">
        <f t="shared" ca="1" si="88"/>
        <v>225072.70094525267</v>
      </c>
      <c r="AD76" s="231">
        <f t="shared" ca="1" si="89"/>
        <v>7815.0243383768284</v>
      </c>
      <c r="AE76" s="231">
        <f t="shared" ca="1" si="58"/>
        <v>109392.10584674397</v>
      </c>
      <c r="AF76" s="231">
        <f t="shared" ca="1" si="59"/>
        <v>385083.38544283604</v>
      </c>
      <c r="AG76" s="232">
        <f t="shared" ca="1" si="60"/>
        <v>539298.83825264929</v>
      </c>
      <c r="AH76" s="244">
        <f t="shared" ca="1" si="90"/>
        <v>5.4630473856973802</v>
      </c>
      <c r="AI76" s="243">
        <f t="shared" ca="1" si="91"/>
        <v>12.727006458391918</v>
      </c>
      <c r="AJ76" s="242">
        <f t="shared" ca="1" si="92"/>
        <v>18.190053844089299</v>
      </c>
      <c r="AK76" s="241">
        <f t="shared" ca="1" si="93"/>
        <v>3.9333941177021137</v>
      </c>
      <c r="AL76" s="243">
        <f t="shared" ca="1" si="94"/>
        <v>5.6380638610676197</v>
      </c>
      <c r="AM76" s="243"/>
      <c r="AN76" s="242">
        <f t="shared" ca="1" si="61"/>
        <v>9.5714579787697325</v>
      </c>
      <c r="AO76" s="224"/>
      <c r="AP76" s="235">
        <f t="shared" si="95"/>
        <v>5.384615384615385</v>
      </c>
      <c r="AQ76" s="235">
        <f t="shared" si="62"/>
        <v>0.85285751841302093</v>
      </c>
      <c r="AR76" s="235">
        <f t="shared" si="63"/>
        <v>0.92295993582998692</v>
      </c>
      <c r="AT76" s="230">
        <f t="shared" ca="1" si="64"/>
        <v>91500.22171178415</v>
      </c>
      <c r="AU76" s="231">
        <f t="shared" ca="1" si="65"/>
        <v>5695.4803818994751</v>
      </c>
      <c r="AV76" s="231">
        <f t="shared" ca="1" si="96"/>
        <v>8579.2448801561168</v>
      </c>
      <c r="AW76" s="231"/>
      <c r="AX76" s="231">
        <f t="shared" ca="1" si="97"/>
        <v>22887.876809313708</v>
      </c>
      <c r="AY76" s="231">
        <f t="shared" ca="1" si="98"/>
        <v>2860.9846011642135</v>
      </c>
      <c r="AZ76" s="231"/>
      <c r="BA76" s="232">
        <f t="shared" ca="1" si="66"/>
        <v>131523.80838431767</v>
      </c>
      <c r="BB76" s="231">
        <f t="shared" ca="1" si="67"/>
        <v>745.92537129348739</v>
      </c>
      <c r="BC76" s="231">
        <f t="shared" ca="1" si="99"/>
        <v>35759.40773889031</v>
      </c>
      <c r="BD76" s="231">
        <f t="shared" ca="1" si="100"/>
        <v>191954.94519068417</v>
      </c>
      <c r="BE76" s="231">
        <f t="shared" ca="1" si="101"/>
        <v>6665.1022635654226</v>
      </c>
      <c r="BF76" s="231">
        <f t="shared" ca="1" si="68"/>
        <v>93295.879926428577</v>
      </c>
      <c r="BG76" s="231">
        <f t="shared" ca="1" si="69"/>
        <v>328421.26049086195</v>
      </c>
      <c r="BH76" s="232">
        <f t="shared" ca="1" si="70"/>
        <v>459945.06887517963</v>
      </c>
      <c r="BI76" s="244">
        <f t="shared" ca="1" si="102"/>
        <v>5.0421738645394321</v>
      </c>
      <c r="BJ76" s="243">
        <f t="shared" ca="1" si="103"/>
        <v>11.746517064145234</v>
      </c>
      <c r="BK76" s="242">
        <f t="shared" ca="1" si="104"/>
        <v>16.788690928684666</v>
      </c>
      <c r="BL76" s="241">
        <f t="shared" ca="1" si="105"/>
        <v>3.6303651824683909</v>
      </c>
      <c r="BM76" s="243">
        <f t="shared" ca="1" si="106"/>
        <v>5.2037070594163382</v>
      </c>
      <c r="BN76" s="243">
        <f t="shared" si="71"/>
        <v>0</v>
      </c>
      <c r="BO76" s="242">
        <f t="shared" ca="1" si="72"/>
        <v>8.8340722418847282</v>
      </c>
      <c r="BP76" s="67"/>
      <c r="BQ76" s="67"/>
      <c r="BR76" s="67"/>
      <c r="BS76" s="67"/>
      <c r="BT76" s="67"/>
      <c r="BU76" s="67"/>
    </row>
    <row r="77" spans="1:73" ht="12" customHeight="1" x14ac:dyDescent="0.15">
      <c r="A77" s="213">
        <f t="shared" si="73"/>
        <v>71</v>
      </c>
      <c r="B77" s="67">
        <f t="shared" si="74"/>
        <v>284</v>
      </c>
      <c r="C77" s="224">
        <f t="shared" si="75"/>
        <v>65.538461538461547</v>
      </c>
      <c r="D77" s="225">
        <f ca="1">IFERROR(OFFSET(extrapolation!V86,0,OS_dist_choice-1,1,1),0)</f>
        <v>0.23165118106210453</v>
      </c>
      <c r="E77" s="225">
        <f ca="1">IFERROR(OFFSET(extrapolation!J86,0,PFS_dist_choice-1,1,1),0)</f>
        <v>6.9780995845164243E-2</v>
      </c>
      <c r="F77" s="214"/>
      <c r="G77" s="226">
        <f t="shared" ca="1" si="76"/>
        <v>69.780995845164242</v>
      </c>
      <c r="H77" s="224">
        <f t="shared" ca="1" si="77"/>
        <v>161.87018521694017</v>
      </c>
      <c r="I77" s="224">
        <f t="shared" ca="1" si="54"/>
        <v>768.34881893789554</v>
      </c>
      <c r="J77" s="227">
        <f t="shared" ca="1" si="55"/>
        <v>1000</v>
      </c>
      <c r="K77" s="238">
        <f t="shared" ca="1" si="78"/>
        <v>0.97920503637250533</v>
      </c>
      <c r="L77" s="239">
        <f t="shared" ca="1" si="79"/>
        <v>3.7224977346103287</v>
      </c>
      <c r="M77" s="238">
        <f t="shared" ca="1" si="80"/>
        <v>70.270598363350501</v>
      </c>
      <c r="N77" s="238">
        <f t="shared" ca="1" si="81"/>
        <v>163.24183156605909</v>
      </c>
      <c r="O77" s="239">
        <f t="shared" ca="1" si="82"/>
        <v>766.48757007059044</v>
      </c>
      <c r="P77" s="217"/>
      <c r="Q77" s="217"/>
      <c r="R77" s="224"/>
      <c r="S77" s="230">
        <f t="shared" ca="1" si="83"/>
        <v>105801.97381283635</v>
      </c>
      <c r="T77" s="231">
        <f t="shared" ca="1" si="84"/>
        <v>6585.7006130034824</v>
      </c>
      <c r="U77" s="231">
        <f t="shared" ca="1" si="107"/>
        <v>9920.2059313402369</v>
      </c>
      <c r="V77" s="231"/>
      <c r="W77" s="231">
        <f t="shared" ca="1" si="85"/>
        <v>26462.783014063985</v>
      </c>
      <c r="X77" s="231">
        <f t="shared" ca="1" si="86"/>
        <v>3307.8478767579982</v>
      </c>
      <c r="Y77" s="231"/>
      <c r="Z77" s="232">
        <f t="shared" ca="1" si="56"/>
        <v>152078.51124800206</v>
      </c>
      <c r="AA77" s="231">
        <f t="shared" ca="1" si="57"/>
        <v>850.81393435865834</v>
      </c>
      <c r="AB77" s="231">
        <f t="shared" ca="1" si="87"/>
        <v>41227.484398320223</v>
      </c>
      <c r="AC77" s="231">
        <f t="shared" ca="1" si="88"/>
        <v>221307.34283450208</v>
      </c>
      <c r="AD77" s="231">
        <f t="shared" ca="1" si="89"/>
        <v>7684.2827373090995</v>
      </c>
      <c r="AE77" s="231">
        <f t="shared" ca="1" si="58"/>
        <v>106651.49542315815</v>
      </c>
      <c r="AF77" s="231">
        <f t="shared" ca="1" si="59"/>
        <v>377721.41932764824</v>
      </c>
      <c r="AG77" s="232">
        <f t="shared" ca="1" si="60"/>
        <v>529799.9305756503</v>
      </c>
      <c r="AH77" s="244">
        <f t="shared" ca="1" si="90"/>
        <v>5.3869315651576022</v>
      </c>
      <c r="AI77" s="243">
        <f t="shared" ca="1" si="91"/>
        <v>12.514089757288582</v>
      </c>
      <c r="AJ77" s="242">
        <f t="shared" ca="1" si="92"/>
        <v>17.901021322446184</v>
      </c>
      <c r="AK77" s="241">
        <f t="shared" ca="1" si="93"/>
        <v>3.8785907269134734</v>
      </c>
      <c r="AL77" s="243">
        <f t="shared" ca="1" si="94"/>
        <v>5.5437417624788417</v>
      </c>
      <c r="AM77" s="243"/>
      <c r="AN77" s="242">
        <f t="shared" ca="1" si="61"/>
        <v>9.4223324893923142</v>
      </c>
      <c r="AO77" s="224"/>
      <c r="AP77" s="235">
        <f t="shared" si="95"/>
        <v>5.4615384615384617</v>
      </c>
      <c r="AQ77" s="235">
        <f t="shared" si="62"/>
        <v>0.85092053315177441</v>
      </c>
      <c r="AR77" s="235">
        <f t="shared" si="63"/>
        <v>0.921903495301999</v>
      </c>
      <c r="AT77" s="230">
        <f t="shared" ca="1" si="64"/>
        <v>90029.071965328782</v>
      </c>
      <c r="AU77" s="231">
        <f t="shared" ca="1" si="65"/>
        <v>5603.9078767948904</v>
      </c>
      <c r="AV77" s="231">
        <f t="shared" ca="1" si="96"/>
        <v>8441.306920071429</v>
      </c>
      <c r="AW77" s="231"/>
      <c r="AX77" s="231">
        <f t="shared" ca="1" si="97"/>
        <v>22517.725431007046</v>
      </c>
      <c r="AY77" s="231">
        <f t="shared" ca="1" si="98"/>
        <v>2814.7156788758807</v>
      </c>
      <c r="AZ77" s="231"/>
      <c r="BA77" s="232">
        <f t="shared" ca="1" si="66"/>
        <v>129406.72787207803</v>
      </c>
      <c r="BB77" s="231">
        <f t="shared" ca="1" si="67"/>
        <v>723.97504663742836</v>
      </c>
      <c r="BC77" s="231">
        <f t="shared" ca="1" si="99"/>
        <v>35081.313004725103</v>
      </c>
      <c r="BD77" s="231">
        <f t="shared" ca="1" si="100"/>
        <v>188314.96215513704</v>
      </c>
      <c r="BE77" s="231">
        <f t="shared" ca="1" si="101"/>
        <v>6538.7139637200353</v>
      </c>
      <c r="BF77" s="231">
        <f t="shared" ca="1" si="68"/>
        <v>90751.947346907764</v>
      </c>
      <c r="BG77" s="231">
        <f t="shared" ca="1" si="69"/>
        <v>321410.91151712736</v>
      </c>
      <c r="BH77" s="232">
        <f t="shared" ca="1" si="70"/>
        <v>450817.63938920543</v>
      </c>
      <c r="BI77" s="244">
        <f t="shared" ca="1" si="102"/>
        <v>4.9662310388714612</v>
      </c>
      <c r="BJ77" s="243">
        <f t="shared" ca="1" si="103"/>
        <v>11.536783087767288</v>
      </c>
      <c r="BK77" s="242">
        <f t="shared" ca="1" si="104"/>
        <v>16.50301412663875</v>
      </c>
      <c r="BL77" s="241">
        <f t="shared" ca="1" si="105"/>
        <v>3.5756863479874523</v>
      </c>
      <c r="BM77" s="243">
        <f t="shared" ca="1" si="106"/>
        <v>5.1107949078809085</v>
      </c>
      <c r="BN77" s="243">
        <f t="shared" si="71"/>
        <v>0</v>
      </c>
      <c r="BO77" s="242">
        <f t="shared" ca="1" si="72"/>
        <v>8.68648125586836</v>
      </c>
      <c r="BP77" s="67"/>
      <c r="BQ77" s="67"/>
      <c r="BR77" s="67"/>
      <c r="BS77" s="67"/>
      <c r="BT77" s="67"/>
      <c r="BU77" s="67"/>
    </row>
    <row r="78" spans="1:73" ht="12" customHeight="1" x14ac:dyDescent="0.15">
      <c r="A78" s="213">
        <f t="shared" si="73"/>
        <v>72</v>
      </c>
      <c r="B78" s="67">
        <f t="shared" si="74"/>
        <v>288</v>
      </c>
      <c r="C78" s="224">
        <f t="shared" si="75"/>
        <v>66.461538461538453</v>
      </c>
      <c r="D78" s="225">
        <f ca="1">IFERROR(OFFSET(extrapolation!V87,0,OS_dist_choice-1,1,1),0)</f>
        <v>0.22802120441212853</v>
      </c>
      <c r="E78" s="225">
        <f ca="1">IFERROR(OFFSET(extrapolation!J87,0,PFS_dist_choice-1,1,1),0)</f>
        <v>6.882808998784623E-2</v>
      </c>
      <c r="F78" s="214"/>
      <c r="G78" s="226">
        <f t="shared" ca="1" si="76"/>
        <v>68.828089987846226</v>
      </c>
      <c r="H78" s="224">
        <f t="shared" ca="1" si="77"/>
        <v>159.19311442428238</v>
      </c>
      <c r="I78" s="224">
        <f t="shared" ca="1" si="54"/>
        <v>771.97879558787145</v>
      </c>
      <c r="J78" s="227">
        <f t="shared" ca="1" si="55"/>
        <v>1000</v>
      </c>
      <c r="K78" s="238">
        <f t="shared" ca="1" si="78"/>
        <v>0.95290585731801514</v>
      </c>
      <c r="L78" s="239">
        <f t="shared" ca="1" si="79"/>
        <v>3.6299766499759016</v>
      </c>
      <c r="M78" s="238">
        <f t="shared" ca="1" si="80"/>
        <v>69.304542916505227</v>
      </c>
      <c r="N78" s="238">
        <f t="shared" ca="1" si="81"/>
        <v>160.53164982061128</v>
      </c>
      <c r="O78" s="239">
        <f t="shared" ca="1" si="82"/>
        <v>770.16380726288344</v>
      </c>
      <c r="P78" s="217"/>
      <c r="Q78" s="217"/>
      <c r="R78" s="224"/>
      <c r="S78" s="230">
        <f t="shared" ca="1" si="83"/>
        <v>104357.17757080845</v>
      </c>
      <c r="T78" s="231">
        <f t="shared" ca="1" si="84"/>
        <v>6495.7684959182152</v>
      </c>
      <c r="U78" s="231">
        <f t="shared" ca="1" si="107"/>
        <v>9784.7389288521936</v>
      </c>
      <c r="V78" s="231"/>
      <c r="W78" s="231">
        <f t="shared" ca="1" si="85"/>
        <v>26098.981989669206</v>
      </c>
      <c r="X78" s="231">
        <f t="shared" ca="1" si="86"/>
        <v>3262.3727487086508</v>
      </c>
      <c r="Y78" s="231"/>
      <c r="Z78" s="232">
        <f t="shared" ca="1" si="56"/>
        <v>149999.03973395671</v>
      </c>
      <c r="AA78" s="231">
        <f t="shared" ca="1" si="57"/>
        <v>827.96304290016963</v>
      </c>
      <c r="AB78" s="231">
        <f t="shared" ca="1" si="87"/>
        <v>40543.015383514743</v>
      </c>
      <c r="AC78" s="231">
        <f t="shared" ca="1" si="88"/>
        <v>217633.14293776231</v>
      </c>
      <c r="AD78" s="231">
        <f t="shared" ca="1" si="89"/>
        <v>7556.7063520056345</v>
      </c>
      <c r="AE78" s="231">
        <f t="shared" ca="1" si="58"/>
        <v>104000.71824666992</v>
      </c>
      <c r="AF78" s="231">
        <f t="shared" ca="1" si="59"/>
        <v>370561.54596285278</v>
      </c>
      <c r="AG78" s="232">
        <f t="shared" ca="1" si="60"/>
        <v>520560.58569680946</v>
      </c>
      <c r="AH78" s="244">
        <f t="shared" ca="1" si="90"/>
        <v>5.3128739265219611</v>
      </c>
      <c r="AI78" s="243">
        <f t="shared" ca="1" si="91"/>
        <v>12.306327706987313</v>
      </c>
      <c r="AJ78" s="242">
        <f t="shared" ca="1" si="92"/>
        <v>17.619201633509274</v>
      </c>
      <c r="AK78" s="241">
        <f t="shared" ca="1" si="93"/>
        <v>3.825269227095812</v>
      </c>
      <c r="AL78" s="243">
        <f t="shared" ca="1" si="94"/>
        <v>5.4517031741953792</v>
      </c>
      <c r="AM78" s="243"/>
      <c r="AN78" s="242">
        <f t="shared" ca="1" si="61"/>
        <v>9.2769724012911912</v>
      </c>
      <c r="AO78" s="224"/>
      <c r="AP78" s="235">
        <f t="shared" si="95"/>
        <v>5.5384615384615383</v>
      </c>
      <c r="AQ78" s="235">
        <f t="shared" si="62"/>
        <v>0.84898794711527692</v>
      </c>
      <c r="AR78" s="235">
        <f t="shared" si="63"/>
        <v>0.92084826399940223</v>
      </c>
      <c r="AT78" s="230">
        <f t="shared" ca="1" si="64"/>
        <v>88597.985952585077</v>
      </c>
      <c r="AU78" s="231">
        <f t="shared" ca="1" si="65"/>
        <v>5514.8291602856953</v>
      </c>
      <c r="AV78" s="231">
        <f t="shared" ca="1" si="96"/>
        <v>8307.1254162651567</v>
      </c>
      <c r="AW78" s="231"/>
      <c r="AX78" s="231">
        <f t="shared" ca="1" si="97"/>
        <v>22157.721141207843</v>
      </c>
      <c r="AY78" s="231">
        <f t="shared" ca="1" si="98"/>
        <v>2769.7151426509804</v>
      </c>
      <c r="AZ78" s="231"/>
      <c r="BA78" s="232">
        <f t="shared" ca="1" si="66"/>
        <v>127347.37681299476</v>
      </c>
      <c r="BB78" s="231">
        <f t="shared" ca="1" si="67"/>
        <v>702.930644079133</v>
      </c>
      <c r="BC78" s="231">
        <f t="shared" ca="1" si="99"/>
        <v>34420.531400313273</v>
      </c>
      <c r="BD78" s="231">
        <f t="shared" ca="1" si="100"/>
        <v>184767.91524697645</v>
      </c>
      <c r="BE78" s="231">
        <f t="shared" ca="1" si="101"/>
        <v>6415.5526127422372</v>
      </c>
      <c r="BF78" s="231">
        <f t="shared" ca="1" si="68"/>
        <v>88295.356282754612</v>
      </c>
      <c r="BG78" s="231">
        <f t="shared" ca="1" si="69"/>
        <v>314602.28618686571</v>
      </c>
      <c r="BH78" s="232">
        <f t="shared" ca="1" si="70"/>
        <v>441949.66299986048</v>
      </c>
      <c r="BI78" s="244">
        <f t="shared" ca="1" si="102"/>
        <v>4.8923507320854354</v>
      </c>
      <c r="BJ78" s="243">
        <f t="shared" ca="1" si="103"/>
        <v>11.332260505187012</v>
      </c>
      <c r="BK78" s="242">
        <f t="shared" ca="1" si="104"/>
        <v>16.224611237272448</v>
      </c>
      <c r="BL78" s="241">
        <f t="shared" ca="1" si="105"/>
        <v>3.5224925271015137</v>
      </c>
      <c r="BM78" s="243">
        <f t="shared" ca="1" si="106"/>
        <v>5.0201914037978455</v>
      </c>
      <c r="BN78" s="243">
        <f t="shared" si="71"/>
        <v>0</v>
      </c>
      <c r="BO78" s="242">
        <f t="shared" ca="1" si="72"/>
        <v>8.5426839308993596</v>
      </c>
      <c r="BP78" s="67"/>
      <c r="BQ78" s="67"/>
      <c r="BR78" s="67"/>
      <c r="BS78" s="67"/>
      <c r="BT78" s="67"/>
      <c r="BU78" s="67"/>
    </row>
    <row r="79" spans="1:73" ht="12" customHeight="1" x14ac:dyDescent="0.15">
      <c r="A79" s="213">
        <f t="shared" si="73"/>
        <v>73</v>
      </c>
      <c r="B79" s="67">
        <f t="shared" si="74"/>
        <v>292</v>
      </c>
      <c r="C79" s="224">
        <f t="shared" si="75"/>
        <v>67.384615384615387</v>
      </c>
      <c r="D79" s="225">
        <f ca="1">IFERROR(OFFSET(extrapolation!V88,0,OS_dist_choice-1,1,1),0)</f>
        <v>0.22448073518346809</v>
      </c>
      <c r="E79" s="225">
        <f ca="1">IFERROR(OFFSET(extrapolation!J88,0,PFS_dist_choice-1,1,1),0)</f>
        <v>6.7900442953204562E-2</v>
      </c>
      <c r="F79" s="214"/>
      <c r="G79" s="226">
        <f t="shared" ca="1" si="76"/>
        <v>67.900442953204561</v>
      </c>
      <c r="H79" s="224">
        <f t="shared" ca="1" si="77"/>
        <v>156.58029223026358</v>
      </c>
      <c r="I79" s="224">
        <f t="shared" ca="1" si="54"/>
        <v>775.51926481653186</v>
      </c>
      <c r="J79" s="227">
        <f t="shared" ca="1" si="55"/>
        <v>1000</v>
      </c>
      <c r="K79" s="238">
        <f t="shared" ca="1" si="78"/>
        <v>0.92764703464166587</v>
      </c>
      <c r="L79" s="239">
        <f t="shared" ca="1" si="79"/>
        <v>3.5404692286604131</v>
      </c>
      <c r="M79" s="238">
        <f t="shared" ca="1" si="80"/>
        <v>68.364266470525394</v>
      </c>
      <c r="N79" s="238">
        <f t="shared" ca="1" si="81"/>
        <v>157.88670332727298</v>
      </c>
      <c r="O79" s="239">
        <f t="shared" ca="1" si="82"/>
        <v>773.74903020220165</v>
      </c>
      <c r="P79" s="217"/>
      <c r="Q79" s="217"/>
      <c r="R79" s="224"/>
      <c r="S79" s="230">
        <f t="shared" ca="1" si="83"/>
        <v>102950.67876582593</v>
      </c>
      <c r="T79" s="231">
        <f t="shared" ca="1" si="84"/>
        <v>6408.2202233448897</v>
      </c>
      <c r="U79" s="231">
        <f t="shared" ca="1" si="107"/>
        <v>9652.862771113465</v>
      </c>
      <c r="V79" s="231"/>
      <c r="W79" s="231">
        <f t="shared" ca="1" si="85"/>
        <v>25744.888924536335</v>
      </c>
      <c r="X79" s="231">
        <f t="shared" ca="1" si="86"/>
        <v>3218.1111155670419</v>
      </c>
      <c r="Y79" s="231"/>
      <c r="Z79" s="232">
        <f t="shared" ca="1" si="56"/>
        <v>147974.76180038764</v>
      </c>
      <c r="AA79" s="231">
        <f t="shared" ca="1" si="57"/>
        <v>806.01609869515926</v>
      </c>
      <c r="AB79" s="231">
        <f t="shared" ca="1" si="87"/>
        <v>39875.021835277876</v>
      </c>
      <c r="AC79" s="231">
        <f t="shared" ca="1" si="88"/>
        <v>214047.382628872</v>
      </c>
      <c r="AD79" s="231">
        <f t="shared" ca="1" si="89"/>
        <v>7432.2007857247208</v>
      </c>
      <c r="AE79" s="231">
        <f t="shared" ca="1" si="58"/>
        <v>101436.28409107283</v>
      </c>
      <c r="AF79" s="231">
        <f t="shared" ca="1" si="59"/>
        <v>363596.90543964261</v>
      </c>
      <c r="AG79" s="232">
        <f t="shared" ca="1" si="60"/>
        <v>511571.66724003025</v>
      </c>
      <c r="AH79" s="244">
        <f t="shared" ca="1" si="90"/>
        <v>5.2407925015050267</v>
      </c>
      <c r="AI79" s="243">
        <f t="shared" ca="1" si="91"/>
        <v>12.103566579503473</v>
      </c>
      <c r="AJ79" s="242">
        <f t="shared" ca="1" si="92"/>
        <v>17.344359081008498</v>
      </c>
      <c r="AK79" s="241">
        <f t="shared" ca="1" si="93"/>
        <v>3.7733706010836192</v>
      </c>
      <c r="AL79" s="243">
        <f t="shared" ca="1" si="94"/>
        <v>5.3618799947200388</v>
      </c>
      <c r="AM79" s="243"/>
      <c r="AN79" s="242">
        <f t="shared" ca="1" si="61"/>
        <v>9.1352505958036581</v>
      </c>
      <c r="AO79" s="224"/>
      <c r="AP79" s="235">
        <f t="shared" si="95"/>
        <v>5.615384615384615</v>
      </c>
      <c r="AQ79" s="235">
        <f t="shared" si="62"/>
        <v>0.84705975031213687</v>
      </c>
      <c r="AR79" s="235">
        <f t="shared" si="63"/>
        <v>0.91979424053808989</v>
      </c>
      <c r="AT79" s="230">
        <f t="shared" ca="1" si="64"/>
        <v>87205.376249845518</v>
      </c>
      <c r="AU79" s="231">
        <f t="shared" ca="1" si="65"/>
        <v>5428.1454223317087</v>
      </c>
      <c r="AV79" s="231">
        <f t="shared" ca="1" si="96"/>
        <v>8176.5515286966929</v>
      </c>
      <c r="AW79" s="231"/>
      <c r="AX79" s="231">
        <f t="shared" ca="1" si="97"/>
        <v>21807.459184231448</v>
      </c>
      <c r="AY79" s="231">
        <f t="shared" ca="1" si="98"/>
        <v>2725.9323980289309</v>
      </c>
      <c r="AZ79" s="231"/>
      <c r="BA79" s="232">
        <f t="shared" ca="1" si="66"/>
        <v>125343.46478313429</v>
      </c>
      <c r="BB79" s="231">
        <f t="shared" ca="1" si="67"/>
        <v>682.74379530828423</v>
      </c>
      <c r="BC79" s="231">
        <f t="shared" ca="1" si="99"/>
        <v>33776.526039481483</v>
      </c>
      <c r="BD79" s="231">
        <f t="shared" ca="1" si="100"/>
        <v>181310.92248457874</v>
      </c>
      <c r="BE79" s="231">
        <f t="shared" ca="1" si="101"/>
        <v>6295.5181418256498</v>
      </c>
      <c r="BF79" s="231">
        <f t="shared" ca="1" si="68"/>
        <v>85922.593474775131</v>
      </c>
      <c r="BG79" s="231">
        <f t="shared" ca="1" si="69"/>
        <v>307988.30393596931</v>
      </c>
      <c r="BH79" s="232">
        <f t="shared" ca="1" si="70"/>
        <v>433331.76871910359</v>
      </c>
      <c r="BI79" s="244">
        <f t="shared" ca="1" si="102"/>
        <v>4.8204507587395327</v>
      </c>
      <c r="BJ79" s="243">
        <f t="shared" ca="1" si="103"/>
        <v>11.132790829796603</v>
      </c>
      <c r="BK79" s="242">
        <f t="shared" ca="1" si="104"/>
        <v>15.953241588536134</v>
      </c>
      <c r="BL79" s="241">
        <f t="shared" ca="1" si="105"/>
        <v>3.4707245462924634</v>
      </c>
      <c r="BM79" s="243">
        <f t="shared" ca="1" si="106"/>
        <v>4.9318263375998956</v>
      </c>
      <c r="BN79" s="243">
        <f t="shared" si="71"/>
        <v>0</v>
      </c>
      <c r="BO79" s="242">
        <f t="shared" ca="1" si="72"/>
        <v>8.4025508838923582</v>
      </c>
      <c r="BP79" s="67"/>
      <c r="BQ79" s="67"/>
      <c r="BR79" s="67"/>
      <c r="BS79" s="67"/>
      <c r="BT79" s="67"/>
      <c r="BU79" s="67"/>
    </row>
    <row r="80" spans="1:73" ht="12" customHeight="1" x14ac:dyDescent="0.15">
      <c r="A80" s="213">
        <f t="shared" si="73"/>
        <v>74</v>
      </c>
      <c r="B80" s="67">
        <f t="shared" si="74"/>
        <v>296</v>
      </c>
      <c r="C80" s="224">
        <f t="shared" si="75"/>
        <v>68.307692307692307</v>
      </c>
      <c r="D80" s="225">
        <f ca="1">IFERROR(OFFSET(extrapolation!V89,0,OS_dist_choice-1,1,1),0)</f>
        <v>0.22102687635791071</v>
      </c>
      <c r="E80" s="225">
        <f ca="1">IFERROR(OFFSET(extrapolation!J89,0,PFS_dist_choice-1,1,1),0)</f>
        <v>6.6997068420138958E-2</v>
      </c>
      <c r="F80" s="214"/>
      <c r="G80" s="226">
        <f t="shared" ca="1" si="76"/>
        <v>66.997068420138959</v>
      </c>
      <c r="H80" s="224">
        <f t="shared" ca="1" si="77"/>
        <v>154.02980793777181</v>
      </c>
      <c r="I80" s="224">
        <f t="shared" ca="1" si="54"/>
        <v>778.97312364208926</v>
      </c>
      <c r="J80" s="227">
        <f t="shared" ca="1" si="55"/>
        <v>1000</v>
      </c>
      <c r="K80" s="238">
        <f t="shared" ca="1" si="78"/>
        <v>0.90337453306560178</v>
      </c>
      <c r="L80" s="239">
        <f t="shared" ca="1" si="79"/>
        <v>3.4538588255574041</v>
      </c>
      <c r="M80" s="238">
        <f t="shared" ca="1" si="80"/>
        <v>67.44875568667176</v>
      </c>
      <c r="N80" s="238">
        <f t="shared" ca="1" si="81"/>
        <v>155.30505008401769</v>
      </c>
      <c r="O80" s="239">
        <f t="shared" ca="1" si="82"/>
        <v>777.2461942293105</v>
      </c>
      <c r="P80" s="217"/>
      <c r="Q80" s="217"/>
      <c r="R80" s="224"/>
      <c r="S80" s="230">
        <f t="shared" ca="1" si="83"/>
        <v>101580.98193744205</v>
      </c>
      <c r="T80" s="231">
        <f t="shared" ca="1" si="84"/>
        <v>6322.9627095458209</v>
      </c>
      <c r="U80" s="231">
        <f t="shared" ca="1" si="107"/>
        <v>9524.4372407437932</v>
      </c>
      <c r="V80" s="231"/>
      <c r="W80" s="231">
        <f t="shared" ca="1" si="85"/>
        <v>25400.122211509599</v>
      </c>
      <c r="X80" s="231">
        <f t="shared" ca="1" si="86"/>
        <v>3175.0152764386999</v>
      </c>
      <c r="Y80" s="231"/>
      <c r="Z80" s="232">
        <f t="shared" ca="1" si="56"/>
        <v>146003.51937567996</v>
      </c>
      <c r="AA80" s="231">
        <f t="shared" ca="1" si="57"/>
        <v>784.92615144656111</v>
      </c>
      <c r="AB80" s="231">
        <f t="shared" ca="1" si="87"/>
        <v>39223.013291958458</v>
      </c>
      <c r="AC80" s="231">
        <f t="shared" ca="1" si="88"/>
        <v>210547.429131023</v>
      </c>
      <c r="AD80" s="231">
        <f t="shared" ca="1" si="89"/>
        <v>7310.6746226049654</v>
      </c>
      <c r="AE80" s="231">
        <f t="shared" ca="1" si="58"/>
        <v>98954.851013423046</v>
      </c>
      <c r="AF80" s="231">
        <f t="shared" ca="1" si="59"/>
        <v>356820.89421045606</v>
      </c>
      <c r="AG80" s="232">
        <f t="shared" ca="1" si="60"/>
        <v>502824.41358613601</v>
      </c>
      <c r="AH80" s="244">
        <f t="shared" ca="1" si="90"/>
        <v>5.1706096077393822</v>
      </c>
      <c r="AI80" s="243">
        <f t="shared" ca="1" si="91"/>
        <v>11.905657501307312</v>
      </c>
      <c r="AJ80" s="242">
        <f t="shared" ca="1" si="92"/>
        <v>17.076267109046693</v>
      </c>
      <c r="AK80" s="241">
        <f t="shared" ca="1" si="93"/>
        <v>3.7228389175723549</v>
      </c>
      <c r="AL80" s="243">
        <f t="shared" ca="1" si="94"/>
        <v>5.2742062730791393</v>
      </c>
      <c r="AM80" s="243"/>
      <c r="AN80" s="242">
        <f t="shared" ca="1" si="61"/>
        <v>8.9970451906514946</v>
      </c>
      <c r="AO80" s="224"/>
      <c r="AP80" s="235">
        <f t="shared" si="95"/>
        <v>5.6923076923076925</v>
      </c>
      <c r="AQ80" s="235">
        <f t="shared" si="62"/>
        <v>0.84513593277365417</v>
      </c>
      <c r="AR80" s="235">
        <f t="shared" si="63"/>
        <v>0.91874142353554</v>
      </c>
      <c r="AT80" s="230">
        <f t="shared" ca="1" si="64"/>
        <v>85849.737921763808</v>
      </c>
      <c r="AU80" s="231">
        <f t="shared" ca="1" si="65"/>
        <v>5343.7629874250388</v>
      </c>
      <c r="AV80" s="231">
        <f t="shared" ca="1" si="96"/>
        <v>8049.4441516001343</v>
      </c>
      <c r="AW80" s="231"/>
      <c r="AX80" s="231">
        <f t="shared" ca="1" si="97"/>
        <v>21466.555977788976</v>
      </c>
      <c r="AY80" s="231">
        <f t="shared" ca="1" si="98"/>
        <v>2683.319497223622</v>
      </c>
      <c r="AZ80" s="231"/>
      <c r="BA80" s="232">
        <f t="shared" ca="1" si="66"/>
        <v>123392.82053580157</v>
      </c>
      <c r="BB80" s="231">
        <f t="shared" ca="1" si="67"/>
        <v>663.36929516122393</v>
      </c>
      <c r="BC80" s="231">
        <f t="shared" ca="1" si="99"/>
        <v>33148.777924692746</v>
      </c>
      <c r="BD80" s="231">
        <f t="shared" ca="1" si="100"/>
        <v>177941.19791174197</v>
      </c>
      <c r="BE80" s="231">
        <f t="shared" ca="1" si="101"/>
        <v>6178.5138163799293</v>
      </c>
      <c r="BF80" s="231">
        <f t="shared" ca="1" si="68"/>
        <v>83630.300313707266</v>
      </c>
      <c r="BG80" s="231">
        <f t="shared" ca="1" si="69"/>
        <v>301562.15926168318</v>
      </c>
      <c r="BH80" s="232">
        <f t="shared" ca="1" si="70"/>
        <v>424954.9797974847</v>
      </c>
      <c r="BI80" s="244">
        <f t="shared" ca="1" si="102"/>
        <v>4.7504532315610204</v>
      </c>
      <c r="BJ80" s="243">
        <f t="shared" ca="1" si="103"/>
        <v>10.938220720877659</v>
      </c>
      <c r="BK80" s="242">
        <f t="shared" ca="1" si="104"/>
        <v>15.688673952438679</v>
      </c>
      <c r="BL80" s="241">
        <f t="shared" ca="1" si="105"/>
        <v>3.4203263267239343</v>
      </c>
      <c r="BM80" s="243">
        <f t="shared" ca="1" si="106"/>
        <v>4.8456317793488033</v>
      </c>
      <c r="BN80" s="243">
        <f t="shared" si="71"/>
        <v>0</v>
      </c>
      <c r="BO80" s="242">
        <f t="shared" ca="1" si="72"/>
        <v>8.2659581060727376</v>
      </c>
      <c r="BP80" s="67"/>
      <c r="BQ80" s="67"/>
      <c r="BR80" s="67"/>
      <c r="BS80" s="67"/>
      <c r="BT80" s="67"/>
      <c r="BU80" s="67"/>
    </row>
    <row r="81" spans="1:73" ht="12" customHeight="1" x14ac:dyDescent="0.15">
      <c r="A81" s="213">
        <f t="shared" si="73"/>
        <v>75</v>
      </c>
      <c r="B81" s="67">
        <f t="shared" si="74"/>
        <v>300</v>
      </c>
      <c r="C81" s="224">
        <f t="shared" si="75"/>
        <v>69.230769230769226</v>
      </c>
      <c r="D81" s="225">
        <f ca="1">IFERROR(OFFSET(extrapolation!V90,0,OS_dist_choice-1,1,1),0)</f>
        <v>0.21765684260177304</v>
      </c>
      <c r="E81" s="225">
        <f ca="1">IFERROR(OFFSET(extrapolation!J90,0,PFS_dist_choice-1,1,1),0)</f>
        <v>6.6117030644269423E-2</v>
      </c>
      <c r="F81" s="214"/>
      <c r="G81" s="226">
        <f t="shared" ca="1" si="76"/>
        <v>66.11703064426942</v>
      </c>
      <c r="H81" s="224">
        <f t="shared" ca="1" si="77"/>
        <v>151.53981195750362</v>
      </c>
      <c r="I81" s="224">
        <f t="shared" ca="1" si="54"/>
        <v>782.34315739822694</v>
      </c>
      <c r="J81" s="227">
        <f t="shared" ca="1" si="55"/>
        <v>1000</v>
      </c>
      <c r="K81" s="238">
        <f t="shared" ca="1" si="78"/>
        <v>0.88003777586953902</v>
      </c>
      <c r="L81" s="239">
        <f t="shared" ca="1" si="79"/>
        <v>3.3700337561376728</v>
      </c>
      <c r="M81" s="238">
        <f t="shared" ca="1" si="80"/>
        <v>66.557049532204189</v>
      </c>
      <c r="N81" s="238">
        <f t="shared" ca="1" si="81"/>
        <v>152.78480994763771</v>
      </c>
      <c r="O81" s="239">
        <f t="shared" ca="1" si="82"/>
        <v>780.6581405201581</v>
      </c>
      <c r="P81" s="217"/>
      <c r="Q81" s="217"/>
      <c r="R81" s="224"/>
      <c r="S81" s="230">
        <f t="shared" ca="1" si="83"/>
        <v>100246.66830965354</v>
      </c>
      <c r="T81" s="231">
        <f t="shared" ca="1" si="84"/>
        <v>6239.9076420476422</v>
      </c>
      <c r="U81" s="231">
        <f t="shared" ca="1" si="107"/>
        <v>9399.3293104506283</v>
      </c>
      <c r="V81" s="231"/>
      <c r="W81" s="231">
        <f t="shared" ca="1" si="85"/>
        <v>25064.319941035581</v>
      </c>
      <c r="X81" s="231">
        <f t="shared" ca="1" si="86"/>
        <v>3133.0399926294476</v>
      </c>
      <c r="Y81" s="231"/>
      <c r="Z81" s="232">
        <f t="shared" ca="1" si="56"/>
        <v>144083.26519581684</v>
      </c>
      <c r="AA81" s="231">
        <f t="shared" ca="1" si="57"/>
        <v>764.64925593680232</v>
      </c>
      <c r="AB81" s="231">
        <f t="shared" ca="1" si="87"/>
        <v>38586.514914637941</v>
      </c>
      <c r="AC81" s="231">
        <f t="shared" ca="1" si="88"/>
        <v>207130.73352955634</v>
      </c>
      <c r="AD81" s="231">
        <f t="shared" ca="1" si="89"/>
        <v>7192.0393586651498</v>
      </c>
      <c r="AE81" s="231">
        <f t="shared" ca="1" si="58"/>
        <v>96553.219193894154</v>
      </c>
      <c r="AF81" s="231">
        <f t="shared" ca="1" si="59"/>
        <v>350227.15625269036</v>
      </c>
      <c r="AG81" s="232">
        <f t="shared" ca="1" si="60"/>
        <v>494310.42144850723</v>
      </c>
      <c r="AH81" s="244">
        <f t="shared" ca="1" si="90"/>
        <v>5.1022515726261934</v>
      </c>
      <c r="AI81" s="243">
        <f t="shared" ca="1" si="91"/>
        <v>11.712456340955114</v>
      </c>
      <c r="AJ81" s="242">
        <f t="shared" ca="1" si="92"/>
        <v>16.814707913581309</v>
      </c>
      <c r="AK81" s="241">
        <f t="shared" ca="1" si="93"/>
        <v>3.673621132290859</v>
      </c>
      <c r="AL81" s="243">
        <f t="shared" ca="1" si="94"/>
        <v>5.1886181590431155</v>
      </c>
      <c r="AM81" s="243"/>
      <c r="AN81" s="242">
        <f t="shared" ca="1" si="61"/>
        <v>8.8622392913339745</v>
      </c>
      <c r="AO81" s="224"/>
      <c r="AP81" s="235">
        <f t="shared" si="95"/>
        <v>5.7692307692307692</v>
      </c>
      <c r="AQ81" s="235">
        <f t="shared" si="62"/>
        <v>0.84321648455377063</v>
      </c>
      <c r="AR81" s="235">
        <f t="shared" si="63"/>
        <v>0.91768981161081298</v>
      </c>
      <c r="AT81" s="230">
        <f t="shared" ca="1" si="64"/>
        <v>84529.643240293939</v>
      </c>
      <c r="AU81" s="231">
        <f t="shared" ca="1" si="65"/>
        <v>5261.5929858676209</v>
      </c>
      <c r="AV81" s="231">
        <f t="shared" ca="1" si="96"/>
        <v>7925.6694183213958</v>
      </c>
      <c r="AW81" s="231"/>
      <c r="AX81" s="231">
        <f t="shared" ca="1" si="97"/>
        <v>21134.647748410993</v>
      </c>
      <c r="AY81" s="231">
        <f t="shared" ca="1" si="98"/>
        <v>2641.8309685513741</v>
      </c>
      <c r="AZ81" s="231"/>
      <c r="BA81" s="232">
        <f t="shared" ca="1" si="66"/>
        <v>121493.38436144534</v>
      </c>
      <c r="BB81" s="231">
        <f t="shared" ca="1" si="67"/>
        <v>644.76485750768688</v>
      </c>
      <c r="BC81" s="231">
        <f t="shared" ca="1" si="99"/>
        <v>32536.785457502643</v>
      </c>
      <c r="BD81" s="231">
        <f t="shared" ca="1" si="100"/>
        <v>174656.04896983632</v>
      </c>
      <c r="BE81" s="231">
        <f t="shared" ca="1" si="101"/>
        <v>6064.4461447859831</v>
      </c>
      <c r="BF81" s="231">
        <f t="shared" ca="1" si="68"/>
        <v>81415.266061025075</v>
      </c>
      <c r="BG81" s="231">
        <f t="shared" ca="1" si="69"/>
        <v>295317.31149065768</v>
      </c>
      <c r="BH81" s="232">
        <f t="shared" ca="1" si="70"/>
        <v>416810.69585210306</v>
      </c>
      <c r="BI81" s="244">
        <f t="shared" ca="1" si="102"/>
        <v>4.6822842844743056</v>
      </c>
      <c r="BJ81" s="243">
        <f t="shared" ca="1" si="103"/>
        <v>10.748401853030972</v>
      </c>
      <c r="BK81" s="242">
        <f t="shared" ca="1" si="104"/>
        <v>15.430686137505278</v>
      </c>
      <c r="BL81" s="241">
        <f t="shared" ca="1" si="105"/>
        <v>3.3712446848214999</v>
      </c>
      <c r="BM81" s="243">
        <f t="shared" ca="1" si="106"/>
        <v>4.7615420208927199</v>
      </c>
      <c r="BN81" s="243">
        <f t="shared" si="71"/>
        <v>0</v>
      </c>
      <c r="BO81" s="242">
        <f t="shared" ca="1" si="72"/>
        <v>8.1327867057142189</v>
      </c>
      <c r="BP81" s="67"/>
      <c r="BQ81" s="67"/>
      <c r="BR81" s="67"/>
      <c r="BS81" s="67"/>
      <c r="BT81" s="67"/>
      <c r="BU81" s="67"/>
    </row>
    <row r="82" spans="1:73" ht="12" customHeight="1" x14ac:dyDescent="0.15">
      <c r="A82" s="213">
        <f t="shared" si="73"/>
        <v>76</v>
      </c>
      <c r="B82" s="67">
        <f t="shared" si="74"/>
        <v>304</v>
      </c>
      <c r="C82" s="224">
        <f t="shared" si="75"/>
        <v>70.153846153846146</v>
      </c>
      <c r="D82" s="225">
        <f ca="1">IFERROR(OFFSET(extrapolation!V91,0,OS_dist_choice-1,1,1),0)</f>
        <v>0.21436795551421886</v>
      </c>
      <c r="E82" s="225">
        <f ca="1">IFERROR(OFFSET(extrapolation!J91,0,PFS_dist_choice-1,1,1),0)</f>
        <v>6.525944126142004E-2</v>
      </c>
      <c r="F82" s="214"/>
      <c r="G82" s="226">
        <f t="shared" ca="1" si="76"/>
        <v>65.259441261420037</v>
      </c>
      <c r="H82" s="224">
        <f t="shared" ca="1" si="77"/>
        <v>149.10851425279873</v>
      </c>
      <c r="I82" s="224">
        <f t="shared" ca="1" si="54"/>
        <v>785.63204448578119</v>
      </c>
      <c r="J82" s="227">
        <f t="shared" ca="1" si="55"/>
        <v>1000</v>
      </c>
      <c r="K82" s="238">
        <f t="shared" ca="1" si="78"/>
        <v>0.85758938284938324</v>
      </c>
      <c r="L82" s="239">
        <f t="shared" ca="1" si="79"/>
        <v>3.288887087554258</v>
      </c>
      <c r="M82" s="238">
        <f t="shared" ca="1" si="80"/>
        <v>65.688235952844735</v>
      </c>
      <c r="N82" s="238">
        <f t="shared" ca="1" si="81"/>
        <v>150.32416310515117</v>
      </c>
      <c r="O82" s="239">
        <f t="shared" ca="1" si="82"/>
        <v>783.98760094200406</v>
      </c>
      <c r="P82" s="217"/>
      <c r="Q82" s="217"/>
      <c r="R82" s="224"/>
      <c r="S82" s="230">
        <f t="shared" ca="1" si="83"/>
        <v>98946.390944341561</v>
      </c>
      <c r="T82" s="231">
        <f t="shared" ca="1" si="84"/>
        <v>6158.9711799646375</v>
      </c>
      <c r="U82" s="231">
        <f t="shared" ca="1" si="107"/>
        <v>9277.412688605993</v>
      </c>
      <c r="V82" s="231"/>
      <c r="W82" s="231">
        <f t="shared" ca="1" si="85"/>
        <v>24737.13864806608</v>
      </c>
      <c r="X82" s="231">
        <f t="shared" ca="1" si="86"/>
        <v>3092.14233100826</v>
      </c>
      <c r="Y82" s="231"/>
      <c r="Z82" s="232">
        <f t="shared" ca="1" si="56"/>
        <v>142212.05579198652</v>
      </c>
      <c r="AA82" s="231">
        <f t="shared" ca="1" si="57"/>
        <v>745.14424434468208</v>
      </c>
      <c r="AB82" s="231">
        <f t="shared" ca="1" si="87"/>
        <v>37965.067101077126</v>
      </c>
      <c r="AC82" s="231">
        <f t="shared" ca="1" si="88"/>
        <v>203794.82869964492</v>
      </c>
      <c r="AD82" s="231">
        <f t="shared" ca="1" si="89"/>
        <v>7076.2093298487807</v>
      </c>
      <c r="AE82" s="231">
        <f t="shared" ca="1" si="58"/>
        <v>94228.324950826325</v>
      </c>
      <c r="AF82" s="231">
        <f t="shared" ca="1" si="59"/>
        <v>343809.57432574185</v>
      </c>
      <c r="AG82" s="232">
        <f t="shared" ca="1" si="60"/>
        <v>486021.63011772837</v>
      </c>
      <c r="AH82" s="244">
        <f t="shared" ca="1" si="90"/>
        <v>5.0356484782468245</v>
      </c>
      <c r="AI82" s="243">
        <f t="shared" ca="1" si="91"/>
        <v>11.523823591907551</v>
      </c>
      <c r="AJ82" s="242">
        <f t="shared" ca="1" si="92"/>
        <v>16.559472070154374</v>
      </c>
      <c r="AK82" s="241">
        <f t="shared" ca="1" si="93"/>
        <v>3.6256669043377134</v>
      </c>
      <c r="AL82" s="243">
        <f t="shared" ca="1" si="94"/>
        <v>5.105053851215045</v>
      </c>
      <c r="AM82" s="243"/>
      <c r="AN82" s="242">
        <f t="shared" ca="1" si="61"/>
        <v>8.730720755552758</v>
      </c>
      <c r="AO82" s="224"/>
      <c r="AP82" s="235">
        <f t="shared" si="95"/>
        <v>5.8461538461538458</v>
      </c>
      <c r="AQ82" s="235">
        <f t="shared" si="62"/>
        <v>0.84130139572901619</v>
      </c>
      <c r="AR82" s="235">
        <f t="shared" si="63"/>
        <v>0.91663940338454986</v>
      </c>
      <c r="AT82" s="230">
        <f t="shared" ca="1" si="64"/>
        <v>83243.736803823442</v>
      </c>
      <c r="AU82" s="231">
        <f t="shared" ca="1" si="65"/>
        <v>5181.5510499590355</v>
      </c>
      <c r="AV82" s="231">
        <f t="shared" ca="1" si="96"/>
        <v>7805.1002436783065</v>
      </c>
      <c r="AW82" s="231"/>
      <c r="AX82" s="231">
        <f t="shared" ca="1" si="97"/>
        <v>20811.389270960182</v>
      </c>
      <c r="AY82" s="231">
        <f t="shared" ca="1" si="98"/>
        <v>2601.4236588700228</v>
      </c>
      <c r="AZ82" s="231"/>
      <c r="BA82" s="232">
        <f t="shared" ca="1" si="66"/>
        <v>119643.20102729098</v>
      </c>
      <c r="BB82" s="231">
        <f t="shared" ca="1" si="67"/>
        <v>626.89089278662414</v>
      </c>
      <c r="BC82" s="231">
        <f t="shared" ca="1" si="99"/>
        <v>31940.063941081939</v>
      </c>
      <c r="BD82" s="231">
        <f t="shared" ca="1" si="100"/>
        <v>171452.87382736703</v>
      </c>
      <c r="BE82" s="231">
        <f t="shared" ca="1" si="101"/>
        <v>5953.2247856724653</v>
      </c>
      <c r="BF82" s="231">
        <f t="shared" ca="1" si="68"/>
        <v>79274.421298337475</v>
      </c>
      <c r="BG82" s="231">
        <f t="shared" ca="1" si="69"/>
        <v>289247.47474524553</v>
      </c>
      <c r="BH82" s="232">
        <f t="shared" ca="1" si="70"/>
        <v>408890.67577253655</v>
      </c>
      <c r="BI82" s="244">
        <f t="shared" ca="1" si="102"/>
        <v>4.6158738167544859</v>
      </c>
      <c r="BJ82" s="243">
        <f t="shared" ca="1" si="103"/>
        <v>10.563190781994937</v>
      </c>
      <c r="BK82" s="242">
        <f t="shared" ca="1" si="104"/>
        <v>15.179064598749422</v>
      </c>
      <c r="BL82" s="241">
        <f t="shared" ca="1" si="105"/>
        <v>3.3234291480632296</v>
      </c>
      <c r="BM82" s="243">
        <f t="shared" ca="1" si="106"/>
        <v>4.679493516423757</v>
      </c>
      <c r="BN82" s="243">
        <f t="shared" si="71"/>
        <v>0</v>
      </c>
      <c r="BO82" s="242">
        <f t="shared" ca="1" si="72"/>
        <v>8.0029226644869862</v>
      </c>
      <c r="BP82" s="67"/>
      <c r="BQ82" s="67"/>
      <c r="BR82" s="67"/>
      <c r="BS82" s="67"/>
      <c r="BT82" s="67"/>
      <c r="BU82" s="67"/>
    </row>
    <row r="83" spans="1:73" ht="12" customHeight="1" x14ac:dyDescent="0.15">
      <c r="A83" s="213">
        <f t="shared" si="73"/>
        <v>77</v>
      </c>
      <c r="B83" s="67">
        <f t="shared" si="74"/>
        <v>308</v>
      </c>
      <c r="C83" s="224">
        <f t="shared" si="75"/>
        <v>71.07692307692308</v>
      </c>
      <c r="D83" s="225">
        <f ca="1">IFERROR(OFFSET(extrapolation!V92,0,OS_dist_choice-1,1,1),0)</f>
        <v>0.21115763907802013</v>
      </c>
      <c r="E83" s="225">
        <f ca="1">IFERROR(OFFSET(extrapolation!J92,0,PFS_dist_choice-1,1,1),0)</f>
        <v>6.4423456330283776E-2</v>
      </c>
      <c r="F83" s="214"/>
      <c r="G83" s="226">
        <f t="shared" ca="1" si="76"/>
        <v>64.42345633028377</v>
      </c>
      <c r="H83" s="224">
        <f t="shared" ca="1" si="77"/>
        <v>146.73418274773633</v>
      </c>
      <c r="I83" s="224">
        <f t="shared" ca="1" si="54"/>
        <v>788.84236092197989</v>
      </c>
      <c r="J83" s="227">
        <f t="shared" ca="1" si="55"/>
        <v>1000</v>
      </c>
      <c r="K83" s="238">
        <f t="shared" ca="1" si="78"/>
        <v>0.8359849311362666</v>
      </c>
      <c r="L83" s="239">
        <f t="shared" ca="1" si="79"/>
        <v>3.2103164361986956</v>
      </c>
      <c r="M83" s="238">
        <f t="shared" ca="1" si="80"/>
        <v>64.841448795851903</v>
      </c>
      <c r="N83" s="238">
        <f t="shared" ca="1" si="81"/>
        <v>147.92134850026753</v>
      </c>
      <c r="O83" s="239">
        <f t="shared" ca="1" si="82"/>
        <v>787.23720270388048</v>
      </c>
      <c r="P83" s="217"/>
      <c r="Q83" s="217"/>
      <c r="R83" s="224"/>
      <c r="S83" s="230">
        <f t="shared" ca="1" si="83"/>
        <v>97678.87025735878</v>
      </c>
      <c r="T83" s="231">
        <f t="shared" ca="1" si="84"/>
        <v>6080.0736748951776</v>
      </c>
      <c r="U83" s="231">
        <f t="shared" ca="1" si="107"/>
        <v>9158.5673988258004</v>
      </c>
      <c r="V83" s="231"/>
      <c r="W83" s="231">
        <f t="shared" ca="1" si="85"/>
        <v>24418.252153337093</v>
      </c>
      <c r="X83" s="231">
        <f t="shared" ca="1" si="86"/>
        <v>3052.2815191671366</v>
      </c>
      <c r="Y83" s="231"/>
      <c r="Z83" s="232">
        <f t="shared" ca="1" si="56"/>
        <v>140388.04500358397</v>
      </c>
      <c r="AA83" s="231">
        <f t="shared" ca="1" si="57"/>
        <v>726.37251842526405</v>
      </c>
      <c r="AB83" s="231">
        <f t="shared" ca="1" si="87"/>
        <v>37358.225088312713</v>
      </c>
      <c r="AC83" s="231">
        <f t="shared" ca="1" si="88"/>
        <v>200537.3271730491</v>
      </c>
      <c r="AD83" s="231">
        <f t="shared" ca="1" si="89"/>
        <v>6963.1016379530929</v>
      </c>
      <c r="AE83" s="231">
        <f t="shared" ca="1" si="58"/>
        <v>91977.234940607814</v>
      </c>
      <c r="AF83" s="231">
        <f t="shared" ca="1" si="59"/>
        <v>337562.26135834801</v>
      </c>
      <c r="AG83" s="232">
        <f t="shared" ca="1" si="60"/>
        <v>477950.30636193196</v>
      </c>
      <c r="AH83" s="243">
        <f t="shared" ca="1" si="90"/>
        <v>4.9707339254862513</v>
      </c>
      <c r="AI83" s="243">
        <f t="shared" ca="1" si="91"/>
        <v>11.339624251902782</v>
      </c>
      <c r="AJ83" s="242">
        <f t="shared" ca="1" si="92"/>
        <v>16.310358177389034</v>
      </c>
      <c r="AK83" s="241">
        <f t="shared" ca="1" si="93"/>
        <v>3.5789284263501009</v>
      </c>
      <c r="AL83" s="243">
        <f t="shared" ca="1" si="94"/>
        <v>5.0234535435929324</v>
      </c>
      <c r="AM83" s="243"/>
      <c r="AN83" s="242">
        <f t="shared" ca="1" si="61"/>
        <v>8.6023819699430337</v>
      </c>
      <c r="AO83" s="224"/>
      <c r="AP83" s="235">
        <f t="shared" si="95"/>
        <v>5.9230769230769234</v>
      </c>
      <c r="AQ83" s="235">
        <f t="shared" si="62"/>
        <v>0.839390656398459</v>
      </c>
      <c r="AR83" s="235">
        <f t="shared" si="63"/>
        <v>0.91559019747897041</v>
      </c>
      <c r="AT83" s="230">
        <f t="shared" ca="1" si="64"/>
        <v>81990.731021584303</v>
      </c>
      <c r="AU83" s="231">
        <f t="shared" ca="1" si="65"/>
        <v>5103.5570329212542</v>
      </c>
      <c r="AV83" s="231">
        <f t="shared" ca="1" si="96"/>
        <v>7687.6159005699155</v>
      </c>
      <c r="AW83" s="231"/>
      <c r="AX83" s="231">
        <f t="shared" ca="1" si="97"/>
        <v>20496.452703092706</v>
      </c>
      <c r="AY83" s="231">
        <f t="shared" ca="1" si="98"/>
        <v>2562.0565878865882</v>
      </c>
      <c r="AZ83" s="231"/>
      <c r="BA83" s="232">
        <f t="shared" ca="1" si="66"/>
        <v>117840.41324605476</v>
      </c>
      <c r="BB83" s="231">
        <f t="shared" ca="1" si="67"/>
        <v>609.71030503078418</v>
      </c>
      <c r="BC83" s="231">
        <f t="shared" ca="1" si="99"/>
        <v>31358.145078760186</v>
      </c>
      <c r="BD83" s="231">
        <f t="shared" ca="1" si="100"/>
        <v>168329.1586881782</v>
      </c>
      <c r="BE83" s="231">
        <f t="shared" ca="1" si="101"/>
        <v>5844.7624544506316</v>
      </c>
      <c r="BF83" s="231">
        <f t="shared" ca="1" si="68"/>
        <v>77204.831610512076</v>
      </c>
      <c r="BG83" s="231">
        <f t="shared" ca="1" si="69"/>
        <v>283346.6081369319</v>
      </c>
      <c r="BH83" s="232">
        <f t="shared" ca="1" si="70"/>
        <v>401187.02138298663</v>
      </c>
      <c r="BI83" s="243">
        <f t="shared" ca="1" si="102"/>
        <v>4.5511552564513744</v>
      </c>
      <c r="BJ83" s="243">
        <f t="shared" ca="1" si="103"/>
        <v>10.38244880813699</v>
      </c>
      <c r="BK83" s="242">
        <f t="shared" ca="1" si="104"/>
        <v>14.933604064588366</v>
      </c>
      <c r="BL83" s="241">
        <f t="shared" ca="1" si="105"/>
        <v>3.2768317846449895</v>
      </c>
      <c r="BM83" s="243">
        <f t="shared" ca="1" si="106"/>
        <v>4.5994248220046865</v>
      </c>
      <c r="BN83" s="243">
        <f t="shared" si="71"/>
        <v>0</v>
      </c>
      <c r="BO83" s="242">
        <f t="shared" ca="1" si="72"/>
        <v>7.8762566066496769</v>
      </c>
      <c r="BP83" s="67"/>
      <c r="BQ83" s="67"/>
      <c r="BR83" s="67"/>
      <c r="BS83" s="67"/>
      <c r="BT83" s="67"/>
      <c r="BU83" s="67"/>
    </row>
    <row r="84" spans="1:73" ht="12" customHeight="1" x14ac:dyDescent="0.15">
      <c r="A84" s="213">
        <f t="shared" si="73"/>
        <v>78</v>
      </c>
      <c r="B84" s="67">
        <f t="shared" si="74"/>
        <v>312</v>
      </c>
      <c r="C84" s="224">
        <f t="shared" si="75"/>
        <v>72</v>
      </c>
      <c r="D84" s="225">
        <f ca="1">IFERROR(OFFSET(extrapolation!V93,0,OS_dist_choice-1,1,1),0)</f>
        <v>0.20802341530608223</v>
      </c>
      <c r="E84" s="225">
        <f ca="1">IFERROR(OFFSET(extrapolation!J93,0,PFS_dist_choice-1,1,1),0)</f>
        <v>6.3608273593663556E-2</v>
      </c>
      <c r="F84" s="214"/>
      <c r="G84" s="226">
        <f t="shared" ca="1" si="76"/>
        <v>63.608273593663554</v>
      </c>
      <c r="H84" s="224">
        <f t="shared" ca="1" si="77"/>
        <v>144.41514171241874</v>
      </c>
      <c r="I84" s="224">
        <f t="shared" ca="1" si="54"/>
        <v>791.97658469391774</v>
      </c>
      <c r="J84" s="227">
        <f t="shared" ca="1" si="55"/>
        <v>1000</v>
      </c>
      <c r="K84" s="238">
        <f t="shared" ca="1" si="78"/>
        <v>0.81518273662021556</v>
      </c>
      <c r="L84" s="239">
        <f t="shared" ca="1" si="79"/>
        <v>3.1342237719378545</v>
      </c>
      <c r="M84" s="238">
        <f t="shared" ca="1" si="80"/>
        <v>64.015864961973662</v>
      </c>
      <c r="N84" s="238">
        <f t="shared" ca="1" si="81"/>
        <v>145.57466223007754</v>
      </c>
      <c r="O84" s="239">
        <f t="shared" ca="1" si="82"/>
        <v>790.40947280794876</v>
      </c>
      <c r="P84" s="217"/>
      <c r="Q84" s="217"/>
      <c r="R84" s="224"/>
      <c r="S84" s="230">
        <f t="shared" ca="1" si="83"/>
        <v>96442.889866022117</v>
      </c>
      <c r="T84" s="231">
        <f t="shared" ca="1" si="84"/>
        <v>6003.1394124466769</v>
      </c>
      <c r="U84" s="231">
        <f t="shared" ca="1" si="107"/>
        <v>9042.6793906223975</v>
      </c>
      <c r="V84" s="231"/>
      <c r="W84" s="231">
        <f t="shared" ca="1" si="85"/>
        <v>24107.35049083989</v>
      </c>
      <c r="X84" s="231">
        <f t="shared" ca="1" si="86"/>
        <v>3013.4188113549862</v>
      </c>
      <c r="Y84" s="231"/>
      <c r="Z84" s="232">
        <f t="shared" ca="1" si="56"/>
        <v>138609.47797128608</v>
      </c>
      <c r="AA84" s="231">
        <f t="shared" ca="1" si="57"/>
        <v>708.2978595927674</v>
      </c>
      <c r="AB84" s="231">
        <f t="shared" ca="1" si="87"/>
        <v>36765.558547733875</v>
      </c>
      <c r="AC84" s="231">
        <f t="shared" ca="1" si="88"/>
        <v>197355.91896450549</v>
      </c>
      <c r="AD84" s="231">
        <f t="shared" ca="1" si="89"/>
        <v>6852.6360751564398</v>
      </c>
      <c r="AE84" s="231">
        <f t="shared" ca="1" si="58"/>
        <v>89797.140548958574</v>
      </c>
      <c r="AF84" s="231">
        <f t="shared" ca="1" si="59"/>
        <v>331479.55199594714</v>
      </c>
      <c r="AG84" s="232">
        <f t="shared" ca="1" si="60"/>
        <v>470089.02996723319</v>
      </c>
      <c r="AH84" s="243">
        <f t="shared" ca="1" si="90"/>
        <v>4.9074448157022932</v>
      </c>
      <c r="AI84" s="243">
        <f t="shared" ca="1" si="91"/>
        <v>11.159727700047011</v>
      </c>
      <c r="AJ84" s="242">
        <f t="shared" ca="1" si="92"/>
        <v>16.067172515749306</v>
      </c>
      <c r="AK84" s="241">
        <f t="shared" ca="1" si="93"/>
        <v>3.533360267305651</v>
      </c>
      <c r="AL84" s="243">
        <f t="shared" ca="1" si="94"/>
        <v>4.9437593711208256</v>
      </c>
      <c r="AM84" s="243"/>
      <c r="AN84" s="242">
        <f t="shared" ca="1" si="61"/>
        <v>8.4771196384264762</v>
      </c>
      <c r="AO84" s="224"/>
      <c r="AP84" s="235">
        <f t="shared" si="95"/>
        <v>6</v>
      </c>
      <c r="AQ84" s="235">
        <f t="shared" si="62"/>
        <v>0.83748425668365445</v>
      </c>
      <c r="AR84" s="235">
        <f t="shared" si="63"/>
        <v>0.91454219251787205</v>
      </c>
      <c r="AT84" s="230">
        <f t="shared" ca="1" si="64"/>
        <v>80769.401931869084</v>
      </c>
      <c r="AU84" s="231">
        <f t="shared" ca="1" si="65"/>
        <v>5027.5347486012552</v>
      </c>
      <c r="AV84" s="231">
        <f t="shared" ca="1" si="96"/>
        <v>7573.1016278839998</v>
      </c>
      <c r="AW84" s="231"/>
      <c r="AX84" s="231">
        <f t="shared" ca="1" si="97"/>
        <v>20189.526506433376</v>
      </c>
      <c r="AY84" s="231">
        <f t="shared" ca="1" si="98"/>
        <v>2523.690813304172</v>
      </c>
      <c r="AZ84" s="231"/>
      <c r="BA84" s="232">
        <f t="shared" ca="1" si="66"/>
        <v>116083.25562809189</v>
      </c>
      <c r="BB84" s="231">
        <f t="shared" ca="1" si="67"/>
        <v>593.18830645167225</v>
      </c>
      <c r="BC84" s="231">
        <f t="shared" ca="1" si="99"/>
        <v>30790.576471908284</v>
      </c>
      <c r="BD84" s="231">
        <f t="shared" ca="1" si="100"/>
        <v>165282.47509610842</v>
      </c>
      <c r="BE84" s="231">
        <f t="shared" ca="1" si="101"/>
        <v>5738.9748297259866</v>
      </c>
      <c r="BF84" s="231">
        <f t="shared" ca="1" si="68"/>
        <v>75203.691504962218</v>
      </c>
      <c r="BG84" s="231">
        <f t="shared" ca="1" si="69"/>
        <v>277608.90620915656</v>
      </c>
      <c r="BH84" s="232">
        <f t="shared" ca="1" si="70"/>
        <v>393692.16183724842</v>
      </c>
      <c r="BI84" s="243">
        <f t="shared" ca="1" si="102"/>
        <v>4.48806534141284</v>
      </c>
      <c r="BJ84" s="243">
        <f t="shared" ca="1" si="103"/>
        <v>10.206041838703422</v>
      </c>
      <c r="BK84" s="242">
        <f t="shared" ca="1" si="104"/>
        <v>14.694107180116264</v>
      </c>
      <c r="BL84" s="241">
        <f t="shared" ca="1" si="105"/>
        <v>3.2314070458172446</v>
      </c>
      <c r="BM84" s="243">
        <f t="shared" ca="1" si="106"/>
        <v>4.5212765345456161</v>
      </c>
      <c r="BN84" s="243">
        <f t="shared" si="71"/>
        <v>0</v>
      </c>
      <c r="BO84" s="242">
        <f t="shared" ca="1" si="72"/>
        <v>7.7526835803628602</v>
      </c>
      <c r="BP84" s="67"/>
      <c r="BQ84" s="67"/>
      <c r="BR84" s="67"/>
      <c r="BS84" s="67"/>
      <c r="BT84" s="67"/>
      <c r="BU84" s="67"/>
    </row>
    <row r="85" spans="1:73" ht="12" customHeight="1" x14ac:dyDescent="0.15">
      <c r="A85" s="213">
        <f t="shared" si="73"/>
        <v>79</v>
      </c>
      <c r="B85" s="67">
        <f t="shared" si="74"/>
        <v>316</v>
      </c>
      <c r="C85" s="224">
        <f t="shared" si="75"/>
        <v>72.92307692307692</v>
      </c>
      <c r="D85" s="225">
        <f ca="1">IFERROR(OFFSET(extrapolation!V94,0,OS_dist_choice-1,1,1),0)</f>
        <v>0.20496290007691093</v>
      </c>
      <c r="E85" s="225">
        <f ca="1">IFERROR(OFFSET(extrapolation!J94,0,PFS_dist_choice-1,1,1),0)</f>
        <v>6.2813129939681842E-2</v>
      </c>
      <c r="F85" s="214"/>
      <c r="G85" s="226">
        <f t="shared" ca="1" si="76"/>
        <v>62.813129939681843</v>
      </c>
      <c r="H85" s="224">
        <f t="shared" ca="1" si="77"/>
        <v>142.14977013722898</v>
      </c>
      <c r="I85" s="224">
        <f t="shared" ca="1" si="54"/>
        <v>795.03709992308916</v>
      </c>
      <c r="J85" s="227">
        <f t="shared" ca="1" si="55"/>
        <v>1000</v>
      </c>
      <c r="K85" s="238">
        <f t="shared" ca="1" si="78"/>
        <v>0.79514365398171094</v>
      </c>
      <c r="L85" s="239">
        <f t="shared" ca="1" si="79"/>
        <v>3.0605152291714148</v>
      </c>
      <c r="M85" s="238">
        <f t="shared" ca="1" si="80"/>
        <v>63.210701766672699</v>
      </c>
      <c r="N85" s="238">
        <f t="shared" ca="1" si="81"/>
        <v>143.28245592482386</v>
      </c>
      <c r="O85" s="239">
        <f t="shared" ca="1" si="82"/>
        <v>793.50684230850345</v>
      </c>
      <c r="P85" s="217"/>
      <c r="Q85" s="217"/>
      <c r="R85" s="224"/>
      <c r="S85" s="230">
        <f t="shared" ca="1" si="83"/>
        <v>95237.292739797587</v>
      </c>
      <c r="T85" s="231">
        <f t="shared" ca="1" si="84"/>
        <v>5928.0963726329073</v>
      </c>
      <c r="U85" s="231">
        <f t="shared" ca="1" si="107"/>
        <v>8929.6401784850495</v>
      </c>
      <c r="V85" s="231"/>
      <c r="W85" s="231">
        <f t="shared" ca="1" si="85"/>
        <v>23804.138914100673</v>
      </c>
      <c r="X85" s="231">
        <f t="shared" ca="1" si="86"/>
        <v>2975.5173642625841</v>
      </c>
      <c r="Y85" s="231"/>
      <c r="Z85" s="232">
        <f t="shared" ca="1" si="56"/>
        <v>136874.68556927878</v>
      </c>
      <c r="AA85" s="231">
        <f t="shared" ca="1" si="57"/>
        <v>690.88625517152707</v>
      </c>
      <c r="AB85" s="231">
        <f t="shared" ca="1" si="87"/>
        <v>36186.651175885781</v>
      </c>
      <c r="AC85" s="231">
        <f t="shared" ca="1" si="88"/>
        <v>194248.36937517795</v>
      </c>
      <c r="AD85" s="231">
        <f t="shared" ca="1" si="89"/>
        <v>6744.7350477492337</v>
      </c>
      <c r="AE85" s="231">
        <f t="shared" ca="1" si="58"/>
        <v>87685.352477628694</v>
      </c>
      <c r="AF85" s="231">
        <f t="shared" ca="1" si="59"/>
        <v>325555.99433161318</v>
      </c>
      <c r="AG85" s="232">
        <f t="shared" ca="1" si="60"/>
        <v>462430.67990089196</v>
      </c>
      <c r="AH85" s="243">
        <f t="shared" ca="1" si="90"/>
        <v>4.8457211484376064</v>
      </c>
      <c r="AI85" s="243">
        <f t="shared" ca="1" si="91"/>
        <v>10.98400757260799</v>
      </c>
      <c r="AJ85" s="242">
        <f t="shared" ca="1" si="92"/>
        <v>15.829728721045596</v>
      </c>
      <c r="AK85" s="241">
        <f t="shared" ca="1" si="93"/>
        <v>3.4889192268750766</v>
      </c>
      <c r="AL85" s="243">
        <f t="shared" ca="1" si="94"/>
        <v>4.8659153546653391</v>
      </c>
      <c r="AM85" s="243"/>
      <c r="AN85" s="242">
        <f t="shared" ca="1" si="61"/>
        <v>8.3548345815404161</v>
      </c>
      <c r="AO85" s="224"/>
      <c r="AP85" s="235">
        <f t="shared" si="95"/>
        <v>6.0769230769230766</v>
      </c>
      <c r="AQ85" s="235">
        <f t="shared" si="62"/>
        <v>0.8355821867285923</v>
      </c>
      <c r="AR85" s="235">
        <f t="shared" si="63"/>
        <v>0.91349538712662604</v>
      </c>
      <c r="AT85" s="230">
        <f t="shared" ca="1" si="64"/>
        <v>79578.585325631153</v>
      </c>
      <c r="AU85" s="231">
        <f t="shared" ca="1" si="65"/>
        <v>4953.4117301824408</v>
      </c>
      <c r="AV85" s="231">
        <f t="shared" ca="1" si="96"/>
        <v>7461.4482670380348</v>
      </c>
      <c r="AW85" s="231"/>
      <c r="AX85" s="231">
        <f t="shared" ca="1" si="97"/>
        <v>19890.31444703542</v>
      </c>
      <c r="AY85" s="231">
        <f t="shared" ca="1" si="98"/>
        <v>2486.2893058794275</v>
      </c>
      <c r="AZ85" s="231"/>
      <c r="BA85" s="232">
        <f t="shared" ca="1" si="66"/>
        <v>114370.04907576645</v>
      </c>
      <c r="BB85" s="231">
        <f t="shared" ca="1" si="67"/>
        <v>577.29224787695284</v>
      </c>
      <c r="BC85" s="231">
        <f t="shared" ca="1" si="99"/>
        <v>30236.921119931427</v>
      </c>
      <c r="BD85" s="231">
        <f t="shared" ca="1" si="100"/>
        <v>162310.47725097451</v>
      </c>
      <c r="BE85" s="231">
        <f t="shared" ca="1" si="101"/>
        <v>5635.7804601032813</v>
      </c>
      <c r="BF85" s="231">
        <f t="shared" ca="1" si="68"/>
        <v>73268.318567324372</v>
      </c>
      <c r="BG85" s="231">
        <f t="shared" ca="1" si="69"/>
        <v>272028.78964621056</v>
      </c>
      <c r="BH85" s="232">
        <f t="shared" ca="1" si="70"/>
        <v>386398.83872197702</v>
      </c>
      <c r="BI85" s="243">
        <f t="shared" ca="1" si="102"/>
        <v>4.42654391639969</v>
      </c>
      <c r="BJ85" s="243">
        <f t="shared" ca="1" si="103"/>
        <v>10.033840249741328</v>
      </c>
      <c r="BK85" s="242">
        <f t="shared" ca="1" si="104"/>
        <v>14.460384166141017</v>
      </c>
      <c r="BL85" s="241">
        <f t="shared" ca="1" si="105"/>
        <v>3.1871116198077769</v>
      </c>
      <c r="BM85" s="243">
        <f t="shared" ca="1" si="106"/>
        <v>4.4449912306354076</v>
      </c>
      <c r="BN85" s="243">
        <f t="shared" si="71"/>
        <v>0</v>
      </c>
      <c r="BO85" s="242">
        <f t="shared" ca="1" si="72"/>
        <v>7.6321028504431849</v>
      </c>
      <c r="BP85" s="67"/>
      <c r="BQ85" s="67"/>
      <c r="BR85" s="67"/>
      <c r="BS85" s="67"/>
      <c r="BT85" s="67"/>
      <c r="BU85" s="67"/>
    </row>
    <row r="86" spans="1:73" ht="12" customHeight="1" x14ac:dyDescent="0.15">
      <c r="A86" s="213">
        <f t="shared" si="73"/>
        <v>80</v>
      </c>
      <c r="B86" s="67">
        <f t="shared" si="74"/>
        <v>320</v>
      </c>
      <c r="C86" s="224">
        <f t="shared" si="75"/>
        <v>73.846153846153854</v>
      </c>
      <c r="D86" s="225">
        <f ca="1">IFERROR(OFFSET(extrapolation!V95,0,OS_dist_choice-1,1,1),0)</f>
        <v>0.20197379915214062</v>
      </c>
      <c r="E86" s="225">
        <f ca="1">IFERROR(OFFSET(extrapolation!J95,0,PFS_dist_choice-1,1,1),0)</f>
        <v>6.2037299046142746E-2</v>
      </c>
      <c r="F86" s="214"/>
      <c r="G86" s="226">
        <f t="shared" ca="1" si="76"/>
        <v>62.037299046142749</v>
      </c>
      <c r="H86" s="224">
        <f t="shared" ca="1" si="77"/>
        <v>139.93650010599788</v>
      </c>
      <c r="I86" s="224">
        <f t="shared" ca="1" si="54"/>
        <v>798.0262008478594</v>
      </c>
      <c r="J86" s="227">
        <f t="shared" ca="1" si="55"/>
        <v>1000</v>
      </c>
      <c r="K86" s="238">
        <f t="shared" ca="1" si="78"/>
        <v>0.77583089353909429</v>
      </c>
      <c r="L86" s="239">
        <f t="shared" ca="1" si="79"/>
        <v>2.9891009247702414</v>
      </c>
      <c r="M86" s="238">
        <f t="shared" ca="1" si="80"/>
        <v>62.425214492912296</v>
      </c>
      <c r="N86" s="238">
        <f t="shared" ca="1" si="81"/>
        <v>141.04313512161343</v>
      </c>
      <c r="O86" s="239">
        <f t="shared" ca="1" si="82"/>
        <v>796.53165038547422</v>
      </c>
      <c r="P86" s="217"/>
      <c r="Q86" s="217"/>
      <c r="R86" s="224"/>
      <c r="S86" s="230">
        <f t="shared" ca="1" si="83"/>
        <v>94060.977628681256</v>
      </c>
      <c r="T86" s="231">
        <f t="shared" ca="1" si="84"/>
        <v>5854.8760075566533</v>
      </c>
      <c r="U86" s="231">
        <f t="shared" ca="1" si="107"/>
        <v>8819.3465069977447</v>
      </c>
      <c r="V86" s="231"/>
      <c r="W86" s="231">
        <f t="shared" ca="1" si="85"/>
        <v>23508.336974598886</v>
      </c>
      <c r="X86" s="231">
        <f t="shared" ca="1" si="86"/>
        <v>2938.5421218248607</v>
      </c>
      <c r="Y86" s="231"/>
      <c r="Z86" s="232">
        <f t="shared" ca="1" si="56"/>
        <v>135182.07923965939</v>
      </c>
      <c r="AA86" s="231">
        <f t="shared" ca="1" si="57"/>
        <v>674.10573925794449</v>
      </c>
      <c r="AB86" s="231">
        <f t="shared" ca="1" si="87"/>
        <v>35621.100283743086</v>
      </c>
      <c r="AC86" s="231">
        <f t="shared" ca="1" si="88"/>
        <v>191212.51678789564</v>
      </c>
      <c r="AD86" s="231">
        <f t="shared" ca="1" si="89"/>
        <v>6639.3234995797093</v>
      </c>
      <c r="AE86" s="231">
        <f t="shared" ca="1" si="58"/>
        <v>85639.295528238217</v>
      </c>
      <c r="AF86" s="231">
        <f t="shared" ca="1" si="59"/>
        <v>319786.34183871461</v>
      </c>
      <c r="AG86" s="232">
        <f t="shared" ca="1" si="60"/>
        <v>454968.42107837403</v>
      </c>
      <c r="AH86" s="243">
        <f t="shared" ca="1" si="90"/>
        <v>4.7855058338166856</v>
      </c>
      <c r="AI86" s="243">
        <f t="shared" ca="1" si="91"/>
        <v>10.812341638344082</v>
      </c>
      <c r="AJ86" s="242">
        <f t="shared" ca="1" si="92"/>
        <v>15.597847472160767</v>
      </c>
      <c r="AK86" s="241">
        <f t="shared" ca="1" si="93"/>
        <v>3.4455642003480134</v>
      </c>
      <c r="AL86" s="243">
        <f t="shared" ca="1" si="94"/>
        <v>4.789867345786428</v>
      </c>
      <c r="AM86" s="243"/>
      <c r="AN86" s="242">
        <f t="shared" ca="1" si="61"/>
        <v>8.2354315461344409</v>
      </c>
      <c r="AO86" s="224"/>
      <c r="AP86" s="235">
        <f t="shared" si="95"/>
        <v>6.1538461538461542</v>
      </c>
      <c r="AQ86" s="235">
        <f t="shared" si="62"/>
        <v>0.83368443669964842</v>
      </c>
      <c r="AR86" s="235">
        <f t="shared" si="63"/>
        <v>0.91244977993217879</v>
      </c>
      <c r="AT86" s="230">
        <f t="shared" ca="1" si="64"/>
        <v>78417.173149785362</v>
      </c>
      <c r="AU86" s="231">
        <f t="shared" ca="1" si="65"/>
        <v>4881.1190063061549</v>
      </c>
      <c r="AV86" s="231">
        <f t="shared" ca="1" si="96"/>
        <v>7352.5519247454267</v>
      </c>
      <c r="AW86" s="231"/>
      <c r="AX86" s="231">
        <f t="shared" ca="1" si="97"/>
        <v>19598.534668413988</v>
      </c>
      <c r="AY86" s="231">
        <f t="shared" ca="1" si="98"/>
        <v>2449.8168335517485</v>
      </c>
      <c r="AZ86" s="231"/>
      <c r="BA86" s="232">
        <f t="shared" ca="1" si="66"/>
        <v>112699.19558280267</v>
      </c>
      <c r="BB86" s="231">
        <f t="shared" ca="1" si="67"/>
        <v>561.99146350925957</v>
      </c>
      <c r="BC86" s="231">
        <f t="shared" ca="1" si="99"/>
        <v>29696.756924674042</v>
      </c>
      <c r="BD86" s="231">
        <f t="shared" ca="1" si="100"/>
        <v>159410.89934823883</v>
      </c>
      <c r="BE86" s="231">
        <f t="shared" ca="1" si="101"/>
        <v>5535.1006718138487</v>
      </c>
      <c r="BF86" s="231">
        <f t="shared" ca="1" si="68"/>
        <v>71396.147851813992</v>
      </c>
      <c r="BG86" s="231">
        <f t="shared" ca="1" si="69"/>
        <v>266600.89626005001</v>
      </c>
      <c r="BH86" s="232">
        <f t="shared" ca="1" si="70"/>
        <v>379300.09184285271</v>
      </c>
      <c r="BI86" s="243">
        <f t="shared" ca="1" si="102"/>
        <v>4.3665337449301926</v>
      </c>
      <c r="BJ86" s="243">
        <f t="shared" ca="1" si="103"/>
        <v>9.8657187484585904</v>
      </c>
      <c r="BK86" s="242">
        <f t="shared" ca="1" si="104"/>
        <v>14.232252493388783</v>
      </c>
      <c r="BL86" s="241">
        <f t="shared" ca="1" si="105"/>
        <v>3.1439042963497386</v>
      </c>
      <c r="BM86" s="243">
        <f t="shared" ca="1" si="106"/>
        <v>4.3705134055671557</v>
      </c>
      <c r="BN86" s="243">
        <f t="shared" si="71"/>
        <v>0</v>
      </c>
      <c r="BO86" s="242">
        <f t="shared" ca="1" si="72"/>
        <v>7.5144177019168934</v>
      </c>
      <c r="BP86" s="67"/>
      <c r="BQ86" s="67"/>
      <c r="BR86" s="67"/>
      <c r="BS86" s="67"/>
      <c r="BT86" s="67"/>
      <c r="BU86" s="67"/>
    </row>
    <row r="87" spans="1:73" ht="12" customHeight="1" x14ac:dyDescent="0.15">
      <c r="A87" s="213">
        <f t="shared" si="73"/>
        <v>81</v>
      </c>
      <c r="B87" s="67">
        <f t="shared" si="74"/>
        <v>324</v>
      </c>
      <c r="C87" s="224">
        <f t="shared" si="75"/>
        <v>74.769230769230774</v>
      </c>
      <c r="D87" s="225">
        <f ca="1">IFERROR(OFFSET(extrapolation!V96,0,OS_dist_choice-1,1,1),0)</f>
        <v>0.19905390436922679</v>
      </c>
      <c r="E87" s="225">
        <f ca="1">IFERROR(OFFSET(extrapolation!J96,0,PFS_dist_choice-1,1,1),0)</f>
        <v>6.1280089192824704E-2</v>
      </c>
      <c r="F87" s="214"/>
      <c r="G87" s="226">
        <f t="shared" ca="1" si="76"/>
        <v>61.280089192824704</v>
      </c>
      <c r="H87" s="224">
        <f t="shared" ca="1" si="77"/>
        <v>137.77381517640208</v>
      </c>
      <c r="I87" s="224">
        <f t="shared" ca="1" si="54"/>
        <v>800.94609563077324</v>
      </c>
      <c r="J87" s="227">
        <f t="shared" ca="1" si="55"/>
        <v>1000</v>
      </c>
      <c r="K87" s="238">
        <f t="shared" ca="1" si="78"/>
        <v>0.75720985331804513</v>
      </c>
      <c r="L87" s="239">
        <f t="shared" ca="1" si="79"/>
        <v>2.9198947829138433</v>
      </c>
      <c r="M87" s="238">
        <f t="shared" ca="1" si="80"/>
        <v>61.658694119483727</v>
      </c>
      <c r="N87" s="238">
        <f t="shared" ca="1" si="81"/>
        <v>138.85515764119998</v>
      </c>
      <c r="O87" s="239">
        <f t="shared" ca="1" si="82"/>
        <v>799.48614823931632</v>
      </c>
      <c r="P87" s="217"/>
      <c r="Q87" s="217"/>
      <c r="R87" s="224"/>
      <c r="S87" s="230">
        <f t="shared" ca="1" si="83"/>
        <v>92912.895746196489</v>
      </c>
      <c r="T87" s="231">
        <f t="shared" ca="1" si="84"/>
        <v>5783.4130349411016</v>
      </c>
      <c r="U87" s="231">
        <f t="shared" ca="1" si="107"/>
        <v>8711.7000398303444</v>
      </c>
      <c r="V87" s="231"/>
      <c r="W87" s="231">
        <f t="shared" ca="1" si="85"/>
        <v>23219.67766629166</v>
      </c>
      <c r="X87" s="231">
        <f t="shared" ca="1" si="86"/>
        <v>2902.4597082864575</v>
      </c>
      <c r="Y87" s="231"/>
      <c r="Z87" s="232">
        <f t="shared" ca="1" si="56"/>
        <v>133530.14619554605</v>
      </c>
      <c r="AA87" s="231">
        <f t="shared" ca="1" si="57"/>
        <v>657.92624680862798</v>
      </c>
      <c r="AB87" s="231">
        <f t="shared" ca="1" si="87"/>
        <v>35068.51638675882</v>
      </c>
      <c r="AC87" s="231">
        <f t="shared" ca="1" si="88"/>
        <v>188246.27046655316</v>
      </c>
      <c r="AD87" s="231">
        <f t="shared" ca="1" si="89"/>
        <v>6536.3288356442072</v>
      </c>
      <c r="AE87" s="231">
        <f t="shared" ca="1" si="58"/>
        <v>83656.503583779253</v>
      </c>
      <c r="AF87" s="231">
        <f t="shared" ca="1" si="59"/>
        <v>314165.54551954404</v>
      </c>
      <c r="AG87" s="232">
        <f t="shared" ca="1" si="60"/>
        <v>447695.69171509007</v>
      </c>
      <c r="AH87" s="243">
        <f t="shared" ca="1" si="90"/>
        <v>4.7267445183998475</v>
      </c>
      <c r="AI87" s="243">
        <f t="shared" ca="1" si="91"/>
        <v>10.644611674068718</v>
      </c>
      <c r="AJ87" s="242">
        <f t="shared" ca="1" si="92"/>
        <v>15.371356192468566</v>
      </c>
      <c r="AK87" s="241">
        <f t="shared" ca="1" si="93"/>
        <v>3.4032560532478899</v>
      </c>
      <c r="AL87" s="243">
        <f t="shared" ca="1" si="94"/>
        <v>4.7155629716124423</v>
      </c>
      <c r="AM87" s="243"/>
      <c r="AN87" s="242">
        <f t="shared" ca="1" si="61"/>
        <v>8.1188190248603327</v>
      </c>
      <c r="AO87" s="224"/>
      <c r="AP87" s="235">
        <f t="shared" si="95"/>
        <v>6.2307692307692308</v>
      </c>
      <c r="AQ87" s="235">
        <f t="shared" si="62"/>
        <v>0.83179099678553181</v>
      </c>
      <c r="AR87" s="235">
        <f t="shared" si="63"/>
        <v>0.91140536956304719</v>
      </c>
      <c r="AT87" s="230">
        <f t="shared" ca="1" si="64"/>
        <v>77284.11016695897</v>
      </c>
      <c r="AU87" s="231">
        <f t="shared" ca="1" si="65"/>
        <v>4810.5908931560971</v>
      </c>
      <c r="AV87" s="231">
        <f t="shared" ca="1" si="96"/>
        <v>7246.3136598270394</v>
      </c>
      <c r="AW87" s="231"/>
      <c r="AX87" s="231">
        <f t="shared" ca="1" si="97"/>
        <v>19313.918831083491</v>
      </c>
      <c r="AY87" s="231">
        <f t="shared" ca="1" si="98"/>
        <v>2414.2398538854363</v>
      </c>
      <c r="AZ87" s="231"/>
      <c r="BA87" s="232">
        <f t="shared" ca="1" si="66"/>
        <v>111069.17340491104</v>
      </c>
      <c r="BB87" s="231">
        <f t="shared" ca="1" si="67"/>
        <v>547.2571286443125</v>
      </c>
      <c r="BC87" s="231">
        <f t="shared" ca="1" si="99"/>
        <v>29169.676201131875</v>
      </c>
      <c r="BD87" s="231">
        <f t="shared" ca="1" si="100"/>
        <v>156581.55295253306</v>
      </c>
      <c r="BE87" s="231">
        <f t="shared" ca="1" si="101"/>
        <v>5436.8594775185093</v>
      </c>
      <c r="BF87" s="231">
        <f t="shared" ca="1" si="68"/>
        <v>69584.726503544152</v>
      </c>
      <c r="BG87" s="231">
        <f t="shared" ca="1" si="69"/>
        <v>261320.0722633719</v>
      </c>
      <c r="BH87" s="232">
        <f t="shared" ca="1" si="70"/>
        <v>372389.24566828291</v>
      </c>
      <c r="BI87" s="243">
        <f t="shared" ca="1" si="102"/>
        <v>4.3079803346223207</v>
      </c>
      <c r="BJ87" s="243">
        <f t="shared" ca="1" si="103"/>
        <v>9.7015562366597266</v>
      </c>
      <c r="BK87" s="242">
        <f t="shared" ca="1" si="104"/>
        <v>14.009536571282048</v>
      </c>
      <c r="BL87" s="241">
        <f t="shared" ca="1" si="105"/>
        <v>3.1017458409280705</v>
      </c>
      <c r="BM87" s="243">
        <f t="shared" ca="1" si="106"/>
        <v>4.2977894128402587</v>
      </c>
      <c r="BN87" s="243">
        <f t="shared" si="71"/>
        <v>0</v>
      </c>
      <c r="BO87" s="242">
        <f t="shared" ca="1" si="72"/>
        <v>7.3995352537683301</v>
      </c>
      <c r="BP87" s="67"/>
      <c r="BQ87" s="67"/>
      <c r="BR87" s="67"/>
      <c r="BS87" s="67"/>
      <c r="BT87" s="67"/>
      <c r="BU87" s="67"/>
    </row>
    <row r="88" spans="1:73" ht="12" customHeight="1" x14ac:dyDescent="0.15">
      <c r="A88" s="213">
        <f t="shared" si="73"/>
        <v>82</v>
      </c>
      <c r="B88" s="67">
        <f t="shared" si="74"/>
        <v>328</v>
      </c>
      <c r="C88" s="224">
        <f t="shared" si="75"/>
        <v>75.692307692307693</v>
      </c>
      <c r="D88" s="225">
        <f ca="1">IFERROR(OFFSET(extrapolation!V97,0,OS_dist_choice-1,1,1),0)</f>
        <v>0.19620109000246322</v>
      </c>
      <c r="E88" s="225">
        <f ca="1">IFERROR(OFFSET(extrapolation!J97,0,PFS_dist_choice-1,1,1),0)</f>
        <v>6.0540841227910383E-2</v>
      </c>
      <c r="F88" s="214"/>
      <c r="G88" s="226">
        <f t="shared" ca="1" si="76"/>
        <v>60.540841227910384</v>
      </c>
      <c r="H88" s="224">
        <f t="shared" ca="1" si="77"/>
        <v>135.66024877455288</v>
      </c>
      <c r="I88" s="224">
        <f t="shared" ca="1" si="54"/>
        <v>803.79890999753673</v>
      </c>
      <c r="J88" s="227">
        <f t="shared" ca="1" si="55"/>
        <v>1000</v>
      </c>
      <c r="K88" s="238">
        <f t="shared" ca="1" si="78"/>
        <v>0.73924796491431977</v>
      </c>
      <c r="L88" s="239">
        <f t="shared" ca="1" si="79"/>
        <v>2.8528143667634822</v>
      </c>
      <c r="M88" s="238">
        <f t="shared" ca="1" si="80"/>
        <v>60.910465210367548</v>
      </c>
      <c r="N88" s="238">
        <f t="shared" ca="1" si="81"/>
        <v>136.71703197547748</v>
      </c>
      <c r="O88" s="239">
        <f t="shared" ca="1" si="82"/>
        <v>802.37250281415504</v>
      </c>
      <c r="P88" s="217"/>
      <c r="Q88" s="217"/>
      <c r="R88" s="224"/>
      <c r="S88" s="230">
        <f t="shared" ca="1" si="83"/>
        <v>91792.047686094214</v>
      </c>
      <c r="T88" s="231">
        <f t="shared" ca="1" si="84"/>
        <v>5713.645246208187</v>
      </c>
      <c r="U88" s="231">
        <f t="shared" ca="1" si="107"/>
        <v>8606.6070706421942</v>
      </c>
      <c r="V88" s="231"/>
      <c r="W88" s="231">
        <f t="shared" ca="1" si="85"/>
        <v>22937.906630781054</v>
      </c>
      <c r="X88" s="231">
        <f t="shared" ca="1" si="86"/>
        <v>2867.2383288476317</v>
      </c>
      <c r="Y88" s="231"/>
      <c r="Z88" s="232">
        <f t="shared" ca="1" si="56"/>
        <v>131917.44496257327</v>
      </c>
      <c r="AA88" s="231">
        <f t="shared" ca="1" si="57"/>
        <v>642.31947971325212</v>
      </c>
      <c r="AB88" s="231">
        <f t="shared" ca="1" si="87"/>
        <v>34528.522797618338</v>
      </c>
      <c r="AC88" s="231">
        <f t="shared" ca="1" si="88"/>
        <v>185347.60837003158</v>
      </c>
      <c r="AD88" s="231">
        <f t="shared" ca="1" si="89"/>
        <v>6435.6808461816518</v>
      </c>
      <c r="AE88" s="231">
        <f t="shared" ca="1" si="58"/>
        <v>81734.614785963058</v>
      </c>
      <c r="AF88" s="231">
        <f t="shared" ca="1" si="59"/>
        <v>308688.74627950788</v>
      </c>
      <c r="AG88" s="232">
        <f t="shared" ca="1" si="60"/>
        <v>440606.19124208111</v>
      </c>
      <c r="AH88" s="243">
        <f t="shared" ca="1" si="90"/>
        <v>4.6693854233820433</v>
      </c>
      <c r="AI88" s="243">
        <f t="shared" ca="1" si="91"/>
        <v>10.480703341035918</v>
      </c>
      <c r="AJ88" s="242">
        <f t="shared" ca="1" si="92"/>
        <v>15.150088764417962</v>
      </c>
      <c r="AK88" s="241">
        <f t="shared" ca="1" si="93"/>
        <v>3.3619575048350709</v>
      </c>
      <c r="AL88" s="243">
        <f t="shared" ca="1" si="94"/>
        <v>4.6429515800789121</v>
      </c>
      <c r="AM88" s="243"/>
      <c r="AN88" s="242">
        <f t="shared" ca="1" si="61"/>
        <v>8.004909084913983</v>
      </c>
      <c r="AO88" s="224"/>
      <c r="AP88" s="235">
        <f t="shared" si="95"/>
        <v>6.3076923076923075</v>
      </c>
      <c r="AQ88" s="235">
        <f t="shared" si="62"/>
        <v>0.82990185719723453</v>
      </c>
      <c r="AR88" s="235">
        <f t="shared" si="63"/>
        <v>0.91036215464931824</v>
      </c>
      <c r="AT88" s="230">
        <f t="shared" ca="1" si="64"/>
        <v>76178.390850626703</v>
      </c>
      <c r="AU88" s="231">
        <f t="shared" ca="1" si="65"/>
        <v>4741.7648011943247</v>
      </c>
      <c r="AV88" s="231">
        <f t="shared" ca="1" si="96"/>
        <v>7142.6391920928072</v>
      </c>
      <c r="AW88" s="231"/>
      <c r="AX88" s="231">
        <f t="shared" ca="1" si="97"/>
        <v>19036.211313101958</v>
      </c>
      <c r="AY88" s="231">
        <f t="shared" ca="1" si="98"/>
        <v>2379.5264141377447</v>
      </c>
      <c r="AZ88" s="231"/>
      <c r="BA88" s="232">
        <f t="shared" ca="1" si="66"/>
        <v>109478.53257115353</v>
      </c>
      <c r="BB88" s="231">
        <f t="shared" ca="1" si="67"/>
        <v>533.06212912798935</v>
      </c>
      <c r="BC88" s="231">
        <f t="shared" ca="1" si="99"/>
        <v>28655.285196020512</v>
      </c>
      <c r="BD88" s="231">
        <f t="shared" ca="1" si="100"/>
        <v>153820.32441335489</v>
      </c>
      <c r="BE88" s="231">
        <f t="shared" ca="1" si="101"/>
        <v>5340.9834865748226</v>
      </c>
      <c r="BF88" s="231">
        <f t="shared" ca="1" si="68"/>
        <v>67831.708608171291</v>
      </c>
      <c r="BG88" s="231">
        <f t="shared" ca="1" si="69"/>
        <v>256181.36383324952</v>
      </c>
      <c r="BH88" s="232">
        <f t="shared" ca="1" si="70"/>
        <v>365659.89640440303</v>
      </c>
      <c r="BI88" s="243">
        <f t="shared" ca="1" si="102"/>
        <v>4.2508317749181961</v>
      </c>
      <c r="BJ88" s="243">
        <f t="shared" ca="1" si="103"/>
        <v>9.5412356757857673</v>
      </c>
      <c r="BK88" s="242">
        <f t="shared" ca="1" si="104"/>
        <v>13.792067450703964</v>
      </c>
      <c r="BL88" s="241">
        <f t="shared" ca="1" si="105"/>
        <v>3.0605988779411009</v>
      </c>
      <c r="BM88" s="243">
        <f t="shared" ca="1" si="106"/>
        <v>4.2267674043730947</v>
      </c>
      <c r="BN88" s="243">
        <f t="shared" si="71"/>
        <v>0</v>
      </c>
      <c r="BO88" s="242">
        <f t="shared" ca="1" si="72"/>
        <v>7.2873662823141956</v>
      </c>
      <c r="BP88" s="67"/>
      <c r="BQ88" s="67"/>
      <c r="BR88" s="67"/>
      <c r="BS88" s="67"/>
      <c r="BT88" s="67"/>
      <c r="BU88" s="67"/>
    </row>
    <row r="89" spans="1:73" ht="12" customHeight="1" x14ac:dyDescent="0.15">
      <c r="A89" s="213">
        <f t="shared" si="73"/>
        <v>83</v>
      </c>
      <c r="B89" s="67">
        <f t="shared" si="74"/>
        <v>332</v>
      </c>
      <c r="C89" s="224">
        <f t="shared" si="75"/>
        <v>76.615384615384613</v>
      </c>
      <c r="D89" s="225">
        <f ca="1">IFERROR(OFFSET(extrapolation!V98,0,OS_dist_choice-1,1,1),0)</f>
        <v>0.19341330928555775</v>
      </c>
      <c r="E89" s="225">
        <f ca="1">IFERROR(OFFSET(extrapolation!J98,0,PFS_dist_choice-1,1,1),0)</f>
        <v>5.9818926676039212E-2</v>
      </c>
      <c r="F89" s="214"/>
      <c r="G89" s="226">
        <f t="shared" ca="1" si="76"/>
        <v>59.818926676039212</v>
      </c>
      <c r="H89" s="224">
        <f t="shared" ca="1" si="77"/>
        <v>133.59438260951868</v>
      </c>
      <c r="I89" s="224">
        <f t="shared" ca="1" si="54"/>
        <v>806.58669071444217</v>
      </c>
      <c r="J89" s="227">
        <f t="shared" ca="1" si="55"/>
        <v>1000</v>
      </c>
      <c r="K89" s="238">
        <f t="shared" ca="1" si="78"/>
        <v>0.7219145518711727</v>
      </c>
      <c r="L89" s="239">
        <f t="shared" ca="1" si="79"/>
        <v>2.7877807169054449</v>
      </c>
      <c r="M89" s="238">
        <f t="shared" ca="1" si="80"/>
        <v>60.179883951974801</v>
      </c>
      <c r="N89" s="238">
        <f t="shared" ca="1" si="81"/>
        <v>134.62731569203578</v>
      </c>
      <c r="O89" s="239">
        <f t="shared" ca="1" si="82"/>
        <v>805.19280035598945</v>
      </c>
      <c r="P89" s="217"/>
      <c r="Q89" s="217"/>
      <c r="R89" s="224"/>
      <c r="S89" s="230">
        <f t="shared" ca="1" si="83"/>
        <v>90697.480553781323</v>
      </c>
      <c r="T89" s="231">
        <f t="shared" ca="1" si="84"/>
        <v>5645.5133279228221</v>
      </c>
      <c r="U89" s="231">
        <f t="shared" ca="1" si="107"/>
        <v>8503.9782541190852</v>
      </c>
      <c r="V89" s="231"/>
      <c r="W89" s="231">
        <f t="shared" ca="1" si="85"/>
        <v>22662.781418170478</v>
      </c>
      <c r="X89" s="231">
        <f t="shared" ca="1" si="86"/>
        <v>2832.8476772713097</v>
      </c>
      <c r="Y89" s="231"/>
      <c r="Z89" s="232">
        <f t="shared" ca="1" si="56"/>
        <v>130342.601231265</v>
      </c>
      <c r="AA89" s="231">
        <f t="shared" ca="1" si="57"/>
        <v>627.25878374120509</v>
      </c>
      <c r="AB89" s="231">
        <f t="shared" ca="1" si="87"/>
        <v>34000.755223302411</v>
      </c>
      <c r="AC89" s="231">
        <f t="shared" ca="1" si="88"/>
        <v>182514.57498925057</v>
      </c>
      <c r="AD89" s="231">
        <f t="shared" ca="1" si="89"/>
        <v>6337.3116315712005</v>
      </c>
      <c r="AE89" s="231">
        <f t="shared" ca="1" si="58"/>
        <v>79871.366906535724</v>
      </c>
      <c r="AF89" s="231">
        <f t="shared" ca="1" si="59"/>
        <v>303351.26753440115</v>
      </c>
      <c r="AG89" s="232">
        <f t="shared" ca="1" si="60"/>
        <v>433693.86876566615</v>
      </c>
      <c r="AH89" s="243">
        <f t="shared" ca="1" si="90"/>
        <v>4.6133791941281155</v>
      </c>
      <c r="AI89" s="243">
        <f t="shared" ca="1" si="91"/>
        <v>10.320506062633816</v>
      </c>
      <c r="AJ89" s="242">
        <f t="shared" ca="1" si="92"/>
        <v>14.933885256761933</v>
      </c>
      <c r="AK89" s="241">
        <f t="shared" ca="1" si="93"/>
        <v>3.3216330197722432</v>
      </c>
      <c r="AL89" s="243">
        <f t="shared" ca="1" si="94"/>
        <v>4.5719841857467811</v>
      </c>
      <c r="AM89" s="243"/>
      <c r="AN89" s="242">
        <f t="shared" ca="1" si="61"/>
        <v>7.8936172055190248</v>
      </c>
      <c r="AO89" s="224"/>
      <c r="AP89" s="235">
        <f t="shared" si="95"/>
        <v>6.384615384615385</v>
      </c>
      <c r="AQ89" s="235">
        <f t="shared" si="62"/>
        <v>0.82801700816798141</v>
      </c>
      <c r="AR89" s="235">
        <f t="shared" si="63"/>
        <v>0.90932013382264731</v>
      </c>
      <c r="AT89" s="230">
        <f t="shared" ca="1" si="64"/>
        <v>75099.056496515681</v>
      </c>
      <c r="AU89" s="231">
        <f t="shared" ca="1" si="65"/>
        <v>4674.5810553591191</v>
      </c>
      <c r="AV89" s="231">
        <f t="shared" ca="1" si="96"/>
        <v>7041.4386315012589</v>
      </c>
      <c r="AW89" s="231"/>
      <c r="AX89" s="231">
        <f t="shared" ca="1" si="97"/>
        <v>18765.168466638443</v>
      </c>
      <c r="AY89" s="231">
        <f t="shared" ca="1" si="98"/>
        <v>2345.6460583298053</v>
      </c>
      <c r="AZ89" s="231"/>
      <c r="BA89" s="232">
        <f t="shared" ca="1" si="66"/>
        <v>107925.89070834429</v>
      </c>
      <c r="BB89" s="231">
        <f t="shared" ca="1" si="67"/>
        <v>519.38094146047945</v>
      </c>
      <c r="BC89" s="231">
        <f t="shared" ca="1" si="99"/>
        <v>28153.20361545073</v>
      </c>
      <c r="BD89" s="231">
        <f t="shared" ca="1" si="100"/>
        <v>151125.17232964994</v>
      </c>
      <c r="BE89" s="231">
        <f t="shared" ca="1" si="101"/>
        <v>5247.4018170017343</v>
      </c>
      <c r="BF89" s="231">
        <f t="shared" ca="1" si="68"/>
        <v>66134.850264236826</v>
      </c>
      <c r="BG89" s="231">
        <f t="shared" ca="1" si="69"/>
        <v>251180.00896779975</v>
      </c>
      <c r="BH89" s="232">
        <f t="shared" ca="1" si="70"/>
        <v>359105.89967614406</v>
      </c>
      <c r="BI89" s="243">
        <f t="shared" ca="1" si="102"/>
        <v>4.1950385861791952</v>
      </c>
      <c r="BJ89" s="243">
        <f t="shared" ca="1" si="103"/>
        <v>9.384643953991624</v>
      </c>
      <c r="BK89" s="242">
        <f t="shared" ca="1" si="104"/>
        <v>13.57968254017082</v>
      </c>
      <c r="BL89" s="241">
        <f t="shared" ca="1" si="105"/>
        <v>3.0204277820490204</v>
      </c>
      <c r="BM89" s="243">
        <f t="shared" ca="1" si="106"/>
        <v>4.1573972716182901</v>
      </c>
      <c r="BN89" s="243">
        <f t="shared" si="71"/>
        <v>0</v>
      </c>
      <c r="BO89" s="242">
        <f t="shared" ca="1" si="72"/>
        <v>7.1778250536673109</v>
      </c>
      <c r="BP89" s="67"/>
      <c r="BQ89" s="67"/>
      <c r="BR89" s="67"/>
      <c r="BS89" s="67"/>
      <c r="BT89" s="67"/>
      <c r="BU89" s="67"/>
    </row>
    <row r="90" spans="1:73" ht="12" customHeight="1" x14ac:dyDescent="0.15">
      <c r="A90" s="213">
        <f t="shared" si="73"/>
        <v>84</v>
      </c>
      <c r="B90" s="67">
        <f t="shared" si="74"/>
        <v>336</v>
      </c>
      <c r="C90" s="224">
        <f t="shared" si="75"/>
        <v>77.538461538461547</v>
      </c>
      <c r="D90" s="225">
        <f ca="1">IFERROR(OFFSET(extrapolation!V99,0,OS_dist_choice-1,1,1),0)</f>
        <v>0.19068859108912831</v>
      </c>
      <c r="E90" s="225">
        <f ca="1">IFERROR(OFFSET(extrapolation!J99,0,PFS_dist_choice-1,1,1),0)</f>
        <v>5.9113745976616006E-2</v>
      </c>
      <c r="F90" s="214"/>
      <c r="G90" s="226">
        <f t="shared" ca="1" si="76"/>
        <v>59.113745976616002</v>
      </c>
      <c r="H90" s="224">
        <f t="shared" ca="1" si="77"/>
        <v>131.57484511251232</v>
      </c>
      <c r="I90" s="224">
        <f t="shared" ca="1" si="54"/>
        <v>809.31140891087171</v>
      </c>
      <c r="J90" s="227">
        <f t="shared" ca="1" si="55"/>
        <v>1000</v>
      </c>
      <c r="K90" s="238">
        <f t="shared" ca="1" si="78"/>
        <v>0.70518069942320949</v>
      </c>
      <c r="L90" s="239">
        <f t="shared" ca="1" si="79"/>
        <v>2.7247181964295351</v>
      </c>
      <c r="M90" s="238">
        <f t="shared" ca="1" si="80"/>
        <v>59.466336326327607</v>
      </c>
      <c r="N90" s="238">
        <f t="shared" ca="1" si="81"/>
        <v>132.5846138610155</v>
      </c>
      <c r="O90" s="239">
        <f t="shared" ca="1" si="82"/>
        <v>807.94904981265699</v>
      </c>
      <c r="P90" s="217"/>
      <c r="Q90" s="217"/>
      <c r="R90" s="224"/>
      <c r="S90" s="230">
        <f t="shared" ca="1" si="83"/>
        <v>89628.285295243564</v>
      </c>
      <c r="T90" s="231">
        <f t="shared" ca="1" si="84"/>
        <v>5578.9606955302661</v>
      </c>
      <c r="U90" s="231">
        <f t="shared" ca="1" si="107"/>
        <v>8403.7283555276827</v>
      </c>
      <c r="V90" s="231"/>
      <c r="W90" s="231">
        <f t="shared" ca="1" si="85"/>
        <v>22394.070799113757</v>
      </c>
      <c r="X90" s="231">
        <f t="shared" ca="1" si="86"/>
        <v>2799.2588498892196</v>
      </c>
      <c r="Y90" s="231"/>
      <c r="Z90" s="232">
        <f t="shared" ca="1" si="56"/>
        <v>128804.30399530449</v>
      </c>
      <c r="AA90" s="231">
        <f t="shared" ca="1" si="57"/>
        <v>612.71903536432603</v>
      </c>
      <c r="AB90" s="231">
        <f t="shared" ca="1" si="87"/>
        <v>33484.861367782112</v>
      </c>
      <c r="AC90" s="231">
        <f t="shared" ca="1" si="88"/>
        <v>179745.27921445199</v>
      </c>
      <c r="AD90" s="231">
        <f t="shared" ca="1" si="89"/>
        <v>6241.1555282795825</v>
      </c>
      <c r="AE90" s="231">
        <f t="shared" ca="1" si="58"/>
        <v>78064.592908696504</v>
      </c>
      <c r="AF90" s="231">
        <f t="shared" ca="1" si="59"/>
        <v>298148.60805457446</v>
      </c>
      <c r="AG90" s="232">
        <f t="shared" ca="1" si="60"/>
        <v>426952.91204987897</v>
      </c>
      <c r="AH90" s="243">
        <f t="shared" ca="1" si="90"/>
        <v>4.5586787601291521</v>
      </c>
      <c r="AI90" s="243">
        <f t="shared" ca="1" si="91"/>
        <v>10.163912903787637</v>
      </c>
      <c r="AJ90" s="242">
        <f t="shared" ca="1" si="92"/>
        <v>14.722591663916788</v>
      </c>
      <c r="AK90" s="241">
        <f t="shared" ca="1" si="93"/>
        <v>3.2822487072929896</v>
      </c>
      <c r="AL90" s="243">
        <f t="shared" ca="1" si="94"/>
        <v>4.5026134163779234</v>
      </c>
      <c r="AM90" s="243"/>
      <c r="AN90" s="242">
        <f t="shared" ca="1" si="61"/>
        <v>7.784862123670913</v>
      </c>
      <c r="AO90" s="224"/>
      <c r="AP90" s="235">
        <f t="shared" si="95"/>
        <v>6.4615384615384617</v>
      </c>
      <c r="AQ90" s="235">
        <f t="shared" si="62"/>
        <v>0.82613643995317909</v>
      </c>
      <c r="AR90" s="235">
        <f t="shared" si="63"/>
        <v>0.90827930571625537</v>
      </c>
      <c r="AT90" s="230">
        <f t="shared" ca="1" si="64"/>
        <v>74045.192532920395</v>
      </c>
      <c r="AU90" s="231">
        <f t="shared" ca="1" si="65"/>
        <v>4608.9827276440856</v>
      </c>
      <c r="AV90" s="231">
        <f t="shared" ca="1" si="96"/>
        <v>6942.6262259692239</v>
      </c>
      <c r="AW90" s="231"/>
      <c r="AX90" s="231">
        <f t="shared" ca="1" si="97"/>
        <v>18500.557926039284</v>
      </c>
      <c r="AY90" s="231">
        <f t="shared" ca="1" si="98"/>
        <v>2312.5697407549105</v>
      </c>
      <c r="AZ90" s="231"/>
      <c r="BA90" s="232">
        <f t="shared" ca="1" si="66"/>
        <v>106409.9291533279</v>
      </c>
      <c r="BB90" s="231">
        <f t="shared" ca="1" si="67"/>
        <v>506.18952256743034</v>
      </c>
      <c r="BC90" s="231">
        <f t="shared" ca="1" si="99"/>
        <v>27663.064162705254</v>
      </c>
      <c r="BD90" s="231">
        <f t="shared" ca="1" si="100"/>
        <v>148494.12506861752</v>
      </c>
      <c r="BE90" s="231">
        <f t="shared" ca="1" si="101"/>
        <v>5156.0460093269967</v>
      </c>
      <c r="BF90" s="231">
        <f t="shared" ca="1" si="68"/>
        <v>64492.004871984718</v>
      </c>
      <c r="BG90" s="231">
        <f t="shared" ca="1" si="69"/>
        <v>246311.42963520187</v>
      </c>
      <c r="BH90" s="232">
        <f t="shared" ca="1" si="70"/>
        <v>352721.35878852982</v>
      </c>
      <c r="BI90" s="243">
        <f t="shared" ca="1" si="102"/>
        <v>4.1405535792335462</v>
      </c>
      <c r="BJ90" s="243">
        <f t="shared" ca="1" si="103"/>
        <v>9.231671755612723</v>
      </c>
      <c r="BK90" s="242">
        <f t="shared" ca="1" si="104"/>
        <v>13.372225334846268</v>
      </c>
      <c r="BL90" s="241">
        <f t="shared" ca="1" si="105"/>
        <v>2.9811985770481533</v>
      </c>
      <c r="BM90" s="243">
        <f t="shared" ca="1" si="106"/>
        <v>4.089630587736437</v>
      </c>
      <c r="BN90" s="243">
        <f t="shared" si="71"/>
        <v>0</v>
      </c>
      <c r="BO90" s="242">
        <f t="shared" ca="1" si="72"/>
        <v>7.0708291647845902</v>
      </c>
      <c r="BP90" s="67"/>
      <c r="BQ90" s="67"/>
      <c r="BR90" s="67"/>
      <c r="BS90" s="67"/>
      <c r="BT90" s="67"/>
      <c r="BU90" s="67"/>
    </row>
    <row r="91" spans="1:73" ht="12" customHeight="1" x14ac:dyDescent="0.15">
      <c r="A91" s="213">
        <f t="shared" si="73"/>
        <v>85</v>
      </c>
      <c r="B91" s="67">
        <f t="shared" si="74"/>
        <v>340</v>
      </c>
      <c r="C91" s="224">
        <f t="shared" si="75"/>
        <v>78.461538461538453</v>
      </c>
      <c r="D91" s="225">
        <f ca="1">IFERROR(OFFSET(extrapolation!V100,0,OS_dist_choice-1,1,1),0)</f>
        <v>0.18802503674661655</v>
      </c>
      <c r="E91" s="225">
        <f ca="1">IFERROR(OFFSET(extrapolation!J100,0,PFS_dist_choice-1,1,1),0)</f>
        <v>5.8424726842038054E-2</v>
      </c>
      <c r="F91" s="214"/>
      <c r="G91" s="226">
        <f t="shared" ca="1" si="76"/>
        <v>58.424726842038055</v>
      </c>
      <c r="H91" s="224">
        <f t="shared" ca="1" si="77"/>
        <v>129.60030990457847</v>
      </c>
      <c r="I91" s="224">
        <f t="shared" ca="1" si="54"/>
        <v>811.97496325338352</v>
      </c>
      <c r="J91" s="227">
        <f t="shared" ca="1" si="55"/>
        <v>1000</v>
      </c>
      <c r="K91" s="238">
        <f t="shared" ca="1" si="78"/>
        <v>0.68901913457794706</v>
      </c>
      <c r="L91" s="239">
        <f t="shared" ca="1" si="79"/>
        <v>2.6635543425118158</v>
      </c>
      <c r="M91" s="238">
        <f t="shared" ca="1" si="80"/>
        <v>58.769236409327029</v>
      </c>
      <c r="N91" s="238">
        <f t="shared" ca="1" si="81"/>
        <v>130.58757750854539</v>
      </c>
      <c r="O91" s="239">
        <f t="shared" ca="1" si="82"/>
        <v>810.64318608212761</v>
      </c>
      <c r="P91" s="217"/>
      <c r="Q91" s="217"/>
      <c r="R91" s="224"/>
      <c r="S91" s="230">
        <f t="shared" ca="1" si="83"/>
        <v>88583.594207788832</v>
      </c>
      <c r="T91" s="231">
        <f t="shared" ca="1" si="84"/>
        <v>5513.9333384110059</v>
      </c>
      <c r="U91" s="231">
        <f t="shared" ca="1" si="107"/>
        <v>8305.7760173178121</v>
      </c>
      <c r="V91" s="231"/>
      <c r="W91" s="231">
        <f t="shared" ca="1" si="85"/>
        <v>22131.554123970011</v>
      </c>
      <c r="X91" s="231">
        <f t="shared" ca="1" si="86"/>
        <v>2766.4442654962513</v>
      </c>
      <c r="Y91" s="231"/>
      <c r="Z91" s="232">
        <f t="shared" ca="1" si="56"/>
        <v>127301.30195298391</v>
      </c>
      <c r="AA91" s="231">
        <f t="shared" ca="1" si="57"/>
        <v>598.67653756189509</v>
      </c>
      <c r="AB91" s="231">
        <f t="shared" ca="1" si="87"/>
        <v>32980.500541427245</v>
      </c>
      <c r="AC91" s="231">
        <f t="shared" ca="1" si="88"/>
        <v>177037.89223852102</v>
      </c>
      <c r="AD91" s="231">
        <f t="shared" ca="1" si="89"/>
        <v>6147.1490360597572</v>
      </c>
      <c r="AE91" s="231">
        <f t="shared" ca="1" si="58"/>
        <v>76312.216694866205</v>
      </c>
      <c r="AF91" s="231">
        <f t="shared" ca="1" si="59"/>
        <v>293076.43504843611</v>
      </c>
      <c r="AG91" s="232">
        <f t="shared" ca="1" si="60"/>
        <v>420377.73700142</v>
      </c>
      <c r="AH91" s="243">
        <f t="shared" ca="1" si="90"/>
        <v>4.5052392045479994</v>
      </c>
      <c r="AI91" s="243">
        <f t="shared" ca="1" si="91"/>
        <v>10.010820452400468</v>
      </c>
      <c r="AJ91" s="242">
        <f t="shared" ca="1" si="92"/>
        <v>14.516059656948467</v>
      </c>
      <c r="AK91" s="241">
        <f t="shared" ca="1" si="93"/>
        <v>3.2437722272745595</v>
      </c>
      <c r="AL91" s="243">
        <f t="shared" ca="1" si="94"/>
        <v>4.4347934604134078</v>
      </c>
      <c r="AM91" s="243"/>
      <c r="AN91" s="242">
        <f t="shared" ca="1" si="61"/>
        <v>7.6785656876879678</v>
      </c>
      <c r="AO91" s="224"/>
      <c r="AP91" s="235">
        <f t="shared" si="95"/>
        <v>6.5384615384615383</v>
      </c>
      <c r="AQ91" s="235">
        <f t="shared" si="62"/>
        <v>0.82426014283036597</v>
      </c>
      <c r="AR91" s="235">
        <f t="shared" si="63"/>
        <v>0.90723966896492836</v>
      </c>
      <c r="AT91" s="230">
        <f t="shared" ca="1" si="64"/>
        <v>73015.926014139201</v>
      </c>
      <c r="AU91" s="231">
        <f t="shared" ca="1" si="65"/>
        <v>4544.9154810757727</v>
      </c>
      <c r="AV91" s="231">
        <f t="shared" ca="1" si="96"/>
        <v>6846.1201263514076</v>
      </c>
      <c r="AW91" s="231"/>
      <c r="AX91" s="231">
        <f t="shared" ca="1" si="97"/>
        <v>18242.157963281497</v>
      </c>
      <c r="AY91" s="231">
        <f t="shared" ca="1" si="98"/>
        <v>2280.2697454101872</v>
      </c>
      <c r="AZ91" s="231"/>
      <c r="BA91" s="232">
        <f t="shared" ca="1" si="66"/>
        <v>104929.38933025807</v>
      </c>
      <c r="BB91" s="231">
        <f t="shared" ca="1" si="67"/>
        <v>493.46520835995659</v>
      </c>
      <c r="BC91" s="231">
        <f t="shared" ca="1" si="99"/>
        <v>27184.512086893785</v>
      </c>
      <c r="BD91" s="231">
        <f t="shared" ca="1" si="100"/>
        <v>145925.27834291029</v>
      </c>
      <c r="BE91" s="231">
        <f t="shared" ca="1" si="101"/>
        <v>5066.8499424621623</v>
      </c>
      <c r="BF91" s="231">
        <f t="shared" ca="1" si="68"/>
        <v>62901.118632612255</v>
      </c>
      <c r="BG91" s="231">
        <f t="shared" ca="1" si="69"/>
        <v>241571.22421323843</v>
      </c>
      <c r="BH91" s="232">
        <f t="shared" ca="1" si="70"/>
        <v>346500.61354349647</v>
      </c>
      <c r="BI91" s="243">
        <f t="shared" ca="1" si="102"/>
        <v>4.0873317245419445</v>
      </c>
      <c r="BJ91" s="243">
        <f t="shared" ca="1" si="103"/>
        <v>9.082213433303135</v>
      </c>
      <c r="BK91" s="242">
        <f t="shared" ca="1" si="104"/>
        <v>13.169545157845079</v>
      </c>
      <c r="BL91" s="241">
        <f t="shared" ca="1" si="105"/>
        <v>2.9428788416701996</v>
      </c>
      <c r="BM91" s="243">
        <f t="shared" ca="1" si="106"/>
        <v>4.023420550953289</v>
      </c>
      <c r="BN91" s="243">
        <f t="shared" si="71"/>
        <v>0</v>
      </c>
      <c r="BO91" s="242">
        <f t="shared" ca="1" si="72"/>
        <v>6.9662993926234895</v>
      </c>
      <c r="BP91" s="67"/>
      <c r="BQ91" s="67"/>
      <c r="BR91" s="67"/>
      <c r="BS91" s="67"/>
      <c r="BT91" s="67"/>
      <c r="BU91" s="67"/>
    </row>
    <row r="92" spans="1:73" ht="12" customHeight="1" x14ac:dyDescent="0.15">
      <c r="A92" s="213">
        <f t="shared" si="73"/>
        <v>86</v>
      </c>
      <c r="B92" s="67">
        <f t="shared" si="74"/>
        <v>344</v>
      </c>
      <c r="C92" s="224">
        <f t="shared" si="75"/>
        <v>79.384615384615387</v>
      </c>
      <c r="D92" s="225">
        <f ca="1">IFERROR(OFFSET(extrapolation!V101,0,OS_dist_choice-1,1,1),0)</f>
        <v>0.18542081702228602</v>
      </c>
      <c r="E92" s="225">
        <f ca="1">IFERROR(OFFSET(extrapolation!J101,0,PFS_dist_choice-1,1,1),0)</f>
        <v>5.7751322726431832E-2</v>
      </c>
      <c r="F92" s="214"/>
      <c r="G92" s="226">
        <f t="shared" ca="1" si="76"/>
        <v>57.75132272643183</v>
      </c>
      <c r="H92" s="224">
        <f t="shared" ca="1" si="77"/>
        <v>127.66949429585418</v>
      </c>
      <c r="I92" s="224">
        <f t="shared" ca="1" si="54"/>
        <v>814.57918297771403</v>
      </c>
      <c r="J92" s="227">
        <f t="shared" ca="1" si="55"/>
        <v>1000</v>
      </c>
      <c r="K92" s="238">
        <f t="shared" ca="1" si="78"/>
        <v>0.67340411560622471</v>
      </c>
      <c r="L92" s="239">
        <f t="shared" ca="1" si="79"/>
        <v>2.6042197243305054</v>
      </c>
      <c r="M92" s="238">
        <f t="shared" ca="1" si="80"/>
        <v>58.088024784234946</v>
      </c>
      <c r="N92" s="238">
        <f t="shared" ca="1" si="81"/>
        <v>128.63490210021632</v>
      </c>
      <c r="O92" s="239">
        <f t="shared" ca="1" si="82"/>
        <v>813.27707311554877</v>
      </c>
      <c r="P92" s="217"/>
      <c r="Q92" s="217"/>
      <c r="R92" s="224"/>
      <c r="S92" s="230">
        <f t="shared" ca="1" si="83"/>
        <v>87562.578618345025</v>
      </c>
      <c r="T92" s="231">
        <f t="shared" ca="1" si="84"/>
        <v>5450.3796753651623</v>
      </c>
      <c r="U92" s="231">
        <f t="shared" ca="1" si="107"/>
        <v>8210.0435414350013</v>
      </c>
      <c r="V92" s="231"/>
      <c r="W92" s="231">
        <f t="shared" ca="1" si="85"/>
        <v>21875.020725346334</v>
      </c>
      <c r="X92" s="231">
        <f t="shared" ca="1" si="86"/>
        <v>2734.3775906682918</v>
      </c>
      <c r="Y92" s="231"/>
      <c r="Z92" s="232">
        <f t="shared" ca="1" si="56"/>
        <v>125832.40015115982</v>
      </c>
      <c r="AA92" s="231">
        <f t="shared" ca="1" si="57"/>
        <v>585.10892380080509</v>
      </c>
      <c r="AB92" s="231">
        <f t="shared" ca="1" si="87"/>
        <v>32487.343278000608</v>
      </c>
      <c r="AC92" s="231">
        <f t="shared" ca="1" si="88"/>
        <v>174390.64550102834</v>
      </c>
      <c r="AD92" s="231">
        <f t="shared" ca="1" si="89"/>
        <v>6055.2307465634831</v>
      </c>
      <c r="AE92" s="231">
        <f t="shared" ca="1" si="58"/>
        <v>74612.24903590366</v>
      </c>
      <c r="AF92" s="231">
        <f t="shared" ca="1" si="59"/>
        <v>288130.57748529688</v>
      </c>
      <c r="AG92" s="232">
        <f t="shared" ca="1" si="60"/>
        <v>413962.97763645672</v>
      </c>
      <c r="AH92" s="243">
        <f t="shared" ca="1" si="90"/>
        <v>4.4530176425970662</v>
      </c>
      <c r="AI92" s="243">
        <f t="shared" ca="1" si="91"/>
        <v>9.8611287030966661</v>
      </c>
      <c r="AJ92" s="242">
        <f t="shared" ca="1" si="92"/>
        <v>14.314146345693732</v>
      </c>
      <c r="AK92" s="241">
        <f t="shared" ca="1" si="93"/>
        <v>3.2061727026698876</v>
      </c>
      <c r="AL92" s="243">
        <f t="shared" ca="1" si="94"/>
        <v>4.3684800154718229</v>
      </c>
      <c r="AM92" s="243"/>
      <c r="AN92" s="242">
        <f t="shared" ca="1" si="61"/>
        <v>7.57465271814171</v>
      </c>
      <c r="AO92" s="224"/>
      <c r="AP92" s="235">
        <f t="shared" si="95"/>
        <v>6.615384615384615</v>
      </c>
      <c r="AQ92" s="235">
        <f t="shared" si="62"/>
        <v>0.82238810709916188</v>
      </c>
      <c r="AR92" s="235">
        <f t="shared" si="63"/>
        <v>0.90620122220501464</v>
      </c>
      <c r="AT92" s="230">
        <f t="shared" ca="1" si="64"/>
        <v>72010.423282662305</v>
      </c>
      <c r="AU92" s="231">
        <f t="shared" ca="1" si="65"/>
        <v>4482.3274241953004</v>
      </c>
      <c r="AV92" s="231">
        <f t="shared" ca="1" si="96"/>
        <v>6751.8421672424302</v>
      </c>
      <c r="AW92" s="231"/>
      <c r="AX92" s="231">
        <f t="shared" ca="1" si="97"/>
        <v>17989.756887072508</v>
      </c>
      <c r="AY92" s="231">
        <f t="shared" ca="1" si="98"/>
        <v>2248.7196108840635</v>
      </c>
      <c r="AZ92" s="231"/>
      <c r="BA92" s="232">
        <f t="shared" ca="1" si="66"/>
        <v>103483.06937205662</v>
      </c>
      <c r="BB92" s="231">
        <f t="shared" ca="1" si="67"/>
        <v>481.18662029137187</v>
      </c>
      <c r="BC92" s="231">
        <f t="shared" ca="1" si="99"/>
        <v>26717.204743075599</v>
      </c>
      <c r="BD92" s="231">
        <f t="shared" ca="1" si="100"/>
        <v>143416.79284939167</v>
      </c>
      <c r="BE92" s="231">
        <f t="shared" ca="1" si="101"/>
        <v>4979.7497517149877</v>
      </c>
      <c r="BF92" s="231">
        <f t="shared" ca="1" si="68"/>
        <v>61360.22625104808</v>
      </c>
      <c r="BG92" s="231">
        <f t="shared" ca="1" si="69"/>
        <v>236955.1602155217</v>
      </c>
      <c r="BH92" s="232">
        <f t="shared" ca="1" si="70"/>
        <v>340438.22958757833</v>
      </c>
      <c r="BI92" s="243">
        <f t="shared" ca="1" si="102"/>
        <v>4.0353300302219548</v>
      </c>
      <c r="BJ92" s="243">
        <f t="shared" ca="1" si="103"/>
        <v>8.9361668830671501</v>
      </c>
      <c r="BK92" s="242">
        <f t="shared" ca="1" si="104"/>
        <v>12.971496913289105</v>
      </c>
      <c r="BL92" s="241">
        <f t="shared" ca="1" si="105"/>
        <v>2.9054376217598072</v>
      </c>
      <c r="BM92" s="243">
        <f t="shared" ca="1" si="106"/>
        <v>3.958721929198747</v>
      </c>
      <c r="BN92" s="243">
        <f t="shared" si="71"/>
        <v>0</v>
      </c>
      <c r="BO92" s="242">
        <f t="shared" ca="1" si="72"/>
        <v>6.8641595509585542</v>
      </c>
      <c r="BP92" s="67"/>
      <c r="BQ92" s="67"/>
      <c r="BR92" s="67"/>
      <c r="BS92" s="67"/>
      <c r="BT92" s="67"/>
      <c r="BU92" s="67"/>
    </row>
    <row r="93" spans="1:73" ht="12" customHeight="1" x14ac:dyDescent="0.15">
      <c r="A93" s="213">
        <f t="shared" si="73"/>
        <v>87</v>
      </c>
      <c r="B93" s="67">
        <f t="shared" si="74"/>
        <v>348</v>
      </c>
      <c r="C93" s="224">
        <f t="shared" si="75"/>
        <v>80.307692307692307</v>
      </c>
      <c r="D93" s="225">
        <f ca="1">IFERROR(OFFSET(extrapolation!V102,0,OS_dist_choice-1,1,1),0)</f>
        <v>0.18287416921514216</v>
      </c>
      <c r="E93" s="225">
        <f ca="1">IFERROR(OFFSET(extrapolation!J102,0,PFS_dist_choice-1,1,1),0)</f>
        <v>5.7093011396320385E-2</v>
      </c>
      <c r="F93" s="214"/>
      <c r="G93" s="226">
        <f t="shared" ca="1" si="76"/>
        <v>57.093011396320385</v>
      </c>
      <c r="H93" s="224">
        <f t="shared" ca="1" si="77"/>
        <v>125.78115781882161</v>
      </c>
      <c r="I93" s="224">
        <f t="shared" ca="1" si="54"/>
        <v>817.12583078485795</v>
      </c>
      <c r="J93" s="227">
        <f t="shared" ca="1" si="55"/>
        <v>1000</v>
      </c>
      <c r="K93" s="238">
        <f t="shared" ca="1" si="78"/>
        <v>0.65831133011144516</v>
      </c>
      <c r="L93" s="239">
        <f t="shared" ca="1" si="79"/>
        <v>2.5466478071439269</v>
      </c>
      <c r="M93" s="238">
        <f t="shared" ca="1" si="80"/>
        <v>57.422167061376108</v>
      </c>
      <c r="N93" s="238">
        <f t="shared" ca="1" si="81"/>
        <v>126.7253260573379</v>
      </c>
      <c r="O93" s="239">
        <f t="shared" ca="1" si="82"/>
        <v>815.85250688128599</v>
      </c>
      <c r="P93" s="217"/>
      <c r="Q93" s="217"/>
      <c r="R93" s="224"/>
      <c r="S93" s="230">
        <f t="shared" ca="1" si="83"/>
        <v>86564.446716305523</v>
      </c>
      <c r="T93" s="231">
        <f t="shared" ca="1" si="84"/>
        <v>5388.2504197167918</v>
      </c>
      <c r="U93" s="231">
        <f t="shared" ca="1" si="107"/>
        <v>8116.4566861236972</v>
      </c>
      <c r="V93" s="231"/>
      <c r="W93" s="231">
        <f t="shared" ca="1" si="85"/>
        <v>21624.269360641261</v>
      </c>
      <c r="X93" s="231">
        <f t="shared" ca="1" si="86"/>
        <v>2703.0336700801577</v>
      </c>
      <c r="Y93" s="231"/>
      <c r="Z93" s="232">
        <f t="shared" ca="1" si="56"/>
        <v>124396.45685286743</v>
      </c>
      <c r="AA93" s="231">
        <f t="shared" ca="1" si="57"/>
        <v>571.9950694697294</v>
      </c>
      <c r="AB93" s="231">
        <f t="shared" ca="1" si="87"/>
        <v>32005.070959931705</v>
      </c>
      <c r="AC93" s="231">
        <f t="shared" ca="1" si="88"/>
        <v>171801.82867671555</v>
      </c>
      <c r="AD93" s="231">
        <f t="shared" ca="1" si="89"/>
        <v>5965.341273497067</v>
      </c>
      <c r="AE93" s="231">
        <f t="shared" ca="1" si="58"/>
        <v>72962.78367686845</v>
      </c>
      <c r="AF93" s="231">
        <f t="shared" ca="1" si="59"/>
        <v>283307.0196564825</v>
      </c>
      <c r="AG93" s="232">
        <f t="shared" ca="1" si="60"/>
        <v>407703.47650934994</v>
      </c>
      <c r="AH93" s="243">
        <f t="shared" ca="1" si="90"/>
        <v>4.4019731080589484</v>
      </c>
      <c r="AI93" s="243">
        <f t="shared" ca="1" si="91"/>
        <v>9.7147409434783327</v>
      </c>
      <c r="AJ93" s="242">
        <f t="shared" ca="1" si="92"/>
        <v>14.116714051537281</v>
      </c>
      <c r="AK93" s="241">
        <f t="shared" ca="1" si="93"/>
        <v>3.1694206378024425</v>
      </c>
      <c r="AL93" s="243">
        <f t="shared" ca="1" si="94"/>
        <v>4.3036302379609017</v>
      </c>
      <c r="AM93" s="243"/>
      <c r="AN93" s="242">
        <f t="shared" ca="1" si="61"/>
        <v>7.4730508757633443</v>
      </c>
      <c r="AO93" s="224"/>
      <c r="AP93" s="235">
        <f t="shared" si="95"/>
        <v>6.6923076923076925</v>
      </c>
      <c r="AQ93" s="235">
        <f t="shared" si="62"/>
        <v>0.8205203230812177</v>
      </c>
      <c r="AR93" s="235">
        <f t="shared" si="63"/>
        <v>0.90516396407442379</v>
      </c>
      <c r="AT93" s="230">
        <f t="shared" ca="1" si="64"/>
        <v>71027.887787009866</v>
      </c>
      <c r="AU93" s="231">
        <f t="shared" ca="1" si="65"/>
        <v>4421.1689752285292</v>
      </c>
      <c r="AV93" s="231">
        <f t="shared" ca="1" si="96"/>
        <v>6659.7176623729256</v>
      </c>
      <c r="AW93" s="231"/>
      <c r="AX93" s="231">
        <f t="shared" ca="1" si="97"/>
        <v>17743.152482188645</v>
      </c>
      <c r="AY93" s="231">
        <f t="shared" ca="1" si="98"/>
        <v>2217.8940602735806</v>
      </c>
      <c r="AZ93" s="231"/>
      <c r="BA93" s="232">
        <f t="shared" ca="1" si="66"/>
        <v>102069.82096707354</v>
      </c>
      <c r="BB93" s="231">
        <f t="shared" ca="1" si="67"/>
        <v>469.33357920216594</v>
      </c>
      <c r="BC93" s="231">
        <f t="shared" ca="1" si="99"/>
        <v>26260.811164280462</v>
      </c>
      <c r="BD93" s="231">
        <f t="shared" ca="1" si="100"/>
        <v>140966.89197176264</v>
      </c>
      <c r="BE93" s="231">
        <f t="shared" ca="1" si="101"/>
        <v>4894.6837490195358</v>
      </c>
      <c r="BF93" s="231">
        <f t="shared" ca="1" si="68"/>
        <v>59867.446835449096</v>
      </c>
      <c r="BG93" s="231">
        <f t="shared" ca="1" si="69"/>
        <v>232459.16729971391</v>
      </c>
      <c r="BH93" s="232">
        <f t="shared" ca="1" si="70"/>
        <v>334528.98826678749</v>
      </c>
      <c r="BI93" s="243">
        <f t="shared" ca="1" si="102"/>
        <v>3.9845074282396498</v>
      </c>
      <c r="BJ93" s="243">
        <f t="shared" ca="1" si="103"/>
        <v>8.7934334223549548</v>
      </c>
      <c r="BK93" s="242">
        <f t="shared" ca="1" si="104"/>
        <v>12.777940850594605</v>
      </c>
      <c r="BL93" s="241">
        <f t="shared" ca="1" si="105"/>
        <v>2.8688453483325476</v>
      </c>
      <c r="BM93" s="243">
        <f t="shared" ca="1" si="106"/>
        <v>3.8954910061032457</v>
      </c>
      <c r="BN93" s="243">
        <f t="shared" si="71"/>
        <v>0</v>
      </c>
      <c r="BO93" s="242">
        <f t="shared" ca="1" si="72"/>
        <v>6.7643363544357928</v>
      </c>
      <c r="BP93" s="67"/>
      <c r="BQ93" s="67"/>
      <c r="BR93" s="67"/>
      <c r="BS93" s="67"/>
      <c r="BT93" s="67"/>
      <c r="BU93" s="67"/>
    </row>
    <row r="94" spans="1:73" ht="12" customHeight="1" x14ac:dyDescent="0.15">
      <c r="A94" s="213">
        <f t="shared" si="73"/>
        <v>88</v>
      </c>
      <c r="B94" s="67">
        <f t="shared" si="74"/>
        <v>352</v>
      </c>
      <c r="C94" s="224">
        <f t="shared" si="75"/>
        <v>81.230769230769226</v>
      </c>
      <c r="D94" s="225">
        <f ca="1">IFERROR(OFFSET(extrapolation!V103,0,OS_dist_choice-1,1,1),0)</f>
        <v>0.18038339439281398</v>
      </c>
      <c r="E94" s="225">
        <f ca="1">IFERROR(OFFSET(extrapolation!J103,0,PFS_dist_choice-1,1,1),0)</f>
        <v>5.6449293595401233E-2</v>
      </c>
      <c r="F94" s="214"/>
      <c r="G94" s="226">
        <f t="shared" ca="1" si="76"/>
        <v>56.44929359540123</v>
      </c>
      <c r="H94" s="224">
        <f t="shared" ca="1" si="77"/>
        <v>123.93410079741261</v>
      </c>
      <c r="I94" s="224">
        <f t="shared" ca="1" si="54"/>
        <v>819.6166056071861</v>
      </c>
      <c r="J94" s="227">
        <f t="shared" ca="1" si="55"/>
        <v>1000</v>
      </c>
      <c r="K94" s="238">
        <f t="shared" ca="1" si="78"/>
        <v>0.64371780091915554</v>
      </c>
      <c r="L94" s="239">
        <f t="shared" ca="1" si="79"/>
        <v>2.4907748223281487</v>
      </c>
      <c r="M94" s="238">
        <f t="shared" ca="1" si="80"/>
        <v>56.771152495860804</v>
      </c>
      <c r="N94" s="238">
        <f t="shared" ca="1" si="81"/>
        <v>124.85762930811711</v>
      </c>
      <c r="O94" s="239">
        <f t="shared" ca="1" si="82"/>
        <v>818.37121819602203</v>
      </c>
      <c r="P94" s="217"/>
      <c r="Q94" s="217"/>
      <c r="R94" s="224"/>
      <c r="S94" s="230">
        <f t="shared" ca="1" si="83"/>
        <v>85588.441529064774</v>
      </c>
      <c r="T94" s="231">
        <f t="shared" ca="1" si="84"/>
        <v>5327.498453300017</v>
      </c>
      <c r="U94" s="231">
        <f t="shared" ca="1" si="107"/>
        <v>8024.9444761094283</v>
      </c>
      <c r="V94" s="231"/>
      <c r="W94" s="231">
        <f t="shared" ca="1" si="85"/>
        <v>21379.107691501245</v>
      </c>
      <c r="X94" s="231">
        <f t="shared" ca="1" si="86"/>
        <v>2672.3884614376557</v>
      </c>
      <c r="Y94" s="231"/>
      <c r="Z94" s="232">
        <f t="shared" ca="1" si="56"/>
        <v>122992.38061141313</v>
      </c>
      <c r="AA94" s="231">
        <f t="shared" ca="1" si="57"/>
        <v>559.31501010824297</v>
      </c>
      <c r="AB94" s="231">
        <f t="shared" ca="1" si="87"/>
        <v>31533.375452410197</v>
      </c>
      <c r="AC94" s="231">
        <f t="shared" ca="1" si="88"/>
        <v>169269.78771132472</v>
      </c>
      <c r="AD94" s="231">
        <f t="shared" ca="1" si="89"/>
        <v>5877.4231844209971</v>
      </c>
      <c r="AE94" s="231">
        <f t="shared" ca="1" si="58"/>
        <v>71361.993613531595</v>
      </c>
      <c r="AF94" s="231">
        <f t="shared" ca="1" si="59"/>
        <v>278601.89497179579</v>
      </c>
      <c r="AG94" s="232">
        <f t="shared" ca="1" si="60"/>
        <v>401594.27558320889</v>
      </c>
      <c r="AH94" s="243">
        <f t="shared" ca="1" si="90"/>
        <v>4.3520664473212936</v>
      </c>
      <c r="AI94" s="243">
        <f t="shared" ca="1" si="91"/>
        <v>9.5715636430589441</v>
      </c>
      <c r="AJ94" s="242">
        <f t="shared" ca="1" si="92"/>
        <v>13.923630090380238</v>
      </c>
      <c r="AK94" s="241">
        <f t="shared" ca="1" si="93"/>
        <v>3.133487842071331</v>
      </c>
      <c r="AL94" s="243">
        <f t="shared" ca="1" si="94"/>
        <v>4.2402026938751121</v>
      </c>
      <c r="AM94" s="243"/>
      <c r="AN94" s="242">
        <f t="shared" ca="1" si="61"/>
        <v>7.3736905359464426</v>
      </c>
      <c r="AO94" s="224"/>
      <c r="AP94" s="235">
        <f t="shared" si="95"/>
        <v>6.7692307692307692</v>
      </c>
      <c r="AQ94" s="235">
        <f t="shared" si="62"/>
        <v>0.8186567811201656</v>
      </c>
      <c r="AR94" s="235">
        <f t="shared" si="63"/>
        <v>0.90412789321262377</v>
      </c>
      <c r="AT94" s="230">
        <f t="shared" ca="1" si="64"/>
        <v>70067.558043275669</v>
      </c>
      <c r="AU94" s="231">
        <f t="shared" ca="1" si="65"/>
        <v>4361.3927352012524</v>
      </c>
      <c r="AV94" s="231">
        <f t="shared" ca="1" si="96"/>
        <v>6569.675213479798</v>
      </c>
      <c r="AW94" s="231"/>
      <c r="AX94" s="231">
        <f t="shared" ca="1" si="97"/>
        <v>17502.151485945786</v>
      </c>
      <c r="AY94" s="231">
        <f t="shared" ca="1" si="98"/>
        <v>2187.7689357432232</v>
      </c>
      <c r="AZ94" s="231"/>
      <c r="BA94" s="232">
        <f t="shared" ca="1" si="66"/>
        <v>100688.54641364573</v>
      </c>
      <c r="BB94" s="231">
        <f t="shared" ca="1" si="67"/>
        <v>457.8870258074071</v>
      </c>
      <c r="BC94" s="231">
        <f t="shared" ca="1" si="99"/>
        <v>25815.011645723778</v>
      </c>
      <c r="BD94" s="231">
        <f t="shared" ca="1" si="100"/>
        <v>138573.85954864687</v>
      </c>
      <c r="BE94" s="231">
        <f t="shared" ca="1" si="101"/>
        <v>4811.5923454391268</v>
      </c>
      <c r="BF94" s="231">
        <f t="shared" ca="1" si="68"/>
        <v>58420.979985971593</v>
      </c>
      <c r="BG94" s="231">
        <f t="shared" ca="1" si="69"/>
        <v>228079.33055158879</v>
      </c>
      <c r="BH94" s="232">
        <f t="shared" ca="1" si="70"/>
        <v>328767.87696523452</v>
      </c>
      <c r="BI94" s="243">
        <f t="shared" ca="1" si="102"/>
        <v>3.9348246681379493</v>
      </c>
      <c r="BJ94" s="243">
        <f t="shared" ca="1" si="103"/>
        <v>8.6539176713494292</v>
      </c>
      <c r="BK94" s="242">
        <f t="shared" ca="1" si="104"/>
        <v>12.588742339487379</v>
      </c>
      <c r="BL94" s="241">
        <f t="shared" ca="1" si="105"/>
        <v>2.8330737610593233</v>
      </c>
      <c r="BM94" s="243">
        <f t="shared" ca="1" si="106"/>
        <v>3.8336855284077971</v>
      </c>
      <c r="BN94" s="243">
        <f t="shared" si="71"/>
        <v>0</v>
      </c>
      <c r="BO94" s="242">
        <f t="shared" ca="1" si="72"/>
        <v>6.6667592894671195</v>
      </c>
      <c r="BP94" s="67"/>
      <c r="BQ94" s="67"/>
      <c r="BR94" s="67"/>
      <c r="BS94" s="67"/>
      <c r="BT94" s="67"/>
      <c r="BU94" s="67"/>
    </row>
    <row r="95" spans="1:73" ht="12" customHeight="1" x14ac:dyDescent="0.15">
      <c r="A95" s="213">
        <f t="shared" si="73"/>
        <v>89</v>
      </c>
      <c r="B95" s="67">
        <f t="shared" si="74"/>
        <v>356</v>
      </c>
      <c r="C95" s="224">
        <f t="shared" si="75"/>
        <v>82.153846153846146</v>
      </c>
      <c r="D95" s="225">
        <f ca="1">IFERROR(OFFSET(extrapolation!V104,0,OS_dist_choice-1,1,1),0)</f>
        <v>0.1779468547496183</v>
      </c>
      <c r="E95" s="225">
        <f ca="1">IFERROR(OFFSET(extrapolation!J104,0,PFS_dist_choice-1,1,1),0)</f>
        <v>5.5819691796284467E-2</v>
      </c>
      <c r="F95" s="214"/>
      <c r="G95" s="226">
        <f t="shared" ca="1" si="76"/>
        <v>55.819691796284467</v>
      </c>
      <c r="H95" s="224">
        <f t="shared" ca="1" si="77"/>
        <v>122.12716295333394</v>
      </c>
      <c r="I95" s="224">
        <f t="shared" ca="1" si="54"/>
        <v>822.05314525038159</v>
      </c>
      <c r="J95" s="227">
        <f t="shared" ca="1" si="55"/>
        <v>1000</v>
      </c>
      <c r="K95" s="238">
        <f t="shared" ca="1" si="78"/>
        <v>0.62960179911676306</v>
      </c>
      <c r="L95" s="239">
        <f t="shared" ca="1" si="79"/>
        <v>2.4365396431954878</v>
      </c>
      <c r="M95" s="238">
        <f t="shared" ca="1" si="80"/>
        <v>56.134492695842852</v>
      </c>
      <c r="N95" s="238">
        <f t="shared" ca="1" si="81"/>
        <v>123.03063187537327</v>
      </c>
      <c r="O95" s="239">
        <f t="shared" ca="1" si="82"/>
        <v>820.83487542878379</v>
      </c>
      <c r="P95" s="217"/>
      <c r="Q95" s="217"/>
      <c r="R95" s="224"/>
      <c r="S95" s="230">
        <f t="shared" ca="1" si="83"/>
        <v>84633.839029403229</v>
      </c>
      <c r="T95" s="231">
        <f t="shared" ca="1" si="84"/>
        <v>5268.0787086521814</v>
      </c>
      <c r="U95" s="231">
        <f t="shared" ca="1" si="107"/>
        <v>7935.4390251433915</v>
      </c>
      <c r="V95" s="231"/>
      <c r="W95" s="231">
        <f t="shared" ca="1" si="85"/>
        <v>21139.351797371284</v>
      </c>
      <c r="X95" s="231">
        <f t="shared" ca="1" si="86"/>
        <v>2642.4189746714105</v>
      </c>
      <c r="Y95" s="231"/>
      <c r="Z95" s="232">
        <f t="shared" ca="1" si="56"/>
        <v>121619.1275352415</v>
      </c>
      <c r="AA95" s="231">
        <f t="shared" ca="1" si="57"/>
        <v>547.04986584856965</v>
      </c>
      <c r="AB95" s="231">
        <f t="shared" ca="1" si="87"/>
        <v>31071.958746706689</v>
      </c>
      <c r="AC95" s="231">
        <f t="shared" ca="1" si="88"/>
        <v>166792.92290696007</v>
      </c>
      <c r="AD95" s="231">
        <f t="shared" ca="1" si="89"/>
        <v>5791.4209342694458</v>
      </c>
      <c r="AE95" s="231">
        <f t="shared" ca="1" si="58"/>
        <v>69808.127534511223</v>
      </c>
      <c r="AF95" s="231">
        <f t="shared" ca="1" si="59"/>
        <v>274011.47998829599</v>
      </c>
      <c r="AG95" s="232">
        <f t="shared" ca="1" si="60"/>
        <v>395630.60752353747</v>
      </c>
      <c r="AH95" s="243">
        <f t="shared" ca="1" si="90"/>
        <v>4.3032602203520876</v>
      </c>
      <c r="AI95" s="243">
        <f t="shared" ca="1" si="91"/>
        <v>9.431506344997814</v>
      </c>
      <c r="AJ95" s="242">
        <f t="shared" ca="1" si="92"/>
        <v>13.734766565349901</v>
      </c>
      <c r="AK95" s="241">
        <f t="shared" ca="1" si="93"/>
        <v>3.0983473586535029</v>
      </c>
      <c r="AL95" s="243">
        <f t="shared" ca="1" si="94"/>
        <v>4.178157310834032</v>
      </c>
      <c r="AM95" s="243"/>
      <c r="AN95" s="242">
        <f t="shared" ca="1" si="61"/>
        <v>7.2765046694875348</v>
      </c>
      <c r="AO95" s="224"/>
      <c r="AP95" s="235">
        <f t="shared" si="95"/>
        <v>6.8461538461538458</v>
      </c>
      <c r="AQ95" s="235">
        <f t="shared" si="62"/>
        <v>0.81679747158156912</v>
      </c>
      <c r="AR95" s="235">
        <f t="shared" si="63"/>
        <v>0.90309300826064032</v>
      </c>
      <c r="AT95" s="230">
        <f t="shared" ca="1" si="64"/>
        <v>69128.705729458074</v>
      </c>
      <c r="AU95" s="231">
        <f t="shared" ca="1" si="65"/>
        <v>4302.9533693197991</v>
      </c>
      <c r="AV95" s="231">
        <f t="shared" ca="1" si="96"/>
        <v>6481.6465316268341</v>
      </c>
      <c r="AW95" s="231"/>
      <c r="AX95" s="231">
        <f t="shared" ca="1" si="97"/>
        <v>17266.569098966163</v>
      </c>
      <c r="AY95" s="231">
        <f t="shared" ca="1" si="98"/>
        <v>2158.3211373707704</v>
      </c>
      <c r="AZ95" s="231"/>
      <c r="BA95" s="232">
        <f t="shared" ca="1" si="66"/>
        <v>99338.195866741647</v>
      </c>
      <c r="BB95" s="231">
        <f t="shared" ca="1" si="67"/>
        <v>446.82894725414826</v>
      </c>
      <c r="BC95" s="231">
        <f t="shared" ca="1" si="99"/>
        <v>25379.497341396844</v>
      </c>
      <c r="BD95" s="231">
        <f t="shared" ca="1" si="100"/>
        <v>136236.03770810456</v>
      </c>
      <c r="BE95" s="231">
        <f t="shared" ca="1" si="101"/>
        <v>4730.4179759758517</v>
      </c>
      <c r="BF95" s="231">
        <f t="shared" ca="1" si="68"/>
        <v>57019.102066032487</v>
      </c>
      <c r="BG95" s="231">
        <f t="shared" ca="1" si="69"/>
        <v>223811.88403876391</v>
      </c>
      <c r="BH95" s="232">
        <f t="shared" ca="1" si="70"/>
        <v>323150.07990550552</v>
      </c>
      <c r="BI95" s="243">
        <f t="shared" ca="1" si="102"/>
        <v>3.8862442177261127</v>
      </c>
      <c r="BJ95" s="243">
        <f t="shared" ca="1" si="103"/>
        <v>8.517527437533392</v>
      </c>
      <c r="BK95" s="242">
        <f t="shared" ca="1" si="104"/>
        <v>12.403771655259504</v>
      </c>
      <c r="BL95" s="241">
        <f t="shared" ca="1" si="105"/>
        <v>2.7980958367628008</v>
      </c>
      <c r="BM95" s="243">
        <f t="shared" ca="1" si="106"/>
        <v>3.773264654827293</v>
      </c>
      <c r="BN95" s="243">
        <f t="shared" si="71"/>
        <v>0</v>
      </c>
      <c r="BO95" s="242">
        <f t="shared" ca="1" si="72"/>
        <v>6.5713604915900943</v>
      </c>
      <c r="BP95" s="67"/>
      <c r="BQ95" s="67"/>
      <c r="BR95" s="67"/>
      <c r="BS95" s="67"/>
      <c r="BT95" s="67"/>
      <c r="BU95" s="67"/>
    </row>
    <row r="96" spans="1:73" ht="12" customHeight="1" x14ac:dyDescent="0.15">
      <c r="A96" s="213">
        <f t="shared" si="73"/>
        <v>90</v>
      </c>
      <c r="B96" s="67">
        <f t="shared" si="74"/>
        <v>360</v>
      </c>
      <c r="C96" s="224">
        <f t="shared" si="75"/>
        <v>83.07692307692308</v>
      </c>
      <c r="D96" s="225">
        <f ca="1">IFERROR(OFFSET(extrapolation!V105,0,OS_dist_choice-1,1,1),0)</f>
        <v>0.17556297108324484</v>
      </c>
      <c r="E96" s="225">
        <f ca="1">IFERROR(OFFSET(extrapolation!J105,0,PFS_dist_choice-1,1,1),0)</f>
        <v>5.5203749032662425E-2</v>
      </c>
      <c r="F96" s="214"/>
      <c r="G96" s="226">
        <f t="shared" ca="1" si="76"/>
        <v>55.203749032662422</v>
      </c>
      <c r="H96" s="224">
        <f t="shared" ca="1" si="77"/>
        <v>120.35922205058239</v>
      </c>
      <c r="I96" s="224">
        <f t="shared" ca="1" si="54"/>
        <v>824.43702891675514</v>
      </c>
      <c r="J96" s="227">
        <f t="shared" ca="1" si="55"/>
        <v>1000</v>
      </c>
      <c r="K96" s="238">
        <f t="shared" ca="1" si="78"/>
        <v>0.61594276362204425</v>
      </c>
      <c r="L96" s="239">
        <f t="shared" ca="1" si="79"/>
        <v>2.3838836663735492</v>
      </c>
      <c r="M96" s="238">
        <f t="shared" ca="1" si="80"/>
        <v>55.511720414473444</v>
      </c>
      <c r="N96" s="238">
        <f t="shared" ca="1" si="81"/>
        <v>121.24319250195816</v>
      </c>
      <c r="O96" s="239">
        <f t="shared" ca="1" si="82"/>
        <v>823.24508708356836</v>
      </c>
      <c r="P96" s="217"/>
      <c r="Q96" s="217"/>
      <c r="R96" s="224"/>
      <c r="S96" s="230">
        <f t="shared" ca="1" si="83"/>
        <v>83699.946364822375</v>
      </c>
      <c r="T96" s="231">
        <f t="shared" ca="1" si="84"/>
        <v>5209.9480587978642</v>
      </c>
      <c r="U96" s="231">
        <f t="shared" ca="1" si="107"/>
        <v>7847.8753699813542</v>
      </c>
      <c r="V96" s="231"/>
      <c r="W96" s="231">
        <f t="shared" ca="1" si="85"/>
        <v>20904.825720564069</v>
      </c>
      <c r="X96" s="231">
        <f t="shared" ca="1" si="86"/>
        <v>2613.1032150705087</v>
      </c>
      <c r="Y96" s="231"/>
      <c r="Z96" s="232">
        <f t="shared" ca="1" si="56"/>
        <v>120275.69872923617</v>
      </c>
      <c r="AA96" s="231">
        <f t="shared" ca="1" si="57"/>
        <v>535.18177153008276</v>
      </c>
      <c r="AB96" s="231">
        <f t="shared" ca="1" si="87"/>
        <v>30620.532613016232</v>
      </c>
      <c r="AC96" s="231">
        <f t="shared" ca="1" si="88"/>
        <v>164369.68705856669</v>
      </c>
      <c r="AD96" s="231">
        <f t="shared" ca="1" si="89"/>
        <v>5707.2808006446767</v>
      </c>
      <c r="AE96" s="231">
        <f t="shared" ca="1" si="58"/>
        <v>68299.50642272034</v>
      </c>
      <c r="AF96" s="231">
        <f t="shared" ca="1" si="59"/>
        <v>269532.18866647803</v>
      </c>
      <c r="AG96" s="232">
        <f t="shared" ca="1" si="60"/>
        <v>389807.88739571418</v>
      </c>
      <c r="AH96" s="243">
        <f t="shared" ca="1" si="90"/>
        <v>4.2555186080910516</v>
      </c>
      <c r="AI96" s="243">
        <f t="shared" ca="1" si="91"/>
        <v>9.2944815607250604</v>
      </c>
      <c r="AJ96" s="242">
        <f t="shared" ca="1" si="92"/>
        <v>13.550000168816112</v>
      </c>
      <c r="AK96" s="241">
        <f t="shared" ca="1" si="93"/>
        <v>3.0639733978255572</v>
      </c>
      <c r="AL96" s="243">
        <f t="shared" ca="1" si="94"/>
        <v>4.1174553314012021</v>
      </c>
      <c r="AM96" s="243"/>
      <c r="AN96" s="242">
        <f t="shared" ca="1" si="61"/>
        <v>7.1814287292267593</v>
      </c>
      <c r="AO96" s="224"/>
      <c r="AP96" s="235">
        <f t="shared" si="95"/>
        <v>6.9230769230769234</v>
      </c>
      <c r="AQ96" s="235">
        <f t="shared" si="62"/>
        <v>0.81494238485287285</v>
      </c>
      <c r="AR96" s="235">
        <f t="shared" si="63"/>
        <v>0.9020593078610547</v>
      </c>
      <c r="AT96" s="230">
        <f t="shared" ca="1" si="64"/>
        <v>68210.633902605885</v>
      </c>
      <c r="AU96" s="231">
        <f t="shared" ca="1" si="65"/>
        <v>4245.8074959963269</v>
      </c>
      <c r="AV96" s="231">
        <f t="shared" ca="1" si="96"/>
        <v>6395.5662700407265</v>
      </c>
      <c r="AW96" s="231"/>
      <c r="AX96" s="231">
        <f t="shared" ca="1" si="97"/>
        <v>17036.228527650157</v>
      </c>
      <c r="AY96" s="231">
        <f t="shared" ca="1" si="98"/>
        <v>2129.5285659562696</v>
      </c>
      <c r="AZ96" s="231"/>
      <c r="BA96" s="232">
        <f t="shared" ca="1" si="66"/>
        <v>98017.764762249382</v>
      </c>
      <c r="BB96" s="231">
        <f t="shared" ca="1" si="67"/>
        <v>436.14230922051098</v>
      </c>
      <c r="BC96" s="231">
        <f t="shared" ca="1" si="99"/>
        <v>24953.969873116617</v>
      </c>
      <c r="BD96" s="231">
        <f t="shared" ca="1" si="100"/>
        <v>133951.82476902872</v>
      </c>
      <c r="BE96" s="231">
        <f t="shared" ca="1" si="101"/>
        <v>4651.1050267023866</v>
      </c>
      <c r="BF96" s="231">
        <f t="shared" ca="1" si="68"/>
        <v>55660.162648405822</v>
      </c>
      <c r="BG96" s="231">
        <f t="shared" ca="1" si="69"/>
        <v>219653.20462647406</v>
      </c>
      <c r="BH96" s="232">
        <f t="shared" ca="1" si="70"/>
        <v>317670.96938872343</v>
      </c>
      <c r="BI96" s="243">
        <f t="shared" ca="1" si="102"/>
        <v>3.8387301702044532</v>
      </c>
      <c r="BJ96" s="243">
        <f t="shared" ca="1" si="103"/>
        <v>8.3841736035949843</v>
      </c>
      <c r="BK96" s="242">
        <f t="shared" ca="1" si="104"/>
        <v>12.222903773799436</v>
      </c>
      <c r="BL96" s="241">
        <f t="shared" ca="1" si="105"/>
        <v>2.7638857225472062</v>
      </c>
      <c r="BM96" s="243">
        <f t="shared" ca="1" si="106"/>
        <v>3.7141889063925779</v>
      </c>
      <c r="BN96" s="243">
        <f t="shared" si="71"/>
        <v>0</v>
      </c>
      <c r="BO96" s="242">
        <f t="shared" ca="1" si="72"/>
        <v>6.4780746289397841</v>
      </c>
      <c r="BP96" s="67"/>
      <c r="BQ96" s="67"/>
      <c r="BR96" s="67"/>
      <c r="BS96" s="67"/>
      <c r="BT96" s="67"/>
      <c r="BU96" s="67"/>
    </row>
    <row r="97" spans="1:73" ht="12" customHeight="1" x14ac:dyDescent="0.15">
      <c r="A97" s="213">
        <f t="shared" si="73"/>
        <v>91</v>
      </c>
      <c r="B97" s="67">
        <f t="shared" si="74"/>
        <v>364</v>
      </c>
      <c r="C97" s="224">
        <f t="shared" si="75"/>
        <v>84</v>
      </c>
      <c r="D97" s="225">
        <f ca="1">IFERROR(OFFSET(extrapolation!V106,0,OS_dist_choice-1,1,1),0)</f>
        <v>0.17323022038469615</v>
      </c>
      <c r="E97" s="225">
        <f ca="1">IFERROR(OFFSET(extrapolation!J106,0,PFS_dist_choice-1,1,1),0)</f>
        <v>5.4601027805930465E-2</v>
      </c>
      <c r="F97" s="214"/>
      <c r="G97" s="226">
        <f t="shared" ca="1" si="76"/>
        <v>54.601027805930464</v>
      </c>
      <c r="H97" s="224">
        <f t="shared" ca="1" si="77"/>
        <v>118.6291925787657</v>
      </c>
      <c r="I97" s="224">
        <f t="shared" ca="1" si="54"/>
        <v>826.76977961530383</v>
      </c>
      <c r="J97" s="227">
        <f t="shared" ca="1" si="55"/>
        <v>1000</v>
      </c>
      <c r="K97" s="238">
        <f t="shared" ca="1" si="78"/>
        <v>0.60272122673195838</v>
      </c>
      <c r="L97" s="239">
        <f t="shared" ca="1" si="79"/>
        <v>2.3327506985486934</v>
      </c>
      <c r="M97" s="238">
        <f t="shared" ca="1" si="80"/>
        <v>54.902388419296443</v>
      </c>
      <c r="N97" s="238">
        <f t="shared" ca="1" si="81"/>
        <v>119.49420731467404</v>
      </c>
      <c r="O97" s="239">
        <f t="shared" ca="1" si="82"/>
        <v>825.60340426602943</v>
      </c>
      <c r="P97" s="217"/>
      <c r="Q97" s="217"/>
      <c r="R97" s="224"/>
      <c r="S97" s="230">
        <f t="shared" ca="1" si="83"/>
        <v>82786.100199762892</v>
      </c>
      <c r="T97" s="231">
        <f t="shared" ca="1" si="84"/>
        <v>5153.0652140593575</v>
      </c>
      <c r="U97" s="231">
        <f t="shared" ca="1" si="107"/>
        <v>7762.1913149466855</v>
      </c>
      <c r="V97" s="231"/>
      <c r="W97" s="231">
        <f t="shared" ca="1" si="85"/>
        <v>20675.361040492331</v>
      </c>
      <c r="X97" s="231">
        <f t="shared" ca="1" si="86"/>
        <v>2584.4201300615414</v>
      </c>
      <c r="Y97" s="231"/>
      <c r="Z97" s="232">
        <f t="shared" ca="1" si="56"/>
        <v>118961.13789932281</v>
      </c>
      <c r="AA97" s="231">
        <f t="shared" ca="1" si="57"/>
        <v>523.69381200998612</v>
      </c>
      <c r="AB97" s="231">
        <f t="shared" ca="1" si="87"/>
        <v>30178.818263024576</v>
      </c>
      <c r="AC97" s="231">
        <f t="shared" ca="1" si="88"/>
        <v>161998.58364260118</v>
      </c>
      <c r="AD97" s="231">
        <f t="shared" ca="1" si="89"/>
        <v>5624.950820923651</v>
      </c>
      <c r="AE97" s="231">
        <f t="shared" ca="1" si="58"/>
        <v>66834.520310508247</v>
      </c>
      <c r="AF97" s="231">
        <f t="shared" ca="1" si="59"/>
        <v>265160.56684906763</v>
      </c>
      <c r="AG97" s="232">
        <f t="shared" ca="1" si="60"/>
        <v>384121.70474839048</v>
      </c>
      <c r="AH97" s="243">
        <f t="shared" ca="1" si="90"/>
        <v>4.2088073257776877</v>
      </c>
      <c r="AI97" s="243">
        <f t="shared" ca="1" si="91"/>
        <v>9.1604046675177919</v>
      </c>
      <c r="AJ97" s="242">
        <f t="shared" ca="1" si="92"/>
        <v>13.36921199329548</v>
      </c>
      <c r="AK97" s="241">
        <f t="shared" ca="1" si="93"/>
        <v>3.0303412745599352</v>
      </c>
      <c r="AL97" s="243">
        <f t="shared" ca="1" si="94"/>
        <v>4.0580592677103819</v>
      </c>
      <c r="AM97" s="243"/>
      <c r="AN97" s="242">
        <f t="shared" ca="1" si="61"/>
        <v>7.0884005422703176</v>
      </c>
      <c r="AO97" s="224"/>
      <c r="AP97" s="235">
        <f t="shared" si="95"/>
        <v>7</v>
      </c>
      <c r="AQ97" s="235">
        <f t="shared" si="62"/>
        <v>0.81309151134335378</v>
      </c>
      <c r="AR97" s="235">
        <f t="shared" si="63"/>
        <v>0.90102679065800217</v>
      </c>
      <c r="AT97" s="230">
        <f t="shared" ca="1" si="64"/>
        <v>67312.675329647536</v>
      </c>
      <c r="AU97" s="231">
        <f t="shared" ca="1" si="65"/>
        <v>4189.9135829503857</v>
      </c>
      <c r="AV97" s="231">
        <f t="shared" ca="1" si="96"/>
        <v>6311.3718676062554</v>
      </c>
      <c r="AW97" s="231"/>
      <c r="AX97" s="231">
        <f t="shared" ca="1" si="97"/>
        <v>16810.960555983405</v>
      </c>
      <c r="AY97" s="231">
        <f t="shared" ca="1" si="98"/>
        <v>2101.3700694979257</v>
      </c>
      <c r="AZ97" s="231"/>
      <c r="BA97" s="232">
        <f t="shared" ca="1" si="66"/>
        <v>96726.291405685508</v>
      </c>
      <c r="BB97" s="231">
        <f t="shared" ca="1" si="67"/>
        <v>425.81099308836178</v>
      </c>
      <c r="BC97" s="231">
        <f t="shared" ca="1" si="99"/>
        <v>24538.140952039059</v>
      </c>
      <c r="BD97" s="231">
        <f t="shared" ca="1" si="100"/>
        <v>131719.67320944532</v>
      </c>
      <c r="BE97" s="231">
        <f t="shared" ca="1" si="101"/>
        <v>4573.5997642168495</v>
      </c>
      <c r="BF97" s="231">
        <f t="shared" ca="1" si="68"/>
        <v>54342.581129179227</v>
      </c>
      <c r="BG97" s="231">
        <f t="shared" ca="1" si="69"/>
        <v>215599.8060479688</v>
      </c>
      <c r="BH97" s="232">
        <f t="shared" ca="1" si="70"/>
        <v>312326.09745365434</v>
      </c>
      <c r="BI97" s="243">
        <f t="shared" ca="1" si="102"/>
        <v>3.7922481572433586</v>
      </c>
      <c r="BJ97" s="243">
        <f t="shared" ca="1" si="103"/>
        <v>8.2537700187021397</v>
      </c>
      <c r="BK97" s="242">
        <f t="shared" ca="1" si="104"/>
        <v>12.046018175945498</v>
      </c>
      <c r="BL97" s="241">
        <f t="shared" ca="1" si="105"/>
        <v>2.730418673215218</v>
      </c>
      <c r="BM97" s="243">
        <f t="shared" ca="1" si="106"/>
        <v>3.6564201182850478</v>
      </c>
      <c r="BN97" s="243">
        <f t="shared" si="71"/>
        <v>0</v>
      </c>
      <c r="BO97" s="242">
        <f t="shared" ca="1" si="72"/>
        <v>6.3868387915002662</v>
      </c>
      <c r="BP97" s="67"/>
      <c r="BQ97" s="67"/>
      <c r="BR97" s="67"/>
      <c r="BS97" s="67"/>
      <c r="BT97" s="67"/>
      <c r="BU97" s="67"/>
    </row>
    <row r="98" spans="1:73" ht="12" customHeight="1" x14ac:dyDescent="0.15">
      <c r="A98" s="213">
        <f t="shared" si="73"/>
        <v>92</v>
      </c>
      <c r="B98" s="67">
        <f t="shared" si="74"/>
        <v>368</v>
      </c>
      <c r="C98" s="224">
        <f t="shared" si="75"/>
        <v>84.92307692307692</v>
      </c>
      <c r="D98" s="225">
        <f ca="1">IFERROR(OFFSET(extrapolation!V107,0,OS_dist_choice-1,1,1),0)</f>
        <v>0.17094713353632357</v>
      </c>
      <c r="E98" s="225">
        <f ca="1">IFERROR(OFFSET(extrapolation!J107,0,PFS_dist_choice-1,1,1),0)</f>
        <v>5.4011109060783831E-2</v>
      </c>
      <c r="F98" s="214"/>
      <c r="G98" s="226">
        <f t="shared" ca="1" si="76"/>
        <v>54.011109060783831</v>
      </c>
      <c r="H98" s="224">
        <f t="shared" ca="1" si="77"/>
        <v>116.93602447553963</v>
      </c>
      <c r="I98" s="224">
        <f t="shared" ca="1" si="54"/>
        <v>829.05286646367654</v>
      </c>
      <c r="J98" s="227">
        <f t="shared" ca="1" si="55"/>
        <v>1000</v>
      </c>
      <c r="K98" s="238">
        <f t="shared" ca="1" si="78"/>
        <v>0.58991874514663323</v>
      </c>
      <c r="L98" s="239">
        <f t="shared" ca="1" si="79"/>
        <v>2.2830868483727045</v>
      </c>
      <c r="M98" s="238">
        <f t="shared" ca="1" si="80"/>
        <v>54.306068433357147</v>
      </c>
      <c r="N98" s="238">
        <f t="shared" ca="1" si="81"/>
        <v>117.78260852715266</v>
      </c>
      <c r="O98" s="239">
        <f t="shared" ca="1" si="82"/>
        <v>827.91132303949018</v>
      </c>
      <c r="P98" s="217"/>
      <c r="Q98" s="217"/>
      <c r="R98" s="224"/>
      <c r="S98" s="230">
        <f t="shared" ca="1" si="83"/>
        <v>81891.665162404068</v>
      </c>
      <c r="T98" s="231">
        <f t="shared" ca="1" si="84"/>
        <v>5097.3906253768628</v>
      </c>
      <c r="U98" s="231">
        <f t="shared" ca="1" si="107"/>
        <v>7678.3272862991498</v>
      </c>
      <c r="V98" s="231"/>
      <c r="W98" s="231">
        <f t="shared" ca="1" si="85"/>
        <v>20450.796474907369</v>
      </c>
      <c r="X98" s="231">
        <f t="shared" ca="1" si="86"/>
        <v>2556.3495593634211</v>
      </c>
      <c r="Y98" s="231"/>
      <c r="Z98" s="232">
        <f t="shared" ca="1" si="56"/>
        <v>117674.52910835086</v>
      </c>
      <c r="AA98" s="231">
        <f t="shared" ca="1" si="57"/>
        <v>512.56996223127533</v>
      </c>
      <c r="AB98" s="231">
        <f t="shared" ca="1" si="87"/>
        <v>29746.546022314229</v>
      </c>
      <c r="AC98" s="231">
        <f t="shared" ca="1" si="88"/>
        <v>159678.16505852135</v>
      </c>
      <c r="AD98" s="231">
        <f t="shared" ca="1" si="89"/>
        <v>5544.3807311986575</v>
      </c>
      <c r="AE98" s="231">
        <f t="shared" ca="1" si="58"/>
        <v>65411.625182730459</v>
      </c>
      <c r="AF98" s="231">
        <f t="shared" ca="1" si="59"/>
        <v>260893.28695699596</v>
      </c>
      <c r="AG98" s="232">
        <f t="shared" ca="1" si="60"/>
        <v>378567.81606534682</v>
      </c>
      <c r="AH98" s="243">
        <f t="shared" ca="1" si="90"/>
        <v>4.1630935417768651</v>
      </c>
      <c r="AI98" s="243">
        <f t="shared" ca="1" si="91"/>
        <v>9.0291938090630381</v>
      </c>
      <c r="AJ98" s="242">
        <f t="shared" ca="1" si="92"/>
        <v>13.192287350839903</v>
      </c>
      <c r="AK98" s="241">
        <f t="shared" ca="1" si="93"/>
        <v>2.9974273500793429</v>
      </c>
      <c r="AL98" s="243">
        <f t="shared" ca="1" si="94"/>
        <v>3.999932857414926</v>
      </c>
      <c r="AM98" s="243"/>
      <c r="AN98" s="242">
        <f t="shared" ca="1" si="61"/>
        <v>6.9973602074942693</v>
      </c>
      <c r="AO98" s="224"/>
      <c r="AP98" s="235">
        <f t="shared" si="95"/>
        <v>7.0769230769230766</v>
      </c>
      <c r="AQ98" s="235">
        <f t="shared" si="62"/>
        <v>0.81124484148407017</v>
      </c>
      <c r="AR98" s="235">
        <f t="shared" si="63"/>
        <v>0.89999545529716862</v>
      </c>
      <c r="AT98" s="230">
        <f t="shared" ca="1" si="64"/>
        <v>66434.190923541042</v>
      </c>
      <c r="AU98" s="231">
        <f t="shared" ca="1" si="65"/>
        <v>4135.231849866238</v>
      </c>
      <c r="AV98" s="231">
        <f t="shared" ca="1" si="96"/>
        <v>6229.0034022365644</v>
      </c>
      <c r="AW98" s="231"/>
      <c r="AX98" s="231">
        <f t="shared" ca="1" si="97"/>
        <v>16590.603144509209</v>
      </c>
      <c r="AY98" s="231">
        <f t="shared" ca="1" si="98"/>
        <v>2073.8253930636511</v>
      </c>
      <c r="AZ98" s="231"/>
      <c r="BA98" s="232">
        <f t="shared" ca="1" si="66"/>
        <v>95462.8547132167</v>
      </c>
      <c r="BB98" s="231">
        <f t="shared" ca="1" si="67"/>
        <v>415.8197377598068</v>
      </c>
      <c r="BC98" s="231">
        <f t="shared" ca="1" si="99"/>
        <v>24131.732012570905</v>
      </c>
      <c r="BD98" s="231">
        <f t="shared" ca="1" si="100"/>
        <v>129538.08770136735</v>
      </c>
      <c r="BE98" s="231">
        <f t="shared" ca="1" si="101"/>
        <v>4497.8502674085876</v>
      </c>
      <c r="BF98" s="231">
        <f t="shared" ca="1" si="68"/>
        <v>53064.843502579584</v>
      </c>
      <c r="BG98" s="231">
        <f t="shared" ca="1" si="69"/>
        <v>211648.33322168622</v>
      </c>
      <c r="BH98" s="232">
        <f t="shared" ca="1" si="70"/>
        <v>307111.1879349029</v>
      </c>
      <c r="BI98" s="243">
        <f t="shared" ca="1" si="102"/>
        <v>3.7467652675761718</v>
      </c>
      <c r="BJ98" s="243">
        <f t="shared" ca="1" si="103"/>
        <v>8.1262333931540649</v>
      </c>
      <c r="BK98" s="242">
        <f t="shared" ca="1" si="104"/>
        <v>11.872998660730238</v>
      </c>
      <c r="BL98" s="241">
        <f t="shared" ca="1" si="105"/>
        <v>2.6976709926548437</v>
      </c>
      <c r="BM98" s="243">
        <f t="shared" ca="1" si="106"/>
        <v>3.5999213931672509</v>
      </c>
      <c r="BN98" s="243">
        <f t="shared" si="71"/>
        <v>0</v>
      </c>
      <c r="BO98" s="242">
        <f t="shared" ca="1" si="72"/>
        <v>6.297592385822095</v>
      </c>
      <c r="BP98" s="67"/>
      <c r="BQ98" s="67"/>
      <c r="BR98" s="67"/>
      <c r="BS98" s="67"/>
      <c r="BT98" s="67"/>
      <c r="BU98" s="67"/>
    </row>
    <row r="99" spans="1:73" ht="12" customHeight="1" x14ac:dyDescent="0.15">
      <c r="A99" s="213">
        <f t="shared" si="73"/>
        <v>93</v>
      </c>
      <c r="B99" s="67">
        <f t="shared" si="74"/>
        <v>372</v>
      </c>
      <c r="C99" s="224">
        <f t="shared" si="75"/>
        <v>85.846153846153854</v>
      </c>
      <c r="D99" s="225">
        <f ca="1">IFERROR(OFFSET(extrapolation!V108,0,OS_dist_choice-1,1,1),0)</f>
        <v>0.16871229311300928</v>
      </c>
      <c r="E99" s="225">
        <f ca="1">IFERROR(OFFSET(extrapolation!J108,0,PFS_dist_choice-1,1,1),0)</f>
        <v>5.3433591224770614E-2</v>
      </c>
      <c r="F99" s="214"/>
      <c r="G99" s="226">
        <f t="shared" ca="1" si="76"/>
        <v>53.433591224770616</v>
      </c>
      <c r="H99" s="224">
        <f t="shared" ca="1" si="77"/>
        <v>115.27870188823874</v>
      </c>
      <c r="I99" s="224">
        <f t="shared" ca="1" si="54"/>
        <v>831.28770688699069</v>
      </c>
      <c r="J99" s="227">
        <f t="shared" ca="1" si="55"/>
        <v>1000</v>
      </c>
      <c r="K99" s="238">
        <f t="shared" ca="1" si="78"/>
        <v>0.57751783601321449</v>
      </c>
      <c r="L99" s="239">
        <f t="shared" ca="1" si="79"/>
        <v>2.2348404233141537</v>
      </c>
      <c r="M99" s="238">
        <f t="shared" ca="1" si="80"/>
        <v>53.722350142777223</v>
      </c>
      <c r="N99" s="238">
        <f t="shared" ca="1" si="81"/>
        <v>116.10736318188918</v>
      </c>
      <c r="O99" s="239">
        <f t="shared" ca="1" si="82"/>
        <v>830.17028667533361</v>
      </c>
      <c r="P99" s="217"/>
      <c r="Q99" s="217"/>
      <c r="R99" s="224"/>
      <c r="S99" s="230">
        <f t="shared" ca="1" si="83"/>
        <v>81016.032388433698</v>
      </c>
      <c r="T99" s="231">
        <f t="shared" ca="1" si="84"/>
        <v>5042.8863936646658</v>
      </c>
      <c r="U99" s="231">
        <f t="shared" ca="1" si="107"/>
        <v>7596.2261956958391</v>
      </c>
      <c r="V99" s="231"/>
      <c r="W99" s="231">
        <f t="shared" ca="1" si="85"/>
        <v>20230.977506167619</v>
      </c>
      <c r="X99" s="231">
        <f t="shared" ca="1" si="86"/>
        <v>2528.8721882709524</v>
      </c>
      <c r="Y99" s="231"/>
      <c r="Z99" s="232">
        <f t="shared" ca="1" si="56"/>
        <v>116414.99467223277</v>
      </c>
      <c r="AA99" s="231">
        <f t="shared" ca="1" si="57"/>
        <v>501.79503165237003</v>
      </c>
      <c r="AB99" s="231">
        <f t="shared" ca="1" si="87"/>
        <v>29323.455012659269</v>
      </c>
      <c r="AC99" s="231">
        <f t="shared" ca="1" si="88"/>
        <v>157407.03092335881</v>
      </c>
      <c r="AD99" s="231">
        <f t="shared" ca="1" si="89"/>
        <v>5465.5219070610692</v>
      </c>
      <c r="AE99" s="231">
        <f t="shared" ca="1" si="58"/>
        <v>64029.340021486591</v>
      </c>
      <c r="AF99" s="231">
        <f t="shared" ca="1" si="59"/>
        <v>256727.14289621811</v>
      </c>
      <c r="AG99" s="232">
        <f t="shared" ca="1" si="60"/>
        <v>373142.13756845088</v>
      </c>
      <c r="AH99" s="243">
        <f t="shared" ca="1" si="90"/>
        <v>4.1183458014996912</v>
      </c>
      <c r="AI99" s="243">
        <f t="shared" ca="1" si="91"/>
        <v>8.9007697990223047</v>
      </c>
      <c r="AJ99" s="242">
        <f t="shared" ca="1" si="92"/>
        <v>13.019115600521996</v>
      </c>
      <c r="AK99" s="241">
        <f t="shared" ca="1" si="93"/>
        <v>2.9652089770797776</v>
      </c>
      <c r="AL99" s="243">
        <f t="shared" ca="1" si="94"/>
        <v>3.9430410209668811</v>
      </c>
      <c r="AM99" s="243"/>
      <c r="AN99" s="242">
        <f t="shared" ca="1" si="61"/>
        <v>6.9082499980466583</v>
      </c>
      <c r="AO99" s="224"/>
      <c r="AP99" s="235">
        <f t="shared" si="95"/>
        <v>7.1538461538461542</v>
      </c>
      <c r="AQ99" s="235">
        <f t="shared" si="62"/>
        <v>0.80940236572781399</v>
      </c>
      <c r="AR99" s="235">
        <f t="shared" si="63"/>
        <v>0.89896530042579192</v>
      </c>
      <c r="AT99" s="230">
        <f t="shared" ca="1" si="64"/>
        <v>65574.568277079437</v>
      </c>
      <c r="AU99" s="231">
        <f t="shared" ca="1" si="65"/>
        <v>4081.724177128785</v>
      </c>
      <c r="AV99" s="231">
        <f t="shared" ca="1" si="96"/>
        <v>6148.4034533998047</v>
      </c>
      <c r="AW99" s="231"/>
      <c r="AX99" s="231">
        <f t="shared" ca="1" si="97"/>
        <v>16375.001054478262</v>
      </c>
      <c r="AY99" s="231">
        <f t="shared" ca="1" si="98"/>
        <v>2046.8751318097827</v>
      </c>
      <c r="AZ99" s="231"/>
      <c r="BA99" s="232">
        <f t="shared" ca="1" si="66"/>
        <v>94226.572093896073</v>
      </c>
      <c r="BB99" s="231">
        <f t="shared" ca="1" si="67"/>
        <v>406.15408572989162</v>
      </c>
      <c r="BC99" s="231">
        <f t="shared" ca="1" si="99"/>
        <v>23734.473858559537</v>
      </c>
      <c r="BD99" s="231">
        <f t="shared" ca="1" si="100"/>
        <v>127405.62321155779</v>
      </c>
      <c r="BE99" s="231">
        <f t="shared" ca="1" si="101"/>
        <v>4423.8063615124229</v>
      </c>
      <c r="BF99" s="231">
        <f t="shared" ca="1" si="68"/>
        <v>51825.499289381849</v>
      </c>
      <c r="BG99" s="231">
        <f t="shared" ca="1" si="69"/>
        <v>207795.55680674149</v>
      </c>
      <c r="BH99" s="232">
        <f t="shared" ca="1" si="70"/>
        <v>302022.12890063756</v>
      </c>
      <c r="BI99" s="243">
        <f t="shared" ca="1" si="102"/>
        <v>3.7022499707024688</v>
      </c>
      <c r="BJ99" s="243">
        <f t="shared" ca="1" si="103"/>
        <v>8.001483196398901</v>
      </c>
      <c r="BK99" s="242">
        <f t="shared" ca="1" si="104"/>
        <v>11.703733167101371</v>
      </c>
      <c r="BL99" s="241">
        <f t="shared" ca="1" si="105"/>
        <v>2.6656199789057773</v>
      </c>
      <c r="BM99" s="243">
        <f t="shared" ca="1" si="106"/>
        <v>3.5446570560047137</v>
      </c>
      <c r="BN99" s="243">
        <f t="shared" si="71"/>
        <v>0</v>
      </c>
      <c r="BO99" s="242">
        <f t="shared" ca="1" si="72"/>
        <v>6.210277034910491</v>
      </c>
      <c r="BP99" s="67"/>
      <c r="BQ99" s="67"/>
      <c r="BR99" s="67"/>
      <c r="BS99" s="67"/>
      <c r="BT99" s="67"/>
      <c r="BU99" s="67"/>
    </row>
    <row r="100" spans="1:73" ht="12" customHeight="1" x14ac:dyDescent="0.15">
      <c r="A100" s="213">
        <f t="shared" si="73"/>
        <v>94</v>
      </c>
      <c r="B100" s="67">
        <f t="shared" si="74"/>
        <v>376</v>
      </c>
      <c r="C100" s="224">
        <f t="shared" si="75"/>
        <v>86.769230769230774</v>
      </c>
      <c r="D100" s="225">
        <f ca="1">IFERROR(OFFSET(extrapolation!V109,0,OS_dist_choice-1,1,1),0)</f>
        <v>0.16652433128173882</v>
      </c>
      <c r="E100" s="225">
        <f ca="1">IFERROR(OFFSET(extrapolation!J109,0,PFS_dist_choice-1,1,1),0)</f>
        <v>5.2868089307192195E-2</v>
      </c>
      <c r="F100" s="214"/>
      <c r="G100" s="226">
        <f t="shared" ca="1" si="76"/>
        <v>52.868089307192193</v>
      </c>
      <c r="H100" s="224">
        <f t="shared" ca="1" si="77"/>
        <v>113.65624197454656</v>
      </c>
      <c r="I100" s="224">
        <f t="shared" ca="1" si="54"/>
        <v>833.4756687182612</v>
      </c>
      <c r="J100" s="227">
        <f t="shared" ca="1" si="55"/>
        <v>1000</v>
      </c>
      <c r="K100" s="238">
        <f t="shared" ca="1" si="78"/>
        <v>0.56550191757842327</v>
      </c>
      <c r="L100" s="239">
        <f t="shared" ca="1" si="79"/>
        <v>2.1879618312705134</v>
      </c>
      <c r="M100" s="238">
        <f t="shared" ca="1" si="80"/>
        <v>53.150840265981401</v>
      </c>
      <c r="N100" s="238">
        <f t="shared" ca="1" si="81"/>
        <v>114.46747193139265</v>
      </c>
      <c r="O100" s="239">
        <f t="shared" ca="1" si="82"/>
        <v>832.38168780262595</v>
      </c>
      <c r="P100" s="217"/>
      <c r="Q100" s="217"/>
      <c r="R100" s="224"/>
      <c r="S100" s="230">
        <f t="shared" ca="1" si="83"/>
        <v>80158.618154800526</v>
      </c>
      <c r="T100" s="231">
        <f t="shared" ca="1" si="84"/>
        <v>4989.5161847683285</v>
      </c>
      <c r="U100" s="231">
        <f t="shared" ca="1" si="107"/>
        <v>7515.8333120890557</v>
      </c>
      <c r="V100" s="231"/>
      <c r="W100" s="231">
        <f t="shared" ca="1" si="85"/>
        <v>20015.75603072434</v>
      </c>
      <c r="X100" s="231">
        <f t="shared" ca="1" si="86"/>
        <v>2501.9695038405425</v>
      </c>
      <c r="Y100" s="231"/>
      <c r="Z100" s="232">
        <f t="shared" ca="1" si="56"/>
        <v>115181.69318622281</v>
      </c>
      <c r="AA100" s="231">
        <f t="shared" ca="1" si="57"/>
        <v>491.35461268117069</v>
      </c>
      <c r="AB100" s="231">
        <f t="shared" ca="1" si="87"/>
        <v>28909.29284419923</v>
      </c>
      <c r="AC100" s="231">
        <f t="shared" ca="1" si="88"/>
        <v>155183.82641932167</v>
      </c>
      <c r="AD100" s="231">
        <f t="shared" ca="1" si="89"/>
        <v>5388.3273062264461</v>
      </c>
      <c r="AE100" s="231">
        <f t="shared" ca="1" si="58"/>
        <v>62686.24398725629</v>
      </c>
      <c r="AF100" s="231">
        <f t="shared" ca="1" si="59"/>
        <v>252659.0451696848</v>
      </c>
      <c r="AG100" s="232">
        <f t="shared" ca="1" si="60"/>
        <v>367840.73835590761</v>
      </c>
      <c r="AH100" s="243">
        <f t="shared" ca="1" si="90"/>
        <v>4.0745339560505931</v>
      </c>
      <c r="AI100" s="243">
        <f t="shared" ca="1" si="91"/>
        <v>8.7750560275947826</v>
      </c>
      <c r="AJ100" s="242">
        <f t="shared" ca="1" si="92"/>
        <v>12.849589983645377</v>
      </c>
      <c r="AK100" s="241">
        <f t="shared" ca="1" si="93"/>
        <v>2.9336644483564269</v>
      </c>
      <c r="AL100" s="243">
        <f t="shared" ca="1" si="94"/>
        <v>3.8873498202244887</v>
      </c>
      <c r="AM100" s="243"/>
      <c r="AN100" s="242">
        <f t="shared" ca="1" si="61"/>
        <v>6.8210142685809156</v>
      </c>
      <c r="AO100" s="224"/>
      <c r="AP100" s="235">
        <f t="shared" si="95"/>
        <v>7.2307692307692308</v>
      </c>
      <c r="AQ100" s="235">
        <f t="shared" si="62"/>
        <v>0.80756407454905987</v>
      </c>
      <c r="AR100" s="235">
        <f t="shared" si="63"/>
        <v>0.89793632469265749</v>
      </c>
      <c r="AT100" s="230">
        <f t="shared" ca="1" si="64"/>
        <v>64733.220287312957</v>
      </c>
      <c r="AU100" s="231">
        <f t="shared" ca="1" si="65"/>
        <v>4029.3540201999913</v>
      </c>
      <c r="AV100" s="231">
        <f t="shared" ca="1" si="96"/>
        <v>6069.5169731421938</v>
      </c>
      <c r="AW100" s="231"/>
      <c r="AX100" s="231">
        <f t="shared" ca="1" si="97"/>
        <v>16164.005495351666</v>
      </c>
      <c r="AY100" s="231">
        <f t="shared" ca="1" si="98"/>
        <v>2020.5006869189583</v>
      </c>
      <c r="AZ100" s="231"/>
      <c r="BA100" s="232">
        <f t="shared" ca="1" si="66"/>
        <v>93016.597462925783</v>
      </c>
      <c r="BB100" s="231">
        <f t="shared" ca="1" si="67"/>
        <v>396.80033306528139</v>
      </c>
      <c r="BC100" s="231">
        <f t="shared" ca="1" si="99"/>
        <v>23346.10632159351</v>
      </c>
      <c r="BD100" s="231">
        <f t="shared" ca="1" si="100"/>
        <v>125320.88316730145</v>
      </c>
      <c r="BE100" s="231">
        <f t="shared" ca="1" si="101"/>
        <v>4351.4195544201884</v>
      </c>
      <c r="BF100" s="231">
        <f t="shared" ca="1" si="68"/>
        <v>50623.158612525192</v>
      </c>
      <c r="BG100" s="231">
        <f t="shared" ca="1" si="69"/>
        <v>204038.36798890564</v>
      </c>
      <c r="BH100" s="232">
        <f t="shared" ca="1" si="70"/>
        <v>297054.96545183141</v>
      </c>
      <c r="BI100" s="243">
        <f t="shared" ca="1" si="102"/>
        <v>3.6586720453315036</v>
      </c>
      <c r="BJ100" s="243">
        <f t="shared" ca="1" si="103"/>
        <v>7.8794415583906101</v>
      </c>
      <c r="BK100" s="242">
        <f t="shared" ca="1" si="104"/>
        <v>11.538113603722115</v>
      </c>
      <c r="BL100" s="241">
        <f t="shared" ca="1" si="105"/>
        <v>2.6342438726386823</v>
      </c>
      <c r="BM100" s="243">
        <f t="shared" ca="1" si="106"/>
        <v>3.4905926103670404</v>
      </c>
      <c r="BN100" s="243">
        <f t="shared" si="71"/>
        <v>0</v>
      </c>
      <c r="BO100" s="242">
        <f t="shared" ca="1" si="72"/>
        <v>6.1248364830057227</v>
      </c>
      <c r="BP100" s="67"/>
      <c r="BQ100" s="67"/>
      <c r="BR100" s="67"/>
      <c r="BS100" s="67"/>
      <c r="BT100" s="67"/>
      <c r="BU100" s="67"/>
    </row>
    <row r="101" spans="1:73" ht="12" customHeight="1" x14ac:dyDescent="0.15">
      <c r="A101" s="213">
        <f t="shared" si="73"/>
        <v>95</v>
      </c>
      <c r="B101" s="67">
        <f t="shared" si="74"/>
        <v>380</v>
      </c>
      <c r="C101" s="224">
        <f t="shared" si="75"/>
        <v>87.692307692307693</v>
      </c>
      <c r="D101" s="225">
        <f ca="1">IFERROR(OFFSET(extrapolation!V110,0,OS_dist_choice-1,1,1),0)</f>
        <v>0.16438192779501681</v>
      </c>
      <c r="E101" s="225">
        <f ca="1">IFERROR(OFFSET(extrapolation!J110,0,PFS_dist_choice-1,1,1),0)</f>
        <v>5.2314234053120079E-2</v>
      </c>
      <c r="F101" s="214"/>
      <c r="G101" s="226">
        <f t="shared" ca="1" si="76"/>
        <v>52.314234053120082</v>
      </c>
      <c r="H101" s="224">
        <f t="shared" ca="1" si="77"/>
        <v>112.06769374189673</v>
      </c>
      <c r="I101" s="224">
        <f t="shared" ca="1" si="54"/>
        <v>835.61807220498315</v>
      </c>
      <c r="J101" s="227">
        <f t="shared" ca="1" si="55"/>
        <v>1000</v>
      </c>
      <c r="K101" s="238">
        <f t="shared" ca="1" si="78"/>
        <v>0.55385525407211134</v>
      </c>
      <c r="L101" s="239">
        <f t="shared" ca="1" si="79"/>
        <v>2.1424034867219461</v>
      </c>
      <c r="M101" s="238">
        <f t="shared" ca="1" si="80"/>
        <v>52.591161680156134</v>
      </c>
      <c r="N101" s="238">
        <f t="shared" ca="1" si="81"/>
        <v>112.86196785822165</v>
      </c>
      <c r="O101" s="239">
        <f t="shared" ca="1" si="82"/>
        <v>834.54687046162212</v>
      </c>
      <c r="P101" s="217"/>
      <c r="Q101" s="217"/>
      <c r="R101" s="224"/>
      <c r="S101" s="230">
        <f t="shared" ca="1" si="83"/>
        <v>79318.862597034284</v>
      </c>
      <c r="T101" s="231">
        <f t="shared" ca="1" si="84"/>
        <v>4937.2451496235835</v>
      </c>
      <c r="U101" s="231">
        <f t="shared" ca="1" si="107"/>
        <v>7437.0961414596559</v>
      </c>
      <c r="V101" s="231"/>
      <c r="W101" s="231">
        <f t="shared" ca="1" si="85"/>
        <v>19804.990030159919</v>
      </c>
      <c r="X101" s="231">
        <f t="shared" ca="1" si="86"/>
        <v>2475.6237537699899</v>
      </c>
      <c r="Y101" s="231"/>
      <c r="Z101" s="232">
        <f t="shared" ca="1" si="56"/>
        <v>113973.81767204744</v>
      </c>
      <c r="AA101" s="231">
        <f t="shared" ca="1" si="57"/>
        <v>481.23503278535503</v>
      </c>
      <c r="AB101" s="231">
        <f t="shared" ca="1" si="87"/>
        <v>28503.8153174336</v>
      </c>
      <c r="AC101" s="231">
        <f t="shared" ca="1" si="88"/>
        <v>153007.24069411395</v>
      </c>
      <c r="AD101" s="231">
        <f t="shared" ca="1" si="89"/>
        <v>5312.7514129900674</v>
      </c>
      <c r="AE101" s="231">
        <f t="shared" ca="1" si="58"/>
        <v>61380.973730156511</v>
      </c>
      <c r="AF101" s="231">
        <f t="shared" ca="1" si="59"/>
        <v>248686.01618747949</v>
      </c>
      <c r="AG101" s="232">
        <f t="shared" ca="1" si="60"/>
        <v>362659.8338595269</v>
      </c>
      <c r="AH101" s="243">
        <f t="shared" ca="1" si="90"/>
        <v>4.0316290952617981</v>
      </c>
      <c r="AI101" s="243">
        <f t="shared" ca="1" si="91"/>
        <v>8.6519783710614817</v>
      </c>
      <c r="AJ101" s="242">
        <f t="shared" ca="1" si="92"/>
        <v>12.683607466323281</v>
      </c>
      <c r="AK101" s="241">
        <f t="shared" ca="1" si="93"/>
        <v>2.9027729485884946</v>
      </c>
      <c r="AL101" s="243">
        <f t="shared" ca="1" si="94"/>
        <v>3.8328264183802365</v>
      </c>
      <c r="AM101" s="243"/>
      <c r="AN101" s="242">
        <f t="shared" ca="1" si="61"/>
        <v>6.7355993669687315</v>
      </c>
      <c r="AO101" s="224"/>
      <c r="AP101" s="235">
        <f t="shared" si="95"/>
        <v>7.3076923076923075</v>
      </c>
      <c r="AQ101" s="235">
        <f t="shared" si="62"/>
        <v>0.80572995844391704</v>
      </c>
      <c r="AR101" s="235">
        <f t="shared" si="63"/>
        <v>0.89690852674809707</v>
      </c>
      <c r="AT101" s="230">
        <f t="shared" ca="1" si="64"/>
        <v>63909.583864127198</v>
      </c>
      <c r="AU101" s="231">
        <f t="shared" ca="1" si="65"/>
        <v>3978.0863292336408</v>
      </c>
      <c r="AV101" s="231">
        <f t="shared" ca="1" si="96"/>
        <v>5992.291165001704</v>
      </c>
      <c r="AW101" s="231"/>
      <c r="AX101" s="231">
        <f t="shared" ca="1" si="97"/>
        <v>15957.473793982943</v>
      </c>
      <c r="AY101" s="231">
        <f t="shared" ca="1" si="98"/>
        <v>1994.6842242478679</v>
      </c>
      <c r="AZ101" s="231"/>
      <c r="BA101" s="232">
        <f t="shared" ca="1" si="66"/>
        <v>91832.119376593371</v>
      </c>
      <c r="BB101" s="231">
        <f t="shared" ca="1" si="67"/>
        <v>387.74548296790118</v>
      </c>
      <c r="BC101" s="231">
        <f t="shared" ca="1" si="99"/>
        <v>22966.377931208859</v>
      </c>
      <c r="BD101" s="231">
        <f t="shared" ca="1" si="100"/>
        <v>123282.51768608684</v>
      </c>
      <c r="BE101" s="231">
        <f t="shared" ca="1" si="101"/>
        <v>4280.6429752113481</v>
      </c>
      <c r="BF101" s="231">
        <f t="shared" ca="1" si="68"/>
        <v>49456.489412846167</v>
      </c>
      <c r="BG101" s="231">
        <f t="shared" ca="1" si="69"/>
        <v>200373.77348832114</v>
      </c>
      <c r="BH101" s="232">
        <f t="shared" ca="1" si="70"/>
        <v>292205.89286491449</v>
      </c>
      <c r="BI101" s="243">
        <f t="shared" ca="1" si="102"/>
        <v>3.6160025122260229</v>
      </c>
      <c r="BJ101" s="243">
        <f t="shared" ca="1" si="103"/>
        <v>7.7600331742451543</v>
      </c>
      <c r="BK101" s="242">
        <f t="shared" ca="1" si="104"/>
        <v>11.376035686471178</v>
      </c>
      <c r="BL101" s="241">
        <f t="shared" ca="1" si="105"/>
        <v>2.6035218088027365</v>
      </c>
      <c r="BM101" s="243">
        <f t="shared" ca="1" si="106"/>
        <v>3.4376946961906034</v>
      </c>
      <c r="BN101" s="243">
        <f t="shared" si="71"/>
        <v>0</v>
      </c>
      <c r="BO101" s="242">
        <f t="shared" ca="1" si="72"/>
        <v>6.04121650499334</v>
      </c>
      <c r="BP101" s="67"/>
      <c r="BQ101" s="67"/>
      <c r="BR101" s="67"/>
      <c r="BS101" s="67"/>
      <c r="BT101" s="67"/>
      <c r="BU101" s="67"/>
    </row>
    <row r="102" spans="1:73" ht="12" customHeight="1" x14ac:dyDescent="0.15">
      <c r="A102" s="213">
        <f t="shared" si="73"/>
        <v>96</v>
      </c>
      <c r="B102" s="67">
        <f t="shared" si="74"/>
        <v>384</v>
      </c>
      <c r="C102" s="224">
        <f t="shared" si="75"/>
        <v>88.615384615384613</v>
      </c>
      <c r="D102" s="225">
        <f ca="1">IFERROR(OFFSET(extrapolation!V111,0,OS_dist_choice-1,1,1),0)</f>
        <v>0.16228380807376303</v>
      </c>
      <c r="E102" s="225">
        <f ca="1">IFERROR(OFFSET(extrapolation!J111,0,PFS_dist_choice-1,1,1),0)</f>
        <v>5.177167114863792E-2</v>
      </c>
      <c r="F102" s="214"/>
      <c r="G102" s="226">
        <f t="shared" ca="1" si="76"/>
        <v>51.771671148637921</v>
      </c>
      <c r="H102" s="224">
        <f t="shared" ca="1" si="77"/>
        <v>110.51213692512511</v>
      </c>
      <c r="I102" s="224">
        <f t="shared" ca="1" si="54"/>
        <v>837.716191926237</v>
      </c>
      <c r="J102" s="227">
        <f t="shared" ca="1" si="55"/>
        <v>1000</v>
      </c>
      <c r="K102" s="238">
        <f t="shared" ca="1" si="78"/>
        <v>0.54256290448216049</v>
      </c>
      <c r="L102" s="239">
        <f t="shared" ca="1" si="79"/>
        <v>2.0981197212538518</v>
      </c>
      <c r="M102" s="238">
        <f t="shared" ca="1" si="80"/>
        <v>52.042952600879005</v>
      </c>
      <c r="N102" s="238">
        <f t="shared" ca="1" si="81"/>
        <v>111.28991533351092</v>
      </c>
      <c r="O102" s="239">
        <f t="shared" ca="1" si="82"/>
        <v>836.66713206561008</v>
      </c>
      <c r="P102" s="217"/>
      <c r="Q102" s="217"/>
      <c r="R102" s="224"/>
      <c r="S102" s="230">
        <f t="shared" ca="1" si="83"/>
        <v>78496.228504233266</v>
      </c>
      <c r="T102" s="231">
        <f t="shared" ca="1" si="84"/>
        <v>4886.0398492496888</v>
      </c>
      <c r="U102" s="231">
        <f t="shared" ca="1" si="107"/>
        <v>7359.9643138326628</v>
      </c>
      <c r="V102" s="231"/>
      <c r="W102" s="231">
        <f t="shared" ca="1" si="85"/>
        <v>19598.543262249419</v>
      </c>
      <c r="X102" s="231">
        <f t="shared" ca="1" si="86"/>
        <v>2449.8179077811774</v>
      </c>
      <c r="Y102" s="231"/>
      <c r="Z102" s="232">
        <f t="shared" ca="1" si="56"/>
        <v>112790.59383734623</v>
      </c>
      <c r="AA102" s="231">
        <f t="shared" ca="1" si="57"/>
        <v>471.42330998379401</v>
      </c>
      <c r="AB102" s="231">
        <f t="shared" ca="1" si="87"/>
        <v>28106.786134937422</v>
      </c>
      <c r="AC102" s="231">
        <f t="shared" ca="1" si="88"/>
        <v>150876.00531343758</v>
      </c>
      <c r="AD102" s="231">
        <f t="shared" ca="1" si="89"/>
        <v>5238.7501844943599</v>
      </c>
      <c r="AE102" s="231">
        <f t="shared" ca="1" si="58"/>
        <v>60112.220826365941</v>
      </c>
      <c r="AF102" s="231">
        <f t="shared" ca="1" si="59"/>
        <v>244805.18576921907</v>
      </c>
      <c r="AG102" s="232">
        <f t="shared" ca="1" si="60"/>
        <v>357595.77960656531</v>
      </c>
      <c r="AH102" s="243">
        <f t="shared" ca="1" si="90"/>
        <v>3.9896034848038662</v>
      </c>
      <c r="AI102" s="243">
        <f t="shared" ca="1" si="91"/>
        <v>8.5314651042800982</v>
      </c>
      <c r="AJ102" s="242">
        <f t="shared" ca="1" si="92"/>
        <v>12.521068589083963</v>
      </c>
      <c r="AK102" s="241">
        <f t="shared" ca="1" si="93"/>
        <v>2.8725145090587834</v>
      </c>
      <c r="AL102" s="243">
        <f t="shared" ca="1" si="94"/>
        <v>3.7794390411960834</v>
      </c>
      <c r="AM102" s="243"/>
      <c r="AN102" s="242">
        <f t="shared" ca="1" si="61"/>
        <v>6.6519535502548663</v>
      </c>
      <c r="AO102" s="224"/>
      <c r="AP102" s="235">
        <f t="shared" si="95"/>
        <v>7.384615384615385</v>
      </c>
      <c r="AQ102" s="235">
        <f t="shared" si="62"/>
        <v>0.80390000793007899</v>
      </c>
      <c r="AR102" s="235">
        <f t="shared" si="63"/>
        <v>0.89588190524398759</v>
      </c>
      <c r="AT102" s="230">
        <f t="shared" ca="1" si="64"/>
        <v>63103.118717034413</v>
      </c>
      <c r="AU102" s="231">
        <f t="shared" ca="1" si="65"/>
        <v>3927.8874735585068</v>
      </c>
      <c r="AV102" s="231">
        <f t="shared" ca="1" si="96"/>
        <v>5916.6753702551759</v>
      </c>
      <c r="AW102" s="231"/>
      <c r="AX102" s="231">
        <f t="shared" ca="1" si="97"/>
        <v>15755.269083940304</v>
      </c>
      <c r="AY102" s="231">
        <f t="shared" ca="1" si="98"/>
        <v>1969.408635492538</v>
      </c>
      <c r="AZ102" s="231"/>
      <c r="BA102" s="232">
        <f t="shared" ca="1" si="66"/>
        <v>90672.359280280943</v>
      </c>
      <c r="BB102" s="231">
        <f t="shared" ca="1" si="67"/>
        <v>378.97720263439606</v>
      </c>
      <c r="BC102" s="231">
        <f t="shared" ca="1" si="99"/>
        <v>22595.045596765227</v>
      </c>
      <c r="BD102" s="231">
        <f t="shared" ca="1" si="100"/>
        <v>121289.2218679311</v>
      </c>
      <c r="BE102" s="231">
        <f t="shared" ca="1" si="101"/>
        <v>4211.4313148587189</v>
      </c>
      <c r="BF102" s="231">
        <f t="shared" ca="1" si="68"/>
        <v>48324.214799010238</v>
      </c>
      <c r="BG102" s="231">
        <f t="shared" ca="1" si="69"/>
        <v>196798.89078119968</v>
      </c>
      <c r="BH102" s="232">
        <f t="shared" ca="1" si="70"/>
        <v>287471.25006148062</v>
      </c>
      <c r="BI102" s="243">
        <f t="shared" ca="1" si="102"/>
        <v>3.5742135711341398</v>
      </c>
      <c r="BJ102" s="243">
        <f t="shared" ca="1" si="103"/>
        <v>7.6431852121450499</v>
      </c>
      <c r="BK102" s="242">
        <f t="shared" ca="1" si="104"/>
        <v>11.217398783279188</v>
      </c>
      <c r="BL102" s="241">
        <f t="shared" ca="1" si="105"/>
        <v>2.5734337712165805</v>
      </c>
      <c r="BM102" s="243">
        <f t="shared" ca="1" si="106"/>
        <v>3.385931048980257</v>
      </c>
      <c r="BN102" s="243">
        <f t="shared" si="71"/>
        <v>0</v>
      </c>
      <c r="BO102" s="242">
        <f t="shared" ca="1" si="72"/>
        <v>5.9593648201968366</v>
      </c>
      <c r="BP102" s="67"/>
      <c r="BQ102" s="67"/>
      <c r="BR102" s="67"/>
      <c r="BS102" s="67"/>
      <c r="BT102" s="67"/>
      <c r="BU102" s="67"/>
    </row>
    <row r="103" spans="1:73" ht="12" customHeight="1" x14ac:dyDescent="0.15">
      <c r="A103" s="213">
        <f t="shared" si="73"/>
        <v>97</v>
      </c>
      <c r="B103" s="67">
        <f t="shared" si="74"/>
        <v>388</v>
      </c>
      <c r="C103" s="224">
        <f t="shared" si="75"/>
        <v>89.538461538461547</v>
      </c>
      <c r="D103" s="225">
        <f ca="1">IFERROR(OFFSET(extrapolation!V112,0,OS_dist_choice-1,1,1),0)</f>
        <v>0.16022874137552715</v>
      </c>
      <c r="E103" s="225">
        <f ca="1">IFERROR(OFFSET(extrapolation!J112,0,PFS_dist_choice-1,1,1),0)</f>
        <v>5.1240060473728012E-2</v>
      </c>
      <c r="F103" s="214"/>
      <c r="G103" s="226">
        <f t="shared" ca="1" si="76"/>
        <v>51.240060473728015</v>
      </c>
      <c r="H103" s="224">
        <f t="shared" ca="1" si="77"/>
        <v>108.98868090179906</v>
      </c>
      <c r="I103" s="224">
        <f t="shared" ca="1" si="54"/>
        <v>839.77125862447292</v>
      </c>
      <c r="J103" s="227">
        <f t="shared" ca="1" si="55"/>
        <v>1000</v>
      </c>
      <c r="K103" s="238">
        <f t="shared" ca="1" si="78"/>
        <v>0.53161067490990632</v>
      </c>
      <c r="L103" s="239">
        <f t="shared" ca="1" si="79"/>
        <v>2.0550666982359189</v>
      </c>
      <c r="M103" s="238">
        <f t="shared" ca="1" si="80"/>
        <v>51.505865811182971</v>
      </c>
      <c r="N103" s="238">
        <f t="shared" ca="1" si="81"/>
        <v>109.75040891346208</v>
      </c>
      <c r="O103" s="239">
        <f t="shared" ca="1" si="82"/>
        <v>838.74372527535502</v>
      </c>
      <c r="P103" s="217"/>
      <c r="Q103" s="217"/>
      <c r="R103" s="224"/>
      <c r="S103" s="230">
        <f t="shared" ca="1" si="83"/>
        <v>77690.200186290604</v>
      </c>
      <c r="T103" s="231">
        <f t="shared" ca="1" si="84"/>
        <v>4835.8681842393216</v>
      </c>
      <c r="U103" s="231">
        <f t="shared" ca="1" si="107"/>
        <v>7284.3894770661209</v>
      </c>
      <c r="V103" s="231"/>
      <c r="W103" s="231">
        <f t="shared" ca="1" si="85"/>
        <v>19396.284970638528</v>
      </c>
      <c r="X103" s="231">
        <f t="shared" ca="1" si="86"/>
        <v>2424.535621329816</v>
      </c>
      <c r="Y103" s="231"/>
      <c r="Z103" s="232">
        <f t="shared" ca="1" si="56"/>
        <v>111631.27843956441</v>
      </c>
      <c r="AA103" s="231">
        <f t="shared" ca="1" si="57"/>
        <v>461.90711144902264</v>
      </c>
      <c r="AB103" s="231">
        <f t="shared" ca="1" si="87"/>
        <v>27717.976622664872</v>
      </c>
      <c r="AC103" s="231">
        <f t="shared" ca="1" si="88"/>
        <v>148788.89276496196</v>
      </c>
      <c r="AD103" s="231">
        <f t="shared" ca="1" si="89"/>
        <v>5166.2809987834007</v>
      </c>
      <c r="AE103" s="231">
        <f t="shared" ca="1" si="58"/>
        <v>58878.7293336355</v>
      </c>
      <c r="AF103" s="231">
        <f t="shared" ca="1" si="59"/>
        <v>241013.78683149474</v>
      </c>
      <c r="AG103" s="232">
        <f t="shared" ca="1" si="60"/>
        <v>352645.06527105917</v>
      </c>
      <c r="AH103" s="243">
        <f t="shared" ca="1" si="90"/>
        <v>3.9484305070858952</v>
      </c>
      <c r="AI103" s="243">
        <f t="shared" ca="1" si="91"/>
        <v>8.4134468160901807</v>
      </c>
      <c r="AJ103" s="242">
        <f t="shared" ca="1" si="92"/>
        <v>12.361877323176076</v>
      </c>
      <c r="AK103" s="241">
        <f t="shared" ca="1" si="93"/>
        <v>2.8428699651018445</v>
      </c>
      <c r="AL103" s="243">
        <f t="shared" ca="1" si="94"/>
        <v>3.72715693952795</v>
      </c>
      <c r="AM103" s="243"/>
      <c r="AN103" s="242">
        <f t="shared" ca="1" si="61"/>
        <v>6.5700269046297946</v>
      </c>
      <c r="AO103" s="224"/>
      <c r="AP103" s="235">
        <f t="shared" si="95"/>
        <v>7.4615384615384617</v>
      </c>
      <c r="AQ103" s="235">
        <f t="shared" si="62"/>
        <v>0.80207421354677577</v>
      </c>
      <c r="AR103" s="235">
        <f t="shared" si="63"/>
        <v>0.89485645883374931</v>
      </c>
      <c r="AT103" s="230">
        <f t="shared" ca="1" si="64"/>
        <v>62313.30621471061</v>
      </c>
      <c r="AU103" s="231">
        <f t="shared" ca="1" si="65"/>
        <v>3878.7251706896286</v>
      </c>
      <c r="AV103" s="231">
        <f t="shared" ca="1" si="96"/>
        <v>5842.6209609862181</v>
      </c>
      <c r="AW103" s="231"/>
      <c r="AX103" s="231">
        <f t="shared" ca="1" si="97"/>
        <v>15557.260013554043</v>
      </c>
      <c r="AY103" s="231">
        <f t="shared" ca="1" si="98"/>
        <v>1944.6575016942554</v>
      </c>
      <c r="AZ103" s="231"/>
      <c r="BA103" s="232">
        <f t="shared" ca="1" si="66"/>
        <v>89536.569861634765</v>
      </c>
      <c r="BB103" s="231">
        <f t="shared" ca="1" si="67"/>
        <v>370.48378314713773</v>
      </c>
      <c r="BC103" s="231">
        <f t="shared" ca="1" si="99"/>
        <v>22231.874300731844</v>
      </c>
      <c r="BD103" s="231">
        <f t="shared" ca="1" si="100"/>
        <v>119339.73414895241</v>
      </c>
      <c r="BE103" s="231">
        <f t="shared" ca="1" si="101"/>
        <v>4143.740769060847</v>
      </c>
      <c r="BF103" s="231">
        <f t="shared" ca="1" si="68"/>
        <v>47225.110524909171</v>
      </c>
      <c r="BG103" s="231">
        <f t="shared" ca="1" si="69"/>
        <v>193310.94352680142</v>
      </c>
      <c r="BH103" s="232">
        <f t="shared" ca="1" si="70"/>
        <v>282847.51338843617</v>
      </c>
      <c r="BI103" s="243">
        <f t="shared" ca="1" si="102"/>
        <v>3.5332785415220291</v>
      </c>
      <c r="BJ103" s="243">
        <f t="shared" ca="1" si="103"/>
        <v>7.5288272244325425</v>
      </c>
      <c r="BK103" s="242">
        <f t="shared" ca="1" si="104"/>
        <v>11.062105765954572</v>
      </c>
      <c r="BL103" s="241">
        <f t="shared" ca="1" si="105"/>
        <v>2.5439605498958611</v>
      </c>
      <c r="BM103" s="243">
        <f t="shared" ca="1" si="106"/>
        <v>3.3352704604236161</v>
      </c>
      <c r="BN103" s="243">
        <f t="shared" si="71"/>
        <v>0</v>
      </c>
      <c r="BO103" s="242">
        <f t="shared" ca="1" si="72"/>
        <v>5.8792310103194776</v>
      </c>
      <c r="BP103" s="67"/>
      <c r="BQ103" s="67"/>
      <c r="BR103" s="67"/>
      <c r="BS103" s="67"/>
      <c r="BT103" s="67"/>
      <c r="BU103" s="67"/>
    </row>
    <row r="104" spans="1:73" ht="12" customHeight="1" x14ac:dyDescent="0.15">
      <c r="A104" s="213">
        <f t="shared" si="73"/>
        <v>98</v>
      </c>
      <c r="B104" s="67">
        <f t="shared" si="74"/>
        <v>392</v>
      </c>
      <c r="C104" s="224">
        <f t="shared" si="75"/>
        <v>90.461538461538453</v>
      </c>
      <c r="D104" s="225">
        <f ca="1">IFERROR(OFFSET(extrapolation!V113,0,OS_dist_choice-1,1,1),0)</f>
        <v>0.1582155390440349</v>
      </c>
      <c r="E104" s="225">
        <f ca="1">IFERROR(OFFSET(extrapolation!J113,0,PFS_dist_choice-1,1,1),0)</f>
        <v>5.0719075399505709E-2</v>
      </c>
      <c r="F104" s="214"/>
      <c r="G104" s="226">
        <f t="shared" ca="1" si="76"/>
        <v>50.719075399505712</v>
      </c>
      <c r="H104" s="224">
        <f t="shared" ca="1" si="77"/>
        <v>107.49646364452917</v>
      </c>
      <c r="I104" s="224">
        <f t="shared" ca="1" si="54"/>
        <v>841.78446095596507</v>
      </c>
      <c r="J104" s="227">
        <f t="shared" ca="1" si="55"/>
        <v>1000</v>
      </c>
      <c r="K104" s="238">
        <f t="shared" ca="1" si="78"/>
        <v>0.52098507422230256</v>
      </c>
      <c r="L104" s="239">
        <f t="shared" ca="1" si="79"/>
        <v>2.0132023314921526</v>
      </c>
      <c r="M104" s="238">
        <f t="shared" ca="1" si="80"/>
        <v>50.97956793661686</v>
      </c>
      <c r="N104" s="238">
        <f t="shared" ca="1" si="81"/>
        <v>108.24257227316411</v>
      </c>
      <c r="O104" s="239">
        <f t="shared" ca="1" si="82"/>
        <v>840.77785979021905</v>
      </c>
      <c r="P104" s="217"/>
      <c r="Q104" s="217"/>
      <c r="R104" s="224"/>
      <c r="S104" s="230">
        <f t="shared" ca="1" si="83"/>
        <v>76900.282408360712</v>
      </c>
      <c r="T104" s="231">
        <f t="shared" ca="1" si="84"/>
        <v>4786.6993284338732</v>
      </c>
      <c r="U104" s="231">
        <f t="shared" ca="1" si="107"/>
        <v>7210.32519694453</v>
      </c>
      <c r="V104" s="231"/>
      <c r="W104" s="231">
        <f t="shared" ca="1" si="85"/>
        <v>19198.089611842923</v>
      </c>
      <c r="X104" s="231">
        <f t="shared" ca="1" si="86"/>
        <v>2399.7612014803653</v>
      </c>
      <c r="Y104" s="231"/>
      <c r="Z104" s="232">
        <f t="shared" ca="1" si="56"/>
        <v>110495.15774706239</v>
      </c>
      <c r="AA104" s="231">
        <f t="shared" ca="1" si="57"/>
        <v>452.67471497418961</v>
      </c>
      <c r="AB104" s="231">
        <f t="shared" ca="1" si="87"/>
        <v>27337.16546068067</v>
      </c>
      <c r="AC104" s="231">
        <f t="shared" ca="1" si="88"/>
        <v>146744.71501290204</v>
      </c>
      <c r="AD104" s="231">
        <f t="shared" ca="1" si="89"/>
        <v>5095.3026046146542</v>
      </c>
      <c r="AE104" s="231">
        <f t="shared" ca="1" si="58"/>
        <v>57679.293461142319</v>
      </c>
      <c r="AF104" s="231">
        <f t="shared" ca="1" si="59"/>
        <v>237309.15125431385</v>
      </c>
      <c r="AG104" s="232">
        <f t="shared" ca="1" si="60"/>
        <v>347804.30900137627</v>
      </c>
      <c r="AH104" s="244">
        <f t="shared" ca="1" si="90"/>
        <v>3.9080846056817857</v>
      </c>
      <c r="AI104" s="243">
        <f t="shared" ca="1" si="91"/>
        <v>8.2978563275799999</v>
      </c>
      <c r="AJ104" s="242">
        <f t="shared" ca="1" si="92"/>
        <v>12.205940933261786</v>
      </c>
      <c r="AK104" s="241">
        <f t="shared" ca="1" si="93"/>
        <v>2.8138209160908856</v>
      </c>
      <c r="AL104" s="243">
        <f t="shared" ca="1" si="94"/>
        <v>3.6759503531179401</v>
      </c>
      <c r="AM104" s="243"/>
      <c r="AN104" s="242">
        <f t="shared" ca="1" si="61"/>
        <v>6.4897712692088252</v>
      </c>
      <c r="AO104" s="224"/>
      <c r="AP104" s="235">
        <f t="shared" si="95"/>
        <v>7.5384615384615383</v>
      </c>
      <c r="AQ104" s="235">
        <f t="shared" si="62"/>
        <v>0.80025256585472426</v>
      </c>
      <c r="AR104" s="235">
        <f t="shared" si="63"/>
        <v>0.89383218617234339</v>
      </c>
      <c r="AT104" s="230">
        <f t="shared" ca="1" si="64"/>
        <v>61539.648312243575</v>
      </c>
      <c r="AU104" s="231">
        <f t="shared" ca="1" si="65"/>
        <v>3830.5684195542926</v>
      </c>
      <c r="AV104" s="231">
        <f t="shared" ca="1" si="96"/>
        <v>5770.0812395018302</v>
      </c>
      <c r="AW104" s="231"/>
      <c r="AX104" s="231">
        <f t="shared" ca="1" si="97"/>
        <v>15363.320471386227</v>
      </c>
      <c r="AY104" s="231">
        <f t="shared" ca="1" si="98"/>
        <v>1920.4150589232784</v>
      </c>
      <c r="AZ104" s="231"/>
      <c r="BA104" s="232">
        <f t="shared" ca="1" si="66"/>
        <v>88424.033501609185</v>
      </c>
      <c r="BB104" s="231">
        <f t="shared" ca="1" si="67"/>
        <v>362.2541021556512</v>
      </c>
      <c r="BC104" s="231">
        <f t="shared" ca="1" si="99"/>
        <v>21876.636803104851</v>
      </c>
      <c r="BD104" s="231">
        <f t="shared" ca="1" si="100"/>
        <v>117432.83471469514</v>
      </c>
      <c r="BE104" s="231">
        <f t="shared" ca="1" si="101"/>
        <v>4077.5289831491368</v>
      </c>
      <c r="BF104" s="231">
        <f t="shared" ca="1" si="68"/>
        <v>46158.00258896676</v>
      </c>
      <c r="BG104" s="231">
        <f t="shared" ca="1" si="69"/>
        <v>189907.25719207153</v>
      </c>
      <c r="BH104" s="232">
        <f t="shared" ca="1" si="70"/>
        <v>278331.29069368076</v>
      </c>
      <c r="BI104" s="244">
        <f t="shared" ca="1" si="102"/>
        <v>3.4931718068430313</v>
      </c>
      <c r="BJ104" s="243">
        <f t="shared" ca="1" si="103"/>
        <v>7.4168910618248445</v>
      </c>
      <c r="BK104" s="242">
        <f t="shared" ca="1" si="104"/>
        <v>10.910062868667875</v>
      </c>
      <c r="BL104" s="241">
        <f t="shared" ca="1" si="105"/>
        <v>2.5150837009269824</v>
      </c>
      <c r="BM104" s="243">
        <f t="shared" ca="1" si="106"/>
        <v>3.2856827403884061</v>
      </c>
      <c r="BN104" s="243">
        <f t="shared" si="71"/>
        <v>0</v>
      </c>
      <c r="BO104" s="242">
        <f t="shared" ca="1" si="72"/>
        <v>5.8007664413153881</v>
      </c>
      <c r="BP104" s="67"/>
      <c r="BQ104" s="67"/>
      <c r="BR104" s="67"/>
      <c r="BS104" s="67"/>
      <c r="BT104" s="67"/>
      <c r="BU104" s="67"/>
    </row>
    <row r="105" spans="1:73" ht="12" customHeight="1" x14ac:dyDescent="0.15">
      <c r="A105" s="213">
        <f t="shared" si="73"/>
        <v>99</v>
      </c>
      <c r="B105" s="67">
        <f t="shared" si="74"/>
        <v>396</v>
      </c>
      <c r="C105" s="224">
        <f t="shared" si="75"/>
        <v>91.384615384615387</v>
      </c>
      <c r="D105" s="225">
        <f ca="1">IFERROR(OFFSET(extrapolation!V114,0,OS_dist_choice-1,1,1),0)</f>
        <v>0.15624305283626383</v>
      </c>
      <c r="E105" s="225">
        <f ca="1">IFERROR(OFFSET(extrapolation!J114,0,PFS_dist_choice-1,1,1),0)</f>
        <v>5.0208402126762572E-2</v>
      </c>
      <c r="F105" s="214"/>
      <c r="G105" s="226">
        <f t="shared" ca="1" si="76"/>
        <v>50.208402126762572</v>
      </c>
      <c r="H105" s="224">
        <f t="shared" ca="1" si="77"/>
        <v>106.03465070950119</v>
      </c>
      <c r="I105" s="224">
        <f t="shared" ca="1" si="54"/>
        <v>843.75694716373619</v>
      </c>
      <c r="J105" s="227">
        <f t="shared" ca="1" si="55"/>
        <v>1000</v>
      </c>
      <c r="K105" s="238">
        <f t="shared" ca="1" si="78"/>
        <v>0.51067327274314067</v>
      </c>
      <c r="L105" s="239">
        <f t="shared" ca="1" si="79"/>
        <v>1.9724862077711123</v>
      </c>
      <c r="M105" s="238">
        <f t="shared" ca="1" si="80"/>
        <v>50.463738763134145</v>
      </c>
      <c r="N105" s="238">
        <f t="shared" ca="1" si="81"/>
        <v>106.76555717701518</v>
      </c>
      <c r="O105" s="239">
        <f t="shared" ca="1" si="82"/>
        <v>842.77070405985069</v>
      </c>
      <c r="P105" s="217"/>
      <c r="Q105" s="217"/>
      <c r="R105" s="224"/>
      <c r="S105" s="230">
        <f t="shared" ca="1" si="83"/>
        <v>76125.999387958262</v>
      </c>
      <c r="T105" s="231">
        <f t="shared" ca="1" si="84"/>
        <v>4738.5036664973286</v>
      </c>
      <c r="U105" s="231">
        <f t="shared" ca="1" si="107"/>
        <v>7137.7268631448196</v>
      </c>
      <c r="V105" s="231"/>
      <c r="W105" s="231">
        <f t="shared" ca="1" si="85"/>
        <v>19003.83659837611</v>
      </c>
      <c r="X105" s="231">
        <f t="shared" ca="1" si="86"/>
        <v>2375.4795747970138</v>
      </c>
      <c r="Y105" s="231"/>
      <c r="Z105" s="232">
        <f t="shared" ca="1" si="56"/>
        <v>109381.54609077355</v>
      </c>
      <c r="AA105" s="231">
        <f t="shared" ca="1" si="57"/>
        <v>443.71497308058935</v>
      </c>
      <c r="AB105" s="231">
        <f t="shared" ca="1" si="87"/>
        <v>26964.138423135322</v>
      </c>
      <c r="AC105" s="231">
        <f t="shared" ca="1" si="88"/>
        <v>144742.32210221671</v>
      </c>
      <c r="AD105" s="231">
        <f t="shared" ca="1" si="89"/>
        <v>5025.7750729936361</v>
      </c>
      <c r="AE105" s="231">
        <f t="shared" ca="1" si="58"/>
        <v>56512.755348221792</v>
      </c>
      <c r="AF105" s="231">
        <f t="shared" ca="1" si="59"/>
        <v>233688.70591964805</v>
      </c>
      <c r="AG105" s="232">
        <f t="shared" ca="1" si="60"/>
        <v>343070.25201042159</v>
      </c>
      <c r="AH105" s="244">
        <f t="shared" ca="1" si="90"/>
        <v>3.8685412330397155</v>
      </c>
      <c r="AI105" s="243">
        <f t="shared" ca="1" si="91"/>
        <v>8.1846286131592763</v>
      </c>
      <c r="AJ105" s="242">
        <f t="shared" ca="1" si="92"/>
        <v>12.053169846198992</v>
      </c>
      <c r="AK105" s="241">
        <f t="shared" ca="1" si="93"/>
        <v>2.785349687788595</v>
      </c>
      <c r="AL105" s="243">
        <f t="shared" ca="1" si="94"/>
        <v>3.6257904756295596</v>
      </c>
      <c r="AM105" s="243"/>
      <c r="AN105" s="242">
        <f t="shared" ca="1" si="61"/>
        <v>6.4111401634181551</v>
      </c>
      <c r="AO105" s="224"/>
      <c r="AP105" s="235">
        <f t="shared" si="95"/>
        <v>7.615384615384615</v>
      </c>
      <c r="AQ105" s="235">
        <f t="shared" si="62"/>
        <v>0.79843505543607962</v>
      </c>
      <c r="AR105" s="235">
        <f t="shared" si="63"/>
        <v>0.89280908591627084</v>
      </c>
      <c r="AT105" s="230">
        <f t="shared" ca="1" si="64"/>
        <v>60781.666541451421</v>
      </c>
      <c r="AU105" s="231">
        <f t="shared" ca="1" si="65"/>
        <v>3783.3874376438612</v>
      </c>
      <c r="AV105" s="231">
        <f t="shared" ca="1" si="96"/>
        <v>5699.0113436626289</v>
      </c>
      <c r="AW105" s="231"/>
      <c r="AX105" s="231">
        <f t="shared" ca="1" si="97"/>
        <v>15173.329327922629</v>
      </c>
      <c r="AY105" s="231">
        <f t="shared" ca="1" si="98"/>
        <v>1896.6661659903286</v>
      </c>
      <c r="AZ105" s="231"/>
      <c r="BA105" s="232">
        <f t="shared" ca="1" si="66"/>
        <v>87334.060816670884</v>
      </c>
      <c r="BB105" s="231">
        <f t="shared" ca="1" si="67"/>
        <v>354.27758912941891</v>
      </c>
      <c r="BC105" s="231">
        <f t="shared" ca="1" si="99"/>
        <v>21529.113356662176</v>
      </c>
      <c r="BD105" s="231">
        <f t="shared" ca="1" si="100"/>
        <v>115567.3439716303</v>
      </c>
      <c r="BE105" s="231">
        <f t="shared" ca="1" si="101"/>
        <v>4012.7549990149409</v>
      </c>
      <c r="BF105" s="231">
        <f t="shared" ca="1" si="68"/>
        <v>45121.764949303069</v>
      </c>
      <c r="BG105" s="231">
        <f t="shared" ca="1" si="69"/>
        <v>186585.2548657399</v>
      </c>
      <c r="BH105" s="232">
        <f t="shared" ca="1" si="70"/>
        <v>273919.31568241079</v>
      </c>
      <c r="BI105" s="244">
        <f t="shared" ca="1" si="102"/>
        <v>3.4538687620995918</v>
      </c>
      <c r="BJ105" s="243">
        <f t="shared" ca="1" si="103"/>
        <v>7.3073107906788888</v>
      </c>
      <c r="BK105" s="242">
        <f t="shared" ca="1" si="104"/>
        <v>10.761179552778481</v>
      </c>
      <c r="BL105" s="241">
        <f t="shared" ca="1" si="105"/>
        <v>2.4867855087117059</v>
      </c>
      <c r="BM105" s="243">
        <f t="shared" ca="1" si="106"/>
        <v>3.237138680270748</v>
      </c>
      <c r="BN105" s="243">
        <f t="shared" si="71"/>
        <v>0</v>
      </c>
      <c r="BO105" s="242">
        <f t="shared" ca="1" si="72"/>
        <v>5.7239241889824539</v>
      </c>
      <c r="BP105" s="67"/>
      <c r="BQ105" s="67"/>
      <c r="BR105" s="67"/>
      <c r="BS105" s="67"/>
      <c r="BT105" s="67"/>
      <c r="BU105" s="67"/>
    </row>
    <row r="106" spans="1:73" ht="12" customHeight="1" x14ac:dyDescent="0.15">
      <c r="A106" s="213">
        <f t="shared" si="73"/>
        <v>100</v>
      </c>
      <c r="B106" s="67">
        <f t="shared" si="74"/>
        <v>400</v>
      </c>
      <c r="C106" s="224">
        <f t="shared" si="75"/>
        <v>92.307692307692307</v>
      </c>
      <c r="D106" s="225">
        <f ca="1">IFERROR(OFFSET(extrapolation!V115,0,OS_dist_choice-1,1,1),0)</f>
        <v>0.1543101733234174</v>
      </c>
      <c r="E106" s="225">
        <f ca="1">IFERROR(OFFSET(extrapolation!J115,0,PFS_dist_choice-1,1,1),0)</f>
        <v>4.9707739063013456E-2</v>
      </c>
      <c r="F106" s="214"/>
      <c r="G106" s="226">
        <f t="shared" ca="1" si="76"/>
        <v>49.707739063013456</v>
      </c>
      <c r="H106" s="224">
        <f t="shared" ca="1" si="77"/>
        <v>104.60243426040381</v>
      </c>
      <c r="I106" s="224">
        <f t="shared" ca="1" si="54"/>
        <v>845.6898266765827</v>
      </c>
      <c r="J106" s="227">
        <f t="shared" ca="1" si="55"/>
        <v>1000</v>
      </c>
      <c r="K106" s="238">
        <f t="shared" ca="1" si="78"/>
        <v>0.50066306374911562</v>
      </c>
      <c r="L106" s="239">
        <f t="shared" ca="1" si="79"/>
        <v>1.9328795128465117</v>
      </c>
      <c r="M106" s="238">
        <f t="shared" ca="1" si="80"/>
        <v>49.958070594888014</v>
      </c>
      <c r="N106" s="238">
        <f t="shared" ca="1" si="81"/>
        <v>105.3185424849525</v>
      </c>
      <c r="O106" s="239">
        <f t="shared" ca="1" si="82"/>
        <v>844.72338692015944</v>
      </c>
      <c r="P106" s="217"/>
      <c r="Q106" s="217"/>
      <c r="R106" s="224"/>
      <c r="S106" s="230">
        <f t="shared" ca="1" si="83"/>
        <v>75366.893850436623</v>
      </c>
      <c r="T106" s="231">
        <f t="shared" ca="1" si="84"/>
        <v>4691.2527351240233</v>
      </c>
      <c r="U106" s="231">
        <f t="shared" ca="1" si="107"/>
        <v>7066.5516006761181</v>
      </c>
      <c r="V106" s="231"/>
      <c r="W106" s="231">
        <f t="shared" ca="1" si="85"/>
        <v>18813.410056905308</v>
      </c>
      <c r="X106" s="231">
        <f t="shared" ca="1" si="86"/>
        <v>2351.6762571131635</v>
      </c>
      <c r="Y106" s="231"/>
      <c r="Z106" s="232">
        <f t="shared" ca="1" si="56"/>
        <v>108289.78450025525</v>
      </c>
      <c r="AA106" s="231">
        <f t="shared" ca="1" si="57"/>
        <v>435.01727956227398</v>
      </c>
      <c r="AB106" s="231">
        <f t="shared" ca="1" si="87"/>
        <v>26598.68812728384</v>
      </c>
      <c r="AC106" s="231">
        <f t="shared" ca="1" si="88"/>
        <v>142780.60081135208</v>
      </c>
      <c r="AD106" s="231">
        <f t="shared" ca="1" si="89"/>
        <v>4957.6597503941694</v>
      </c>
      <c r="AE106" s="231">
        <f t="shared" ca="1" si="58"/>
        <v>55378.002947111294</v>
      </c>
      <c r="AF106" s="231">
        <f t="shared" ca="1" si="59"/>
        <v>230149.96891570368</v>
      </c>
      <c r="AG106" s="232">
        <f t="shared" ca="1" si="60"/>
        <v>338439.75341595896</v>
      </c>
      <c r="AH106" s="244">
        <f t="shared" ca="1" si="90"/>
        <v>3.8297768012508269</v>
      </c>
      <c r="AI106" s="243">
        <f t="shared" ca="1" si="91"/>
        <v>8.0737007243769199</v>
      </c>
      <c r="AJ106" s="242">
        <f t="shared" ca="1" si="92"/>
        <v>11.903477525627746</v>
      </c>
      <c r="AK106" s="241">
        <f t="shared" ca="1" si="93"/>
        <v>2.7574392969005954</v>
      </c>
      <c r="AL106" s="243">
        <f t="shared" ca="1" si="94"/>
        <v>3.5766494208989754</v>
      </c>
      <c r="AM106" s="243"/>
      <c r="AN106" s="242">
        <f t="shared" ca="1" si="61"/>
        <v>6.3340887177995704</v>
      </c>
      <c r="AO106" s="224"/>
      <c r="AP106" s="235">
        <f t="shared" si="95"/>
        <v>7.6923076923076925</v>
      </c>
      <c r="AQ106" s="235">
        <f t="shared" si="62"/>
        <v>0.79662167289438623</v>
      </c>
      <c r="AR106" s="235">
        <f t="shared" si="63"/>
        <v>0.89178715672357023</v>
      </c>
      <c r="AT106" s="230">
        <f t="shared" ca="1" si="64"/>
        <v>60038.901059988457</v>
      </c>
      <c r="AU106" s="231">
        <f t="shared" ca="1" si="65"/>
        <v>3737.1536018248644</v>
      </c>
      <c r="AV106" s="231">
        <f t="shared" ca="1" si="96"/>
        <v>5629.3681577251118</v>
      </c>
      <c r="AW106" s="231"/>
      <c r="AX106" s="231">
        <f t="shared" ca="1" si="97"/>
        <v>14987.170192379977</v>
      </c>
      <c r="AY106" s="231">
        <f t="shared" ca="1" si="98"/>
        <v>1873.3962740474972</v>
      </c>
      <c r="AZ106" s="231"/>
      <c r="BA106" s="232">
        <f t="shared" ca="1" si="66"/>
        <v>86265.989285965916</v>
      </c>
      <c r="BB106" s="231">
        <f t="shared" ca="1" si="67"/>
        <v>346.54419298286359</v>
      </c>
      <c r="BC106" s="231">
        <f t="shared" ca="1" si="99"/>
        <v>21189.091432752903</v>
      </c>
      <c r="BD106" s="231">
        <f t="shared" ca="1" si="100"/>
        <v>113742.12107520485</v>
      </c>
      <c r="BE106" s="231">
        <f t="shared" ca="1" si="101"/>
        <v>3949.3792040001686</v>
      </c>
      <c r="BF106" s="231">
        <f t="shared" ca="1" si="68"/>
        <v>44115.317349278048</v>
      </c>
      <c r="BG106" s="231">
        <f t="shared" ca="1" si="69"/>
        <v>183342.45325421885</v>
      </c>
      <c r="BH106" s="232">
        <f t="shared" ca="1" si="70"/>
        <v>269608.44254018477</v>
      </c>
      <c r="BI106" s="244">
        <f t="shared" ca="1" si="102"/>
        <v>3.4153457644733645</v>
      </c>
      <c r="BJ106" s="243">
        <f t="shared" ca="1" si="103"/>
        <v>7.2000226132291223</v>
      </c>
      <c r="BK106" s="242">
        <f t="shared" ca="1" si="104"/>
        <v>10.615368377702486</v>
      </c>
      <c r="BL106" s="241">
        <f t="shared" ca="1" si="105"/>
        <v>2.4590489504208226</v>
      </c>
      <c r="BM106" s="243">
        <f t="shared" ca="1" si="106"/>
        <v>3.1896100176605011</v>
      </c>
      <c r="BN106" s="243">
        <f t="shared" si="71"/>
        <v>0</v>
      </c>
      <c r="BO106" s="242">
        <f t="shared" ca="1" si="72"/>
        <v>5.6486589680813237</v>
      </c>
      <c r="BP106" s="67"/>
      <c r="BQ106" s="67"/>
      <c r="BR106" s="67"/>
      <c r="BS106" s="67"/>
      <c r="BT106" s="67"/>
      <c r="BU106" s="67"/>
    </row>
    <row r="107" spans="1:73" ht="12" customHeight="1" x14ac:dyDescent="0.15">
      <c r="A107" s="213">
        <f t="shared" si="73"/>
        <v>101</v>
      </c>
      <c r="B107" s="67">
        <f t="shared" si="74"/>
        <v>404</v>
      </c>
      <c r="C107" s="224">
        <f t="shared" si="75"/>
        <v>93.230769230769226</v>
      </c>
      <c r="D107" s="225">
        <f ca="1">IFERROR(OFFSET(extrapolation!V116,0,OS_dist_choice-1,1,1),0)</f>
        <v>0.15241582836233486</v>
      </c>
      <c r="E107" s="225">
        <f ca="1">IFERROR(OFFSET(extrapolation!J116,0,PFS_dist_choice-1,1,1),0)</f>
        <v>4.9216796235461588E-2</v>
      </c>
      <c r="F107" s="214"/>
      <c r="G107" s="226">
        <f t="shared" ca="1" si="76"/>
        <v>49.216796235461587</v>
      </c>
      <c r="H107" s="224">
        <f t="shared" ca="1" si="77"/>
        <v>103.19903212687325</v>
      </c>
      <c r="I107" s="224">
        <f t="shared" ca="1" si="54"/>
        <v>847.58417163766512</v>
      </c>
      <c r="J107" s="227">
        <f t="shared" ca="1" si="55"/>
        <v>1000</v>
      </c>
      <c r="K107" s="238">
        <f t="shared" ca="1" si="78"/>
        <v>0.49094282755186924</v>
      </c>
      <c r="L107" s="239">
        <f t="shared" ca="1" si="79"/>
        <v>1.8943449610824246</v>
      </c>
      <c r="M107" s="238">
        <f t="shared" ca="1" si="80"/>
        <v>49.462267649237518</v>
      </c>
      <c r="N107" s="238">
        <f t="shared" ca="1" si="81"/>
        <v>103.90073319363853</v>
      </c>
      <c r="O107" s="239">
        <f t="shared" ca="1" si="82"/>
        <v>846.63699915712391</v>
      </c>
      <c r="P107" s="217"/>
      <c r="Q107" s="217"/>
      <c r="R107" s="224"/>
      <c r="S107" s="230">
        <f t="shared" ca="1" si="83"/>
        <v>74622.526138925343</v>
      </c>
      <c r="T107" s="231">
        <f t="shared" ca="1" si="84"/>
        <v>4644.9191676362207</v>
      </c>
      <c r="U107" s="231">
        <f t="shared" ca="1" si="107"/>
        <v>6996.758186425689</v>
      </c>
      <c r="V107" s="231"/>
      <c r="W107" s="231">
        <f t="shared" ca="1" si="85"/>
        <v>18626.698600420463</v>
      </c>
      <c r="X107" s="231">
        <f t="shared" ca="1" si="86"/>
        <v>2328.3373250525578</v>
      </c>
      <c r="Y107" s="231"/>
      <c r="Z107" s="232">
        <f t="shared" ca="1" si="56"/>
        <v>107219.23941846029</v>
      </c>
      <c r="AA107" s="231">
        <f t="shared" ca="1" si="57"/>
        <v>426.57153827757685</v>
      </c>
      <c r="AB107" s="231">
        <f t="shared" ca="1" si="87"/>
        <v>26240.613791332849</v>
      </c>
      <c r="AC107" s="231">
        <f t="shared" ca="1" si="88"/>
        <v>140858.47335237544</v>
      </c>
      <c r="AD107" s="231">
        <f t="shared" ca="1" si="89"/>
        <v>4890.9192136241463</v>
      </c>
      <c r="AE107" s="231">
        <f t="shared" ca="1" si="58"/>
        <v>54273.96800495674</v>
      </c>
      <c r="AF107" s="231">
        <f t="shared" ca="1" si="59"/>
        <v>226690.54590056674</v>
      </c>
      <c r="AG107" s="232">
        <f t="shared" ca="1" si="60"/>
        <v>333909.78531902703</v>
      </c>
      <c r="AH107" s="244">
        <f t="shared" ca="1" si="90"/>
        <v>3.7917686356705014</v>
      </c>
      <c r="AI107" s="243">
        <f t="shared" ca="1" si="91"/>
        <v>7.9650117164185597</v>
      </c>
      <c r="AJ107" s="242">
        <f t="shared" ca="1" si="92"/>
        <v>11.756780352089061</v>
      </c>
      <c r="AK107" s="241">
        <f t="shared" ca="1" si="93"/>
        <v>2.7300734176827608</v>
      </c>
      <c r="AL107" s="243">
        <f t="shared" ca="1" si="94"/>
        <v>3.5285001903734221</v>
      </c>
      <c r="AM107" s="243"/>
      <c r="AN107" s="242">
        <f t="shared" ca="1" si="61"/>
        <v>6.2585736080561833</v>
      </c>
      <c r="AO107" s="224"/>
      <c r="AP107" s="235">
        <f t="shared" si="95"/>
        <v>7.7692307692307692</v>
      </c>
      <c r="AQ107" s="235">
        <f t="shared" si="62"/>
        <v>0.79481240885452975</v>
      </c>
      <c r="AR107" s="235">
        <f t="shared" si="63"/>
        <v>0.89076639725381657</v>
      </c>
      <c r="AT107" s="230">
        <f t="shared" ca="1" si="64"/>
        <v>59310.909755289365</v>
      </c>
      <c r="AU107" s="231">
        <f t="shared" ca="1" si="65"/>
        <v>3691.8393925635219</v>
      </c>
      <c r="AV107" s="231">
        <f t="shared" ca="1" si="96"/>
        <v>5561.1102283256532</v>
      </c>
      <c r="AW107" s="231"/>
      <c r="AX107" s="231">
        <f t="shared" ca="1" si="97"/>
        <v>14804.731183607486</v>
      </c>
      <c r="AY107" s="231">
        <f t="shared" ca="1" si="98"/>
        <v>1850.5913979509357</v>
      </c>
      <c r="AZ107" s="231"/>
      <c r="BA107" s="232">
        <f t="shared" ca="1" si="66"/>
        <v>85219.181957736975</v>
      </c>
      <c r="BB107" s="231">
        <f t="shared" ca="1" si="67"/>
        <v>339.0443518871831</v>
      </c>
      <c r="BC107" s="231">
        <f t="shared" ca="1" si="99"/>
        <v>20856.365457310658</v>
      </c>
      <c r="BD107" s="231">
        <f t="shared" ca="1" si="100"/>
        <v>111956.06251277312</v>
      </c>
      <c r="BE107" s="231">
        <f t="shared" ca="1" si="101"/>
        <v>3887.3632816935101</v>
      </c>
      <c r="BF107" s="231">
        <f t="shared" ca="1" si="68"/>
        <v>43137.623248113341</v>
      </c>
      <c r="BG107" s="231">
        <f t="shared" ca="1" si="69"/>
        <v>180176.4588517778</v>
      </c>
      <c r="BH107" s="232">
        <f t="shared" ca="1" si="70"/>
        <v>265395.64080951479</v>
      </c>
      <c r="BI107" s="244">
        <f t="shared" ca="1" si="102"/>
        <v>3.377580086816232</v>
      </c>
      <c r="BJ107" s="243">
        <f t="shared" ca="1" si="103"/>
        <v>7.0949647907185982</v>
      </c>
      <c r="BK107" s="242">
        <f t="shared" ca="1" si="104"/>
        <v>10.47254487753483</v>
      </c>
      <c r="BL107" s="241">
        <f t="shared" ca="1" si="105"/>
        <v>2.4318576625076869</v>
      </c>
      <c r="BM107" s="243">
        <f t="shared" ca="1" si="106"/>
        <v>3.1430694022883392</v>
      </c>
      <c r="BN107" s="243">
        <f t="shared" si="71"/>
        <v>0</v>
      </c>
      <c r="BO107" s="242">
        <f t="shared" ca="1" si="72"/>
        <v>5.5749270647960261</v>
      </c>
      <c r="BP107" s="67"/>
      <c r="BQ107" s="67"/>
      <c r="BR107" s="67"/>
      <c r="BS107" s="67"/>
      <c r="BT107" s="67"/>
      <c r="BU107" s="67"/>
    </row>
    <row r="108" spans="1:73" ht="12" customHeight="1" x14ac:dyDescent="0.15">
      <c r="A108" s="213">
        <f t="shared" si="73"/>
        <v>102</v>
      </c>
      <c r="B108" s="67">
        <f t="shared" si="74"/>
        <v>408</v>
      </c>
      <c r="C108" s="224">
        <f t="shared" si="75"/>
        <v>94.153846153846146</v>
      </c>
      <c r="D108" s="225">
        <f ca="1">IFERROR(OFFSET(extrapolation!V117,0,OS_dist_choice-1,1,1),0)</f>
        <v>0.15055898163403367</v>
      </c>
      <c r="E108" s="225">
        <f ca="1">IFERROR(OFFSET(extrapolation!J117,0,PFS_dist_choice-1,1,1),0)</f>
        <v>4.8735294737488201E-2</v>
      </c>
      <c r="F108" s="214"/>
      <c r="G108" s="226">
        <f t="shared" ca="1" si="76"/>
        <v>48.735294737488204</v>
      </c>
      <c r="H108" s="224">
        <f t="shared" ca="1" si="77"/>
        <v>101.8236868965455</v>
      </c>
      <c r="I108" s="224">
        <f t="shared" ca="1" si="54"/>
        <v>849.44101836596633</v>
      </c>
      <c r="J108" s="227">
        <f t="shared" ca="1" si="55"/>
        <v>1000</v>
      </c>
      <c r="K108" s="238">
        <f t="shared" ca="1" si="78"/>
        <v>0.48150149797338315</v>
      </c>
      <c r="L108" s="239">
        <f t="shared" ca="1" si="79"/>
        <v>1.8568467283012069</v>
      </c>
      <c r="M108" s="238">
        <f t="shared" ca="1" si="80"/>
        <v>48.976045486474895</v>
      </c>
      <c r="N108" s="238">
        <f t="shared" ca="1" si="81"/>
        <v>102.51135951170937</v>
      </c>
      <c r="O108" s="239">
        <f t="shared" ca="1" si="82"/>
        <v>848.51259500181573</v>
      </c>
      <c r="P108" s="217"/>
      <c r="Q108" s="217"/>
      <c r="R108" s="224"/>
      <c r="S108" s="230">
        <f t="shared" ca="1" si="83"/>
        <v>73892.473375097499</v>
      </c>
      <c r="T108" s="231">
        <f t="shared" ca="1" si="84"/>
        <v>4599.4766417456249</v>
      </c>
      <c r="U108" s="231">
        <f t="shared" ca="1" si="107"/>
        <v>6928.3069704707968</v>
      </c>
      <c r="V108" s="231"/>
      <c r="W108" s="231">
        <f t="shared" ca="1" si="85"/>
        <v>18443.595113478663</v>
      </c>
      <c r="X108" s="231">
        <f t="shared" ca="1" si="86"/>
        <v>2305.4493891848329</v>
      </c>
      <c r="Y108" s="231"/>
      <c r="Z108" s="232">
        <f t="shared" ca="1" si="56"/>
        <v>106169.30148997743</v>
      </c>
      <c r="AA108" s="231">
        <f t="shared" ca="1" si="57"/>
        <v>418.36813402017401</v>
      </c>
      <c r="AB108" s="231">
        <f t="shared" ca="1" si="87"/>
        <v>25889.721000890277</v>
      </c>
      <c r="AC108" s="231">
        <f t="shared" ca="1" si="88"/>
        <v>138974.89611728725</v>
      </c>
      <c r="AD108" s="231">
        <f t="shared" ca="1" si="89"/>
        <v>4825.5172262946953</v>
      </c>
      <c r="AE108" s="231">
        <f t="shared" ca="1" si="58"/>
        <v>53199.62414044363</v>
      </c>
      <c r="AF108" s="231">
        <f t="shared" ca="1" si="59"/>
        <v>223308.12661893605</v>
      </c>
      <c r="AG108" s="232">
        <f t="shared" ca="1" si="60"/>
        <v>329477.42810891347</v>
      </c>
      <c r="AH108" s="244">
        <f t="shared" ca="1" si="90"/>
        <v>3.7544949312013607</v>
      </c>
      <c r="AI108" s="243">
        <f t="shared" ca="1" si="91"/>
        <v>7.8585025772152299</v>
      </c>
      <c r="AJ108" s="242">
        <f t="shared" ca="1" si="92"/>
        <v>11.612997508416591</v>
      </c>
      <c r="AK108" s="241">
        <f t="shared" ca="1" si="93"/>
        <v>2.7032363504649797</v>
      </c>
      <c r="AL108" s="243">
        <f t="shared" ca="1" si="94"/>
        <v>3.4813166417063468</v>
      </c>
      <c r="AM108" s="243"/>
      <c r="AN108" s="242">
        <f t="shared" ca="1" si="61"/>
        <v>6.1845529921713265</v>
      </c>
      <c r="AO108" s="224"/>
      <c r="AP108" s="235">
        <f t="shared" si="95"/>
        <v>7.8461538461538458</v>
      </c>
      <c r="AQ108" s="235">
        <f t="shared" si="62"/>
        <v>0.79300725396268845</v>
      </c>
      <c r="AR108" s="235">
        <f t="shared" si="63"/>
        <v>0.88974680616811852</v>
      </c>
      <c r="AT108" s="230">
        <f t="shared" ca="1" si="64"/>
        <v>58597.267399697135</v>
      </c>
      <c r="AU108" s="231">
        <f t="shared" ca="1" si="65"/>
        <v>3647.4183413362261</v>
      </c>
      <c r="AV108" s="231">
        <f t="shared" ca="1" si="96"/>
        <v>5494.1976852635999</v>
      </c>
      <c r="AW108" s="231"/>
      <c r="AX108" s="231">
        <f t="shared" ca="1" si="97"/>
        <v>14625.904714139373</v>
      </c>
      <c r="AY108" s="231">
        <f t="shared" ca="1" si="98"/>
        <v>1828.2380892674216</v>
      </c>
      <c r="AZ108" s="231"/>
      <c r="BA108" s="232">
        <f t="shared" ca="1" si="66"/>
        <v>84193.02622970377</v>
      </c>
      <c r="BB108" s="231">
        <f t="shared" ca="1" si="67"/>
        <v>331.7689651048322</v>
      </c>
      <c r="BC108" s="231">
        <f t="shared" ca="1" si="99"/>
        <v>20530.736556776144</v>
      </c>
      <c r="BD108" s="231">
        <f t="shared" ca="1" si="100"/>
        <v>110208.10073971986</v>
      </c>
      <c r="BE108" s="231">
        <f t="shared" ca="1" si="101"/>
        <v>3826.6701645736052</v>
      </c>
      <c r="BF108" s="231">
        <f t="shared" ca="1" si="68"/>
        <v>42187.687851460352</v>
      </c>
      <c r="BG108" s="231">
        <f t="shared" ca="1" si="69"/>
        <v>177084.9642776348</v>
      </c>
      <c r="BH108" s="232">
        <f t="shared" ca="1" si="70"/>
        <v>261277.99050733857</v>
      </c>
      <c r="BI108" s="244">
        <f t="shared" ca="1" si="102"/>
        <v>3.3405498738108004</v>
      </c>
      <c r="BJ108" s="243">
        <f t="shared" ca="1" si="103"/>
        <v>6.9920775693411787</v>
      </c>
      <c r="BK108" s="242">
        <f t="shared" ca="1" si="104"/>
        <v>10.33262744315198</v>
      </c>
      <c r="BL108" s="241">
        <f t="shared" ca="1" si="105"/>
        <v>2.4051959091437762</v>
      </c>
      <c r="BM108" s="243">
        <f t="shared" ca="1" si="106"/>
        <v>3.0974903632181423</v>
      </c>
      <c r="BN108" s="243">
        <f t="shared" si="71"/>
        <v>0</v>
      </c>
      <c r="BO108" s="242">
        <f t="shared" ca="1" si="72"/>
        <v>5.5026862723619185</v>
      </c>
      <c r="BP108" s="67"/>
      <c r="BQ108" s="67"/>
      <c r="BR108" s="67"/>
      <c r="BS108" s="67"/>
      <c r="BT108" s="67"/>
      <c r="BU108" s="67"/>
    </row>
    <row r="109" spans="1:73" ht="12" customHeight="1" x14ac:dyDescent="0.15">
      <c r="A109" s="213">
        <f t="shared" si="73"/>
        <v>103</v>
      </c>
      <c r="B109" s="67">
        <f t="shared" si="74"/>
        <v>412</v>
      </c>
      <c r="C109" s="224">
        <f t="shared" si="75"/>
        <v>95.07692307692308</v>
      </c>
      <c r="D109" s="225">
        <f ca="1">IFERROR(OFFSET(extrapolation!V118,0,OS_dist_choice-1,1,1),0)</f>
        <v>0.1487386312462331</v>
      </c>
      <c r="E109" s="225">
        <f ca="1">IFERROR(OFFSET(extrapolation!J118,0,PFS_dist_choice-1,1,1),0)</f>
        <v>4.8262966206455767E-2</v>
      </c>
      <c r="F109" s="214"/>
      <c r="G109" s="226">
        <f t="shared" ca="1" si="76"/>
        <v>48.262966206455765</v>
      </c>
      <c r="H109" s="224">
        <f t="shared" ca="1" si="77"/>
        <v>100.47566503977737</v>
      </c>
      <c r="I109" s="224">
        <f t="shared" ca="1" si="54"/>
        <v>851.26136875376687</v>
      </c>
      <c r="J109" s="227">
        <f t="shared" ca="1" si="55"/>
        <v>1000</v>
      </c>
      <c r="K109" s="238">
        <f t="shared" ca="1" si="78"/>
        <v>0.47232853103243855</v>
      </c>
      <c r="L109" s="239">
        <f t="shared" ca="1" si="79"/>
        <v>1.8203503878005449</v>
      </c>
      <c r="M109" s="238">
        <f t="shared" ca="1" si="80"/>
        <v>48.499130471971981</v>
      </c>
      <c r="N109" s="238">
        <f t="shared" ca="1" si="81"/>
        <v>101.14967596816143</v>
      </c>
      <c r="O109" s="239">
        <f t="shared" ca="1" si="82"/>
        <v>850.3511935598666</v>
      </c>
      <c r="P109" s="217"/>
      <c r="Q109" s="217"/>
      <c r="R109" s="224"/>
      <c r="S109" s="230">
        <f t="shared" ca="1" si="83"/>
        <v>73176.328667414709</v>
      </c>
      <c r="T109" s="231">
        <f t="shared" ca="1" si="84"/>
        <v>4554.8998302701702</v>
      </c>
      <c r="U109" s="231">
        <f t="shared" ca="1" si="107"/>
        <v>6861.1598018421637</v>
      </c>
      <c r="V109" s="231"/>
      <c r="W109" s="231">
        <f t="shared" ca="1" si="85"/>
        <v>18263.996549657095</v>
      </c>
      <c r="X109" s="231">
        <f t="shared" ca="1" si="86"/>
        <v>2282.9995687071369</v>
      </c>
      <c r="Y109" s="231"/>
      <c r="Z109" s="232">
        <f t="shared" ca="1" si="56"/>
        <v>105139.38441789127</v>
      </c>
      <c r="AA109" s="231">
        <f t="shared" ca="1" si="57"/>
        <v>410.39790531130325</v>
      </c>
      <c r="AB109" s="231">
        <f t="shared" ca="1" si="87"/>
        <v>25545.821483784242</v>
      </c>
      <c r="AC109" s="231">
        <f t="shared" ca="1" si="88"/>
        <v>137128.85846925879</v>
      </c>
      <c r="AD109" s="231">
        <f t="shared" ca="1" si="89"/>
        <v>4761.4186968492631</v>
      </c>
      <c r="AE109" s="231">
        <f t="shared" ca="1" si="58"/>
        <v>52153.985010652235</v>
      </c>
      <c r="AF109" s="231">
        <f t="shared" ca="1" si="59"/>
        <v>220000.48156585585</v>
      </c>
      <c r="AG109" s="232">
        <f t="shared" ca="1" si="60"/>
        <v>325139.86598374712</v>
      </c>
      <c r="AH109" s="244">
        <f t="shared" ca="1" si="90"/>
        <v>3.7179347110615071</v>
      </c>
      <c r="AI109" s="243">
        <f t="shared" ca="1" si="91"/>
        <v>7.7541161590924572</v>
      </c>
      <c r="AJ109" s="242">
        <f t="shared" ca="1" si="92"/>
        <v>11.472050870153964</v>
      </c>
      <c r="AK109" s="241">
        <f t="shared" ca="1" si="93"/>
        <v>2.6769129919642851</v>
      </c>
      <c r="AL109" s="243">
        <f t="shared" ca="1" si="94"/>
        <v>3.4350734584779588</v>
      </c>
      <c r="AM109" s="243"/>
      <c r="AN109" s="242">
        <f t="shared" ca="1" si="61"/>
        <v>6.1119864504422434</v>
      </c>
      <c r="AO109" s="224"/>
      <c r="AP109" s="235">
        <f t="shared" si="95"/>
        <v>7.9230769230769234</v>
      </c>
      <c r="AQ109" s="235">
        <f t="shared" si="62"/>
        <v>0.7912061988862843</v>
      </c>
      <c r="AR109" s="235">
        <f t="shared" si="63"/>
        <v>0.88872838212911809</v>
      </c>
      <c r="AT109" s="230">
        <f t="shared" ca="1" si="64"/>
        <v>57897.564853398631</v>
      </c>
      <c r="AU109" s="231">
        <f t="shared" ca="1" si="65"/>
        <v>3603.8649810158431</v>
      </c>
      <c r="AV109" s="231">
        <f t="shared" ca="1" si="96"/>
        <v>5428.5921667669099</v>
      </c>
      <c r="AW109" s="231"/>
      <c r="AX109" s="231">
        <f t="shared" ca="1" si="97"/>
        <v>14450.587286526401</v>
      </c>
      <c r="AY109" s="231">
        <f t="shared" ca="1" si="98"/>
        <v>1806.3234108158001</v>
      </c>
      <c r="AZ109" s="231"/>
      <c r="BA109" s="232">
        <f t="shared" ca="1" si="66"/>
        <v>83186.932698523582</v>
      </c>
      <c r="BB109" s="231">
        <f t="shared" ca="1" si="67"/>
        <v>324.70936669224949</v>
      </c>
      <c r="BC109" s="231">
        <f t="shared" ca="1" si="99"/>
        <v>20212.012313612511</v>
      </c>
      <c r="BD109" s="231">
        <f t="shared" ca="1" si="100"/>
        <v>108497.2028670775</v>
      </c>
      <c r="BE109" s="231">
        <f t="shared" ca="1" si="101"/>
        <v>3767.2639884401906</v>
      </c>
      <c r="BF109" s="231">
        <f t="shared" ca="1" si="68"/>
        <v>41264.556237050405</v>
      </c>
      <c r="BG109" s="231">
        <f t="shared" ca="1" si="69"/>
        <v>174065.74477287286</v>
      </c>
      <c r="BH109" s="232">
        <f t="shared" ca="1" si="70"/>
        <v>257252.67747139646</v>
      </c>
      <c r="BI109" s="244">
        <f t="shared" ca="1" si="102"/>
        <v>3.3042341006233835</v>
      </c>
      <c r="BJ109" s="243">
        <f t="shared" ca="1" si="103"/>
        <v>6.8913031089114911</v>
      </c>
      <c r="BK109" s="242">
        <f t="shared" ca="1" si="104"/>
        <v>10.195537209534875</v>
      </c>
      <c r="BL109" s="241">
        <f t="shared" ca="1" si="105"/>
        <v>2.3790485524488361</v>
      </c>
      <c r="BM109" s="243">
        <f t="shared" ca="1" si="106"/>
        <v>3.0528472772477904</v>
      </c>
      <c r="BN109" s="243">
        <f t="shared" si="71"/>
        <v>0</v>
      </c>
      <c r="BO109" s="242">
        <f t="shared" ca="1" si="72"/>
        <v>5.431895829696626</v>
      </c>
      <c r="BP109" s="67"/>
      <c r="BQ109" s="67"/>
      <c r="BR109" s="67"/>
      <c r="BS109" s="67"/>
      <c r="BT109" s="67"/>
      <c r="BU109" s="67"/>
    </row>
    <row r="110" spans="1:73" ht="12" customHeight="1" x14ac:dyDescent="0.15">
      <c r="A110" s="213">
        <f t="shared" si="73"/>
        <v>104</v>
      </c>
      <c r="B110" s="67">
        <f t="shared" si="74"/>
        <v>416</v>
      </c>
      <c r="C110" s="224">
        <f t="shared" si="75"/>
        <v>96</v>
      </c>
      <c r="D110" s="225">
        <f ca="1">IFERROR(OFFSET(extrapolation!V119,0,OS_dist_choice-1,1,1),0)</f>
        <v>0.14695380839686623</v>
      </c>
      <c r="E110" s="225">
        <f ca="1">IFERROR(OFFSET(extrapolation!J119,0,PFS_dist_choice-1,1,1),0)</f>
        <v>4.7799552330779892E-2</v>
      </c>
      <c r="F110" s="214"/>
      <c r="G110" s="226">
        <f t="shared" ca="1" si="76"/>
        <v>47.799552330779889</v>
      </c>
      <c r="H110" s="224">
        <f t="shared" ca="1" si="77"/>
        <v>99.154256066086305</v>
      </c>
      <c r="I110" s="224">
        <f t="shared" ca="1" si="54"/>
        <v>853.04619160313382</v>
      </c>
      <c r="J110" s="227">
        <f t="shared" ca="1" si="55"/>
        <v>1000</v>
      </c>
      <c r="K110" s="238">
        <f t="shared" ca="1" si="78"/>
        <v>0.46341387567587589</v>
      </c>
      <c r="L110" s="239">
        <f t="shared" ca="1" si="79"/>
        <v>1.7848228493669467</v>
      </c>
      <c r="M110" s="238">
        <f t="shared" ca="1" si="80"/>
        <v>48.031259268617831</v>
      </c>
      <c r="N110" s="238">
        <f t="shared" ca="1" si="81"/>
        <v>99.814960552931836</v>
      </c>
      <c r="O110" s="239">
        <f t="shared" ca="1" si="82"/>
        <v>852.15378017845035</v>
      </c>
      <c r="P110" s="217"/>
      <c r="Q110" s="217"/>
      <c r="R110" s="224"/>
      <c r="S110" s="230">
        <f t="shared" ca="1" si="83"/>
        <v>72473.700363749391</v>
      </c>
      <c r="T110" s="231">
        <f t="shared" ca="1" si="84"/>
        <v>4511.1643546130908</v>
      </c>
      <c r="U110" s="231">
        <f t="shared" ca="1" si="107"/>
        <v>6795.2799584483291</v>
      </c>
      <c r="V110" s="231"/>
      <c r="W110" s="231">
        <f t="shared" ca="1" si="85"/>
        <v>18087.803740413176</v>
      </c>
      <c r="X110" s="231">
        <f t="shared" ca="1" si="86"/>
        <v>2260.9754675516469</v>
      </c>
      <c r="Y110" s="231"/>
      <c r="Z110" s="232">
        <f t="shared" ca="1" si="56"/>
        <v>104128.92388477564</v>
      </c>
      <c r="AA110" s="231">
        <f t="shared" ca="1" si="57"/>
        <v>402.65211896867334</v>
      </c>
      <c r="AB110" s="231">
        <f t="shared" ca="1" si="87"/>
        <v>25208.732893012657</v>
      </c>
      <c r="AC110" s="231">
        <f t="shared" ca="1" si="88"/>
        <v>135319.38157751504</v>
      </c>
      <c r="AD110" s="231">
        <f t="shared" ca="1" si="89"/>
        <v>4698.5896381081602</v>
      </c>
      <c r="AE110" s="231">
        <f t="shared" ca="1" si="58"/>
        <v>51136.102563762412</v>
      </c>
      <c r="AF110" s="231">
        <f t="shared" ca="1" si="59"/>
        <v>216765.45879136695</v>
      </c>
      <c r="AG110" s="232">
        <f t="shared" ca="1" si="60"/>
        <v>320894.38267614262</v>
      </c>
      <c r="AH110" s="244">
        <f t="shared" ca="1" si="90"/>
        <v>3.6820677878748782</v>
      </c>
      <c r="AI110" s="243">
        <f t="shared" ca="1" si="91"/>
        <v>7.6517971128873148</v>
      </c>
      <c r="AJ110" s="242">
        <f t="shared" ca="1" si="92"/>
        <v>11.333864900762194</v>
      </c>
      <c r="AK110" s="241">
        <f t="shared" ca="1" si="93"/>
        <v>2.6510888072699124</v>
      </c>
      <c r="AL110" s="243">
        <f t="shared" ca="1" si="94"/>
        <v>3.3897461210090807</v>
      </c>
      <c r="AM110" s="243"/>
      <c r="AN110" s="242">
        <f t="shared" ca="1" si="61"/>
        <v>6.0408349282789935</v>
      </c>
      <c r="AO110" s="224"/>
      <c r="AP110" s="235">
        <f t="shared" si="95"/>
        <v>8</v>
      </c>
      <c r="AQ110" s="235">
        <f t="shared" si="62"/>
        <v>0.78940923431393573</v>
      </c>
      <c r="AR110" s="235">
        <f t="shared" si="63"/>
        <v>0.88771112380098749</v>
      </c>
      <c r="AT110" s="230">
        <f t="shared" ca="1" si="64"/>
        <v>57211.408312045009</v>
      </c>
      <c r="AU110" s="231">
        <f t="shared" ca="1" si="65"/>
        <v>3561.1547990394401</v>
      </c>
      <c r="AV110" s="231">
        <f t="shared" ca="1" si="96"/>
        <v>5364.2567489475286</v>
      </c>
      <c r="AW110" s="231"/>
      <c r="AX110" s="231">
        <f t="shared" ca="1" si="97"/>
        <v>14278.679301140308</v>
      </c>
      <c r="AY110" s="231">
        <f t="shared" ca="1" si="98"/>
        <v>1784.8349126425385</v>
      </c>
      <c r="AZ110" s="231"/>
      <c r="BA110" s="232">
        <f t="shared" ca="1" si="66"/>
        <v>82200.334073814825</v>
      </c>
      <c r="BB110" s="231">
        <f t="shared" ca="1" si="67"/>
        <v>317.85730092994419</v>
      </c>
      <c r="BC110" s="231">
        <f t="shared" ca="1" si="99"/>
        <v>19900.006531097646</v>
      </c>
      <c r="BD110" s="231">
        <f t="shared" ca="1" si="100"/>
        <v>106822.36939894145</v>
      </c>
      <c r="BE110" s="231">
        <f t="shared" ca="1" si="101"/>
        <v>3709.110048574355</v>
      </c>
      <c r="BF110" s="231">
        <f t="shared" ca="1" si="68"/>
        <v>40367.311570658574</v>
      </c>
      <c r="BG110" s="231">
        <f t="shared" ca="1" si="69"/>
        <v>171116.65485020197</v>
      </c>
      <c r="BH110" s="232">
        <f t="shared" ca="1" si="70"/>
        <v>253316.98892401683</v>
      </c>
      <c r="BI110" s="244">
        <f t="shared" ca="1" si="102"/>
        <v>3.2686125338858241</v>
      </c>
      <c r="BJ110" s="243">
        <f t="shared" ca="1" si="103"/>
        <v>6.7925854141783502</v>
      </c>
      <c r="BK110" s="242">
        <f t="shared" ca="1" si="104"/>
        <v>10.061197948064175</v>
      </c>
      <c r="BL110" s="241">
        <f t="shared" ca="1" si="105"/>
        <v>2.3534010243977934</v>
      </c>
      <c r="BM110" s="243">
        <f t="shared" ca="1" si="106"/>
        <v>3.009115338481009</v>
      </c>
      <c r="BN110" s="243">
        <f t="shared" si="71"/>
        <v>0</v>
      </c>
      <c r="BO110" s="242">
        <f t="shared" ca="1" si="72"/>
        <v>5.3625163628788028</v>
      </c>
      <c r="BP110" s="67"/>
      <c r="BQ110" s="67"/>
      <c r="BR110" s="67"/>
      <c r="BS110" s="67"/>
      <c r="BT110" s="67"/>
      <c r="BU110" s="67"/>
    </row>
    <row r="111" spans="1:73" ht="12" customHeight="1" x14ac:dyDescent="0.15">
      <c r="A111" s="213">
        <f t="shared" si="73"/>
        <v>105</v>
      </c>
      <c r="B111" s="67">
        <f t="shared" si="74"/>
        <v>420</v>
      </c>
      <c r="C111" s="224">
        <f t="shared" si="75"/>
        <v>96.92307692307692</v>
      </c>
      <c r="D111" s="225">
        <f ca="1">IFERROR(OFFSET(extrapolation!V120,0,OS_dist_choice-1,1,1),0)</f>
        <v>0.14520357609571463</v>
      </c>
      <c r="E111" s="225">
        <f ca="1">IFERROR(OFFSET(extrapolation!J120,0,PFS_dist_choice-1,1,1),0)</f>
        <v>4.7344804384373287E-2</v>
      </c>
      <c r="F111" s="214"/>
      <c r="G111" s="226">
        <f t="shared" ca="1" si="76"/>
        <v>47.34480438437329</v>
      </c>
      <c r="H111" s="224">
        <f t="shared" ca="1" si="77"/>
        <v>97.858771711341319</v>
      </c>
      <c r="I111" s="224">
        <f t="shared" ca="1" si="54"/>
        <v>854.79642390428535</v>
      </c>
      <c r="J111" s="227">
        <f t="shared" ca="1" si="55"/>
        <v>1000</v>
      </c>
      <c r="K111" s="238">
        <f t="shared" ca="1" si="78"/>
        <v>0.45474794640659866</v>
      </c>
      <c r="L111" s="239">
        <f t="shared" ca="1" si="79"/>
        <v>1.7502323011515273</v>
      </c>
      <c r="M111" s="238">
        <f t="shared" ca="1" si="80"/>
        <v>47.57217835757659</v>
      </c>
      <c r="N111" s="238">
        <f t="shared" ca="1" si="81"/>
        <v>98.506513888713812</v>
      </c>
      <c r="O111" s="239">
        <f t="shared" ca="1" si="82"/>
        <v>853.92130775370958</v>
      </c>
      <c r="P111" s="217"/>
      <c r="Q111" s="217"/>
      <c r="R111" s="224"/>
      <c r="S111" s="230">
        <f t="shared" ca="1" si="83"/>
        <v>71784.211345508535</v>
      </c>
      <c r="T111" s="231">
        <f t="shared" ca="1" si="84"/>
        <v>4468.2467408252742</v>
      </c>
      <c r="U111" s="231">
        <f t="shared" ca="1" si="107"/>
        <v>6730.6320808912751</v>
      </c>
      <c r="V111" s="231"/>
      <c r="W111" s="231">
        <f t="shared" ca="1" si="85"/>
        <v>17914.921214609622</v>
      </c>
      <c r="X111" s="231">
        <f t="shared" ca="1" si="86"/>
        <v>2239.3651518262027</v>
      </c>
      <c r="Y111" s="231"/>
      <c r="Z111" s="232">
        <f t="shared" ca="1" si="56"/>
        <v>103137.37653366091</v>
      </c>
      <c r="AA111" s="231">
        <f t="shared" ca="1" si="57"/>
        <v>395.12244632342072</v>
      </c>
      <c r="AB111" s="231">
        <f t="shared" ca="1" si="87"/>
        <v>24878.27859758132</v>
      </c>
      <c r="AC111" s="231">
        <f t="shared" ca="1" si="88"/>
        <v>133545.51729456265</v>
      </c>
      <c r="AD111" s="231">
        <f t="shared" ca="1" si="89"/>
        <v>4636.9971282834249</v>
      </c>
      <c r="AE111" s="231">
        <f t="shared" ca="1" si="58"/>
        <v>50145.065373764628</v>
      </c>
      <c r="AF111" s="231">
        <f t="shared" ca="1" si="59"/>
        <v>213600.98084051546</v>
      </c>
      <c r="AG111" s="232">
        <f t="shared" ca="1" si="60"/>
        <v>316738.35737417638</v>
      </c>
      <c r="AH111" s="244">
        <f t="shared" ca="1" si="90"/>
        <v>3.6468747269326336</v>
      </c>
      <c r="AI111" s="243">
        <f t="shared" ca="1" si="91"/>
        <v>7.551491824459923</v>
      </c>
      <c r="AJ111" s="242">
        <f t="shared" ca="1" si="92"/>
        <v>11.198366551392557</v>
      </c>
      <c r="AK111" s="241">
        <f t="shared" ca="1" si="93"/>
        <v>2.6257498033914959</v>
      </c>
      <c r="AL111" s="243">
        <f t="shared" ca="1" si="94"/>
        <v>3.3453108782357459</v>
      </c>
      <c r="AM111" s="243"/>
      <c r="AN111" s="242">
        <f t="shared" ca="1" si="61"/>
        <v>5.9710606816272414</v>
      </c>
      <c r="AO111" s="224"/>
      <c r="AP111" s="235">
        <f t="shared" si="95"/>
        <v>8.0769230769230766</v>
      </c>
      <c r="AQ111" s="235">
        <f t="shared" si="62"/>
        <v>0.78761635095540783</v>
      </c>
      <c r="AR111" s="235">
        <f t="shared" si="63"/>
        <v>0.88669502984942739</v>
      </c>
      <c r="AT111" s="230">
        <f t="shared" ca="1" si="64"/>
        <v>56538.418596161217</v>
      </c>
      <c r="AU111" s="231">
        <f t="shared" ca="1" si="65"/>
        <v>3519.2641931771964</v>
      </c>
      <c r="AV111" s="231">
        <f t="shared" ca="1" si="96"/>
        <v>5301.1558791749894</v>
      </c>
      <c r="AW111" s="231"/>
      <c r="AX111" s="231">
        <f t="shared" ca="1" si="97"/>
        <v>14110.084874704453</v>
      </c>
      <c r="AY111" s="231">
        <f t="shared" ca="1" si="98"/>
        <v>1763.7606093380566</v>
      </c>
      <c r="AZ111" s="231"/>
      <c r="BA111" s="232">
        <f t="shared" ca="1" si="66"/>
        <v>81232.684152555914</v>
      </c>
      <c r="BB111" s="231">
        <f t="shared" ca="1" si="67"/>
        <v>311.20489935382665</v>
      </c>
      <c r="BC111" s="231">
        <f t="shared" ca="1" si="99"/>
        <v>19594.53900707902</v>
      </c>
      <c r="BD111" s="231">
        <f t="shared" ca="1" si="100"/>
        <v>105182.63301799574</v>
      </c>
      <c r="BE111" s="231">
        <f t="shared" ca="1" si="101"/>
        <v>3652.1747575692962</v>
      </c>
      <c r="BF111" s="231">
        <f t="shared" ca="1" si="68"/>
        <v>39495.073408104872</v>
      </c>
      <c r="BG111" s="231">
        <f t="shared" ca="1" si="69"/>
        <v>168235.62509010278</v>
      </c>
      <c r="BH111" s="232">
        <f t="shared" ca="1" si="70"/>
        <v>249468.3092426587</v>
      </c>
      <c r="BI111" s="244">
        <f t="shared" ca="1" si="102"/>
        <v>3.233665694854654</v>
      </c>
      <c r="BJ111" s="243">
        <f t="shared" ca="1" si="103"/>
        <v>6.695870268697198</v>
      </c>
      <c r="BK111" s="242">
        <f t="shared" ca="1" si="104"/>
        <v>9.929535963551853</v>
      </c>
      <c r="BL111" s="241">
        <f t="shared" ca="1" si="105"/>
        <v>2.3282393002953503</v>
      </c>
      <c r="BM111" s="243">
        <f t="shared" ca="1" si="106"/>
        <v>2.966270529032859</v>
      </c>
      <c r="BN111" s="243">
        <f t="shared" si="71"/>
        <v>0</v>
      </c>
      <c r="BO111" s="242">
        <f t="shared" ca="1" si="72"/>
        <v>5.2945098293282093</v>
      </c>
      <c r="BP111" s="67"/>
      <c r="BQ111" s="67"/>
      <c r="BR111" s="67"/>
      <c r="BS111" s="67"/>
      <c r="BT111" s="67"/>
      <c r="BU111" s="67"/>
    </row>
    <row r="112" spans="1:73" ht="12" customHeight="1" x14ac:dyDescent="0.15">
      <c r="A112" s="213">
        <f t="shared" si="73"/>
        <v>106</v>
      </c>
      <c r="B112" s="67">
        <f t="shared" si="74"/>
        <v>424</v>
      </c>
      <c r="C112" s="224">
        <f t="shared" si="75"/>
        <v>97.84615384615384</v>
      </c>
      <c r="D112" s="225">
        <f ca="1">IFERROR(OFFSET(extrapolation!V121,0,OS_dist_choice-1,1,1),0)</f>
        <v>0.14348702794145066</v>
      </c>
      <c r="E112" s="225">
        <f ca="1">IFERROR(OFFSET(extrapolation!J121,0,PFS_dist_choice-1,1,1),0)</f>
        <v>4.6898482786707336E-2</v>
      </c>
      <c r="F112" s="214"/>
      <c r="G112" s="226">
        <f t="shared" ca="1" si="76"/>
        <v>46.898482786707334</v>
      </c>
      <c r="H112" s="224">
        <f t="shared" ca="1" si="77"/>
        <v>96.588545154743315</v>
      </c>
      <c r="I112" s="224">
        <f t="shared" ca="1" si="54"/>
        <v>856.51297205854939</v>
      </c>
      <c r="J112" s="227">
        <f t="shared" ca="1" si="55"/>
        <v>1000</v>
      </c>
      <c r="K112" s="238">
        <f t="shared" ca="1" si="78"/>
        <v>0.44632159766595692</v>
      </c>
      <c r="L112" s="239">
        <f t="shared" ca="1" si="79"/>
        <v>1.7165481542640464</v>
      </c>
      <c r="M112" s="238">
        <f t="shared" ca="1" si="80"/>
        <v>47.121643585540312</v>
      </c>
      <c r="N112" s="238">
        <f t="shared" ca="1" si="81"/>
        <v>97.223658433042317</v>
      </c>
      <c r="O112" s="239">
        <f t="shared" ca="1" si="82"/>
        <v>855.65469798141737</v>
      </c>
      <c r="P112" s="217"/>
      <c r="Q112" s="217"/>
      <c r="R112" s="224"/>
      <c r="S112" s="230">
        <f t="shared" ca="1" si="83"/>
        <v>71107.498360598765</v>
      </c>
      <c r="T112" s="231">
        <f t="shared" ca="1" si="84"/>
        <v>4426.1243780853183</v>
      </c>
      <c r="U112" s="231">
        <f t="shared" ca="1" si="107"/>
        <v>6667.1821099238869</v>
      </c>
      <c r="V112" s="231"/>
      <c r="W112" s="231">
        <f t="shared" ca="1" si="85"/>
        <v>17745.257028017113</v>
      </c>
      <c r="X112" s="231">
        <f t="shared" ca="1" si="86"/>
        <v>2218.1571285021391</v>
      </c>
      <c r="Y112" s="231"/>
      <c r="Z112" s="232">
        <f t="shared" ca="1" si="56"/>
        <v>102164.21900512722</v>
      </c>
      <c r="AA112" s="231">
        <f t="shared" ca="1" si="57"/>
        <v>387.80094096141579</v>
      </c>
      <c r="AB112" s="231">
        <f t="shared" ca="1" si="87"/>
        <v>24554.287480986957</v>
      </c>
      <c r="AC112" s="231">
        <f t="shared" ca="1" si="88"/>
        <v>131806.34707445573</v>
      </c>
      <c r="AD112" s="231">
        <f t="shared" ca="1" si="89"/>
        <v>4576.6092734186013</v>
      </c>
      <c r="AE112" s="231">
        <f t="shared" ca="1" si="58"/>
        <v>49179.997053050334</v>
      </c>
      <c r="AF112" s="231">
        <f t="shared" ca="1" si="59"/>
        <v>210505.04182287306</v>
      </c>
      <c r="AG112" s="232">
        <f t="shared" ca="1" si="60"/>
        <v>312669.26082800026</v>
      </c>
      <c r="AH112" s="244">
        <f t="shared" ca="1" si="90"/>
        <v>3.6123368114856365</v>
      </c>
      <c r="AI112" s="243">
        <f t="shared" ca="1" si="91"/>
        <v>7.4531483535254885</v>
      </c>
      <c r="AJ112" s="242">
        <f t="shared" ca="1" si="92"/>
        <v>11.065485165011125</v>
      </c>
      <c r="AK112" s="241">
        <f t="shared" ca="1" si="93"/>
        <v>2.6008825042696579</v>
      </c>
      <c r="AL112" s="243">
        <f t="shared" ca="1" si="94"/>
        <v>3.3017447206117914</v>
      </c>
      <c r="AM112" s="243"/>
      <c r="AN112" s="242">
        <f t="shared" ca="1" si="61"/>
        <v>5.9026272248814493</v>
      </c>
      <c r="AO112" s="224"/>
      <c r="AP112" s="235">
        <f t="shared" si="95"/>
        <v>8.1538461538461533</v>
      </c>
      <c r="AQ112" s="235">
        <f t="shared" si="62"/>
        <v>0.78582753954156703</v>
      </c>
      <c r="AR112" s="235">
        <f t="shared" si="63"/>
        <v>0.88568009894166699</v>
      </c>
      <c r="AT112" s="230">
        <f t="shared" ca="1" si="64"/>
        <v>55878.230479665341</v>
      </c>
      <c r="AU112" s="231">
        <f t="shared" ca="1" si="65"/>
        <v>3478.1704297357342</v>
      </c>
      <c r="AV112" s="231">
        <f t="shared" ca="1" si="96"/>
        <v>5239.2553131170416</v>
      </c>
      <c r="AW112" s="231"/>
      <c r="AX112" s="231">
        <f t="shared" ca="1" si="97"/>
        <v>13944.711668859389</v>
      </c>
      <c r="AY112" s="231">
        <f t="shared" ca="1" si="98"/>
        <v>1743.0889586074236</v>
      </c>
      <c r="AZ112" s="231"/>
      <c r="BA112" s="232">
        <f t="shared" ca="1" si="66"/>
        <v>80283.456849984927</v>
      </c>
      <c r="BB112" s="231">
        <f t="shared" ca="1" si="67"/>
        <v>304.74465926761388</v>
      </c>
      <c r="BC112" s="231">
        <f t="shared" ca="1" si="99"/>
        <v>19295.435316380281</v>
      </c>
      <c r="BD112" s="231">
        <f t="shared" ca="1" si="100"/>
        <v>103577.05741748137</v>
      </c>
      <c r="BE112" s="231">
        <f t="shared" ca="1" si="101"/>
        <v>3596.4256047736585</v>
      </c>
      <c r="BF112" s="231">
        <f t="shared" ca="1" si="68"/>
        <v>38646.996078860058</v>
      </c>
      <c r="BG112" s="231">
        <f t="shared" ca="1" si="69"/>
        <v>165420.659076763</v>
      </c>
      <c r="BH112" s="232">
        <f t="shared" ca="1" si="70"/>
        <v>245704.11592674791</v>
      </c>
      <c r="BI112" s="244">
        <f t="shared" ca="1" si="102"/>
        <v>3.1993748246072244</v>
      </c>
      <c r="BJ112" s="243">
        <f t="shared" ca="1" si="103"/>
        <v>6.6011051711773767</v>
      </c>
      <c r="BK112" s="242">
        <f t="shared" ca="1" si="104"/>
        <v>9.8004799957846025</v>
      </c>
      <c r="BL112" s="241">
        <f t="shared" ca="1" si="105"/>
        <v>2.3035498737172011</v>
      </c>
      <c r="BM112" s="243">
        <f t="shared" ca="1" si="106"/>
        <v>2.9242895908315778</v>
      </c>
      <c r="BN112" s="243">
        <f t="shared" si="71"/>
        <v>0</v>
      </c>
      <c r="BO112" s="242">
        <f t="shared" ca="1" si="72"/>
        <v>5.2278394645487793</v>
      </c>
      <c r="BP112" s="67"/>
      <c r="BQ112" s="67"/>
      <c r="BR112" s="67"/>
      <c r="BS112" s="67"/>
      <c r="BT112" s="67"/>
      <c r="BU112" s="67"/>
    </row>
    <row r="113" spans="1:73" ht="12" customHeight="1" x14ac:dyDescent="0.15">
      <c r="A113" s="213">
        <f t="shared" si="73"/>
        <v>107</v>
      </c>
      <c r="B113" s="67">
        <f t="shared" si="74"/>
        <v>428</v>
      </c>
      <c r="C113" s="224">
        <f t="shared" si="75"/>
        <v>98.769230769230759</v>
      </c>
      <c r="D113" s="225">
        <f ca="1">IFERROR(OFFSET(extrapolation!V122,0,OS_dist_choice-1,1,1),0)</f>
        <v>0.14180328695149347</v>
      </c>
      <c r="E113" s="225">
        <f ca="1">IFERROR(OFFSET(extrapolation!J122,0,PFS_dist_choice-1,1,1),0)</f>
        <v>4.646035668686125E-2</v>
      </c>
      <c r="F113" s="214"/>
      <c r="G113" s="226">
        <f t="shared" ca="1" si="76"/>
        <v>46.460356686861253</v>
      </c>
      <c r="H113" s="224">
        <f t="shared" ca="1" si="77"/>
        <v>95.342930264632173</v>
      </c>
      <c r="I113" s="224">
        <f t="shared" ca="1" si="54"/>
        <v>858.19671304850658</v>
      </c>
      <c r="J113" s="227">
        <f t="shared" ca="1" si="55"/>
        <v>1000</v>
      </c>
      <c r="K113" s="238">
        <f t="shared" ca="1" si="78"/>
        <v>0.43812609984608031</v>
      </c>
      <c r="L113" s="239">
        <f t="shared" ca="1" si="79"/>
        <v>1.6837409899571867</v>
      </c>
      <c r="M113" s="238">
        <f t="shared" ca="1" si="80"/>
        <v>46.679419736784297</v>
      </c>
      <c r="N113" s="238">
        <f t="shared" ca="1" si="81"/>
        <v>95.965737709687744</v>
      </c>
      <c r="O113" s="239">
        <f t="shared" ca="1" si="82"/>
        <v>857.35484255352799</v>
      </c>
      <c r="P113" s="217"/>
      <c r="Q113" s="217"/>
      <c r="R113" s="224"/>
      <c r="S113" s="230">
        <f t="shared" ca="1" si="83"/>
        <v>70443.211392761703</v>
      </c>
      <c r="T113" s="231">
        <f t="shared" ca="1" si="84"/>
        <v>4384.7754794434668</v>
      </c>
      <c r="U113" s="231">
        <f t="shared" ca="1" si="107"/>
        <v>6604.8972273175686</v>
      </c>
      <c r="V113" s="231"/>
      <c r="W113" s="231">
        <f t="shared" ca="1" si="85"/>
        <v>17578.722602157177</v>
      </c>
      <c r="X113" s="231">
        <f t="shared" ca="1" si="86"/>
        <v>2197.3403252696471</v>
      </c>
      <c r="Y113" s="231"/>
      <c r="Z113" s="232">
        <f t="shared" ca="1" si="56"/>
        <v>101208.94702694958</v>
      </c>
      <c r="AA113" s="231">
        <f t="shared" ca="1" si="57"/>
        <v>380.68001788080329</v>
      </c>
      <c r="AB113" s="231">
        <f t="shared" ca="1" si="87"/>
        <v>24236.593747102099</v>
      </c>
      <c r="AC113" s="231">
        <f t="shared" ca="1" si="88"/>
        <v>130100.98093079419</v>
      </c>
      <c r="AD113" s="231">
        <f t="shared" ca="1" si="89"/>
        <v>4517.3951712081316</v>
      </c>
      <c r="AE113" s="231">
        <f t="shared" ca="1" si="58"/>
        <v>48240.05473921408</v>
      </c>
      <c r="AF113" s="231">
        <f t="shared" ca="1" si="59"/>
        <v>207475.70460619929</v>
      </c>
      <c r="AG113" s="232">
        <f t="shared" ca="1" si="60"/>
        <v>308684.6516331489</v>
      </c>
      <c r="AH113" s="244">
        <f t="shared" ca="1" si="90"/>
        <v>3.5784360099382893</v>
      </c>
      <c r="AI113" s="243">
        <f t="shared" ca="1" si="91"/>
        <v>7.3567163747330779</v>
      </c>
      <c r="AJ113" s="242">
        <f t="shared" ca="1" si="92"/>
        <v>10.935152384671367</v>
      </c>
      <c r="AK113" s="241">
        <f t="shared" ca="1" si="93"/>
        <v>2.5764739271555683</v>
      </c>
      <c r="AL113" s="243">
        <f t="shared" ca="1" si="94"/>
        <v>3.2590253540067535</v>
      </c>
      <c r="AM113" s="243"/>
      <c r="AN113" s="242">
        <f t="shared" ca="1" si="61"/>
        <v>5.8354992811623223</v>
      </c>
      <c r="AO113" s="224"/>
      <c r="AP113" s="235">
        <f t="shared" si="95"/>
        <v>8.2307692307692299</v>
      </c>
      <c r="AQ113" s="235">
        <f t="shared" si="62"/>
        <v>0.78404279082433004</v>
      </c>
      <c r="AR113" s="235">
        <f t="shared" si="63"/>
        <v>0.88466632974646064</v>
      </c>
      <c r="AT113" s="230">
        <f t="shared" ca="1" si="64"/>
        <v>55230.492055009126</v>
      </c>
      <c r="AU113" s="231">
        <f t="shared" ca="1" si="65"/>
        <v>3437.8516040409454</v>
      </c>
      <c r="AV113" s="231">
        <f t="shared" ca="1" si="96"/>
        <v>5178.5220552139463</v>
      </c>
      <c r="AW113" s="231"/>
      <c r="AX113" s="231">
        <f t="shared" ca="1" si="97"/>
        <v>13782.470728122042</v>
      </c>
      <c r="AY113" s="231">
        <f t="shared" ca="1" si="98"/>
        <v>1722.8088410152552</v>
      </c>
      <c r="AZ113" s="231"/>
      <c r="BA113" s="232">
        <f t="shared" ca="1" si="66"/>
        <v>79352.145283401333</v>
      </c>
      <c r="BB113" s="231">
        <f t="shared" ca="1" si="67"/>
        <v>298.46942363032088</v>
      </c>
      <c r="BC113" s="231">
        <f t="shared" ca="1" si="99"/>
        <v>19002.526601553436</v>
      </c>
      <c r="BD113" s="231">
        <f t="shared" ca="1" si="100"/>
        <v>102004.73617796283</v>
      </c>
      <c r="BE113" s="231">
        <f t="shared" ca="1" si="101"/>
        <v>3541.8311172903759</v>
      </c>
      <c r="BF113" s="231">
        <f t="shared" ca="1" si="68"/>
        <v>37822.267147251856</v>
      </c>
      <c r="BG113" s="231">
        <f t="shared" ca="1" si="69"/>
        <v>162669.83046768879</v>
      </c>
      <c r="BH113" s="232">
        <f t="shared" ca="1" si="70"/>
        <v>242021.97575109015</v>
      </c>
      <c r="BI113" s="244">
        <f t="shared" ca="1" si="102"/>
        <v>3.1657218511446756</v>
      </c>
      <c r="BJ113" s="243">
        <f t="shared" ca="1" si="103"/>
        <v>6.5082392742207995</v>
      </c>
      <c r="BK113" s="242">
        <f t="shared" ca="1" si="104"/>
        <v>9.6739611253654747</v>
      </c>
      <c r="BL113" s="241">
        <f t="shared" ca="1" si="105"/>
        <v>2.2793197328241663</v>
      </c>
      <c r="BM113" s="243">
        <f t="shared" ca="1" si="106"/>
        <v>2.8831499984798143</v>
      </c>
      <c r="BN113" s="243">
        <f t="shared" si="71"/>
        <v>0</v>
      </c>
      <c r="BO113" s="242">
        <f t="shared" ca="1" si="72"/>
        <v>5.1624697313039807</v>
      </c>
      <c r="BP113" s="67"/>
      <c r="BQ113" s="67"/>
      <c r="BR113" s="67"/>
      <c r="BS113" s="67"/>
      <c r="BT113" s="67"/>
      <c r="BU113" s="67"/>
    </row>
    <row r="114" spans="1:73" ht="12" customHeight="1" x14ac:dyDescent="0.15">
      <c r="A114" s="213">
        <f t="shared" si="73"/>
        <v>108</v>
      </c>
      <c r="B114" s="67">
        <f t="shared" si="74"/>
        <v>432</v>
      </c>
      <c r="C114" s="224">
        <f t="shared" si="75"/>
        <v>99.692307692307708</v>
      </c>
      <c r="D114" s="225">
        <f ca="1">IFERROR(OFFSET(extrapolation!V123,0,OS_dist_choice-1,1,1),0)</f>
        <v>0.14015150444221208</v>
      </c>
      <c r="E114" s="225">
        <f ca="1">IFERROR(OFFSET(extrapolation!J123,0,PFS_dist_choice-1,1,1),0)</f>
        <v>4.6030203570048854E-2</v>
      </c>
      <c r="F114" s="214"/>
      <c r="G114" s="226">
        <f t="shared" ca="1" si="76"/>
        <v>46.030203570048855</v>
      </c>
      <c r="H114" s="224">
        <f t="shared" ca="1" si="77"/>
        <v>94.121300872163374</v>
      </c>
      <c r="I114" s="224">
        <f t="shared" ca="1" si="54"/>
        <v>859.84849555778783</v>
      </c>
      <c r="J114" s="227">
        <f t="shared" ca="1" si="55"/>
        <v>1000</v>
      </c>
      <c r="K114" s="238">
        <f t="shared" ca="1" si="78"/>
        <v>0.43015311681239865</v>
      </c>
      <c r="L114" s="239">
        <f t="shared" ca="1" si="79"/>
        <v>1.6517825092812473</v>
      </c>
      <c r="M114" s="238">
        <f t="shared" ca="1" si="80"/>
        <v>46.24528012845505</v>
      </c>
      <c r="N114" s="238">
        <f t="shared" ca="1" si="81"/>
        <v>94.732115568397774</v>
      </c>
      <c r="O114" s="239">
        <f t="shared" ca="1" si="82"/>
        <v>859.0226043031472</v>
      </c>
      <c r="P114" s="217"/>
      <c r="Q114" s="217"/>
      <c r="R114" s="224"/>
      <c r="S114" s="230">
        <f t="shared" ca="1" si="83"/>
        <v>69791.0130649895</v>
      </c>
      <c r="T114" s="231">
        <f t="shared" ca="1" si="84"/>
        <v>4344.1790446868954</v>
      </c>
      <c r="U114" s="231">
        <f t="shared" ca="1" si="107"/>
        <v>6543.7457999252838</v>
      </c>
      <c r="V114" s="231"/>
      <c r="W114" s="231">
        <f t="shared" ca="1" si="85"/>
        <v>17415.232571894117</v>
      </c>
      <c r="X114" s="231">
        <f t="shared" ca="1" si="86"/>
        <v>2176.9040714867647</v>
      </c>
      <c r="Y114" s="231"/>
      <c r="Z114" s="232">
        <f t="shared" ca="1" si="56"/>
        <v>100271.07455298255</v>
      </c>
      <c r="AA114" s="231">
        <f t="shared" ca="1" si="57"/>
        <v>373.75243396171794</v>
      </c>
      <c r="AB114" s="231">
        <f t="shared" ca="1" si="87"/>
        <v>23925.036733219458</v>
      </c>
      <c r="AC114" s="231">
        <f t="shared" ca="1" si="88"/>
        <v>128428.55643315424</v>
      </c>
      <c r="AD114" s="231">
        <f t="shared" ca="1" si="89"/>
        <v>4459.3248761511886</v>
      </c>
      <c r="AE114" s="231">
        <f t="shared" ca="1" si="58"/>
        <v>47324.427652634316</v>
      </c>
      <c r="AF114" s="231">
        <f t="shared" ca="1" si="59"/>
        <v>204511.09812912095</v>
      </c>
      <c r="AG114" s="232">
        <f t="shared" ca="1" si="60"/>
        <v>304782.17268210347</v>
      </c>
      <c r="AH114" s="244">
        <f t="shared" ca="1" si="90"/>
        <v>3.545154944823385</v>
      </c>
      <c r="AI114" s="243">
        <f t="shared" ca="1" si="91"/>
        <v>7.2621471209175565</v>
      </c>
      <c r="AJ114" s="242">
        <f t="shared" ca="1" si="92"/>
        <v>10.807302065740942</v>
      </c>
      <c r="AK114" s="241">
        <f t="shared" ca="1" si="93"/>
        <v>2.552511560272837</v>
      </c>
      <c r="AL114" s="243">
        <f t="shared" ca="1" si="94"/>
        <v>3.2171311745664775</v>
      </c>
      <c r="AM114" s="243"/>
      <c r="AN114" s="242">
        <f t="shared" ca="1" si="61"/>
        <v>5.769642734839314</v>
      </c>
      <c r="AO114" s="224"/>
      <c r="AP114" s="235">
        <f t="shared" si="95"/>
        <v>8.3076923076923084</v>
      </c>
      <c r="AQ114" s="235">
        <f t="shared" si="62"/>
        <v>0.7822620955766183</v>
      </c>
      <c r="AR114" s="235">
        <f t="shared" si="63"/>
        <v>0.88365372093408578</v>
      </c>
      <c r="AT114" s="230">
        <f t="shared" ca="1" si="64"/>
        <v>54594.864132633833</v>
      </c>
      <c r="AU114" s="231">
        <f t="shared" ca="1" si="65"/>
        <v>3398.2866030568025</v>
      </c>
      <c r="AV114" s="231">
        <f t="shared" ca="1" si="96"/>
        <v>5118.9243023702466</v>
      </c>
      <c r="AW114" s="231"/>
      <c r="AX114" s="231">
        <f t="shared" ca="1" si="97"/>
        <v>13623.276326644072</v>
      </c>
      <c r="AY114" s="231">
        <f t="shared" ca="1" si="98"/>
        <v>1702.9095408305091</v>
      </c>
      <c r="AZ114" s="231"/>
      <c r="BA114" s="232">
        <f t="shared" ca="1" si="66"/>
        <v>78438.260905535455</v>
      </c>
      <c r="BB114" s="231">
        <f t="shared" ca="1" si="67"/>
        <v>292.3723622177551</v>
      </c>
      <c r="BC114" s="231">
        <f t="shared" ca="1" si="99"/>
        <v>18715.649371675823</v>
      </c>
      <c r="BD114" s="231">
        <f t="shared" ca="1" si="100"/>
        <v>100464.79168727923</v>
      </c>
      <c r="BE114" s="231">
        <f t="shared" ca="1" si="101"/>
        <v>3488.3608224749728</v>
      </c>
      <c r="BF114" s="231">
        <f t="shared" ca="1" si="68"/>
        <v>37020.105947513781</v>
      </c>
      <c r="BG114" s="231">
        <f t="shared" ca="1" si="69"/>
        <v>159981.28019116158</v>
      </c>
      <c r="BH114" s="232">
        <f t="shared" ca="1" si="70"/>
        <v>238419.54109669701</v>
      </c>
      <c r="BI114" s="244">
        <f t="shared" ca="1" si="102"/>
        <v>3.1326893582810578</v>
      </c>
      <c r="BJ114" s="243">
        <f t="shared" ca="1" si="103"/>
        <v>6.417223325369557</v>
      </c>
      <c r="BK114" s="242">
        <f t="shared" ca="1" si="104"/>
        <v>9.5499126836506143</v>
      </c>
      <c r="BL114" s="241">
        <f t="shared" ca="1" si="105"/>
        <v>2.2555363379623614</v>
      </c>
      <c r="BM114" s="243">
        <f t="shared" ca="1" si="106"/>
        <v>2.8428299331387139</v>
      </c>
      <c r="BN114" s="243">
        <f t="shared" si="71"/>
        <v>0</v>
      </c>
      <c r="BO114" s="242">
        <f t="shared" ca="1" si="72"/>
        <v>5.0983662711010744</v>
      </c>
      <c r="BP114" s="67"/>
      <c r="BQ114" s="67"/>
      <c r="BR114" s="67"/>
      <c r="BS114" s="67"/>
      <c r="BT114" s="67"/>
      <c r="BU114" s="67"/>
    </row>
    <row r="115" spans="1:73" ht="12" customHeight="1" x14ac:dyDescent="0.15">
      <c r="A115" s="213">
        <f t="shared" si="73"/>
        <v>109</v>
      </c>
      <c r="B115" s="67">
        <f t="shared" si="74"/>
        <v>436</v>
      </c>
      <c r="C115" s="224">
        <f t="shared" si="75"/>
        <v>100.61538461538461</v>
      </c>
      <c r="D115" s="225">
        <f ca="1">IFERROR(OFFSET(extrapolation!V124,0,OS_dist_choice-1,1,1),0)</f>
        <v>0.13853085895713055</v>
      </c>
      <c r="E115" s="225">
        <f ca="1">IFERROR(OFFSET(extrapolation!J124,0,PFS_dist_choice-1,1,1),0)</f>
        <v>4.5607808885218717E-2</v>
      </c>
      <c r="F115" s="214"/>
      <c r="G115" s="226">
        <f t="shared" ca="1" si="76"/>
        <v>45.607808885218716</v>
      </c>
      <c r="H115" s="224">
        <f t="shared" ca="1" si="77"/>
        <v>92.923050071911916</v>
      </c>
      <c r="I115" s="224">
        <f t="shared" ca="1" si="54"/>
        <v>861.46914104286941</v>
      </c>
      <c r="J115" s="227">
        <f t="shared" ca="1" si="55"/>
        <v>1000</v>
      </c>
      <c r="K115" s="238">
        <f t="shared" ca="1" si="78"/>
        <v>0.42239468483013809</v>
      </c>
      <c r="L115" s="239">
        <f t="shared" ca="1" si="79"/>
        <v>1.6206454850815817</v>
      </c>
      <c r="M115" s="238">
        <f t="shared" ca="1" si="80"/>
        <v>45.819006227633785</v>
      </c>
      <c r="N115" s="238">
        <f t="shared" ca="1" si="81"/>
        <v>93.522175472037645</v>
      </c>
      <c r="O115" s="239">
        <f t="shared" ca="1" si="82"/>
        <v>860.65881830032868</v>
      </c>
      <c r="P115" s="217"/>
      <c r="Q115" s="217"/>
      <c r="R115" s="224"/>
      <c r="S115" s="230">
        <f t="shared" ca="1" si="83"/>
        <v>69150.578074892168</v>
      </c>
      <c r="T115" s="231">
        <f t="shared" ca="1" si="84"/>
        <v>4304.3148251938455</v>
      </c>
      <c r="U115" s="231">
        <f t="shared" ca="1" si="107"/>
        <v>6483.6973267404619</v>
      </c>
      <c r="V115" s="231"/>
      <c r="W115" s="231">
        <f t="shared" ca="1" si="85"/>
        <v>17254.704641227243</v>
      </c>
      <c r="X115" s="231">
        <f t="shared" ca="1" si="86"/>
        <v>2156.8380801534054</v>
      </c>
      <c r="Y115" s="231"/>
      <c r="Z115" s="232">
        <f t="shared" ca="1" si="56"/>
        <v>99350.132948207131</v>
      </c>
      <c r="AA115" s="231">
        <f t="shared" ca="1" si="57"/>
        <v>367.01126965589015</v>
      </c>
      <c r="AB115" s="231">
        <f t="shared" ca="1" si="87"/>
        <v>23619.460730015871</v>
      </c>
      <c r="AC115" s="231">
        <f t="shared" ca="1" si="88"/>
        <v>126788.23774066257</v>
      </c>
      <c r="AD115" s="231">
        <f t="shared" ca="1" si="89"/>
        <v>4402.3693659952278</v>
      </c>
      <c r="AE115" s="231">
        <f t="shared" ca="1" si="58"/>
        <v>46432.335721175012</v>
      </c>
      <c r="AF115" s="231">
        <f t="shared" ca="1" si="59"/>
        <v>201609.41482750457</v>
      </c>
      <c r="AG115" s="232">
        <f t="shared" ca="1" si="60"/>
        <v>300959.54777571169</v>
      </c>
      <c r="AH115" s="244">
        <f t="shared" ca="1" si="90"/>
        <v>3.5124768634462584</v>
      </c>
      <c r="AI115" s="243">
        <f t="shared" ca="1" si="91"/>
        <v>7.1693933284518936</v>
      </c>
      <c r="AJ115" s="242">
        <f t="shared" ca="1" si="92"/>
        <v>10.681870191898152</v>
      </c>
      <c r="AK115" s="241">
        <f t="shared" ca="1" si="93"/>
        <v>2.5289833416813061</v>
      </c>
      <c r="AL115" s="243">
        <f t="shared" ca="1" si="94"/>
        <v>3.176041244504189</v>
      </c>
      <c r="AM115" s="243"/>
      <c r="AN115" s="242">
        <f t="shared" ca="1" si="61"/>
        <v>5.7050245861854947</v>
      </c>
      <c r="AO115" s="224"/>
      <c r="AP115" s="235">
        <f t="shared" si="95"/>
        <v>8.384615384615385</v>
      </c>
      <c r="AQ115" s="235">
        <f t="shared" si="62"/>
        <v>0.78048544459230962</v>
      </c>
      <c r="AR115" s="235">
        <f t="shared" si="63"/>
        <v>0.88264227117634253</v>
      </c>
      <c r="AT115" s="230">
        <f t="shared" ca="1" si="64"/>
        <v>53971.019672597431</v>
      </c>
      <c r="AU115" s="231">
        <f t="shared" ca="1" si="65"/>
        <v>3359.4550700066879</v>
      </c>
      <c r="AV115" s="231">
        <f t="shared" ca="1" si="96"/>
        <v>5060.4313906629986</v>
      </c>
      <c r="AW115" s="231"/>
      <c r="AX115" s="231">
        <f t="shared" ca="1" si="97"/>
        <v>13467.045823217233</v>
      </c>
      <c r="AY115" s="231">
        <f t="shared" ca="1" si="98"/>
        <v>1683.3807279021541</v>
      </c>
      <c r="AZ115" s="231"/>
      <c r="BA115" s="232">
        <f t="shared" ca="1" si="66"/>
        <v>77541.332684386507</v>
      </c>
      <c r="BB115" s="231">
        <f t="shared" ca="1" si="67"/>
        <v>286.44695396776547</v>
      </c>
      <c r="BC115" s="231">
        <f t="shared" ca="1" si="99"/>
        <v>18434.645308897034</v>
      </c>
      <c r="BD115" s="231">
        <f t="shared" ca="1" si="100"/>
        <v>98956.374102096481</v>
      </c>
      <c r="BE115" s="231">
        <f t="shared" ca="1" si="101"/>
        <v>3435.9852118783497</v>
      </c>
      <c r="BF115" s="231">
        <f t="shared" ca="1" si="68"/>
        <v>36239.762188800662</v>
      </c>
      <c r="BG115" s="231">
        <f t="shared" ca="1" si="69"/>
        <v>157353.21376564028</v>
      </c>
      <c r="BH115" s="232">
        <f t="shared" ca="1" si="70"/>
        <v>234894.5464500268</v>
      </c>
      <c r="BI115" s="244">
        <f t="shared" ca="1" si="102"/>
        <v>3.1002605562065613</v>
      </c>
      <c r="BJ115" s="243">
        <f t="shared" ca="1" si="103"/>
        <v>6.3280096103812973</v>
      </c>
      <c r="BK115" s="242">
        <f t="shared" ca="1" si="104"/>
        <v>9.4282701665878594</v>
      </c>
      <c r="BL115" s="241">
        <f t="shared" ca="1" si="105"/>
        <v>2.2321876004687242</v>
      </c>
      <c r="BM115" s="243">
        <f t="shared" ca="1" si="106"/>
        <v>2.803308257398915</v>
      </c>
      <c r="BN115" s="243">
        <f t="shared" si="71"/>
        <v>0</v>
      </c>
      <c r="BO115" s="242">
        <f t="shared" ca="1" si="72"/>
        <v>5.0354958578676383</v>
      </c>
      <c r="BP115" s="67"/>
      <c r="BQ115" s="67"/>
      <c r="BR115" s="67"/>
      <c r="BS115" s="67"/>
      <c r="BT115" s="67"/>
      <c r="BU115" s="67"/>
    </row>
    <row r="116" spans="1:73" ht="12" customHeight="1" x14ac:dyDescent="0.15">
      <c r="A116" s="213">
        <f t="shared" si="73"/>
        <v>110</v>
      </c>
      <c r="B116" s="67">
        <f t="shared" si="74"/>
        <v>440</v>
      </c>
      <c r="C116" s="224">
        <f t="shared" si="75"/>
        <v>101.53846153846155</v>
      </c>
      <c r="D116" s="225">
        <f ca="1">IFERROR(OFFSET(extrapolation!V125,0,OS_dist_choice-1,1,1),0)</f>
        <v>0.13694055524089632</v>
      </c>
      <c r="E116" s="225">
        <f ca="1">IFERROR(OFFSET(extrapolation!J125,0,PFS_dist_choice-1,1,1),0)</f>
        <v>4.5192965692423342E-2</v>
      </c>
      <c r="F116" s="214"/>
      <c r="G116" s="226">
        <f t="shared" ca="1" si="76"/>
        <v>45.192965692423343</v>
      </c>
      <c r="H116" s="224">
        <f t="shared" ca="1" si="77"/>
        <v>91.747589548473002</v>
      </c>
      <c r="I116" s="224">
        <f t="shared" ca="1" si="54"/>
        <v>863.05944475910371</v>
      </c>
      <c r="J116" s="227">
        <f t="shared" ca="1" si="55"/>
        <v>1000</v>
      </c>
      <c r="K116" s="238">
        <f t="shared" ca="1" si="78"/>
        <v>0.41484319279537374</v>
      </c>
      <c r="L116" s="239">
        <f t="shared" ca="1" si="79"/>
        <v>1.5903037162343026</v>
      </c>
      <c r="M116" s="238">
        <f t="shared" ca="1" si="80"/>
        <v>45.40038728882103</v>
      </c>
      <c r="N116" s="238">
        <f t="shared" ca="1" si="81"/>
        <v>92.335319810192459</v>
      </c>
      <c r="O116" s="239">
        <f t="shared" ca="1" si="82"/>
        <v>862.26429290098656</v>
      </c>
      <c r="P116" s="217"/>
      <c r="Q116" s="217"/>
      <c r="R116" s="224"/>
      <c r="S116" s="230">
        <f t="shared" ca="1" si="83"/>
        <v>68521.592660038543</v>
      </c>
      <c r="T116" s="231">
        <f t="shared" ca="1" si="84"/>
        <v>4265.1632906534833</v>
      </c>
      <c r="U116" s="231">
        <f t="shared" ca="1" si="107"/>
        <v>6424.7223887662858</v>
      </c>
      <c r="V116" s="231"/>
      <c r="W116" s="231">
        <f t="shared" ca="1" si="85"/>
        <v>17097.059446773379</v>
      </c>
      <c r="X116" s="231">
        <f t="shared" ca="1" si="86"/>
        <v>2137.1324308466724</v>
      </c>
      <c r="Y116" s="231"/>
      <c r="Z116" s="232">
        <f t="shared" ca="1" si="56"/>
        <v>98445.670217078354</v>
      </c>
      <c r="AA116" s="231">
        <f t="shared" ca="1" si="57"/>
        <v>360.44991180975688</v>
      </c>
      <c r="AB116" s="231">
        <f t="shared" ca="1" si="87"/>
        <v>23319.71480819938</v>
      </c>
      <c r="AC116" s="231">
        <f t="shared" ca="1" si="88"/>
        <v>125179.21467144547</v>
      </c>
      <c r="AD116" s="231">
        <f t="shared" ca="1" si="89"/>
        <v>4346.5005094251901</v>
      </c>
      <c r="AE116" s="231">
        <f t="shared" ca="1" si="58"/>
        <v>45563.028269014845</v>
      </c>
      <c r="AF116" s="231">
        <f t="shared" ca="1" si="59"/>
        <v>198768.90816989462</v>
      </c>
      <c r="AG116" s="232">
        <f t="shared" ca="1" si="60"/>
        <v>297214.57838697301</v>
      </c>
      <c r="AH116" s="244">
        <f t="shared" ca="1" si="90"/>
        <v>3.4803856100944253</v>
      </c>
      <c r="AI116" s="243">
        <f t="shared" ca="1" si="91"/>
        <v>7.0784091846280326</v>
      </c>
      <c r="AJ116" s="242">
        <f t="shared" ca="1" si="92"/>
        <v>10.558794794722457</v>
      </c>
      <c r="AK116" s="241">
        <f t="shared" ca="1" si="93"/>
        <v>2.505877639267986</v>
      </c>
      <c r="AL116" s="243">
        <f t="shared" ca="1" si="94"/>
        <v>3.1357352687902185</v>
      </c>
      <c r="AM116" s="243"/>
      <c r="AN116" s="242">
        <f t="shared" ca="1" si="61"/>
        <v>5.6416129080582049</v>
      </c>
      <c r="AO116" s="224"/>
      <c r="AP116" s="235">
        <f t="shared" si="95"/>
        <v>8.4615384615384617</v>
      </c>
      <c r="AQ116" s="235">
        <f t="shared" si="62"/>
        <v>0.77871282868619007</v>
      </c>
      <c r="AR116" s="235">
        <f t="shared" si="63"/>
        <v>0.881631979146551</v>
      </c>
      <c r="AT116" s="230">
        <f t="shared" ca="1" si="64"/>
        <v>53358.643246381493</v>
      </c>
      <c r="AU116" s="231">
        <f t="shared" ca="1" si="65"/>
        <v>3321.3373708732724</v>
      </c>
      <c r="AV116" s="231">
        <f t="shared" ca="1" si="96"/>
        <v>5003.0137448796904</v>
      </c>
      <c r="AW116" s="231"/>
      <c r="AX116" s="231">
        <f t="shared" ca="1" si="97"/>
        <v>13313.699524012845</v>
      </c>
      <c r="AY116" s="231">
        <f t="shared" ca="1" si="98"/>
        <v>1664.2124405016057</v>
      </c>
      <c r="AZ116" s="231"/>
      <c r="BA116" s="232">
        <f t="shared" ca="1" si="66"/>
        <v>76660.906326648896</v>
      </c>
      <c r="BB116" s="231">
        <f t="shared" ca="1" si="67"/>
        <v>280.68697042506352</v>
      </c>
      <c r="BC116" s="231">
        <f t="shared" ca="1" si="99"/>
        <v>18159.361082448173</v>
      </c>
      <c r="BD116" s="231">
        <f t="shared" ca="1" si="100"/>
        <v>97478.660349517129</v>
      </c>
      <c r="BE116" s="231">
        <f t="shared" ca="1" si="101"/>
        <v>3384.6757065804559</v>
      </c>
      <c r="BF116" s="231">
        <f t="shared" ca="1" si="68"/>
        <v>35480.514626873395</v>
      </c>
      <c r="BG116" s="231">
        <f t="shared" ca="1" si="69"/>
        <v>154783.89873584421</v>
      </c>
      <c r="BH116" s="232">
        <f t="shared" ca="1" si="70"/>
        <v>231444.80506249313</v>
      </c>
      <c r="BI116" s="244">
        <f t="shared" ca="1" si="102"/>
        <v>3.0684192536207244</v>
      </c>
      <c r="BJ116" s="243">
        <f t="shared" ca="1" si="103"/>
        <v>6.2405518986527371</v>
      </c>
      <c r="BK116" s="242">
        <f t="shared" ca="1" si="104"/>
        <v>9.3089711522734611</v>
      </c>
      <c r="BL116" s="241">
        <f t="shared" ca="1" si="105"/>
        <v>2.2092618626069216</v>
      </c>
      <c r="BM116" s="243">
        <f t="shared" ca="1" si="106"/>
        <v>2.7645644911031626</v>
      </c>
      <c r="BN116" s="243">
        <f t="shared" si="71"/>
        <v>0</v>
      </c>
      <c r="BO116" s="242">
        <f t="shared" ca="1" si="72"/>
        <v>4.9738263537100842</v>
      </c>
      <c r="BP116" s="67"/>
      <c r="BQ116" s="67"/>
      <c r="BR116" s="67"/>
      <c r="BS116" s="67"/>
      <c r="BT116" s="67"/>
      <c r="BU116" s="67"/>
    </row>
    <row r="117" spans="1:73" ht="12" customHeight="1" x14ac:dyDescent="0.15">
      <c r="A117" s="213">
        <f t="shared" si="73"/>
        <v>111</v>
      </c>
      <c r="B117" s="67">
        <f t="shared" si="74"/>
        <v>444</v>
      </c>
      <c r="C117" s="224">
        <f t="shared" si="75"/>
        <v>102.46153846153845</v>
      </c>
      <c r="D117" s="225">
        <f ca="1">IFERROR(OFFSET(extrapolation!V126,0,OS_dist_choice-1,1,1),0)</f>
        <v>0.13537982325689288</v>
      </c>
      <c r="E117" s="225">
        <f ca="1">IFERROR(OFFSET(extrapolation!J126,0,PFS_dist_choice-1,1,1),0)</f>
        <v>4.4785474328744794E-2</v>
      </c>
      <c r="F117" s="214"/>
      <c r="G117" s="226">
        <f t="shared" ca="1" si="76"/>
        <v>44.785474328744797</v>
      </c>
      <c r="H117" s="224">
        <f t="shared" ca="1" si="77"/>
        <v>90.594348928148065</v>
      </c>
      <c r="I117" s="224">
        <f t="shared" ca="1" si="54"/>
        <v>864.62017674310709</v>
      </c>
      <c r="J117" s="227">
        <f t="shared" ca="1" si="55"/>
        <v>1000</v>
      </c>
      <c r="K117" s="238">
        <f t="shared" ca="1" si="78"/>
        <v>0.40749136367854533</v>
      </c>
      <c r="L117" s="239">
        <f t="shared" ca="1" si="79"/>
        <v>1.5607319840033824</v>
      </c>
      <c r="M117" s="238">
        <f t="shared" ca="1" si="80"/>
        <v>44.98922001058407</v>
      </c>
      <c r="N117" s="238">
        <f t="shared" ca="1" si="81"/>
        <v>91.170969238310533</v>
      </c>
      <c r="O117" s="239">
        <f t="shared" ca="1" si="82"/>
        <v>863.83981075110546</v>
      </c>
      <c r="P117" s="217"/>
      <c r="Q117" s="217"/>
      <c r="R117" s="224"/>
      <c r="S117" s="230">
        <f t="shared" ca="1" si="83"/>
        <v>67903.754091432595</v>
      </c>
      <c r="T117" s="231">
        <f t="shared" ca="1" si="84"/>
        <v>4226.705597537064</v>
      </c>
      <c r="U117" s="231">
        <f t="shared" ca="1" si="107"/>
        <v>6366.7926015230169</v>
      </c>
      <c r="V117" s="231"/>
      <c r="W117" s="231">
        <f t="shared" ca="1" si="85"/>
        <v>16942.220428465793</v>
      </c>
      <c r="X117" s="231">
        <f t="shared" ca="1" si="86"/>
        <v>2117.7775535582241</v>
      </c>
      <c r="Y117" s="231"/>
      <c r="Z117" s="232">
        <f t="shared" ca="1" si="56"/>
        <v>97557.250272516685</v>
      </c>
      <c r="AA117" s="231">
        <f t="shared" ca="1" si="57"/>
        <v>354.06203754106104</v>
      </c>
      <c r="AB117" s="231">
        <f t="shared" ca="1" si="87"/>
        <v>23025.652651606808</v>
      </c>
      <c r="AC117" s="231">
        <f t="shared" ca="1" si="88"/>
        <v>123600.70180670377</v>
      </c>
      <c r="AD117" s="231">
        <f t="shared" ca="1" si="89"/>
        <v>4291.6910349549917</v>
      </c>
      <c r="AE117" s="231">
        <f t="shared" ca="1" si="58"/>
        <v>44715.782766255397</v>
      </c>
      <c r="AF117" s="231">
        <f t="shared" ca="1" si="59"/>
        <v>195987.89029706205</v>
      </c>
      <c r="AG117" s="232">
        <f t="shared" ca="1" si="60"/>
        <v>293545.14056957874</v>
      </c>
      <c r="AH117" s="244">
        <f t="shared" ca="1" si="90"/>
        <v>3.4488655997162327</v>
      </c>
      <c r="AI117" s="243">
        <f t="shared" ca="1" si="91"/>
        <v>6.9891502769957414</v>
      </c>
      <c r="AJ117" s="242">
        <f t="shared" ca="1" si="92"/>
        <v>10.438015876711974</v>
      </c>
      <c r="AK117" s="241">
        <f t="shared" ca="1" si="93"/>
        <v>2.4831832317956875</v>
      </c>
      <c r="AL117" s="243">
        <f t="shared" ca="1" si="94"/>
        <v>3.0961935727091134</v>
      </c>
      <c r="AM117" s="243"/>
      <c r="AN117" s="242">
        <f t="shared" ca="1" si="61"/>
        <v>5.5793768045048004</v>
      </c>
      <c r="AO117" s="224"/>
      <c r="AP117" s="235">
        <f t="shared" si="95"/>
        <v>8.5384615384615383</v>
      </c>
      <c r="AQ117" s="235">
        <f t="shared" si="62"/>
        <v>0.77694423869390705</v>
      </c>
      <c r="AR117" s="235">
        <f t="shared" si="63"/>
        <v>0.88062284351955022</v>
      </c>
      <c r="AT117" s="230">
        <f t="shared" ca="1" si="64"/>
        <v>52757.430527026372</v>
      </c>
      <c r="AU117" s="231">
        <f t="shared" ca="1" si="65"/>
        <v>3283.9145626617096</v>
      </c>
      <c r="AV117" s="231">
        <f t="shared" ca="1" si="96"/>
        <v>4946.6428307123006</v>
      </c>
      <c r="AW117" s="231"/>
      <c r="AX117" s="231">
        <f t="shared" ca="1" si="97"/>
        <v>13163.160552578714</v>
      </c>
      <c r="AY117" s="231">
        <f t="shared" ca="1" si="98"/>
        <v>1645.3950690723393</v>
      </c>
      <c r="AZ117" s="231"/>
      <c r="BA117" s="232">
        <f t="shared" ca="1" si="66"/>
        <v>75796.543542051426</v>
      </c>
      <c r="BB117" s="231">
        <f t="shared" ca="1" si="67"/>
        <v>275.08646020775319</v>
      </c>
      <c r="BC117" s="231">
        <f t="shared" ca="1" si="99"/>
        <v>17889.648169832995</v>
      </c>
      <c r="BD117" s="231">
        <f t="shared" ca="1" si="100"/>
        <v>96030.85316724208</v>
      </c>
      <c r="BE117" s="231">
        <f t="shared" ca="1" si="101"/>
        <v>3334.404623862572</v>
      </c>
      <c r="BF117" s="231">
        <f t="shared" ca="1" si="68"/>
        <v>34741.66979893043</v>
      </c>
      <c r="BG117" s="231">
        <f t="shared" ca="1" si="69"/>
        <v>152271.66222007584</v>
      </c>
      <c r="BH117" s="232">
        <f t="shared" ca="1" si="70"/>
        <v>228068.20576212727</v>
      </c>
      <c r="BI117" s="244">
        <f t="shared" ca="1" si="102"/>
        <v>3.0371498313388678</v>
      </c>
      <c r="BJ117" s="243">
        <f t="shared" ca="1" si="103"/>
        <v>6.1548053907134417</v>
      </c>
      <c r="BK117" s="242">
        <f t="shared" ca="1" si="104"/>
        <v>9.1919552220523091</v>
      </c>
      <c r="BL117" s="241">
        <f t="shared" ca="1" si="105"/>
        <v>2.1867478785639847</v>
      </c>
      <c r="BM117" s="243">
        <f t="shared" ca="1" si="106"/>
        <v>2.7265787880860546</v>
      </c>
      <c r="BN117" s="243">
        <f t="shared" si="71"/>
        <v>0</v>
      </c>
      <c r="BO117" s="242">
        <f t="shared" ca="1" si="72"/>
        <v>4.9133266666500388</v>
      </c>
      <c r="BP117" s="67"/>
      <c r="BQ117" s="67"/>
      <c r="BR117" s="67"/>
      <c r="BS117" s="67"/>
      <c r="BT117" s="67"/>
      <c r="BU117" s="67"/>
    </row>
    <row r="118" spans="1:73" ht="12" customHeight="1" x14ac:dyDescent="0.15">
      <c r="A118" s="213">
        <f t="shared" si="73"/>
        <v>112</v>
      </c>
      <c r="B118" s="67">
        <f t="shared" si="74"/>
        <v>448</v>
      </c>
      <c r="C118" s="224">
        <f t="shared" si="75"/>
        <v>103.38461538461539</v>
      </c>
      <c r="D118" s="225">
        <f ca="1">IFERROR(OFFSET(extrapolation!V127,0,OS_dist_choice-1,1,1),0)</f>
        <v>0.13384791724646619</v>
      </c>
      <c r="E118" s="225">
        <f ca="1">IFERROR(OFFSET(extrapolation!J127,0,PFS_dist_choice-1,1,1),0)</f>
        <v>4.438514209164815E-2</v>
      </c>
      <c r="F118" s="214"/>
      <c r="G118" s="226">
        <f t="shared" ca="1" si="76"/>
        <v>44.385142091648149</v>
      </c>
      <c r="H118" s="224">
        <f t="shared" ca="1" si="77"/>
        <v>89.462775154818019</v>
      </c>
      <c r="I118" s="224">
        <f t="shared" ca="1" si="54"/>
        <v>866.15208275353382</v>
      </c>
      <c r="J118" s="227">
        <f t="shared" ca="1" si="55"/>
        <v>1000</v>
      </c>
      <c r="K118" s="238">
        <f t="shared" ca="1" si="78"/>
        <v>0.40033223709664867</v>
      </c>
      <c r="L118" s="239">
        <f t="shared" ca="1" si="79"/>
        <v>1.5319060104267237</v>
      </c>
      <c r="M118" s="238">
        <f t="shared" ca="1" si="80"/>
        <v>44.585308210196473</v>
      </c>
      <c r="N118" s="238">
        <f t="shared" ca="1" si="81"/>
        <v>90.028562041483042</v>
      </c>
      <c r="O118" s="239">
        <f t="shared" ca="1" si="82"/>
        <v>865.3861297483204</v>
      </c>
      <c r="P118" s="217"/>
      <c r="Q118" s="217"/>
      <c r="R118" s="224"/>
      <c r="S118" s="230">
        <f t="shared" ca="1" si="83"/>
        <v>67296.770193413759</v>
      </c>
      <c r="T118" s="231">
        <f t="shared" ca="1" si="84"/>
        <v>4188.923559213873</v>
      </c>
      <c r="U118" s="231">
        <f t="shared" ca="1" si="107"/>
        <v>6309.880570032883</v>
      </c>
      <c r="V118" s="231"/>
      <c r="W118" s="231">
        <f t="shared" ca="1" si="85"/>
        <v>16790.113707028628</v>
      </c>
      <c r="X118" s="231">
        <f t="shared" ca="1" si="86"/>
        <v>2098.7642133785785</v>
      </c>
      <c r="Y118" s="231"/>
      <c r="Z118" s="232">
        <f t="shared" ca="1" si="56"/>
        <v>96684.452243067717</v>
      </c>
      <c r="AA118" s="231">
        <f t="shared" ca="1" si="57"/>
        <v>347.84159909613663</v>
      </c>
      <c r="AB118" s="231">
        <f t="shared" ca="1" si="87"/>
        <v>22737.132396523324</v>
      </c>
      <c r="AC118" s="231">
        <f t="shared" ca="1" si="88"/>
        <v>122051.93762818747</v>
      </c>
      <c r="AD118" s="231">
        <f t="shared" ca="1" si="89"/>
        <v>4237.9145009787317</v>
      </c>
      <c r="AE118" s="231">
        <f t="shared" ca="1" si="58"/>
        <v>43889.903636660456</v>
      </c>
      <c r="AF118" s="231">
        <f t="shared" ca="1" si="59"/>
        <v>193264.7297614461</v>
      </c>
      <c r="AG118" s="232">
        <f t="shared" ca="1" si="60"/>
        <v>289949.1820045138</v>
      </c>
      <c r="AH118" s="244">
        <f t="shared" ca="1" si="90"/>
        <v>3.4179017929787854</v>
      </c>
      <c r="AI118" s="243">
        <f t="shared" ca="1" si="91"/>
        <v>6.9015735445900761</v>
      </c>
      <c r="AJ118" s="242">
        <f t="shared" ca="1" si="92"/>
        <v>10.319475337568861</v>
      </c>
      <c r="AK118" s="241">
        <f t="shared" ca="1" si="93"/>
        <v>2.4608892909447255</v>
      </c>
      <c r="AL118" s="243">
        <f t="shared" ca="1" si="94"/>
        <v>3.0573970802534038</v>
      </c>
      <c r="AM118" s="243"/>
      <c r="AN118" s="242">
        <f t="shared" ca="1" si="61"/>
        <v>5.5182863711981298</v>
      </c>
      <c r="AO118" s="224"/>
      <c r="AP118" s="235">
        <f t="shared" si="95"/>
        <v>8.615384615384615</v>
      </c>
      <c r="AQ118" s="235">
        <f t="shared" si="62"/>
        <v>0.77517966547192185</v>
      </c>
      <c r="AR118" s="235">
        <f t="shared" si="63"/>
        <v>0.87961486297169555</v>
      </c>
      <c r="AT118" s="230">
        <f t="shared" ca="1" si="64"/>
        <v>52167.087805871277</v>
      </c>
      <c r="AU118" s="231">
        <f t="shared" ca="1" si="65"/>
        <v>3247.1683633188622</v>
      </c>
      <c r="AV118" s="231">
        <f t="shared" ca="1" si="96"/>
        <v>4891.2911094458696</v>
      </c>
      <c r="AW118" s="231"/>
      <c r="AX118" s="231">
        <f t="shared" ca="1" si="97"/>
        <v>13015.354726649981</v>
      </c>
      <c r="AY118" s="231">
        <f t="shared" ca="1" si="98"/>
        <v>1626.9193408312476</v>
      </c>
      <c r="AZ118" s="231"/>
      <c r="BA118" s="232">
        <f t="shared" ca="1" si="66"/>
        <v>74947.821346117242</v>
      </c>
      <c r="BB118" s="231">
        <f t="shared" ca="1" si="67"/>
        <v>269.63973442456154</v>
      </c>
      <c r="BC118" s="231">
        <f t="shared" ca="1" si="99"/>
        <v>17625.362684927746</v>
      </c>
      <c r="BD118" s="231">
        <f t="shared" ca="1" si="100"/>
        <v>94612.180180818235</v>
      </c>
      <c r="BE118" s="231">
        <f t="shared" ca="1" si="101"/>
        <v>3285.1451451672997</v>
      </c>
      <c r="BF118" s="231">
        <f t="shared" ca="1" si="68"/>
        <v>34022.560818661339</v>
      </c>
      <c r="BG118" s="231">
        <f t="shared" ca="1" si="69"/>
        <v>149814.88856399918</v>
      </c>
      <c r="BH118" s="232">
        <f t="shared" ca="1" si="70"/>
        <v>224762.70991011639</v>
      </c>
      <c r="BI118" s="244">
        <f t="shared" ca="1" si="102"/>
        <v>3.0064372172817468</v>
      </c>
      <c r="BJ118" s="243">
        <f t="shared" ca="1" si="103"/>
        <v>6.0707266677136786</v>
      </c>
      <c r="BK118" s="242">
        <f t="shared" ca="1" si="104"/>
        <v>9.077163884995425</v>
      </c>
      <c r="BL118" s="241">
        <f t="shared" ca="1" si="105"/>
        <v>2.1646347964428578</v>
      </c>
      <c r="BM118" s="243">
        <f t="shared" ca="1" si="106"/>
        <v>2.6893319137971599</v>
      </c>
      <c r="BN118" s="243">
        <f t="shared" si="71"/>
        <v>0</v>
      </c>
      <c r="BO118" s="242">
        <f t="shared" ca="1" si="72"/>
        <v>4.8539667102400177</v>
      </c>
      <c r="BP118" s="67"/>
      <c r="BQ118" s="67"/>
      <c r="BR118" s="67"/>
      <c r="BS118" s="67"/>
      <c r="BT118" s="67"/>
      <c r="BU118" s="67"/>
    </row>
    <row r="119" spans="1:73" ht="12" customHeight="1" x14ac:dyDescent="0.15">
      <c r="A119" s="213">
        <f t="shared" si="73"/>
        <v>113</v>
      </c>
      <c r="B119" s="67">
        <f t="shared" si="74"/>
        <v>452</v>
      </c>
      <c r="C119" s="224">
        <f t="shared" si="75"/>
        <v>104.30769230769229</v>
      </c>
      <c r="D119" s="225">
        <f ca="1">IFERROR(OFFSET(extrapolation!V128,0,OS_dist_choice-1,1,1),0)</f>
        <v>0.13234411482784669</v>
      </c>
      <c r="E119" s="225">
        <f ca="1">IFERROR(OFFSET(extrapolation!J128,0,PFS_dist_choice-1,1,1),0)</f>
        <v>4.3991782938711615E-2</v>
      </c>
      <c r="F119" s="214"/>
      <c r="G119" s="226">
        <f t="shared" ca="1" si="76"/>
        <v>43.991782938711616</v>
      </c>
      <c r="H119" s="224">
        <f t="shared" ca="1" si="77"/>
        <v>88.352331889135144</v>
      </c>
      <c r="I119" s="224">
        <f t="shared" ca="1" si="54"/>
        <v>867.65588517215326</v>
      </c>
      <c r="J119" s="227">
        <f t="shared" ca="1" si="55"/>
        <v>1000</v>
      </c>
      <c r="K119" s="238">
        <f t="shared" ca="1" si="78"/>
        <v>0.39335915293653301</v>
      </c>
      <c r="L119" s="239">
        <f t="shared" ca="1" si="79"/>
        <v>1.5038024186194434</v>
      </c>
      <c r="M119" s="238">
        <f t="shared" ca="1" si="80"/>
        <v>44.188462515179879</v>
      </c>
      <c r="N119" s="238">
        <f t="shared" ca="1" si="81"/>
        <v>88.907553521976581</v>
      </c>
      <c r="O119" s="239">
        <f t="shared" ca="1" si="82"/>
        <v>866.90398396284354</v>
      </c>
      <c r="P119" s="217"/>
      <c r="Q119" s="217"/>
      <c r="R119" s="224"/>
      <c r="S119" s="230">
        <f t="shared" ca="1" si="83"/>
        <v>66700.358888387724</v>
      </c>
      <c r="T119" s="231">
        <f t="shared" ca="1" si="84"/>
        <v>4151.7996176127417</v>
      </c>
      <c r="U119" s="231">
        <f t="shared" ca="1" si="107"/>
        <v>6253.9598461331198</v>
      </c>
      <c r="V119" s="231"/>
      <c r="W119" s="231">
        <f t="shared" ca="1" si="85"/>
        <v>16640.667967816498</v>
      </c>
      <c r="X119" s="231">
        <f t="shared" ca="1" si="86"/>
        <v>2080.0834959770623</v>
      </c>
      <c r="Y119" s="231"/>
      <c r="Z119" s="232">
        <f t="shared" ca="1" si="56"/>
        <v>95826.869815927144</v>
      </c>
      <c r="AA119" s="231">
        <f t="shared" ca="1" si="57"/>
        <v>341.78280962048166</v>
      </c>
      <c r="AB119" s="231">
        <f t="shared" ca="1" si="87"/>
        <v>22454.01647700098</v>
      </c>
      <c r="AC119" s="231">
        <f t="shared" ca="1" si="88"/>
        <v>120532.18368787211</v>
      </c>
      <c r="AD119" s="231">
        <f t="shared" ca="1" si="89"/>
        <v>4185.1452669400032</v>
      </c>
      <c r="AE119" s="231">
        <f t="shared" ca="1" si="58"/>
        <v>43084.721120324495</v>
      </c>
      <c r="AF119" s="231">
        <f t="shared" ca="1" si="59"/>
        <v>190597.8493617581</v>
      </c>
      <c r="AG119" s="232">
        <f t="shared" ca="1" si="60"/>
        <v>286424.71917768521</v>
      </c>
      <c r="AH119" s="244">
        <f t="shared" ca="1" si="90"/>
        <v>3.3874796726215926</v>
      </c>
      <c r="AI119" s="243">
        <f t="shared" ca="1" si="91"/>
        <v>6.8156372309797248</v>
      </c>
      <c r="AJ119" s="242">
        <f t="shared" ca="1" si="92"/>
        <v>10.203116903601318</v>
      </c>
      <c r="AK119" s="241">
        <f t="shared" ca="1" si="93"/>
        <v>2.4389853642875465</v>
      </c>
      <c r="AL119" s="243">
        <f t="shared" ca="1" si="94"/>
        <v>3.0193272933240181</v>
      </c>
      <c r="AM119" s="243"/>
      <c r="AN119" s="242">
        <f t="shared" ca="1" si="61"/>
        <v>5.4583126576115646</v>
      </c>
      <c r="AO119" s="224"/>
      <c r="AP119" s="235">
        <f t="shared" si="95"/>
        <v>8.6923076923076916</v>
      </c>
      <c r="AQ119" s="235">
        <f t="shared" si="62"/>
        <v>0.77341909989746227</v>
      </c>
      <c r="AR119" s="235">
        <f t="shared" si="63"/>
        <v>0.87860803618085748</v>
      </c>
      <c r="AT119" s="230">
        <f t="shared" ca="1" si="64"/>
        <v>51587.331534294528</v>
      </c>
      <c r="AU119" s="231">
        <f t="shared" ca="1" si="65"/>
        <v>3211.0811232086749</v>
      </c>
      <c r="AV119" s="231">
        <f t="shared" ca="1" si="96"/>
        <v>4836.9319949911487</v>
      </c>
      <c r="AW119" s="231"/>
      <c r="AX119" s="231">
        <f t="shared" ca="1" si="97"/>
        <v>12870.210441361169</v>
      </c>
      <c r="AY119" s="231">
        <f t="shared" ca="1" si="98"/>
        <v>1608.7763051701461</v>
      </c>
      <c r="AZ119" s="231"/>
      <c r="BA119" s="232">
        <f t="shared" ca="1" si="66"/>
        <v>74114.331399025672</v>
      </c>
      <c r="BB119" s="231">
        <f t="shared" ca="1" si="67"/>
        <v>264.34135297709861</v>
      </c>
      <c r="BC119" s="231">
        <f t="shared" ca="1" si="99"/>
        <v>17366.365212724886</v>
      </c>
      <c r="BD119" s="231">
        <f t="shared" ca="1" si="100"/>
        <v>93221.893016549628</v>
      </c>
      <c r="BE119" s="231">
        <f t="shared" ca="1" si="101"/>
        <v>3236.871285296862</v>
      </c>
      <c r="BF119" s="231">
        <f t="shared" ca="1" si="68"/>
        <v>33322.546228214553</v>
      </c>
      <c r="BG119" s="231">
        <f t="shared" ca="1" si="69"/>
        <v>147412.01709576306</v>
      </c>
      <c r="BH119" s="232">
        <f t="shared" ca="1" si="70"/>
        <v>221526.34849478869</v>
      </c>
      <c r="BI119" s="244">
        <f t="shared" ca="1" si="102"/>
        <v>2.9762668627646316</v>
      </c>
      <c r="BJ119" s="243">
        <f t="shared" ca="1" si="103"/>
        <v>5.9882736428322332</v>
      </c>
      <c r="BK119" s="242">
        <f t="shared" ca="1" si="104"/>
        <v>8.9645405055968652</v>
      </c>
      <c r="BL119" s="241">
        <f t="shared" ca="1" si="105"/>
        <v>2.1429121411905347</v>
      </c>
      <c r="BM119" s="243">
        <f t="shared" ca="1" si="106"/>
        <v>2.6528052237746795</v>
      </c>
      <c r="BN119" s="243">
        <f t="shared" si="71"/>
        <v>0</v>
      </c>
      <c r="BO119" s="242">
        <f t="shared" ca="1" si="72"/>
        <v>4.7957173649652143</v>
      </c>
      <c r="BP119" s="67"/>
      <c r="BQ119" s="67"/>
      <c r="BR119" s="67"/>
      <c r="BS119" s="67"/>
      <c r="BT119" s="67"/>
      <c r="BU119" s="67"/>
    </row>
    <row r="120" spans="1:73" ht="12" customHeight="1" x14ac:dyDescent="0.15">
      <c r="A120" s="213">
        <f t="shared" si="73"/>
        <v>114</v>
      </c>
      <c r="B120" s="67">
        <f t="shared" si="74"/>
        <v>456</v>
      </c>
      <c r="C120" s="224">
        <f t="shared" si="75"/>
        <v>105.23076923076924</v>
      </c>
      <c r="D120" s="225">
        <f ca="1">IFERROR(OFFSET(extrapolation!V129,0,OS_dist_choice-1,1,1),0)</f>
        <v>0.13086771613293274</v>
      </c>
      <c r="E120" s="225">
        <f ca="1">IFERROR(OFFSET(extrapolation!J129,0,PFS_dist_choice-1,1,1),0)</f>
        <v>4.3605217202754454E-2</v>
      </c>
      <c r="F120" s="214"/>
      <c r="G120" s="226">
        <f t="shared" ca="1" si="76"/>
        <v>43.605217202754453</v>
      </c>
      <c r="H120" s="224">
        <f t="shared" ca="1" si="77"/>
        <v>87.262498930178367</v>
      </c>
      <c r="I120" s="224">
        <f t="shared" ca="1" si="54"/>
        <v>869.13228386706714</v>
      </c>
      <c r="J120" s="227">
        <f t="shared" ca="1" si="55"/>
        <v>1000</v>
      </c>
      <c r="K120" s="238">
        <f t="shared" ca="1" si="78"/>
        <v>0.38656573595716281</v>
      </c>
      <c r="L120" s="239">
        <f t="shared" ca="1" si="79"/>
        <v>1.4763986949138825</v>
      </c>
      <c r="M120" s="238">
        <f t="shared" ca="1" si="80"/>
        <v>43.798500070733034</v>
      </c>
      <c r="N120" s="238">
        <f t="shared" ca="1" si="81"/>
        <v>87.807415409656755</v>
      </c>
      <c r="O120" s="239">
        <f t="shared" ca="1" si="82"/>
        <v>868.39408451961026</v>
      </c>
      <c r="P120" s="217"/>
      <c r="Q120" s="217"/>
      <c r="R120" s="224"/>
      <c r="S120" s="230">
        <f t="shared" ca="1" si="83"/>
        <v>66114.247764903179</v>
      </c>
      <c r="T120" s="231">
        <f t="shared" ca="1" si="84"/>
        <v>4115.31681633676</v>
      </c>
      <c r="U120" s="231">
        <f t="shared" ca="1" si="107"/>
        <v>6199.0048879779779</v>
      </c>
      <c r="V120" s="231"/>
      <c r="W120" s="231">
        <f t="shared" ca="1" si="85"/>
        <v>16493.814350636931</v>
      </c>
      <c r="X120" s="231">
        <f t="shared" ca="1" si="86"/>
        <v>2061.7267938296163</v>
      </c>
      <c r="Y120" s="231"/>
      <c r="Z120" s="232">
        <f t="shared" ca="1" si="56"/>
        <v>94984.110613684461</v>
      </c>
      <c r="AA120" s="231">
        <f t="shared" ca="1" si="57"/>
        <v>335.88012977993594</v>
      </c>
      <c r="AB120" s="231">
        <f t="shared" ca="1" si="87"/>
        <v>22176.171475958407</v>
      </c>
      <c r="AC120" s="231">
        <f t="shared" ca="1" si="88"/>
        <v>119040.72380866866</v>
      </c>
      <c r="AD120" s="231">
        <f t="shared" ca="1" si="89"/>
        <v>4133.3584655787727</v>
      </c>
      <c r="AE120" s="231">
        <f t="shared" ca="1" si="58"/>
        <v>42299.590188964226</v>
      </c>
      <c r="AF120" s="231">
        <f t="shared" ca="1" si="59"/>
        <v>187985.72406894999</v>
      </c>
      <c r="AG120" s="232">
        <f t="shared" ca="1" si="60"/>
        <v>282969.83468263445</v>
      </c>
      <c r="AH120" s="244">
        <f t="shared" ca="1" si="90"/>
        <v>3.3575852210281312</v>
      </c>
      <c r="AI120" s="243">
        <f t="shared" ca="1" si="91"/>
        <v>6.7313008390701965</v>
      </c>
      <c r="AJ120" s="242">
        <f t="shared" ca="1" si="92"/>
        <v>10.088886060098329</v>
      </c>
      <c r="AK120" s="241">
        <f t="shared" ca="1" si="93"/>
        <v>2.4174613591402543</v>
      </c>
      <c r="AL120" s="243">
        <f t="shared" ca="1" si="94"/>
        <v>2.9819662717080972</v>
      </c>
      <c r="AM120" s="243"/>
      <c r="AN120" s="242">
        <f t="shared" ca="1" si="61"/>
        <v>5.3994276308483515</v>
      </c>
      <c r="AO120" s="224"/>
      <c r="AP120" s="235">
        <f t="shared" si="95"/>
        <v>8.7692307692307701</v>
      </c>
      <c r="AQ120" s="235">
        <f t="shared" si="62"/>
        <v>0.77166253286847541</v>
      </c>
      <c r="AR120" s="235">
        <f t="shared" si="63"/>
        <v>0.87760236182642037</v>
      </c>
      <c r="AT120" s="230">
        <f t="shared" ca="1" si="64"/>
        <v>51017.887888959129</v>
      </c>
      <c r="AU120" s="231">
        <f t="shared" ca="1" si="65"/>
        <v>3175.6357980506546</v>
      </c>
      <c r="AV120" s="231">
        <f t="shared" ca="1" si="96"/>
        <v>4783.5398131211459</v>
      </c>
      <c r="AW120" s="231"/>
      <c r="AX120" s="231">
        <f t="shared" ca="1" si="97"/>
        <v>12727.658558474903</v>
      </c>
      <c r="AY120" s="231">
        <f t="shared" ca="1" si="98"/>
        <v>1590.9573198093628</v>
      </c>
      <c r="AZ120" s="231"/>
      <c r="BA120" s="232">
        <f t="shared" ca="1" si="66"/>
        <v>73295.679378415196</v>
      </c>
      <c r="BB120" s="231">
        <f t="shared" ca="1" si="67"/>
        <v>259.18611168617758</v>
      </c>
      <c r="BC120" s="231">
        <f t="shared" ca="1" si="99"/>
        <v>17112.520650463703</v>
      </c>
      <c r="BD120" s="231">
        <f t="shared" ca="1" si="100"/>
        <v>91859.266448693874</v>
      </c>
      <c r="BE120" s="231">
        <f t="shared" ca="1" si="101"/>
        <v>3189.5578628018707</v>
      </c>
      <c r="BF120" s="231">
        <f t="shared" ca="1" si="68"/>
        <v>32641.008904514649</v>
      </c>
      <c r="BG120" s="231">
        <f t="shared" ca="1" si="69"/>
        <v>145061.53997816026</v>
      </c>
      <c r="BH120" s="232">
        <f t="shared" ca="1" si="70"/>
        <v>218357.21935657546</v>
      </c>
      <c r="BI120" s="244">
        <f t="shared" ca="1" si="102"/>
        <v>2.9466247200077715</v>
      </c>
      <c r="BJ120" s="243">
        <f t="shared" ca="1" si="103"/>
        <v>5.9074055145321696</v>
      </c>
      <c r="BK120" s="242">
        <f t="shared" ca="1" si="104"/>
        <v>8.8540302345399429</v>
      </c>
      <c r="BL120" s="241">
        <f t="shared" ca="1" si="105"/>
        <v>2.1215697984055955</v>
      </c>
      <c r="BM120" s="243">
        <f t="shared" ca="1" si="106"/>
        <v>2.6169806429377513</v>
      </c>
      <c r="BN120" s="243">
        <f t="shared" si="71"/>
        <v>0</v>
      </c>
      <c r="BO120" s="242">
        <f t="shared" ca="1" si="72"/>
        <v>4.7385504413433468</v>
      </c>
      <c r="BP120" s="67"/>
      <c r="BQ120" s="67"/>
      <c r="BR120" s="67"/>
      <c r="BS120" s="67"/>
      <c r="BT120" s="67"/>
      <c r="BU120" s="67"/>
    </row>
    <row r="121" spans="1:73" ht="12" customHeight="1" x14ac:dyDescent="0.15">
      <c r="A121" s="213">
        <f t="shared" si="73"/>
        <v>115</v>
      </c>
      <c r="B121" s="67">
        <f t="shared" si="74"/>
        <v>460</v>
      </c>
      <c r="C121" s="224">
        <f t="shared" si="75"/>
        <v>106.15384615384616</v>
      </c>
      <c r="D121" s="225">
        <f ca="1">IFERROR(OFFSET(extrapolation!V130,0,OS_dist_choice-1,1,1),0)</f>
        <v>0.12941804298019385</v>
      </c>
      <c r="E121" s="225">
        <f ca="1">IFERROR(OFFSET(extrapolation!J130,0,PFS_dist_choice-1,1,1),0)</f>
        <v>4.3225271321449835E-2</v>
      </c>
      <c r="F121" s="214"/>
      <c r="G121" s="226">
        <f t="shared" ca="1" si="76"/>
        <v>43.225271321449831</v>
      </c>
      <c r="H121" s="224">
        <f t="shared" ca="1" si="77"/>
        <v>86.19277165874405</v>
      </c>
      <c r="I121" s="224">
        <f t="shared" ca="1" si="54"/>
        <v>870.58195701980617</v>
      </c>
      <c r="J121" s="227">
        <f t="shared" ca="1" si="55"/>
        <v>1000</v>
      </c>
      <c r="K121" s="238">
        <f t="shared" ca="1" si="78"/>
        <v>0.37994588130462148</v>
      </c>
      <c r="L121" s="239">
        <f t="shared" ca="1" si="79"/>
        <v>1.4496731527390239</v>
      </c>
      <c r="M121" s="238">
        <f t="shared" ca="1" si="80"/>
        <v>43.415244262102142</v>
      </c>
      <c r="N121" s="238">
        <f t="shared" ca="1" si="81"/>
        <v>86.727635294461209</v>
      </c>
      <c r="O121" s="239">
        <f t="shared" ca="1" si="82"/>
        <v>869.85712044343666</v>
      </c>
      <c r="P121" s="217"/>
      <c r="Q121" s="217"/>
      <c r="R121" s="224"/>
      <c r="S121" s="230">
        <f t="shared" ca="1" si="83"/>
        <v>65538.17366769076</v>
      </c>
      <c r="T121" s="231">
        <f t="shared" ca="1" si="84"/>
        <v>4079.4587751450276</v>
      </c>
      <c r="U121" s="231">
        <f t="shared" ca="1" si="107"/>
        <v>6144.9910215999498</v>
      </c>
      <c r="V121" s="231"/>
      <c r="W121" s="231">
        <f t="shared" ca="1" si="85"/>
        <v>16349.486345199473</v>
      </c>
      <c r="X121" s="231">
        <f t="shared" ca="1" si="86"/>
        <v>2043.6857931499342</v>
      </c>
      <c r="Y121" s="231"/>
      <c r="Z121" s="232">
        <f t="shared" ca="1" si="56"/>
        <v>94155.795602785161</v>
      </c>
      <c r="AA121" s="231">
        <f t="shared" ca="1" si="57"/>
        <v>330.12825517492359</v>
      </c>
      <c r="AB121" s="231">
        <f t="shared" ca="1" si="87"/>
        <v>21903.467981849262</v>
      </c>
      <c r="AC121" s="231">
        <f t="shared" ca="1" si="88"/>
        <v>117576.86331502578</v>
      </c>
      <c r="AD121" s="231">
        <f t="shared" ca="1" si="89"/>
        <v>4082.5299762161726</v>
      </c>
      <c r="AE121" s="231">
        <f t="shared" ca="1" si="58"/>
        <v>41533.889511045149</v>
      </c>
      <c r="AF121" s="231">
        <f t="shared" ca="1" si="59"/>
        <v>185426.87903931129</v>
      </c>
      <c r="AG121" s="232">
        <f t="shared" ca="1" si="60"/>
        <v>279582.67464209645</v>
      </c>
      <c r="AH121" s="244">
        <f t="shared" ca="1" si="90"/>
        <v>3.3282048989428064</v>
      </c>
      <c r="AI121" s="243">
        <f t="shared" ca="1" si="91"/>
        <v>6.6485250875973003</v>
      </c>
      <c r="AJ121" s="242">
        <f t="shared" ca="1" si="92"/>
        <v>9.9767299865401071</v>
      </c>
      <c r="AK121" s="241">
        <f t="shared" ca="1" si="93"/>
        <v>2.3963075272388203</v>
      </c>
      <c r="AL121" s="243">
        <f t="shared" ca="1" si="94"/>
        <v>2.945296613805604</v>
      </c>
      <c r="AM121" s="243"/>
      <c r="AN121" s="242">
        <f t="shared" ca="1" si="61"/>
        <v>5.3416041410444244</v>
      </c>
      <c r="AO121" s="224"/>
      <c r="AP121" s="235">
        <f t="shared" si="95"/>
        <v>8.8461538461538467</v>
      </c>
      <c r="AQ121" s="235">
        <f t="shared" si="62"/>
        <v>0.76990995530358097</v>
      </c>
      <c r="AR121" s="235">
        <f t="shared" si="63"/>
        <v>0.87659783858927942</v>
      </c>
      <c r="AT121" s="230">
        <f t="shared" ca="1" si="64"/>
        <v>50458.492359170123</v>
      </c>
      <c r="AU121" s="231">
        <f t="shared" ca="1" si="65"/>
        <v>3140.8159232347093</v>
      </c>
      <c r="AV121" s="231">
        <f t="shared" ca="1" si="96"/>
        <v>4731.0897627809236</v>
      </c>
      <c r="AW121" s="231"/>
      <c r="AX121" s="231">
        <f t="shared" ca="1" si="97"/>
        <v>12587.632301269034</v>
      </c>
      <c r="AY121" s="231">
        <f t="shared" ca="1" si="98"/>
        <v>1573.4540376586292</v>
      </c>
      <c r="AZ121" s="231"/>
      <c r="BA121" s="232">
        <f t="shared" ca="1" si="66"/>
        <v>72491.484384113428</v>
      </c>
      <c r="BB121" s="231">
        <f t="shared" ca="1" si="67"/>
        <v>254.16903018617461</v>
      </c>
      <c r="BC121" s="231">
        <f t="shared" ca="1" si="99"/>
        <v>16863.698054898981</v>
      </c>
      <c r="BD121" s="231">
        <f t="shared" ca="1" si="100"/>
        <v>90523.597579606751</v>
      </c>
      <c r="BE121" s="231">
        <f t="shared" ca="1" si="101"/>
        <v>3143.1804715141229</v>
      </c>
      <c r="BF121" s="231">
        <f t="shared" ca="1" si="68"/>
        <v>31977.355017032642</v>
      </c>
      <c r="BG121" s="231">
        <f t="shared" ca="1" si="69"/>
        <v>142762.00015323868</v>
      </c>
      <c r="BH121" s="232">
        <f t="shared" ca="1" si="70"/>
        <v>215253.48453735211</v>
      </c>
      <c r="BI121" s="244">
        <f t="shared" ca="1" si="102"/>
        <v>2.9174972207955152</v>
      </c>
      <c r="BJ121" s="243">
        <f t="shared" ca="1" si="103"/>
        <v>5.8280827215943933</v>
      </c>
      <c r="BK121" s="242">
        <f t="shared" ca="1" si="104"/>
        <v>8.7455799423899094</v>
      </c>
      <c r="BL121" s="241">
        <f t="shared" ca="1" si="105"/>
        <v>2.1005979989727708</v>
      </c>
      <c r="BM121" s="243">
        <f t="shared" ca="1" si="106"/>
        <v>2.5818406456663161</v>
      </c>
      <c r="BN121" s="243">
        <f t="shared" si="71"/>
        <v>0</v>
      </c>
      <c r="BO121" s="242">
        <f t="shared" ca="1" si="72"/>
        <v>4.6824386446390864</v>
      </c>
      <c r="BP121" s="67"/>
      <c r="BQ121" s="67"/>
      <c r="BR121" s="67"/>
      <c r="BS121" s="67"/>
      <c r="BT121" s="67"/>
      <c r="BU121" s="67"/>
    </row>
    <row r="122" spans="1:73" ht="12" customHeight="1" x14ac:dyDescent="0.15">
      <c r="A122" s="213">
        <f t="shared" si="73"/>
        <v>116</v>
      </c>
      <c r="B122" s="67">
        <f t="shared" si="74"/>
        <v>464</v>
      </c>
      <c r="C122" s="224">
        <f t="shared" si="75"/>
        <v>107.07692307692308</v>
      </c>
      <c r="D122" s="225">
        <f ca="1">IFERROR(OFFSET(extrapolation!V131,0,OS_dist_choice-1,1,1),0)</f>
        <v>0.12799443808203748</v>
      </c>
      <c r="E122" s="225">
        <f ca="1">IFERROR(OFFSET(extrapolation!J131,0,PFS_dist_choice-1,1,1),0)</f>
        <v>4.2851777580570842E-2</v>
      </c>
      <c r="F122" s="214"/>
      <c r="G122" s="226">
        <f t="shared" ca="1" si="76"/>
        <v>42.85177758057084</v>
      </c>
      <c r="H122" s="224">
        <f t="shared" ca="1" si="77"/>
        <v>85.142660501466708</v>
      </c>
      <c r="I122" s="224">
        <f t="shared" ca="1" si="54"/>
        <v>872.0055619179625</v>
      </c>
      <c r="J122" s="227">
        <f t="shared" ca="1" si="55"/>
        <v>1000</v>
      </c>
      <c r="K122" s="238">
        <f t="shared" ca="1" si="78"/>
        <v>0.37349374087899179</v>
      </c>
      <c r="L122" s="239">
        <f t="shared" ca="1" si="79"/>
        <v>1.4236048981563272</v>
      </c>
      <c r="M122" s="238">
        <f t="shared" ca="1" si="80"/>
        <v>43.038524451010332</v>
      </c>
      <c r="N122" s="238">
        <f t="shared" ca="1" si="81"/>
        <v>85.667716080105379</v>
      </c>
      <c r="O122" s="239">
        <f t="shared" ca="1" si="82"/>
        <v>871.29375946888433</v>
      </c>
      <c r="P122" s="217"/>
      <c r="Q122" s="217"/>
      <c r="R122" s="224"/>
      <c r="S122" s="230">
        <f t="shared" ca="1" si="83"/>
        <v>64971.882308372536</v>
      </c>
      <c r="T122" s="231">
        <f t="shared" ca="1" si="84"/>
        <v>4044.2096657210586</v>
      </c>
      <c r="U122" s="231">
        <f t="shared" ca="1" si="107"/>
        <v>6091.8944044091104</v>
      </c>
      <c r="V122" s="231"/>
      <c r="W122" s="231">
        <f t="shared" ca="1" si="85"/>
        <v>16207.619691859274</v>
      </c>
      <c r="X122" s="231">
        <f t="shared" ca="1" si="86"/>
        <v>2025.9524614824093</v>
      </c>
      <c r="Y122" s="231"/>
      <c r="Z122" s="232">
        <f t="shared" ca="1" si="56"/>
        <v>93341.558531844377</v>
      </c>
      <c r="AA122" s="231">
        <f t="shared" ca="1" si="57"/>
        <v>324.52210449487723</v>
      </c>
      <c r="AB122" s="231">
        <f t="shared" ca="1" si="87"/>
        <v>21635.780450693062</v>
      </c>
      <c r="AC122" s="231">
        <f t="shared" ca="1" si="88"/>
        <v>116139.92829231746</v>
      </c>
      <c r="AD122" s="231">
        <f t="shared" ca="1" si="89"/>
        <v>4032.6363990388004</v>
      </c>
      <c r="AE122" s="231">
        <f t="shared" ca="1" si="58"/>
        <v>40787.020464365327</v>
      </c>
      <c r="AF122" s="231">
        <f t="shared" ca="1" si="59"/>
        <v>182919.88771090953</v>
      </c>
      <c r="AG122" s="232">
        <f t="shared" ca="1" si="60"/>
        <v>276261.44624275388</v>
      </c>
      <c r="AH122" s="244">
        <f t="shared" ca="1" si="90"/>
        <v>3.2993256252656789</v>
      </c>
      <c r="AI122" s="243">
        <f t="shared" ca="1" si="91"/>
        <v>6.5672718692483247</v>
      </c>
      <c r="AJ122" s="242">
        <f t="shared" ca="1" si="92"/>
        <v>9.8665974945140036</v>
      </c>
      <c r="AK122" s="241">
        <f t="shared" ca="1" si="93"/>
        <v>2.3755144501912886</v>
      </c>
      <c r="AL122" s="243">
        <f t="shared" ca="1" si="94"/>
        <v>2.9093014380770077</v>
      </c>
      <c r="AM122" s="243"/>
      <c r="AN122" s="242">
        <f t="shared" ca="1" si="61"/>
        <v>5.2848158882682963</v>
      </c>
      <c r="AO122" s="224"/>
      <c r="AP122" s="235">
        <f t="shared" si="95"/>
        <v>8.9230769230769234</v>
      </c>
      <c r="AQ122" s="235">
        <f t="shared" si="62"/>
        <v>0.76816135814202346</v>
      </c>
      <c r="AR122" s="235">
        <f t="shared" si="63"/>
        <v>0.87559446515184058</v>
      </c>
      <c r="AT122" s="230">
        <f t="shared" ca="1" si="64"/>
        <v>49908.889355043153</v>
      </c>
      <c r="AU122" s="231">
        <f t="shared" ca="1" si="65"/>
        <v>3106.6055894313872</v>
      </c>
      <c r="AV122" s="231">
        <f t="shared" ca="1" si="96"/>
        <v>4679.5578793486957</v>
      </c>
      <c r="AW122" s="231"/>
      <c r="AX122" s="231">
        <f t="shared" ca="1" si="97"/>
        <v>12450.067154748023</v>
      </c>
      <c r="AY122" s="231">
        <f t="shared" ca="1" si="98"/>
        <v>1556.2583943435029</v>
      </c>
      <c r="AZ122" s="231"/>
      <c r="BA122" s="232">
        <f t="shared" ca="1" si="66"/>
        <v>71701.378372914754</v>
      </c>
      <c r="BB122" s="231">
        <f t="shared" ca="1" si="67"/>
        <v>249.28534053589254</v>
      </c>
      <c r="BC122" s="231">
        <f t="shared" ca="1" si="99"/>
        <v>16619.770495467023</v>
      </c>
      <c r="BD122" s="231">
        <f t="shared" ca="1" si="100"/>
        <v>89214.205051543802</v>
      </c>
      <c r="BE122" s="231">
        <f t="shared" ca="1" si="101"/>
        <v>3097.7154531786036</v>
      </c>
      <c r="BF122" s="231">
        <f t="shared" ca="1" si="68"/>
        <v>31331.013034473373</v>
      </c>
      <c r="BG122" s="231">
        <f t="shared" ca="1" si="69"/>
        <v>140511.9893751987</v>
      </c>
      <c r="BH122" s="232">
        <f t="shared" ca="1" si="70"/>
        <v>212213.36774811344</v>
      </c>
      <c r="BI122" s="244">
        <f t="shared" ca="1" si="102"/>
        <v>2.8888712562162642</v>
      </c>
      <c r="BJ122" s="243">
        <f t="shared" ca="1" si="103"/>
        <v>5.7502668998612156</v>
      </c>
      <c r="BK122" s="242">
        <f t="shared" ca="1" si="104"/>
        <v>8.6391381560774789</v>
      </c>
      <c r="BL122" s="241">
        <f t="shared" ca="1" si="105"/>
        <v>2.07998730447571</v>
      </c>
      <c r="BM122" s="243">
        <f t="shared" ca="1" si="106"/>
        <v>2.5473682366385182</v>
      </c>
      <c r="BN122" s="243">
        <f t="shared" si="71"/>
        <v>0</v>
      </c>
      <c r="BO122" s="242">
        <f t="shared" ca="1" si="72"/>
        <v>4.6273555411142278</v>
      </c>
      <c r="BP122" s="67"/>
      <c r="BQ122" s="67"/>
      <c r="BR122" s="67"/>
      <c r="BS122" s="67"/>
      <c r="BT122" s="67"/>
      <c r="BU122" s="67"/>
    </row>
    <row r="123" spans="1:73" ht="12" customHeight="1" x14ac:dyDescent="0.15">
      <c r="A123" s="213">
        <f t="shared" si="73"/>
        <v>117</v>
      </c>
      <c r="B123" s="67">
        <f t="shared" si="74"/>
        <v>468</v>
      </c>
      <c r="C123" s="224">
        <f t="shared" si="75"/>
        <v>108</v>
      </c>
      <c r="D123" s="225">
        <f ca="1">IFERROR(OFFSET(extrapolation!V132,0,OS_dist_choice-1,1,1),0)</f>
        <v>0.12659626428506132</v>
      </c>
      <c r="E123" s="225">
        <f ca="1">IFERROR(OFFSET(extrapolation!J132,0,PFS_dist_choice-1,1,1),0)</f>
        <v>4.2484573870075405E-2</v>
      </c>
      <c r="F123" s="214"/>
      <c r="G123" s="226">
        <f t="shared" ca="1" si="76"/>
        <v>42.484573870075408</v>
      </c>
      <c r="H123" s="224">
        <f t="shared" ca="1" si="77"/>
        <v>84.111690414985901</v>
      </c>
      <c r="I123" s="224">
        <f t="shared" ca="1" si="54"/>
        <v>873.40373571493865</v>
      </c>
      <c r="J123" s="227">
        <f t="shared" ca="1" si="55"/>
        <v>1000</v>
      </c>
      <c r="K123" s="238">
        <f t="shared" ca="1" si="78"/>
        <v>0.36720371049543132</v>
      </c>
      <c r="L123" s="239">
        <f t="shared" ca="1" si="79"/>
        <v>1.3981737969761525</v>
      </c>
      <c r="M123" s="238">
        <f t="shared" ca="1" si="80"/>
        <v>42.668175725323124</v>
      </c>
      <c r="N123" s="238">
        <f t="shared" ca="1" si="81"/>
        <v>84.627175458226304</v>
      </c>
      <c r="O123" s="239">
        <f t="shared" ca="1" si="82"/>
        <v>872.70464881645057</v>
      </c>
      <c r="P123" s="217"/>
      <c r="Q123" s="217"/>
      <c r="R123" s="224"/>
      <c r="S123" s="230">
        <f t="shared" ca="1" si="83"/>
        <v>64415.127895637881</v>
      </c>
      <c r="T123" s="231">
        <f t="shared" ca="1" si="84"/>
        <v>4009.5541886528777</v>
      </c>
      <c r="U123" s="231">
        <f t="shared" ca="1" si="107"/>
        <v>6039.6919905176592</v>
      </c>
      <c r="V123" s="231"/>
      <c r="W123" s="231">
        <f t="shared" ca="1" si="85"/>
        <v>16068.152287345083</v>
      </c>
      <c r="X123" s="231">
        <f t="shared" ca="1" si="86"/>
        <v>2008.5190359181354</v>
      </c>
      <c r="Y123" s="231"/>
      <c r="Z123" s="232">
        <f t="shared" ca="1" si="56"/>
        <v>92541.045398071641</v>
      </c>
      <c r="AA123" s="231">
        <f t="shared" ca="1" si="57"/>
        <v>319.05680836272302</v>
      </c>
      <c r="AB123" s="231">
        <f t="shared" ca="1" si="87"/>
        <v>21372.987073267752</v>
      </c>
      <c r="AC123" s="231">
        <f t="shared" ca="1" si="88"/>
        <v>114729.2648739385</v>
      </c>
      <c r="AD123" s="231">
        <f t="shared" ca="1" si="89"/>
        <v>3983.6550303450867</v>
      </c>
      <c r="AE123" s="231">
        <f t="shared" ca="1" si="58"/>
        <v>40058.406193923824</v>
      </c>
      <c r="AF123" s="231">
        <f t="shared" ca="1" si="59"/>
        <v>180463.36997983788</v>
      </c>
      <c r="AG123" s="232">
        <f t="shared" ca="1" si="60"/>
        <v>273004.41537790955</v>
      </c>
      <c r="AH123" s="244">
        <f t="shared" ca="1" si="90"/>
        <v>3.2709347578618684</v>
      </c>
      <c r="AI123" s="243">
        <f t="shared" ca="1" si="91"/>
        <v>6.4875042103499982</v>
      </c>
      <c r="AJ123" s="242">
        <f t="shared" ca="1" si="92"/>
        <v>9.7584389682118662</v>
      </c>
      <c r="AK123" s="241">
        <f t="shared" ca="1" si="93"/>
        <v>2.3550730256605452</v>
      </c>
      <c r="AL123" s="243">
        <f t="shared" ca="1" si="94"/>
        <v>2.8739643651850493</v>
      </c>
      <c r="AM123" s="243"/>
      <c r="AN123" s="242">
        <f t="shared" ca="1" si="61"/>
        <v>5.229037390845594</v>
      </c>
      <c r="AO123" s="224"/>
      <c r="AP123" s="235">
        <f t="shared" si="95"/>
        <v>9</v>
      </c>
      <c r="AQ123" s="235">
        <f t="shared" si="62"/>
        <v>0.76641673234362695</v>
      </c>
      <c r="AR123" s="235">
        <f t="shared" si="63"/>
        <v>0.87459224019801729</v>
      </c>
      <c r="AT123" s="230">
        <f t="shared" ca="1" si="64"/>
        <v>49368.831835271594</v>
      </c>
      <c r="AU123" s="231">
        <f t="shared" ca="1" si="65"/>
        <v>3072.989419422041</v>
      </c>
      <c r="AV123" s="231">
        <f t="shared" ca="1" si="96"/>
        <v>4628.9209997345206</v>
      </c>
      <c r="AW123" s="231"/>
      <c r="AX123" s="231">
        <f t="shared" ca="1" si="97"/>
        <v>12314.900770866794</v>
      </c>
      <c r="AY123" s="231">
        <f t="shared" ca="1" si="98"/>
        <v>1539.3625963583493</v>
      </c>
      <c r="AZ123" s="231"/>
      <c r="BA123" s="232">
        <f t="shared" ca="1" si="66"/>
        <v>70925.005621653298</v>
      </c>
      <c r="BB123" s="231">
        <f t="shared" ca="1" si="67"/>
        <v>244.53047649734498</v>
      </c>
      <c r="BC123" s="231">
        <f t="shared" ca="1" si="99"/>
        <v>16380.614913116449</v>
      </c>
      <c r="BD123" s="231">
        <f t="shared" ca="1" si="100"/>
        <v>87930.428288870404</v>
      </c>
      <c r="BE123" s="231">
        <f t="shared" ca="1" si="101"/>
        <v>3053.1398711413335</v>
      </c>
      <c r="BF123" s="231">
        <f t="shared" ca="1" si="68"/>
        <v>30701.432778040802</v>
      </c>
      <c r="BG123" s="231">
        <f t="shared" ca="1" si="69"/>
        <v>138310.14632766633</v>
      </c>
      <c r="BH123" s="232">
        <f t="shared" ca="1" si="70"/>
        <v>209235.15194931967</v>
      </c>
      <c r="BI123" s="244">
        <f t="shared" ca="1" si="102"/>
        <v>2.8607341574199707</v>
      </c>
      <c r="BJ123" s="243">
        <f t="shared" ca="1" si="103"/>
        <v>5.6739208406240742</v>
      </c>
      <c r="BK123" s="242">
        <f t="shared" ca="1" si="104"/>
        <v>8.5346549980440436</v>
      </c>
      <c r="BL123" s="241">
        <f t="shared" ca="1" si="105"/>
        <v>2.059728593342379</v>
      </c>
      <c r="BM123" s="243">
        <f t="shared" ca="1" si="106"/>
        <v>2.5135469323964648</v>
      </c>
      <c r="BN123" s="243">
        <f t="shared" si="71"/>
        <v>0</v>
      </c>
      <c r="BO123" s="242">
        <f t="shared" ca="1" si="72"/>
        <v>4.5732755257388433</v>
      </c>
      <c r="BP123" s="67"/>
      <c r="BQ123" s="67"/>
      <c r="BR123" s="67"/>
      <c r="BS123" s="67"/>
      <c r="BT123" s="67"/>
      <c r="BU123" s="67"/>
    </row>
    <row r="124" spans="1:73" ht="12" customHeight="1" x14ac:dyDescent="0.15">
      <c r="A124" s="213">
        <f t="shared" si="73"/>
        <v>118</v>
      </c>
      <c r="B124" s="67">
        <f t="shared" si="74"/>
        <v>472</v>
      </c>
      <c r="C124" s="224">
        <f t="shared" si="75"/>
        <v>108.92307692307692</v>
      </c>
      <c r="D124" s="225">
        <f ca="1">IFERROR(OFFSET(extrapolation!V133,0,OS_dist_choice-1,1,1),0)</f>
        <v>0.12522290384169288</v>
      </c>
      <c r="E124" s="225">
        <f ca="1">IFERROR(OFFSET(extrapolation!J133,0,PFS_dist_choice-1,1,1),0)</f>
        <v>4.2123503452287214E-2</v>
      </c>
      <c r="F124" s="214"/>
      <c r="G124" s="226">
        <f t="shared" ca="1" si="76"/>
        <v>42.123503452287217</v>
      </c>
      <c r="H124" s="224">
        <f t="shared" ca="1" si="77"/>
        <v>83.099400389405673</v>
      </c>
      <c r="I124" s="224">
        <f t="shared" ca="1" si="54"/>
        <v>874.77709615830713</v>
      </c>
      <c r="J124" s="227">
        <f t="shared" ca="1" si="55"/>
        <v>1000</v>
      </c>
      <c r="K124" s="238">
        <f t="shared" ca="1" si="78"/>
        <v>0.36107041778819138</v>
      </c>
      <c r="L124" s="239">
        <f t="shared" ca="1" si="79"/>
        <v>1.3733604433684832</v>
      </c>
      <c r="M124" s="238">
        <f t="shared" ca="1" si="80"/>
        <v>42.304038661181309</v>
      </c>
      <c r="N124" s="238">
        <f t="shared" ca="1" si="81"/>
        <v>83.605545402195787</v>
      </c>
      <c r="O124" s="239">
        <f t="shared" ca="1" si="82"/>
        <v>874.09041593662289</v>
      </c>
      <c r="P124" s="217"/>
      <c r="Q124" s="217"/>
      <c r="R124" s="224"/>
      <c r="S124" s="230">
        <f t="shared" ca="1" si="83"/>
        <v>63867.672783759255</v>
      </c>
      <c r="T124" s="231">
        <f t="shared" ca="1" si="84"/>
        <v>3975.4775515546999</v>
      </c>
      <c r="U124" s="231">
        <f t="shared" ca="1" si="107"/>
        <v>5988.3614977840543</v>
      </c>
      <c r="V124" s="231"/>
      <c r="W124" s="231">
        <f t="shared" ca="1" si="85"/>
        <v>15931.024095182302</v>
      </c>
      <c r="X124" s="231">
        <f t="shared" ca="1" si="86"/>
        <v>1991.3780118977877</v>
      </c>
      <c r="Y124" s="231"/>
      <c r="Z124" s="232">
        <f t="shared" ca="1" si="56"/>
        <v>91753.913940178099</v>
      </c>
      <c r="AA124" s="231">
        <f t="shared" ca="1" si="57"/>
        <v>313.72769882489689</v>
      </c>
      <c r="AB124" s="231">
        <f t="shared" ca="1" si="87"/>
        <v>21114.969647269878</v>
      </c>
      <c r="AC124" s="231">
        <f t="shared" ca="1" si="88"/>
        <v>113344.23855506581</v>
      </c>
      <c r="AD124" s="231">
        <f t="shared" ca="1" si="89"/>
        <v>3935.5638387175622</v>
      </c>
      <c r="AE124" s="231">
        <f t="shared" ca="1" si="58"/>
        <v>39347.490712601553</v>
      </c>
      <c r="AF124" s="231">
        <f t="shared" ca="1" si="59"/>
        <v>178055.99045247969</v>
      </c>
      <c r="AG124" s="232">
        <f t="shared" ca="1" si="60"/>
        <v>269809.9043926578</v>
      </c>
      <c r="AH124" s="244">
        <f t="shared" ca="1" si="90"/>
        <v>3.2430200753266982</v>
      </c>
      <c r="AI124" s="243">
        <f t="shared" ca="1" si="91"/>
        <v>6.4091862320642905</v>
      </c>
      <c r="AJ124" s="242">
        <f t="shared" ca="1" si="92"/>
        <v>9.6522063073909887</v>
      </c>
      <c r="AK124" s="241">
        <f t="shared" ca="1" si="93"/>
        <v>2.3349744542352227</v>
      </c>
      <c r="AL124" s="243">
        <f t="shared" ca="1" si="94"/>
        <v>2.8392695008044808</v>
      </c>
      <c r="AM124" s="243"/>
      <c r="AN124" s="242">
        <f t="shared" ca="1" si="61"/>
        <v>5.174243955039703</v>
      </c>
      <c r="AO124" s="224"/>
      <c r="AP124" s="235">
        <f t="shared" si="95"/>
        <v>9.0769230769230766</v>
      </c>
      <c r="AQ124" s="235">
        <f t="shared" si="62"/>
        <v>0.76467606888874551</v>
      </c>
      <c r="AR124" s="235">
        <f t="shared" si="63"/>
        <v>0.87359116241322898</v>
      </c>
      <c r="AT124" s="230">
        <f t="shared" ca="1" si="64"/>
        <v>48838.080953357749</v>
      </c>
      <c r="AU124" s="231">
        <f t="shared" ca="1" si="65"/>
        <v>3039.9525460783029</v>
      </c>
      <c r="AV124" s="231">
        <f t="shared" ca="1" si="96"/>
        <v>4579.1567292102309</v>
      </c>
      <c r="AW124" s="231"/>
      <c r="AX124" s="231">
        <f t="shared" ca="1" si="97"/>
        <v>12182.072878475887</v>
      </c>
      <c r="AY124" s="231">
        <f t="shared" ca="1" si="98"/>
        <v>1522.7591098094858</v>
      </c>
      <c r="AZ124" s="231"/>
      <c r="BA124" s="232">
        <f t="shared" ca="1" si="66"/>
        <v>70162.022216931655</v>
      </c>
      <c r="BB124" s="231">
        <f t="shared" ca="1" si="67"/>
        <v>239.90006343893447</v>
      </c>
      <c r="BC124" s="231">
        <f t="shared" ca="1" si="99"/>
        <v>16146.111984579511</v>
      </c>
      <c r="BD124" s="231">
        <f t="shared" ca="1" si="100"/>
        <v>86671.626769475901</v>
      </c>
      <c r="BE124" s="231">
        <f t="shared" ca="1" si="101"/>
        <v>3009.4314850512465</v>
      </c>
      <c r="BF124" s="231">
        <f t="shared" ca="1" si="68"/>
        <v>30088.084518748579</v>
      </c>
      <c r="BG124" s="231">
        <f t="shared" ca="1" si="69"/>
        <v>136155.15482129416</v>
      </c>
      <c r="BH124" s="232">
        <f t="shared" ca="1" si="70"/>
        <v>206317.17703822584</v>
      </c>
      <c r="BI124" s="244">
        <f t="shared" ca="1" si="102"/>
        <v>2.8330736773340877</v>
      </c>
      <c r="BJ124" s="243">
        <f t="shared" ca="1" si="103"/>
        <v>5.5990084505919064</v>
      </c>
      <c r="BK124" s="242">
        <f t="shared" ca="1" si="104"/>
        <v>8.4320821279259945</v>
      </c>
      <c r="BL124" s="241">
        <f t="shared" ca="1" si="105"/>
        <v>2.0398130476805432</v>
      </c>
      <c r="BM124" s="243">
        <f t="shared" ca="1" si="106"/>
        <v>2.4803607436122146</v>
      </c>
      <c r="BN124" s="243">
        <f t="shared" si="71"/>
        <v>0</v>
      </c>
      <c r="BO124" s="242">
        <f t="shared" ca="1" si="72"/>
        <v>4.5201737912927573</v>
      </c>
      <c r="BP124" s="67"/>
      <c r="BQ124" s="67"/>
      <c r="BR124" s="67"/>
      <c r="BS124" s="67"/>
      <c r="BT124" s="67"/>
      <c r="BU124" s="67"/>
    </row>
    <row r="125" spans="1:73" ht="12" customHeight="1" x14ac:dyDescent="0.15">
      <c r="A125" s="213">
        <f t="shared" si="73"/>
        <v>119</v>
      </c>
      <c r="B125" s="67">
        <f t="shared" si="74"/>
        <v>476</v>
      </c>
      <c r="C125" s="224">
        <f t="shared" si="75"/>
        <v>109.84615384615384</v>
      </c>
      <c r="D125" s="225">
        <f ca="1">IFERROR(OFFSET(extrapolation!V134,0,OS_dist_choice-1,1,1),0)</f>
        <v>0.12387375771178681</v>
      </c>
      <c r="E125" s="225">
        <f ca="1">IFERROR(OFFSET(extrapolation!J134,0,PFS_dist_choice-1,1,1),0)</f>
        <v>4.176841474147943E-2</v>
      </c>
      <c r="F125" s="214"/>
      <c r="G125" s="226">
        <f t="shared" ca="1" si="76"/>
        <v>41.768414741479432</v>
      </c>
      <c r="H125" s="224">
        <f t="shared" ca="1" si="77"/>
        <v>82.105342970307333</v>
      </c>
      <c r="I125" s="224">
        <f t="shared" ca="1" si="54"/>
        <v>876.12624228821323</v>
      </c>
      <c r="J125" s="227">
        <f t="shared" ca="1" si="55"/>
        <v>1000</v>
      </c>
      <c r="K125" s="238">
        <f t="shared" ca="1" si="78"/>
        <v>0.35508871080778448</v>
      </c>
      <c r="L125" s="239">
        <f t="shared" ca="1" si="79"/>
        <v>1.3491461299061029</v>
      </c>
      <c r="M125" s="238">
        <f t="shared" ca="1" si="80"/>
        <v>41.945959096883328</v>
      </c>
      <c r="N125" s="238">
        <f t="shared" ca="1" si="81"/>
        <v>82.602371679856503</v>
      </c>
      <c r="O125" s="239">
        <f t="shared" ca="1" si="82"/>
        <v>875.45166922326018</v>
      </c>
      <c r="P125" s="217"/>
      <c r="Q125" s="217"/>
      <c r="R125" s="224"/>
      <c r="S125" s="230">
        <f t="shared" ca="1" si="83"/>
        <v>63329.287138397012</v>
      </c>
      <c r="T125" s="231">
        <f t="shared" ca="1" si="84"/>
        <v>3941.9654482647679</v>
      </c>
      <c r="U125" s="231">
        <f t="shared" ca="1" si="107"/>
        <v>5937.881376478198</v>
      </c>
      <c r="V125" s="231"/>
      <c r="W125" s="231">
        <f t="shared" ca="1" si="85"/>
        <v>15796.177060540711</v>
      </c>
      <c r="X125" s="231">
        <f t="shared" ca="1" si="86"/>
        <v>1974.5221325675889</v>
      </c>
      <c r="Y125" s="231"/>
      <c r="Z125" s="232">
        <f t="shared" ca="1" si="56"/>
        <v>90979.833156248278</v>
      </c>
      <c r="AA125" s="231">
        <f t="shared" ca="1" si="57"/>
        <v>308.53029944362515</v>
      </c>
      <c r="AB125" s="231">
        <f t="shared" ca="1" si="87"/>
        <v>20861.613454253806</v>
      </c>
      <c r="AC125" s="231">
        <f t="shared" ca="1" si="88"/>
        <v>111984.2335320735</v>
      </c>
      <c r="AD125" s="231">
        <f t="shared" ca="1" si="89"/>
        <v>3888.3414420858853</v>
      </c>
      <c r="AE125" s="231">
        <f t="shared" ca="1" si="58"/>
        <v>38653.738042882789</v>
      </c>
      <c r="AF125" s="231">
        <f t="shared" ca="1" si="59"/>
        <v>175696.45677073961</v>
      </c>
      <c r="AG125" s="232">
        <f t="shared" ca="1" si="60"/>
        <v>266676.2899269879</v>
      </c>
      <c r="AH125" s="244">
        <f t="shared" ca="1" si="90"/>
        <v>3.2155697596515624</v>
      </c>
      <c r="AI125" s="243">
        <f t="shared" ca="1" si="91"/>
        <v>6.3322831130348582</v>
      </c>
      <c r="AJ125" s="242">
        <f t="shared" ca="1" si="92"/>
        <v>9.5478528726864198</v>
      </c>
      <c r="AK125" s="241">
        <f t="shared" ca="1" si="93"/>
        <v>2.3152102269491248</v>
      </c>
      <c r="AL125" s="243">
        <f t="shared" ca="1" si="94"/>
        <v>2.8052014190744421</v>
      </c>
      <c r="AM125" s="243"/>
      <c r="AN125" s="242">
        <f t="shared" ca="1" si="61"/>
        <v>5.1204116460235669</v>
      </c>
      <c r="AO125" s="224"/>
      <c r="AP125" s="235">
        <f t="shared" si="95"/>
        <v>9.1538461538461533</v>
      </c>
      <c r="AQ125" s="235">
        <f t="shared" si="62"/>
        <v>0.76293935877822028</v>
      </c>
      <c r="AR125" s="235">
        <f t="shared" si="63"/>
        <v>0.87259123048440113</v>
      </c>
      <c r="AT125" s="230">
        <f t="shared" ca="1" si="64"/>
        <v>48316.405721250412</v>
      </c>
      <c r="AU125" s="231">
        <f t="shared" ca="1" si="65"/>
        <v>3007.4805914250219</v>
      </c>
      <c r="AV125" s="231">
        <f t="shared" ca="1" si="96"/>
        <v>4530.243409871412</v>
      </c>
      <c r="AW125" s="231"/>
      <c r="AX125" s="231">
        <f t="shared" ca="1" si="97"/>
        <v>12051.525197716162</v>
      </c>
      <c r="AY125" s="231">
        <f t="shared" ca="1" si="98"/>
        <v>1506.4406497145203</v>
      </c>
      <c r="AZ125" s="231"/>
      <c r="BA125" s="232">
        <f t="shared" ca="1" si="66"/>
        <v>69412.095569977522</v>
      </c>
      <c r="BB125" s="231">
        <f t="shared" ca="1" si="67"/>
        <v>235.38990882117167</v>
      </c>
      <c r="BC125" s="231">
        <f t="shared" ca="1" si="99"/>
        <v>15916.145991867492</v>
      </c>
      <c r="BD125" s="231">
        <f t="shared" ca="1" si="100"/>
        <v>85437.17932423063</v>
      </c>
      <c r="BE125" s="231">
        <f t="shared" ca="1" si="101"/>
        <v>2966.5687265357856</v>
      </c>
      <c r="BF125" s="231">
        <f t="shared" ca="1" si="68"/>
        <v>29490.458116818296</v>
      </c>
      <c r="BG125" s="231">
        <f t="shared" ca="1" si="69"/>
        <v>134045.74206827336</v>
      </c>
      <c r="BH125" s="232">
        <f t="shared" ca="1" si="70"/>
        <v>203457.8376382509</v>
      </c>
      <c r="BI125" s="244">
        <f t="shared" ca="1" si="102"/>
        <v>2.805877973282787</v>
      </c>
      <c r="BJ125" s="243">
        <f t="shared" ca="1" si="103"/>
        <v>5.5254947133786807</v>
      </c>
      <c r="BK125" s="242">
        <f t="shared" ca="1" si="104"/>
        <v>8.3313726866614672</v>
      </c>
      <c r="BL125" s="241">
        <f t="shared" ca="1" si="105"/>
        <v>2.0202321407636066</v>
      </c>
      <c r="BM125" s="243">
        <f t="shared" ca="1" si="106"/>
        <v>2.4477941580267557</v>
      </c>
      <c r="BN125" s="243">
        <f t="shared" si="71"/>
        <v>0</v>
      </c>
      <c r="BO125" s="242">
        <f t="shared" ca="1" si="72"/>
        <v>4.4680262987903623</v>
      </c>
      <c r="BP125" s="67"/>
      <c r="BQ125" s="67"/>
      <c r="BR125" s="67"/>
      <c r="BS125" s="67"/>
      <c r="BT125" s="67"/>
      <c r="BU125" s="67"/>
    </row>
    <row r="126" spans="1:73" ht="12" customHeight="1" x14ac:dyDescent="0.15">
      <c r="A126" s="213">
        <f t="shared" si="73"/>
        <v>120</v>
      </c>
      <c r="B126" s="67">
        <f t="shared" si="74"/>
        <v>480</v>
      </c>
      <c r="C126" s="224">
        <f t="shared" si="75"/>
        <v>110.76923076923076</v>
      </c>
      <c r="D126" s="225">
        <f ca="1">IFERROR(OFFSET(extrapolation!V135,0,OS_dist_choice-1,1,1),0)</f>
        <v>0.12254824489282377</v>
      </c>
      <c r="E126" s="225">
        <f ca="1">IFERROR(OFFSET(extrapolation!J135,0,PFS_dist_choice-1,1,1),0)</f>
        <v>4.1419161094211919E-2</v>
      </c>
      <c r="F126" s="214"/>
      <c r="G126" s="226">
        <f t="shared" ca="1" si="76"/>
        <v>41.419161094211915</v>
      </c>
      <c r="H126" s="224">
        <f t="shared" ca="1" si="77"/>
        <v>81.129083798611873</v>
      </c>
      <c r="I126" s="224">
        <f t="shared" ca="1" si="54"/>
        <v>877.45175510717627</v>
      </c>
      <c r="J126" s="227">
        <f t="shared" ca="1" si="55"/>
        <v>1000</v>
      </c>
      <c r="K126" s="238">
        <f t="shared" ca="1" si="78"/>
        <v>0.34925364726751695</v>
      </c>
      <c r="L126" s="239">
        <f t="shared" ca="1" si="79"/>
        <v>1.3255128189630341</v>
      </c>
      <c r="M126" s="238">
        <f t="shared" ca="1" si="80"/>
        <v>41.593787917845674</v>
      </c>
      <c r="N126" s="238">
        <f t="shared" ca="1" si="81"/>
        <v>81.617213384459603</v>
      </c>
      <c r="O126" s="239">
        <f t="shared" ca="1" si="82"/>
        <v>876.78899869769475</v>
      </c>
      <c r="P126" s="217"/>
      <c r="Q126" s="217"/>
      <c r="R126" s="224"/>
      <c r="S126" s="230">
        <f t="shared" ca="1" si="83"/>
        <v>62799.748618708545</v>
      </c>
      <c r="T126" s="231">
        <f t="shared" ca="1" si="84"/>
        <v>3909.0040390580693</v>
      </c>
      <c r="U126" s="231">
        <f t="shared" ca="1" si="107"/>
        <v>5888.2307794753533</v>
      </c>
      <c r="V126" s="231"/>
      <c r="W126" s="231">
        <f t="shared" ca="1" si="85"/>
        <v>15663.555029253996</v>
      </c>
      <c r="X126" s="231">
        <f t="shared" ca="1" si="86"/>
        <v>1957.9443786567494</v>
      </c>
      <c r="Y126" s="231"/>
      <c r="Z126" s="232">
        <f t="shared" ca="1" si="56"/>
        <v>90218.482845152714</v>
      </c>
      <c r="AA126" s="231">
        <f t="shared" ca="1" si="57"/>
        <v>303.46031595342674</v>
      </c>
      <c r="AB126" s="231">
        <f t="shared" ca="1" si="87"/>
        <v>20612.807141167839</v>
      </c>
      <c r="AC126" s="231">
        <f t="shared" ca="1" si="88"/>
        <v>110648.65206662401</v>
      </c>
      <c r="AD126" s="231">
        <f t="shared" ca="1" si="89"/>
        <v>3841.9670856466669</v>
      </c>
      <c r="AE126" s="231">
        <f t="shared" ca="1" si="58"/>
        <v>37976.631397405508</v>
      </c>
      <c r="AF126" s="231">
        <f t="shared" ca="1" si="59"/>
        <v>173383.51800679747</v>
      </c>
      <c r="AG126" s="232">
        <f t="shared" ca="1" si="60"/>
        <v>263602.0008519502</v>
      </c>
      <c r="AH126" s="244">
        <f t="shared" ca="1" si="90"/>
        <v>3.1885723797390249</v>
      </c>
      <c r="AI126" s="243">
        <f t="shared" ca="1" si="91"/>
        <v>6.2567610534288001</v>
      </c>
      <c r="AJ126" s="242">
        <f t="shared" ca="1" si="92"/>
        <v>9.4453334331678249</v>
      </c>
      <c r="AK126" s="241">
        <f t="shared" ca="1" si="93"/>
        <v>2.2957721134120979</v>
      </c>
      <c r="AL126" s="243">
        <f t="shared" ca="1" si="94"/>
        <v>2.7717451466689584</v>
      </c>
      <c r="AM126" s="243"/>
      <c r="AN126" s="242">
        <f t="shared" ca="1" si="61"/>
        <v>5.0675172600810559</v>
      </c>
      <c r="AO126" s="224"/>
      <c r="AP126" s="235">
        <f t="shared" si="95"/>
        <v>9.2307692307692299</v>
      </c>
      <c r="AQ126" s="235">
        <f t="shared" si="62"/>
        <v>0.76120659303333005</v>
      </c>
      <c r="AR126" s="235">
        <f t="shared" si="63"/>
        <v>0.87159244309996131</v>
      </c>
      <c r="AT126" s="230">
        <f t="shared" ca="1" si="64"/>
        <v>47803.58268939671</v>
      </c>
      <c r="AU126" s="231">
        <f t="shared" ca="1" si="65"/>
        <v>2975.5596467249193</v>
      </c>
      <c r="AV126" s="231">
        <f t="shared" ca="1" si="96"/>
        <v>4482.1600906384228</v>
      </c>
      <c r="AW126" s="231"/>
      <c r="AX126" s="231">
        <f t="shared" ca="1" si="97"/>
        <v>11923.201358608516</v>
      </c>
      <c r="AY126" s="231">
        <f t="shared" ca="1" si="98"/>
        <v>1490.4001698260645</v>
      </c>
      <c r="AZ126" s="231"/>
      <c r="BA126" s="232">
        <f t="shared" ca="1" si="66"/>
        <v>68674.903955194633</v>
      </c>
      <c r="BB126" s="231">
        <f t="shared" ca="1" si="67"/>
        <v>230.99599322772588</v>
      </c>
      <c r="BC126" s="231">
        <f t="shared" ca="1" si="99"/>
        <v>15690.604696781467</v>
      </c>
      <c r="BD126" s="231">
        <f t="shared" ca="1" si="100"/>
        <v>84226.483463365192</v>
      </c>
      <c r="BE126" s="231">
        <f t="shared" ca="1" si="101"/>
        <v>2924.5306758112915</v>
      </c>
      <c r="BF126" s="231">
        <f t="shared" ca="1" si="68"/>
        <v>28908.062200901641</v>
      </c>
      <c r="BG126" s="231">
        <f t="shared" ca="1" si="69"/>
        <v>131980.67703008733</v>
      </c>
      <c r="BH126" s="232">
        <f t="shared" ca="1" si="70"/>
        <v>200655.58098528197</v>
      </c>
      <c r="BI126" s="244">
        <f t="shared" ca="1" si="102"/>
        <v>2.7791355904577943</v>
      </c>
      <c r="BJ126" s="243">
        <f t="shared" ca="1" si="103"/>
        <v>5.4533456524506958</v>
      </c>
      <c r="BK126" s="242">
        <f t="shared" ca="1" si="104"/>
        <v>8.2324812429084897</v>
      </c>
      <c r="BL126" s="241">
        <f t="shared" ca="1" si="105"/>
        <v>2.0009776251296119</v>
      </c>
      <c r="BM126" s="243">
        <f t="shared" ca="1" si="106"/>
        <v>2.4158321240356582</v>
      </c>
      <c r="BN126" s="243">
        <f t="shared" si="71"/>
        <v>0</v>
      </c>
      <c r="BO126" s="242">
        <f t="shared" ca="1" si="72"/>
        <v>4.4168097491652691</v>
      </c>
      <c r="BP126" s="67"/>
      <c r="BQ126" s="67"/>
      <c r="BR126" s="67"/>
      <c r="BS126" s="67"/>
      <c r="BT126" s="67"/>
      <c r="BU126" s="67"/>
    </row>
    <row r="127" spans="1:73" ht="12" customHeight="1" x14ac:dyDescent="0.15">
      <c r="A127" s="213">
        <f t="shared" si="73"/>
        <v>121</v>
      </c>
      <c r="B127" s="67">
        <f t="shared" si="74"/>
        <v>484</v>
      </c>
      <c r="C127" s="224">
        <f t="shared" si="75"/>
        <v>111.69230769230771</v>
      </c>
      <c r="D127" s="225">
        <f ca="1">IFERROR(OFFSET(extrapolation!V136,0,OS_dist_choice-1,1,1),0)</f>
        <v>0.12124580177741731</v>
      </c>
      <c r="E127" s="225">
        <f ca="1">IFERROR(OFFSET(extrapolation!J136,0,PFS_dist_choice-1,1,1),0)</f>
        <v>4.1075600609816292E-2</v>
      </c>
      <c r="F127" s="214"/>
      <c r="G127" s="226">
        <f t="shared" ca="1" si="76"/>
        <v>41.075600609816291</v>
      </c>
      <c r="H127" s="224">
        <f t="shared" ca="1" si="77"/>
        <v>80.170201167600908</v>
      </c>
      <c r="I127" s="224">
        <f t="shared" ca="1" si="54"/>
        <v>878.75419822258277</v>
      </c>
      <c r="J127" s="227">
        <f t="shared" ca="1" si="55"/>
        <v>1000</v>
      </c>
      <c r="K127" s="238">
        <f t="shared" ca="1" si="78"/>
        <v>0.34356048439562414</v>
      </c>
      <c r="L127" s="239">
        <f t="shared" ca="1" si="79"/>
        <v>1.3024431154065041</v>
      </c>
      <c r="M127" s="238">
        <f t="shared" ca="1" si="80"/>
        <v>41.247380852014103</v>
      </c>
      <c r="N127" s="238">
        <f t="shared" ca="1" si="81"/>
        <v>80.649642483106391</v>
      </c>
      <c r="O127" s="239">
        <f t="shared" ca="1" si="82"/>
        <v>878.10297666487952</v>
      </c>
      <c r="P127" s="217"/>
      <c r="Q127" s="217"/>
      <c r="R127" s="224"/>
      <c r="S127" s="230">
        <f t="shared" ca="1" si="83"/>
        <v>62278.842074843706</v>
      </c>
      <c r="T127" s="231">
        <f t="shared" ca="1" si="84"/>
        <v>3876.5799318167733</v>
      </c>
      <c r="U127" s="231">
        <f t="shared" ca="1" si="107"/>
        <v>5839.3895338927023</v>
      </c>
      <c r="V127" s="231"/>
      <c r="W127" s="231">
        <f t="shared" ca="1" si="85"/>
        <v>15533.103670774879</v>
      </c>
      <c r="X127" s="231">
        <f t="shared" ca="1" si="86"/>
        <v>1941.6379588468599</v>
      </c>
      <c r="Y127" s="231"/>
      <c r="Z127" s="232">
        <f t="shared" ca="1" si="56"/>
        <v>89469.553170174899</v>
      </c>
      <c r="AA127" s="231">
        <f t="shared" ca="1" si="57"/>
        <v>298.51362744381299</v>
      </c>
      <c r="AB127" s="231">
        <f t="shared" ca="1" si="87"/>
        <v>20368.442606311062</v>
      </c>
      <c r="AC127" s="231">
        <f t="shared" ca="1" si="88"/>
        <v>109336.91387348931</v>
      </c>
      <c r="AD127" s="231">
        <f t="shared" ca="1" si="89"/>
        <v>3796.4206206072672</v>
      </c>
      <c r="AE127" s="231">
        <f t="shared" ca="1" si="58"/>
        <v>37315.672396572045</v>
      </c>
      <c r="AF127" s="231">
        <f t="shared" ca="1" si="59"/>
        <v>171115.96312442349</v>
      </c>
      <c r="AG127" s="232">
        <f t="shared" ca="1" si="60"/>
        <v>260585.5162945984</v>
      </c>
      <c r="AH127" s="244">
        <f t="shared" ca="1" si="90"/>
        <v>3.1620168757190825</v>
      </c>
      <c r="AI127" s="243">
        <f t="shared" ca="1" si="91"/>
        <v>6.1825872403202711</v>
      </c>
      <c r="AJ127" s="242">
        <f t="shared" ca="1" si="92"/>
        <v>9.3446041160393527</v>
      </c>
      <c r="AK127" s="241">
        <f t="shared" ca="1" si="93"/>
        <v>2.2766521505177395</v>
      </c>
      <c r="AL127" s="243">
        <f t="shared" ca="1" si="94"/>
        <v>2.73888614746188</v>
      </c>
      <c r="AM127" s="243"/>
      <c r="AN127" s="242">
        <f t="shared" ca="1" si="61"/>
        <v>5.015538297979619</v>
      </c>
      <c r="AO127" s="224"/>
      <c r="AP127" s="235">
        <f t="shared" si="95"/>
        <v>9.3076923076923084</v>
      </c>
      <c r="AQ127" s="235">
        <f t="shared" si="62"/>
        <v>0.75947776269574607</v>
      </c>
      <c r="AR127" s="235">
        <f t="shared" si="63"/>
        <v>0.87059479894983827</v>
      </c>
      <c r="AT127" s="230">
        <f t="shared" ca="1" si="64"/>
        <v>47299.395642283991</v>
      </c>
      <c r="AU127" s="231">
        <f t="shared" ca="1" si="65"/>
        <v>2944.1762535274306</v>
      </c>
      <c r="AV127" s="231">
        <f t="shared" ca="1" si="96"/>
        <v>4434.886498709785</v>
      </c>
      <c r="AW127" s="231"/>
      <c r="AX127" s="231">
        <f t="shared" ca="1" si="97"/>
        <v>11797.046823601186</v>
      </c>
      <c r="AY127" s="231">
        <f t="shared" ca="1" si="98"/>
        <v>1474.6308529501482</v>
      </c>
      <c r="AZ127" s="231"/>
      <c r="BA127" s="232">
        <f t="shared" ca="1" si="66"/>
        <v>67950.136071072528</v>
      </c>
      <c r="BB127" s="231">
        <f t="shared" ca="1" si="67"/>
        <v>226.71446190521857</v>
      </c>
      <c r="BC127" s="231">
        <f t="shared" ca="1" si="99"/>
        <v>15469.379220237837</v>
      </c>
      <c r="BD127" s="231">
        <f t="shared" ca="1" si="100"/>
        <v>83038.954728695142</v>
      </c>
      <c r="BE127" s="231">
        <f t="shared" ca="1" si="101"/>
        <v>2883.2970391908029</v>
      </c>
      <c r="BF127" s="231">
        <f t="shared" ca="1" si="68"/>
        <v>28340.423385235947</v>
      </c>
      <c r="BG127" s="231">
        <f t="shared" ca="1" si="69"/>
        <v>129958.76883526494</v>
      </c>
      <c r="BH127" s="232">
        <f t="shared" ca="1" si="70"/>
        <v>197908.90490633747</v>
      </c>
      <c r="BI127" s="244">
        <f t="shared" ca="1" si="102"/>
        <v>2.7528354461926505</v>
      </c>
      <c r="BJ127" s="243">
        <f t="shared" ca="1" si="103"/>
        <v>5.3825282954764617</v>
      </c>
      <c r="BK127" s="242">
        <f t="shared" ca="1" si="104"/>
        <v>8.1353637416691118</v>
      </c>
      <c r="BL127" s="241">
        <f t="shared" ca="1" si="105"/>
        <v>1.9820415212587084</v>
      </c>
      <c r="BM127" s="243">
        <f t="shared" ca="1" si="106"/>
        <v>2.3844600348960725</v>
      </c>
      <c r="BN127" s="243">
        <f t="shared" si="71"/>
        <v>0</v>
      </c>
      <c r="BO127" s="242">
        <f t="shared" ca="1" si="72"/>
        <v>4.3665015561547804</v>
      </c>
      <c r="BP127" s="67"/>
      <c r="BQ127" s="67"/>
      <c r="BR127" s="67"/>
      <c r="BS127" s="67"/>
      <c r="BT127" s="67"/>
      <c r="BU127" s="67"/>
    </row>
    <row r="128" spans="1:73" ht="12" customHeight="1" x14ac:dyDescent="0.15">
      <c r="A128" s="213">
        <f t="shared" si="73"/>
        <v>122</v>
      </c>
      <c r="B128" s="67">
        <f t="shared" si="74"/>
        <v>488</v>
      </c>
      <c r="C128" s="224">
        <f t="shared" si="75"/>
        <v>112.61538461538461</v>
      </c>
      <c r="D128" s="225">
        <f ca="1">IFERROR(OFFSET(extrapolation!V137,0,OS_dist_choice-1,1,1),0)</f>
        <v>0.11996588153690138</v>
      </c>
      <c r="E128" s="225">
        <f ca="1">IFERROR(OFFSET(extrapolation!J137,0,PFS_dist_choice-1,1,1),0)</f>
        <v>4.0737595940459476E-2</v>
      </c>
      <c r="F128" s="214"/>
      <c r="G128" s="226">
        <f t="shared" ca="1" si="76"/>
        <v>40.737595940459478</v>
      </c>
      <c r="H128" s="224">
        <f t="shared" ca="1" si="77"/>
        <v>79.228285596441879</v>
      </c>
      <c r="I128" s="224">
        <f t="shared" ca="1" si="54"/>
        <v>880.03411846309859</v>
      </c>
      <c r="J128" s="227">
        <f t="shared" ca="1" si="55"/>
        <v>1000</v>
      </c>
      <c r="K128" s="238">
        <f t="shared" ca="1" si="78"/>
        <v>0.33800466935681328</v>
      </c>
      <c r="L128" s="239">
        <f t="shared" ca="1" si="79"/>
        <v>1.2799202405158212</v>
      </c>
      <c r="M128" s="238">
        <f t="shared" ca="1" si="80"/>
        <v>40.906598275137881</v>
      </c>
      <c r="N128" s="238">
        <f t="shared" ca="1" si="81"/>
        <v>79.699243382021393</v>
      </c>
      <c r="O128" s="239">
        <f t="shared" ca="1" si="82"/>
        <v>879.39415834284068</v>
      </c>
      <c r="P128" s="217"/>
      <c r="Q128" s="217"/>
      <c r="R128" s="224"/>
      <c r="S128" s="230">
        <f t="shared" ca="1" si="83"/>
        <v>61766.359259963036</v>
      </c>
      <c r="T128" s="231">
        <f t="shared" ca="1" si="84"/>
        <v>3844.6801641046527</v>
      </c>
      <c r="U128" s="231">
        <f t="shared" ca="1" si="107"/>
        <v>5791.338114087599</v>
      </c>
      <c r="V128" s="231"/>
      <c r="W128" s="231">
        <f t="shared" ca="1" si="85"/>
        <v>15404.770404844525</v>
      </c>
      <c r="X128" s="231">
        <f t="shared" ca="1" si="86"/>
        <v>1925.5963006055656</v>
      </c>
      <c r="Y128" s="231"/>
      <c r="Z128" s="232">
        <f t="shared" ca="1" si="56"/>
        <v>88732.744243605383</v>
      </c>
      <c r="AA128" s="231">
        <f t="shared" ca="1" si="57"/>
        <v>293.68627803673593</v>
      </c>
      <c r="AB128" s="231">
        <f t="shared" ca="1" si="87"/>
        <v>20128.414889541033</v>
      </c>
      <c r="AC128" s="231">
        <f t="shared" ca="1" si="88"/>
        <v>108048.45553119053</v>
      </c>
      <c r="AD128" s="231">
        <f t="shared" ca="1" si="89"/>
        <v>3751.6824837218933</v>
      </c>
      <c r="AE128" s="231">
        <f t="shared" ca="1" si="58"/>
        <v>36670.380321311328</v>
      </c>
      <c r="AF128" s="231">
        <f t="shared" ca="1" si="59"/>
        <v>168892.61950380151</v>
      </c>
      <c r="AG128" s="232">
        <f t="shared" ca="1" si="60"/>
        <v>257625.3637474069</v>
      </c>
      <c r="AH128" s="244">
        <f t="shared" ca="1" si="90"/>
        <v>3.1358925440215213</v>
      </c>
      <c r="AI128" s="243">
        <f t="shared" ca="1" si="91"/>
        <v>6.109729814364405</v>
      </c>
      <c r="AJ128" s="242">
        <f t="shared" ca="1" si="92"/>
        <v>9.2456223583859263</v>
      </c>
      <c r="AK128" s="241">
        <f t="shared" ca="1" si="93"/>
        <v>2.2578426316954952</v>
      </c>
      <c r="AL128" s="243">
        <f t="shared" ca="1" si="94"/>
        <v>2.7066103077634316</v>
      </c>
      <c r="AM128" s="243"/>
      <c r="AN128" s="242">
        <f t="shared" ca="1" si="61"/>
        <v>4.9644529394589263</v>
      </c>
      <c r="AO128" s="224"/>
      <c r="AP128" s="235">
        <f t="shared" si="95"/>
        <v>9.384615384615385</v>
      </c>
      <c r="AQ128" s="235">
        <f t="shared" si="62"/>
        <v>0.75775285882748511</v>
      </c>
      <c r="AR128" s="235">
        <f t="shared" si="63"/>
        <v>0.86959829672546063</v>
      </c>
      <c r="AT128" s="230">
        <f t="shared" ca="1" si="64"/>
        <v>46803.635308602497</v>
      </c>
      <c r="AU128" s="231">
        <f t="shared" ca="1" si="65"/>
        <v>2913.3173856276253</v>
      </c>
      <c r="AV128" s="231">
        <f t="shared" ca="1" si="96"/>
        <v>4388.4030123864541</v>
      </c>
      <c r="AW128" s="231"/>
      <c r="AX128" s="231">
        <f t="shared" ca="1" si="97"/>
        <v>11673.008813851973</v>
      </c>
      <c r="AY128" s="231">
        <f t="shared" ca="1" si="98"/>
        <v>1459.1261017314966</v>
      </c>
      <c r="AZ128" s="231"/>
      <c r="BA128" s="232">
        <f t="shared" ca="1" si="66"/>
        <v>67237.490622200057</v>
      </c>
      <c r="BB128" s="231">
        <f t="shared" ca="1" si="67"/>
        <v>222.5416167807403</v>
      </c>
      <c r="BC128" s="231">
        <f t="shared" ca="1" si="99"/>
        <v>15252.363926215436</v>
      </c>
      <c r="BD128" s="231">
        <f t="shared" ca="1" si="100"/>
        <v>81874.026070654014</v>
      </c>
      <c r="BE128" s="231">
        <f t="shared" ca="1" si="101"/>
        <v>2842.8481274532646</v>
      </c>
      <c r="BF128" s="231">
        <f t="shared" ca="1" si="68"/>
        <v>27787.08552276481</v>
      </c>
      <c r="BG128" s="231">
        <f t="shared" ca="1" si="69"/>
        <v>127978.86526386827</v>
      </c>
      <c r="BH128" s="232">
        <f t="shared" ca="1" si="70"/>
        <v>195216.35588606831</v>
      </c>
      <c r="BI128" s="244">
        <f t="shared" ca="1" si="102"/>
        <v>2.7269668149951864</v>
      </c>
      <c r="BJ128" s="243">
        <f t="shared" ca="1" si="103"/>
        <v>5.3130106400240518</v>
      </c>
      <c r="BK128" s="242">
        <f t="shared" ca="1" si="104"/>
        <v>8.0399774550192387</v>
      </c>
      <c r="BL128" s="241">
        <f t="shared" ca="1" si="105"/>
        <v>1.9634161067965341</v>
      </c>
      <c r="BM128" s="243">
        <f t="shared" ca="1" si="106"/>
        <v>2.3536637135306551</v>
      </c>
      <c r="BN128" s="243">
        <f t="shared" si="71"/>
        <v>0</v>
      </c>
      <c r="BO128" s="242">
        <f t="shared" ca="1" si="72"/>
        <v>4.317079820327189</v>
      </c>
      <c r="BP128" s="67"/>
      <c r="BQ128" s="67"/>
      <c r="BR128" s="67"/>
      <c r="BS128" s="67"/>
      <c r="BT128" s="67"/>
      <c r="BU128" s="67"/>
    </row>
    <row r="129" spans="1:73" ht="12" customHeight="1" x14ac:dyDescent="0.15">
      <c r="A129" s="213">
        <f t="shared" si="73"/>
        <v>123</v>
      </c>
      <c r="B129" s="67">
        <f t="shared" si="74"/>
        <v>492</v>
      </c>
      <c r="C129" s="224">
        <f t="shared" si="75"/>
        <v>113.53846153846155</v>
      </c>
      <c r="D129" s="225">
        <f ca="1">IFERROR(OFFSET(extrapolation!V138,0,OS_dist_choice-1,1,1),0)</f>
        <v>0.11870795352982354</v>
      </c>
      <c r="E129" s="225">
        <f ca="1">IFERROR(OFFSET(extrapolation!J138,0,PFS_dist_choice-1,1,1),0)</f>
        <v>4.0405014110254781E-2</v>
      </c>
      <c r="F129" s="214"/>
      <c r="G129" s="226">
        <f t="shared" ca="1" si="76"/>
        <v>40.405014110254783</v>
      </c>
      <c r="H129" s="224">
        <f t="shared" ca="1" si="77"/>
        <v>78.302939419568702</v>
      </c>
      <c r="I129" s="224">
        <f t="shared" ca="1" si="54"/>
        <v>881.2920464701765</v>
      </c>
      <c r="J129" s="227">
        <f t="shared" ca="1" si="55"/>
        <v>1000</v>
      </c>
      <c r="K129" s="238">
        <f t="shared" ca="1" si="78"/>
        <v>0.33258183020469545</v>
      </c>
      <c r="L129" s="239">
        <f t="shared" ca="1" si="79"/>
        <v>1.2579280070779078</v>
      </c>
      <c r="M129" s="238">
        <f t="shared" ca="1" si="80"/>
        <v>40.571305025357134</v>
      </c>
      <c r="N129" s="238">
        <f t="shared" ca="1" si="81"/>
        <v>78.76561250800529</v>
      </c>
      <c r="O129" s="239">
        <f t="shared" ca="1" si="82"/>
        <v>880.66308246663755</v>
      </c>
      <c r="P129" s="217"/>
      <c r="Q129" s="217"/>
      <c r="R129" s="224"/>
      <c r="S129" s="230">
        <f t="shared" ca="1" si="83"/>
        <v>61262.098555973942</v>
      </c>
      <c r="T129" s="231">
        <f t="shared" ca="1" si="84"/>
        <v>3813.2921860953843</v>
      </c>
      <c r="U129" s="231">
        <f t="shared" ca="1" si="107"/>
        <v>5744.0576159420398</v>
      </c>
      <c r="V129" s="231"/>
      <c r="W129" s="231">
        <f t="shared" ca="1" si="85"/>
        <v>15278.504331669092</v>
      </c>
      <c r="X129" s="231">
        <f t="shared" ca="1" si="86"/>
        <v>1909.8130414586365</v>
      </c>
      <c r="Y129" s="231"/>
      <c r="Z129" s="232">
        <f t="shared" ca="1" si="56"/>
        <v>88007.765731139094</v>
      </c>
      <c r="AA129" s="231">
        <f t="shared" ca="1" si="57"/>
        <v>288.97446902531624</v>
      </c>
      <c r="AB129" s="231">
        <f t="shared" ca="1" si="87"/>
        <v>19892.622066567757</v>
      </c>
      <c r="AC129" s="231">
        <f t="shared" ca="1" si="88"/>
        <v>106782.7299145728</v>
      </c>
      <c r="AD129" s="231">
        <f t="shared" ca="1" si="89"/>
        <v>3707.7336775893332</v>
      </c>
      <c r="AE129" s="231">
        <f t="shared" ca="1" si="58"/>
        <v>36040.291399552938</v>
      </c>
      <c r="AF129" s="231">
        <f t="shared" ca="1" si="59"/>
        <v>166712.35152730817</v>
      </c>
      <c r="AG129" s="232">
        <f t="shared" ca="1" si="60"/>
        <v>254720.11725844728</v>
      </c>
      <c r="AH129" s="244">
        <f t="shared" ca="1" si="90"/>
        <v>3.1101890231622171</v>
      </c>
      <c r="AI129" s="243">
        <f t="shared" ca="1" si="91"/>
        <v>6.0381578377115632</v>
      </c>
      <c r="AJ129" s="242">
        <f t="shared" ca="1" si="92"/>
        <v>9.1483468608737795</v>
      </c>
      <c r="AK129" s="241">
        <f t="shared" ca="1" si="93"/>
        <v>2.2393360966767961</v>
      </c>
      <c r="AL129" s="243">
        <f t="shared" ca="1" si="94"/>
        <v>2.6749039221062225</v>
      </c>
      <c r="AM129" s="243"/>
      <c r="AN129" s="242">
        <f t="shared" ca="1" si="61"/>
        <v>4.9142400187830191</v>
      </c>
      <c r="AO129" s="224"/>
      <c r="AP129" s="235">
        <f t="shared" si="95"/>
        <v>9.4615384615384617</v>
      </c>
      <c r="AQ129" s="235">
        <f t="shared" si="62"/>
        <v>0.75603187251086412</v>
      </c>
      <c r="AR129" s="235">
        <f t="shared" si="63"/>
        <v>0.86860293511975484</v>
      </c>
      <c r="AT129" s="230">
        <f t="shared" ca="1" si="64"/>
        <v>46316.099085218084</v>
      </c>
      <c r="AU129" s="231">
        <f t="shared" ca="1" si="65"/>
        <v>2882.9704318847398</v>
      </c>
      <c r="AV129" s="231">
        <f t="shared" ca="1" si="96"/>
        <v>4342.6906351909502</v>
      </c>
      <c r="AW129" s="231"/>
      <c r="AX129" s="231">
        <f t="shared" ca="1" si="97"/>
        <v>11551.036239037132</v>
      </c>
      <c r="AY129" s="231">
        <f t="shared" ca="1" si="98"/>
        <v>1443.8795298796415</v>
      </c>
      <c r="AZ129" s="231"/>
      <c r="BA129" s="232">
        <f t="shared" ca="1" si="66"/>
        <v>66536.675921210553</v>
      </c>
      <c r="BB129" s="231">
        <f t="shared" ca="1" si="67"/>
        <v>218.47390892504254</v>
      </c>
      <c r="BC129" s="231">
        <f t="shared" ca="1" si="99"/>
        <v>15039.456310138157</v>
      </c>
      <c r="BD129" s="231">
        <f t="shared" ca="1" si="100"/>
        <v>80731.147249136338</v>
      </c>
      <c r="BE129" s="231">
        <f t="shared" ca="1" si="101"/>
        <v>2803.1648350394562</v>
      </c>
      <c r="BF129" s="231">
        <f t="shared" ca="1" si="68"/>
        <v>27247.608992641199</v>
      </c>
      <c r="BG129" s="231">
        <f t="shared" ca="1" si="69"/>
        <v>126039.85129588022</v>
      </c>
      <c r="BH129" s="232">
        <f t="shared" ca="1" si="70"/>
        <v>192576.52721709077</v>
      </c>
      <c r="BI129" s="244">
        <f t="shared" ca="1" si="102"/>
        <v>2.7015193142959451</v>
      </c>
      <c r="BJ129" s="243">
        <f t="shared" ca="1" si="103"/>
        <v>5.244761620552616</v>
      </c>
      <c r="BK129" s="242">
        <f t="shared" ca="1" si="104"/>
        <v>7.9462809348485601</v>
      </c>
      <c r="BL129" s="241">
        <f t="shared" ca="1" si="105"/>
        <v>1.9450939062930801</v>
      </c>
      <c r="BM129" s="243">
        <f t="shared" ca="1" si="106"/>
        <v>2.3234293979048091</v>
      </c>
      <c r="BN129" s="243">
        <f t="shared" si="71"/>
        <v>0</v>
      </c>
      <c r="BO129" s="242">
        <f t="shared" ca="1" si="72"/>
        <v>4.2685233041978892</v>
      </c>
      <c r="BP129" s="67"/>
      <c r="BQ129" s="67"/>
      <c r="BR129" s="67"/>
      <c r="BS129" s="67"/>
      <c r="BT129" s="67"/>
      <c r="BU129" s="67"/>
    </row>
    <row r="130" spans="1:73" ht="12" customHeight="1" x14ac:dyDescent="0.15">
      <c r="A130" s="213">
        <f t="shared" si="73"/>
        <v>124</v>
      </c>
      <c r="B130" s="67">
        <f t="shared" si="74"/>
        <v>496</v>
      </c>
      <c r="C130" s="224">
        <f t="shared" si="75"/>
        <v>114.46153846153845</v>
      </c>
      <c r="D130" s="225">
        <f ca="1">IFERROR(OFFSET(extrapolation!V139,0,OS_dist_choice-1,1,1),0)</f>
        <v>0.11747150273423498</v>
      </c>
      <c r="E130" s="225">
        <f ca="1">IFERROR(OFFSET(extrapolation!J139,0,PFS_dist_choice-1,1,1),0)</f>
        <v>4.0077726342921303E-2</v>
      </c>
      <c r="F130" s="214"/>
      <c r="G130" s="226">
        <f t="shared" ca="1" si="76"/>
        <v>40.077726342921302</v>
      </c>
      <c r="H130" s="224">
        <f t="shared" ca="1" si="77"/>
        <v>77.393776391313736</v>
      </c>
      <c r="I130" s="224">
        <f t="shared" ca="1" si="54"/>
        <v>882.52849726576494</v>
      </c>
      <c r="J130" s="227">
        <f t="shared" ca="1" si="55"/>
        <v>1000</v>
      </c>
      <c r="K130" s="238">
        <f t="shared" ca="1" si="78"/>
        <v>0.32728776733348042</v>
      </c>
      <c r="L130" s="239">
        <f t="shared" ca="1" si="79"/>
        <v>1.2364507955884392</v>
      </c>
      <c r="M130" s="238">
        <f t="shared" ca="1" si="80"/>
        <v>40.241370226588046</v>
      </c>
      <c r="N130" s="238">
        <f t="shared" ca="1" si="81"/>
        <v>77.848357905441219</v>
      </c>
      <c r="O130" s="239">
        <f t="shared" ca="1" si="82"/>
        <v>881.91027186797078</v>
      </c>
      <c r="P130" s="217"/>
      <c r="Q130" s="217"/>
      <c r="R130" s="224"/>
      <c r="S130" s="230">
        <f t="shared" ca="1" si="83"/>
        <v>60765.864712227813</v>
      </c>
      <c r="T130" s="231">
        <f t="shared" ca="1" si="84"/>
        <v>3782.4038443076106</v>
      </c>
      <c r="U130" s="231">
        <f t="shared" ca="1" si="107"/>
        <v>5697.5297323623772</v>
      </c>
      <c r="V130" s="231"/>
      <c r="W130" s="231">
        <f t="shared" ca="1" si="85"/>
        <v>15154.256165409433</v>
      </c>
      <c r="X130" s="231">
        <f t="shared" ca="1" si="86"/>
        <v>1894.2820206761792</v>
      </c>
      <c r="Y130" s="231"/>
      <c r="Z130" s="232">
        <f t="shared" ca="1" si="56"/>
        <v>87294.336474983415</v>
      </c>
      <c r="AA130" s="231">
        <f t="shared" ca="1" si="57"/>
        <v>284.37455144637204</v>
      </c>
      <c r="AB130" s="231">
        <f t="shared" ca="1" si="87"/>
        <v>19660.965147175775</v>
      </c>
      <c r="AC130" s="231">
        <f t="shared" ca="1" si="88"/>
        <v>105539.20564846565</v>
      </c>
      <c r="AD130" s="231">
        <f t="shared" ca="1" si="89"/>
        <v>3664.5557516828344</v>
      </c>
      <c r="AE130" s="231">
        <f t="shared" ca="1" si="58"/>
        <v>35424.958124377416</v>
      </c>
      <c r="AF130" s="231">
        <f t="shared" ca="1" si="59"/>
        <v>164574.05922314804</v>
      </c>
      <c r="AG130" s="232">
        <f t="shared" ca="1" si="60"/>
        <v>251868.39569813147</v>
      </c>
      <c r="AH130" s="244">
        <f t="shared" ca="1" si="90"/>
        <v>3.0848962802038749</v>
      </c>
      <c r="AI130" s="243">
        <f t="shared" ca="1" si="91"/>
        <v>5.9678412631139066</v>
      </c>
      <c r="AJ130" s="242">
        <f t="shared" ca="1" si="92"/>
        <v>9.0527375433177824</v>
      </c>
      <c r="AK130" s="241">
        <f t="shared" ca="1" si="93"/>
        <v>2.2211253217467899</v>
      </c>
      <c r="AL130" s="243">
        <f t="shared" ca="1" si="94"/>
        <v>2.6437536795594605</v>
      </c>
      <c r="AM130" s="243"/>
      <c r="AN130" s="242">
        <f t="shared" ca="1" si="61"/>
        <v>4.8648790013062504</v>
      </c>
      <c r="AO130" s="224"/>
      <c r="AP130" s="235">
        <f t="shared" si="95"/>
        <v>9.5384615384615383</v>
      </c>
      <c r="AQ130" s="235">
        <f t="shared" si="62"/>
        <v>0.75431479484845343</v>
      </c>
      <c r="AR130" s="235">
        <f t="shared" si="63"/>
        <v>0.86760871282714314</v>
      </c>
      <c r="AT130" s="230">
        <f t="shared" ca="1" si="64"/>
        <v>45836.590774192999</v>
      </c>
      <c r="AU130" s="231">
        <f t="shared" ca="1" si="65"/>
        <v>2853.123179852897</v>
      </c>
      <c r="AV130" s="231">
        <f t="shared" ca="1" si="96"/>
        <v>4297.7309712098904</v>
      </c>
      <c r="AW130" s="231"/>
      <c r="AX130" s="231">
        <f t="shared" ca="1" si="97"/>
        <v>11431.079630491728</v>
      </c>
      <c r="AY130" s="231">
        <f t="shared" ca="1" si="98"/>
        <v>1428.8849538114659</v>
      </c>
      <c r="AZ130" s="231"/>
      <c r="BA130" s="232">
        <f t="shared" ca="1" si="66"/>
        <v>65847.409509558973</v>
      </c>
      <c r="BB130" s="231">
        <f t="shared" ca="1" si="67"/>
        <v>214.50793143439108</v>
      </c>
      <c r="BC130" s="231">
        <f t="shared" ca="1" si="99"/>
        <v>14830.556891514489</v>
      </c>
      <c r="BD130" s="231">
        <f t="shared" ca="1" si="100"/>
        <v>79609.784257191102</v>
      </c>
      <c r="BE130" s="231">
        <f t="shared" ca="1" si="101"/>
        <v>2764.2286200413573</v>
      </c>
      <c r="BF130" s="231">
        <f t="shared" ca="1" si="68"/>
        <v>26721.570020104802</v>
      </c>
      <c r="BG130" s="231">
        <f t="shared" ca="1" si="69"/>
        <v>124140.64772028614</v>
      </c>
      <c r="BH130" s="232">
        <f t="shared" ca="1" si="70"/>
        <v>189988.05722984512</v>
      </c>
      <c r="BI130" s="244">
        <f t="shared" ca="1" si="102"/>
        <v>2.6764828908729257</v>
      </c>
      <c r="BJ130" s="243">
        <f t="shared" ca="1" si="103"/>
        <v>5.1777510766469685</v>
      </c>
      <c r="BK130" s="242">
        <f t="shared" ca="1" si="104"/>
        <v>7.8542339675198951</v>
      </c>
      <c r="BL130" s="241">
        <f t="shared" ca="1" si="105"/>
        <v>1.9270676814285066</v>
      </c>
      <c r="BM130" s="243">
        <f t="shared" ca="1" si="106"/>
        <v>2.2937437269546068</v>
      </c>
      <c r="BN130" s="243">
        <f t="shared" si="71"/>
        <v>0</v>
      </c>
      <c r="BO130" s="242">
        <f t="shared" ca="1" si="72"/>
        <v>4.2208114083831134</v>
      </c>
      <c r="BP130" s="67"/>
      <c r="BQ130" s="67"/>
      <c r="BR130" s="67"/>
      <c r="BS130" s="67"/>
      <c r="BT130" s="67"/>
      <c r="BU130" s="67"/>
    </row>
    <row r="131" spans="1:73" ht="12" customHeight="1" x14ac:dyDescent="0.15">
      <c r="A131" s="213">
        <f t="shared" si="73"/>
        <v>125</v>
      </c>
      <c r="B131" s="67">
        <f t="shared" si="74"/>
        <v>500</v>
      </c>
      <c r="C131" s="224">
        <f t="shared" si="75"/>
        <v>115.38461538461539</v>
      </c>
      <c r="D131" s="225">
        <f ca="1">IFERROR(OFFSET(extrapolation!V140,0,OS_dist_choice-1,1,1),0)</f>
        <v>0.11625602920271476</v>
      </c>
      <c r="E131" s="225">
        <f ca="1">IFERROR(OFFSET(extrapolation!J140,0,PFS_dist_choice-1,1,1),0)</f>
        <v>3.9755607897525386E-2</v>
      </c>
      <c r="F131" s="214"/>
      <c r="G131" s="226">
        <f t="shared" ca="1" si="76"/>
        <v>39.755607897525387</v>
      </c>
      <c r="H131" s="224">
        <f t="shared" ca="1" si="77"/>
        <v>76.50042130518932</v>
      </c>
      <c r="I131" s="224">
        <f t="shared" ca="1" si="54"/>
        <v>883.74397079728533</v>
      </c>
      <c r="J131" s="227">
        <f t="shared" ca="1" si="55"/>
        <v>1000</v>
      </c>
      <c r="K131" s="238">
        <f t="shared" ca="1" si="78"/>
        <v>0.32211844539591539</v>
      </c>
      <c r="L131" s="239">
        <f t="shared" ca="1" si="79"/>
        <v>1.215473531520388</v>
      </c>
      <c r="M131" s="238">
        <f t="shared" ca="1" si="80"/>
        <v>39.916667120223345</v>
      </c>
      <c r="N131" s="238">
        <f t="shared" ca="1" si="81"/>
        <v>76.947098848251528</v>
      </c>
      <c r="O131" s="239">
        <f t="shared" ca="1" si="82"/>
        <v>883.13623403152519</v>
      </c>
      <c r="P131" s="217"/>
      <c r="Q131" s="217"/>
      <c r="R131" s="224"/>
      <c r="S131" s="230">
        <f t="shared" ca="1" si="83"/>
        <v>60277.468596471146</v>
      </c>
      <c r="T131" s="231">
        <f t="shared" ca="1" si="84"/>
        <v>3752.003366102761</v>
      </c>
      <c r="U131" s="231">
        <f t="shared" ca="1" si="107"/>
        <v>5651.7367299280031</v>
      </c>
      <c r="V131" s="231"/>
      <c r="W131" s="231">
        <f t="shared" ca="1" si="85"/>
        <v>15031.978170802187</v>
      </c>
      <c r="X131" s="231">
        <f t="shared" ca="1" si="86"/>
        <v>1878.9972713502734</v>
      </c>
      <c r="Y131" s="231"/>
      <c r="Z131" s="232">
        <f t="shared" ca="1" si="56"/>
        <v>86592.184134654381</v>
      </c>
      <c r="AA131" s="231">
        <f t="shared" ca="1" si="57"/>
        <v>279.88301905805912</v>
      </c>
      <c r="AB131" s="231">
        <f t="shared" ca="1" si="87"/>
        <v>19433.347977222027</v>
      </c>
      <c r="AC131" s="231">
        <f t="shared" ca="1" si="88"/>
        <v>104317.36658161184</v>
      </c>
      <c r="AD131" s="231">
        <f t="shared" ca="1" si="89"/>
        <v>3622.1307840837444</v>
      </c>
      <c r="AE131" s="231">
        <f t="shared" ca="1" si="58"/>
        <v>34823.948602748154</v>
      </c>
      <c r="AF131" s="231">
        <f t="shared" ca="1" si="59"/>
        <v>162476.67696472383</v>
      </c>
      <c r="AG131" s="232">
        <f t="shared" ca="1" si="60"/>
        <v>249068.86109937821</v>
      </c>
      <c r="AH131" s="244">
        <f t="shared" ca="1" si="90"/>
        <v>3.0600045978542196</v>
      </c>
      <c r="AI131" s="243">
        <f t="shared" ca="1" si="91"/>
        <v>5.8987509041780779</v>
      </c>
      <c r="AJ131" s="242">
        <f t="shared" ca="1" si="92"/>
        <v>8.9587555020322966</v>
      </c>
      <c r="AK131" s="241">
        <f t="shared" ca="1" si="93"/>
        <v>2.2032033104550379</v>
      </c>
      <c r="AL131" s="243">
        <f t="shared" ca="1" si="94"/>
        <v>2.6131466505508887</v>
      </c>
      <c r="AM131" s="243"/>
      <c r="AN131" s="242">
        <f t="shared" ca="1" si="61"/>
        <v>4.8163499610059262</v>
      </c>
      <c r="AO131" s="224"/>
      <c r="AP131" s="235">
        <f t="shared" si="95"/>
        <v>9.615384615384615</v>
      </c>
      <c r="AQ131" s="235">
        <f t="shared" si="62"/>
        <v>0.75260161696303085</v>
      </c>
      <c r="AR131" s="235">
        <f t="shared" si="63"/>
        <v>0.86661562854354246</v>
      </c>
      <c r="AT131" s="230">
        <f t="shared" ca="1" si="64"/>
        <v>45364.920332142501</v>
      </c>
      <c r="AU131" s="231">
        <f t="shared" ca="1" si="65"/>
        <v>2823.7638001796727</v>
      </c>
      <c r="AV131" s="231">
        <f t="shared" ca="1" si="96"/>
        <v>4253.5062015931671</v>
      </c>
      <c r="AW131" s="231"/>
      <c r="AX131" s="231">
        <f t="shared" ca="1" si="97"/>
        <v>11313.09107749871</v>
      </c>
      <c r="AY131" s="231">
        <f t="shared" ca="1" si="98"/>
        <v>1414.1363846873387</v>
      </c>
      <c r="AZ131" s="231"/>
      <c r="BA131" s="232">
        <f t="shared" ca="1" si="66"/>
        <v>65169.417796101392</v>
      </c>
      <c r="BB131" s="231">
        <f t="shared" ca="1" si="67"/>
        <v>210.64041270359007</v>
      </c>
      <c r="BC131" s="231">
        <f t="shared" ca="1" si="99"/>
        <v>14625.569110662542</v>
      </c>
      <c r="BD131" s="231">
        <f t="shared" ca="1" si="100"/>
        <v>78509.418766646311</v>
      </c>
      <c r="BE131" s="231">
        <f t="shared" ca="1" si="101"/>
        <v>2726.0214849529966</v>
      </c>
      <c r="BF131" s="231">
        <f t="shared" ca="1" si="68"/>
        <v>26208.560027465741</v>
      </c>
      <c r="BG131" s="231">
        <f t="shared" ca="1" si="69"/>
        <v>122280.20980243119</v>
      </c>
      <c r="BH131" s="232">
        <f t="shared" ca="1" si="70"/>
        <v>187449.62759853256</v>
      </c>
      <c r="BI131" s="244">
        <f t="shared" ca="1" si="102"/>
        <v>2.6518478079155643</v>
      </c>
      <c r="BJ131" s="243">
        <f t="shared" ca="1" si="103"/>
        <v>5.1119497224460746</v>
      </c>
      <c r="BK131" s="242">
        <f t="shared" ca="1" si="104"/>
        <v>7.7637975303616384</v>
      </c>
      <c r="BL131" s="241">
        <f t="shared" ca="1" si="105"/>
        <v>1.9093304216992062</v>
      </c>
      <c r="BM131" s="243">
        <f t="shared" ca="1" si="106"/>
        <v>2.2645937270436112</v>
      </c>
      <c r="BN131" s="243">
        <f t="shared" si="71"/>
        <v>0</v>
      </c>
      <c r="BO131" s="242">
        <f t="shared" ca="1" si="72"/>
        <v>4.1739241487428167</v>
      </c>
      <c r="BP131" s="67"/>
      <c r="BQ131" s="67"/>
      <c r="BR131" s="67"/>
      <c r="BS131" s="67"/>
      <c r="BT131" s="67"/>
      <c r="BU131" s="67"/>
    </row>
    <row r="132" spans="1:73" ht="12" customHeight="1" x14ac:dyDescent="0.15">
      <c r="A132" s="213">
        <f t="shared" si="73"/>
        <v>126</v>
      </c>
      <c r="B132" s="67">
        <f t="shared" si="74"/>
        <v>504</v>
      </c>
      <c r="C132" s="224">
        <f t="shared" si="75"/>
        <v>116.30769230769229</v>
      </c>
      <c r="D132" s="225">
        <f ca="1">IFERROR(OFFSET(extrapolation!V141,0,OS_dist_choice-1,1,1),0)</f>
        <v>0.11506104753911736</v>
      </c>
      <c r="E132" s="225">
        <f ca="1">IFERROR(OFFSET(extrapolation!J141,0,PFS_dist_choice-1,1,1),0)</f>
        <v>3.9438537911863913E-2</v>
      </c>
      <c r="F132" s="214"/>
      <c r="G132" s="226">
        <f t="shared" ca="1" si="76"/>
        <v>39.438537911863911</v>
      </c>
      <c r="H132" s="224">
        <f t="shared" ca="1" si="77"/>
        <v>75.622509627253407</v>
      </c>
      <c r="I132" s="224">
        <f t="shared" ca="1" si="54"/>
        <v>884.93895246088266</v>
      </c>
      <c r="J132" s="227">
        <f t="shared" ca="1" si="55"/>
        <v>1000</v>
      </c>
      <c r="K132" s="238">
        <f t="shared" ca="1" si="78"/>
        <v>0.31706998566147604</v>
      </c>
      <c r="L132" s="239">
        <f t="shared" ca="1" si="79"/>
        <v>1.194981663597332</v>
      </c>
      <c r="M132" s="238">
        <f t="shared" ca="1" si="80"/>
        <v>39.597072904694649</v>
      </c>
      <c r="N132" s="238">
        <f t="shared" ca="1" si="81"/>
        <v>76.061465466221364</v>
      </c>
      <c r="O132" s="239">
        <f t="shared" ca="1" si="82"/>
        <v>884.34146162908405</v>
      </c>
      <c r="P132" s="217"/>
      <c r="Q132" s="217"/>
      <c r="R132" s="224"/>
      <c r="S132" s="230">
        <f t="shared" ca="1" si="83"/>
        <v>59796.726957383224</v>
      </c>
      <c r="T132" s="231">
        <f t="shared" ca="1" si="84"/>
        <v>3722.0793449040798</v>
      </c>
      <c r="U132" s="231">
        <f t="shared" ca="1" si="107"/>
        <v>5606.661426626396</v>
      </c>
      <c r="V132" s="231"/>
      <c r="W132" s="231">
        <f t="shared" ca="1" si="85"/>
        <v>14911.624102741529</v>
      </c>
      <c r="X132" s="231">
        <f t="shared" ca="1" si="86"/>
        <v>1863.9530128426911</v>
      </c>
      <c r="Y132" s="231"/>
      <c r="Z132" s="232">
        <f t="shared" ca="1" si="56"/>
        <v>85901.044844497912</v>
      </c>
      <c r="AA132" s="231">
        <f t="shared" ca="1" si="57"/>
        <v>275.4965017000381</v>
      </c>
      <c r="AB132" s="231">
        <f t="shared" ca="1" si="87"/>
        <v>19209.677144262128</v>
      </c>
      <c r="AC132" s="231">
        <f t="shared" ca="1" si="88"/>
        <v>103116.71128007343</v>
      </c>
      <c r="AD132" s="231">
        <f t="shared" ca="1" si="89"/>
        <v>3580.4413638914384</v>
      </c>
      <c r="AE132" s="231">
        <f t="shared" ca="1" si="58"/>
        <v>34236.845933030469</v>
      </c>
      <c r="AF132" s="231">
        <f t="shared" ca="1" si="59"/>
        <v>160419.17222295751</v>
      </c>
      <c r="AG132" s="232">
        <f t="shared" ca="1" si="60"/>
        <v>246320.21706745541</v>
      </c>
      <c r="AH132" s="244">
        <f t="shared" ca="1" si="90"/>
        <v>3.0355045621668726</v>
      </c>
      <c r="AI132" s="243">
        <f t="shared" ca="1" si="91"/>
        <v>5.8308584067192291</v>
      </c>
      <c r="AJ132" s="242">
        <f t="shared" ca="1" si="92"/>
        <v>8.8663629688861008</v>
      </c>
      <c r="AK132" s="241">
        <f t="shared" ca="1" si="93"/>
        <v>2.1855632847601481</v>
      </c>
      <c r="AL132" s="243">
        <f t="shared" ca="1" si="94"/>
        <v>2.5830702741766185</v>
      </c>
      <c r="AM132" s="243"/>
      <c r="AN132" s="242">
        <f t="shared" ca="1" si="61"/>
        <v>4.7686335589367665</v>
      </c>
      <c r="AO132" s="224"/>
      <c r="AP132" s="235">
        <f t="shared" si="95"/>
        <v>9.6923076923076916</v>
      </c>
      <c r="AQ132" s="235">
        <f t="shared" si="62"/>
        <v>0.75089232999753619</v>
      </c>
      <c r="AR132" s="235">
        <f t="shared" si="63"/>
        <v>0.86562368096636211</v>
      </c>
      <c r="AT132" s="230">
        <f t="shared" ca="1" si="64"/>
        <v>44900.903631255969</v>
      </c>
      <c r="AU132" s="231">
        <f t="shared" ca="1" si="65"/>
        <v>2794.8808317307276</v>
      </c>
      <c r="AV132" s="231">
        <f t="shared" ca="1" si="96"/>
        <v>4209.999062146805</v>
      </c>
      <c r="AW132" s="231"/>
      <c r="AX132" s="231">
        <f t="shared" ca="1" si="97"/>
        <v>11197.024166555007</v>
      </c>
      <c r="AY132" s="231">
        <f t="shared" ca="1" si="98"/>
        <v>1399.6280208193759</v>
      </c>
      <c r="AZ132" s="231"/>
      <c r="BA132" s="232">
        <f t="shared" ca="1" si="66"/>
        <v>64502.435712507882</v>
      </c>
      <c r="BB132" s="231">
        <f t="shared" ca="1" si="67"/>
        <v>206.8682100677118</v>
      </c>
      <c r="BC132" s="231">
        <f t="shared" ca="1" si="99"/>
        <v>14424.399229355407</v>
      </c>
      <c r="BD132" s="231">
        <f t="shared" ca="1" si="100"/>
        <v>77429.547594777556</v>
      </c>
      <c r="BE132" s="231">
        <f t="shared" ca="1" si="101"/>
        <v>2688.5259581519986</v>
      </c>
      <c r="BF132" s="231">
        <f t="shared" ca="1" si="68"/>
        <v>25708.18501441992</v>
      </c>
      <c r="BG132" s="231">
        <f t="shared" ca="1" si="69"/>
        <v>120457.5260067726</v>
      </c>
      <c r="BH132" s="232">
        <f t="shared" ca="1" si="70"/>
        <v>184959.96171928046</v>
      </c>
      <c r="BI132" s="244">
        <f t="shared" ca="1" si="102"/>
        <v>2.6276046326930738</v>
      </c>
      <c r="BJ132" s="243">
        <f t="shared" ca="1" si="103"/>
        <v>5.0473291172179566</v>
      </c>
      <c r="BK132" s="242">
        <f t="shared" ca="1" si="104"/>
        <v>7.6749337499110295</v>
      </c>
      <c r="BL132" s="241">
        <f t="shared" ca="1" si="105"/>
        <v>1.8918753355390128</v>
      </c>
      <c r="BM132" s="243">
        <f t="shared" ca="1" si="106"/>
        <v>2.2359667989275547</v>
      </c>
      <c r="BN132" s="243">
        <f t="shared" si="71"/>
        <v>0</v>
      </c>
      <c r="BO132" s="242">
        <f t="shared" ca="1" si="72"/>
        <v>4.1278421344665679</v>
      </c>
      <c r="BP132" s="67"/>
      <c r="BQ132" s="67"/>
      <c r="BR132" s="67"/>
      <c r="BS132" s="67"/>
      <c r="BT132" s="67"/>
      <c r="BU132" s="67"/>
    </row>
    <row r="133" spans="1:73" ht="12" customHeight="1" x14ac:dyDescent="0.15">
      <c r="A133" s="213">
        <f t="shared" si="73"/>
        <v>127</v>
      </c>
      <c r="B133" s="67">
        <f t="shared" si="74"/>
        <v>508</v>
      </c>
      <c r="C133" s="224">
        <f t="shared" si="75"/>
        <v>117.23076923076924</v>
      </c>
      <c r="D133" s="225">
        <f ca="1">IFERROR(OFFSET(extrapolation!V142,0,OS_dist_choice-1,1,1),0)</f>
        <v>0.1138860863960854</v>
      </c>
      <c r="E133" s="225">
        <f ca="1">IFERROR(OFFSET(extrapolation!J142,0,PFS_dist_choice-1,1,1),0)</f>
        <v>3.912639925307989E-2</v>
      </c>
      <c r="F133" s="214"/>
      <c r="G133" s="226">
        <f t="shared" ca="1" si="76"/>
        <v>39.126399253079889</v>
      </c>
      <c r="H133" s="224">
        <f t="shared" ca="1" si="77"/>
        <v>74.759687143005635</v>
      </c>
      <c r="I133" s="224">
        <f t="shared" ca="1" si="54"/>
        <v>886.11391360391451</v>
      </c>
      <c r="J133" s="227">
        <f t="shared" ca="1" si="55"/>
        <v>1000</v>
      </c>
      <c r="K133" s="238">
        <f t="shared" ca="1" si="78"/>
        <v>0.31213865878402203</v>
      </c>
      <c r="L133" s="239">
        <f t="shared" ca="1" si="79"/>
        <v>1.174961143031851</v>
      </c>
      <c r="M133" s="238">
        <f t="shared" ca="1" si="80"/>
        <v>39.2824685824719</v>
      </c>
      <c r="N133" s="238">
        <f t="shared" ca="1" si="81"/>
        <v>75.191098385129521</v>
      </c>
      <c r="O133" s="239">
        <f t="shared" ca="1" si="82"/>
        <v>885.52643303239859</v>
      </c>
      <c r="P133" s="217"/>
      <c r="Q133" s="217"/>
      <c r="R133" s="224"/>
      <c r="S133" s="230">
        <f t="shared" ca="1" si="83"/>
        <v>59323.462198079425</v>
      </c>
      <c r="T133" s="231">
        <f t="shared" ca="1" si="84"/>
        <v>3692.6207260982192</v>
      </c>
      <c r="U133" s="231">
        <f t="shared" ca="1" si="107"/>
        <v>5562.2871706163423</v>
      </c>
      <c r="V133" s="231"/>
      <c r="W133" s="231">
        <f t="shared" ca="1" si="85"/>
        <v>14793.149148661598</v>
      </c>
      <c r="X133" s="231">
        <f t="shared" ca="1" si="86"/>
        <v>1849.1436435826997</v>
      </c>
      <c r="Y133" s="231"/>
      <c r="Z133" s="232">
        <f t="shared" ca="1" si="56"/>
        <v>85220.662887038299</v>
      </c>
      <c r="AA133" s="231">
        <f t="shared" ca="1" si="57"/>
        <v>271.21175900941824</v>
      </c>
      <c r="AB133" s="231">
        <f t="shared" ca="1" si="87"/>
        <v>18989.861886663744</v>
      </c>
      <c r="AC133" s="231">
        <f t="shared" ca="1" si="88"/>
        <v>101936.75253935622</v>
      </c>
      <c r="AD133" s="231">
        <f t="shared" ca="1" si="89"/>
        <v>3539.470574283202</v>
      </c>
      <c r="AE133" s="231">
        <f t="shared" ca="1" si="58"/>
        <v>33663.247610160797</v>
      </c>
      <c r="AF133" s="231">
        <f t="shared" ca="1" si="59"/>
        <v>158400.54436947338</v>
      </c>
      <c r="AG133" s="232">
        <f t="shared" ca="1" si="60"/>
        <v>243621.20725651167</v>
      </c>
      <c r="AH133" s="244">
        <f t="shared" ca="1" si="90"/>
        <v>3.0113870508123566</v>
      </c>
      <c r="AI133" s="243">
        <f t="shared" ca="1" si="91"/>
        <v>5.7641362211735157</v>
      </c>
      <c r="AJ133" s="242">
        <f t="shared" ca="1" si="92"/>
        <v>8.7755232719858718</v>
      </c>
      <c r="AK133" s="241">
        <f t="shared" ca="1" si="93"/>
        <v>2.1681986765848968</v>
      </c>
      <c r="AL133" s="243">
        <f t="shared" ca="1" si="94"/>
        <v>2.5535123459798674</v>
      </c>
      <c r="AM133" s="243"/>
      <c r="AN133" s="242">
        <f t="shared" ca="1" si="61"/>
        <v>4.7217110225647643</v>
      </c>
      <c r="AO133" s="224"/>
      <c r="AP133" s="235">
        <f t="shared" si="95"/>
        <v>9.7692307692307701</v>
      </c>
      <c r="AQ133" s="235">
        <f t="shared" si="62"/>
        <v>0.7491869251150246</v>
      </c>
      <c r="AR133" s="235">
        <f t="shared" si="63"/>
        <v>0.86463286879450285</v>
      </c>
      <c r="AT133" s="230">
        <f t="shared" ca="1" si="64"/>
        <v>44444.362231356521</v>
      </c>
      <c r="AU133" s="231">
        <f t="shared" ca="1" si="65"/>
        <v>2766.4631674015345</v>
      </c>
      <c r="AV133" s="231">
        <f t="shared" ca="1" si="96"/>
        <v>4167.192821960808</v>
      </c>
      <c r="AW133" s="231"/>
      <c r="AX133" s="231">
        <f t="shared" ca="1" si="97"/>
        <v>11082.833923453727</v>
      </c>
      <c r="AY133" s="231">
        <f t="shared" ca="1" si="98"/>
        <v>1385.3542404317159</v>
      </c>
      <c r="AZ133" s="231"/>
      <c r="BA133" s="232">
        <f t="shared" ca="1" si="66"/>
        <v>63846.206384604317</v>
      </c>
      <c r="BB133" s="231">
        <f t="shared" ca="1" si="67"/>
        <v>203.18830378730311</v>
      </c>
      <c r="BC133" s="231">
        <f t="shared" ca="1" si="99"/>
        <v>14226.95623522861</v>
      </c>
      <c r="BD133" s="231">
        <f t="shared" ca="1" si="100"/>
        <v>76369.682191171465</v>
      </c>
      <c r="BE133" s="231">
        <f t="shared" ca="1" si="101"/>
        <v>2651.7250760823426</v>
      </c>
      <c r="BF133" s="231">
        <f t="shared" ca="1" si="68"/>
        <v>25220.064966442067</v>
      </c>
      <c r="BG133" s="231">
        <f t="shared" ca="1" si="69"/>
        <v>118671.61677271179</v>
      </c>
      <c r="BH133" s="232">
        <f t="shared" ca="1" si="70"/>
        <v>182517.8231573161</v>
      </c>
      <c r="BI133" s="244">
        <f t="shared" ca="1" si="102"/>
        <v>2.6037442247945051</v>
      </c>
      <c r="BJ133" s="243">
        <f t="shared" ca="1" si="103"/>
        <v>4.9838616370355622</v>
      </c>
      <c r="BK133" s="242">
        <f t="shared" ca="1" si="104"/>
        <v>7.5876058618300668</v>
      </c>
      <c r="BL133" s="241">
        <f t="shared" ca="1" si="105"/>
        <v>1.8746958418520439</v>
      </c>
      <c r="BM133" s="243">
        <f t="shared" ca="1" si="106"/>
        <v>2.207850705206754</v>
      </c>
      <c r="BN133" s="243">
        <f t="shared" si="71"/>
        <v>0</v>
      </c>
      <c r="BO133" s="242">
        <f t="shared" ca="1" si="72"/>
        <v>4.082546547058798</v>
      </c>
      <c r="BP133" s="67"/>
      <c r="BQ133" s="67"/>
      <c r="BR133" s="67"/>
      <c r="BS133" s="67"/>
      <c r="BT133" s="67"/>
      <c r="BU133" s="67"/>
    </row>
    <row r="134" spans="1:73" ht="12" customHeight="1" x14ac:dyDescent="0.15">
      <c r="A134" s="213">
        <f t="shared" si="73"/>
        <v>128</v>
      </c>
      <c r="B134" s="67">
        <f t="shared" si="74"/>
        <v>512</v>
      </c>
      <c r="C134" s="224">
        <f t="shared" si="75"/>
        <v>118.15384615384616</v>
      </c>
      <c r="D134" s="225">
        <f ca="1">IFERROR(OFFSET(extrapolation!V143,0,OS_dist_choice-1,1,1),0)</f>
        <v>0.11273068799241089</v>
      </c>
      <c r="E134" s="225">
        <f ca="1">IFERROR(OFFSET(extrapolation!J143,0,PFS_dist_choice-1,1,1),0)</f>
        <v>3.8819078375122738E-2</v>
      </c>
      <c r="F134" s="214"/>
      <c r="G134" s="226">
        <f t="shared" ca="1" si="76"/>
        <v>38.819078375122736</v>
      </c>
      <c r="H134" s="224">
        <f t="shared" ca="1" si="77"/>
        <v>73.91160961728815</v>
      </c>
      <c r="I134" s="224">
        <f t="shared" ref="I134:I197" ca="1" si="108">cohort_size*(1-D134)</f>
        <v>887.26931200758906</v>
      </c>
      <c r="J134" s="227">
        <f t="shared" ref="J134:J197" ca="1" si="109">G134+H134+I134</f>
        <v>1000</v>
      </c>
      <c r="K134" s="238">
        <f t="shared" ca="1" si="78"/>
        <v>0.30732087795715302</v>
      </c>
      <c r="L134" s="239">
        <f t="shared" ca="1" si="79"/>
        <v>1.1553984036745533</v>
      </c>
      <c r="M134" s="238">
        <f t="shared" ca="1" si="80"/>
        <v>38.972738814101312</v>
      </c>
      <c r="N134" s="238">
        <f t="shared" ca="1" si="81"/>
        <v>74.335648380146893</v>
      </c>
      <c r="O134" s="239">
        <f t="shared" ca="1" si="82"/>
        <v>886.69161280575179</v>
      </c>
      <c r="P134" s="217"/>
      <c r="Q134" s="217"/>
      <c r="R134" s="224"/>
      <c r="S134" s="230">
        <f t="shared" ca="1" si="83"/>
        <v>58857.502159992437</v>
      </c>
      <c r="T134" s="231">
        <f t="shared" ca="1" si="84"/>
        <v>3663.6167935828103</v>
      </c>
      <c r="U134" s="231">
        <f t="shared" ca="1" si="107"/>
        <v>5518.5978199641977</v>
      </c>
      <c r="V134" s="231"/>
      <c r="W134" s="231">
        <f t="shared" ca="1" si="85"/>
        <v>14676.509873569528</v>
      </c>
      <c r="X134" s="231">
        <f t="shared" ca="1" si="86"/>
        <v>1834.563734196191</v>
      </c>
      <c r="Y134" s="231"/>
      <c r="Z134" s="232">
        <f t="shared" ref="Z134:Z197" ca="1" si="110">SUM(S134:Y134)</f>
        <v>84550.790381305153</v>
      </c>
      <c r="AA134" s="231">
        <f t="shared" ref="AA134:AA197" ca="1" si="111">PD_lumpsum_placebo*K134</f>
        <v>267.02567447356751</v>
      </c>
      <c r="AB134" s="231">
        <f t="shared" ca="1" si="87"/>
        <v>18773.814006070759</v>
      </c>
      <c r="AC134" s="231">
        <f t="shared" ca="1" si="88"/>
        <v>100777.01691452126</v>
      </c>
      <c r="AD134" s="231">
        <f t="shared" ca="1" si="89"/>
        <v>3499.2019761986548</v>
      </c>
      <c r="AE134" s="231">
        <f t="shared" ref="AE134:AE197" ca="1" si="112">End_of_life_costs_per_patient*L134</f>
        <v>33102.764956906023</v>
      </c>
      <c r="AF134" s="231">
        <f t="shared" ref="AF134:AF197" ca="1" si="113">SUM(AA134:AE134)</f>
        <v>156419.82352817027</v>
      </c>
      <c r="AG134" s="232">
        <f t="shared" ref="AG134:AG197" ca="1" si="114">Z134+AF134</f>
        <v>240970.61390947542</v>
      </c>
      <c r="AH134" s="244">
        <f t="shared" ca="1" si="90"/>
        <v>2.9876432218886699</v>
      </c>
      <c r="AI134" s="243">
        <f t="shared" ca="1" si="91"/>
        <v>5.698557576027687</v>
      </c>
      <c r="AJ134" s="242">
        <f t="shared" ca="1" si="92"/>
        <v>8.6862007979163565</v>
      </c>
      <c r="AK134" s="241">
        <f t="shared" ca="1" si="93"/>
        <v>2.1511031197598425</v>
      </c>
      <c r="AL134" s="243">
        <f t="shared" ca="1" si="94"/>
        <v>2.5244610061802653</v>
      </c>
      <c r="AM134" s="243"/>
      <c r="AN134" s="242">
        <f t="shared" ref="AN134:AN197" ca="1" si="115">AK134+AL134-AM134</f>
        <v>4.6755641259401077</v>
      </c>
      <c r="AO134" s="224"/>
      <c r="AP134" s="235">
        <f t="shared" si="95"/>
        <v>9.8461538461538467</v>
      </c>
      <c r="AQ134" s="235">
        <f t="shared" ref="AQ134:AQ197" si="116">1/(1+cDR)^AP134</f>
        <v>0.7474853934986222</v>
      </c>
      <c r="AR134" s="235">
        <f t="shared" ref="AR134:AR197" si="117">1/(1+oDR)^AP134</f>
        <v>0.86364319072835427</v>
      </c>
      <c r="AT134" s="230">
        <f t="shared" ref="AT134:AT197" ca="1" si="118">S134*AQ134</f>
        <v>43995.123162407952</v>
      </c>
      <c r="AU134" s="231">
        <f t="shared" ref="AU134:AU197" ca="1" si="119">T134*AQ134</f>
        <v>2738.5000405794076</v>
      </c>
      <c r="AV134" s="231">
        <f t="shared" ca="1" si="96"/>
        <v>4125.0712630165772</v>
      </c>
      <c r="AW134" s="231"/>
      <c r="AX134" s="231">
        <f t="shared" ca="1" si="97"/>
        <v>10970.476758031533</v>
      </c>
      <c r="AY134" s="231">
        <f t="shared" ca="1" si="98"/>
        <v>1371.3095947539416</v>
      </c>
      <c r="AZ134" s="231"/>
      <c r="BA134" s="232">
        <f t="shared" ref="BA134:BA197" ca="1" si="120">Z134*AQ134</f>
        <v>63200.480818789401</v>
      </c>
      <c r="BB134" s="231">
        <f t="shared" ref="BB134:BB197" ca="1" si="121">AA134*AQ134</f>
        <v>199.59779135810962</v>
      </c>
      <c r="BC134" s="231">
        <f t="shared" ca="1" si="99"/>
        <v>14033.151749797746</v>
      </c>
      <c r="BD134" s="231">
        <f t="shared" ca="1" si="100"/>
        <v>75329.348143968222</v>
      </c>
      <c r="BE134" s="231">
        <f t="shared" ca="1" si="101"/>
        <v>2615.602366110008</v>
      </c>
      <c r="BF134" s="231">
        <f t="shared" ref="BF134:BF197" ca="1" si="122">AE134*AQ134</f>
        <v>24743.833289705301</v>
      </c>
      <c r="BG134" s="231">
        <f t="shared" ref="BG134:BG197" ca="1" si="123">AF134*AQ134</f>
        <v>116921.53334093939</v>
      </c>
      <c r="BH134" s="232">
        <f t="shared" ref="BH134:BH197" ca="1" si="124">AG134*AQ134</f>
        <v>180122.0141597288</v>
      </c>
      <c r="BI134" s="244">
        <f t="shared" ca="1" si="102"/>
        <v>2.5802577249098713</v>
      </c>
      <c r="BJ134" s="243">
        <f t="shared" ca="1" si="103"/>
        <v>4.9215204475097876</v>
      </c>
      <c r="BK134" s="242">
        <f t="shared" ca="1" si="104"/>
        <v>7.5017781724196588</v>
      </c>
      <c r="BL134" s="241">
        <f t="shared" ca="1" si="105"/>
        <v>1.8577855619351076</v>
      </c>
      <c r="BM134" s="243">
        <f t="shared" ca="1" si="106"/>
        <v>2.1802335582468357</v>
      </c>
      <c r="BN134" s="243">
        <f t="shared" ref="BN134:BN197" si="125">AM134*AR134</f>
        <v>0</v>
      </c>
      <c r="BO134" s="242">
        <f t="shared" ref="BO134:BO197" ca="1" si="126">AN134*AR134</f>
        <v>4.0380191201819438</v>
      </c>
      <c r="BP134" s="67"/>
      <c r="BQ134" s="67"/>
      <c r="BR134" s="67"/>
      <c r="BS134" s="67"/>
      <c r="BT134" s="67"/>
      <c r="BU134" s="67"/>
    </row>
    <row r="135" spans="1:73" ht="12" customHeight="1" x14ac:dyDescent="0.15">
      <c r="A135" s="213">
        <f t="shared" ref="A135:A198" si="127">A134+1</f>
        <v>129</v>
      </c>
      <c r="B135" s="67">
        <f t="shared" ref="B135:B198" si="128">A135*cycle_length_days/7</f>
        <v>516</v>
      </c>
      <c r="C135" s="224">
        <f t="shared" ref="C135:C198" si="129">B135/52*12</f>
        <v>119.07692307692308</v>
      </c>
      <c r="D135" s="225">
        <f ca="1">IFERROR(OFFSET(extrapolation!V144,0,OS_dist_choice-1,1,1),0)</f>
        <v>0.1115944076493733</v>
      </c>
      <c r="E135" s="225">
        <f ca="1">IFERROR(OFFSET(extrapolation!J144,0,PFS_dist_choice-1,1,1),0)</f>
        <v>3.8516465182691084E-2</v>
      </c>
      <c r="F135" s="214"/>
      <c r="G135" s="226">
        <f t="shared" ref="G135:G198" ca="1" si="130">cohort_size*IF(E135&gt;D135,D135,E135)</f>
        <v>38.516465182691086</v>
      </c>
      <c r="H135" s="224">
        <f t="shared" ref="H135:H198" ca="1" si="131">cohort_size-G135-I135</f>
        <v>73.077942466682316</v>
      </c>
      <c r="I135" s="224">
        <f t="shared" ca="1" si="108"/>
        <v>888.40559235062665</v>
      </c>
      <c r="J135" s="227">
        <f t="shared" ca="1" si="109"/>
        <v>1000</v>
      </c>
      <c r="K135" s="238">
        <f t="shared" ref="K135:K198" ca="1" si="132">MAX(0,G134-G135)</f>
        <v>0.30261319243165019</v>
      </c>
      <c r="L135" s="239">
        <f t="shared" ref="L135:L198" ca="1" si="133">I135-I134</f>
        <v>1.1362803430375834</v>
      </c>
      <c r="M135" s="238">
        <f t="shared" ref="M135:M198" ca="1" si="134">(G135+G134)/2</f>
        <v>38.667771778906911</v>
      </c>
      <c r="N135" s="238">
        <f t="shared" ref="N135:N198" ca="1" si="135">(H135+H134)/2</f>
        <v>73.494776041985233</v>
      </c>
      <c r="O135" s="239">
        <f t="shared" ref="O135:O198" ca="1" si="136">(I135+I134)/2</f>
        <v>887.83745217910791</v>
      </c>
      <c r="P135" s="217"/>
      <c r="Q135" s="217"/>
      <c r="R135" s="224"/>
      <c r="S135" s="230">
        <f t="shared" ref="S135:S198" ca="1" si="137">SD_drugacq_c2_placebo*G135</f>
        <v>58398.679916582296</v>
      </c>
      <c r="T135" s="231">
        <f t="shared" ref="T135:T198" ca="1" si="138">SD_admin_c2_placebo*G135</f>
        <v>3635.0571569258309</v>
      </c>
      <c r="U135" s="231">
        <f t="shared" ca="1" si="107"/>
        <v>5475.5777233017288</v>
      </c>
      <c r="V135" s="231"/>
      <c r="W135" s="231">
        <f t="shared" ref="W135:W198" ca="1" si="139">Societal_informal_PFS_per_cycle*M135</f>
        <v>14561.66416758788</v>
      </c>
      <c r="X135" s="231">
        <f t="shared" ref="X135:X198" ca="1" si="140">Patient_time_c2plus*M135</f>
        <v>1820.208020948485</v>
      </c>
      <c r="Y135" s="231"/>
      <c r="Z135" s="232">
        <f t="shared" ca="1" si="110"/>
        <v>83891.186985346227</v>
      </c>
      <c r="AA135" s="231">
        <f t="shared" ca="1" si="111"/>
        <v>262.93524979753198</v>
      </c>
      <c r="AB135" s="231">
        <f t="shared" ref="AB135:AB198" ca="1" si="141">PD_ongoing_placebo*N135</f>
        <v>18561.447783087588</v>
      </c>
      <c r="AC135" s="231">
        <f t="shared" ref="AC135:AC198" ca="1" si="142">Societal_informal_PD_per_cycle*N135</f>
        <v>99637.044267581892</v>
      </c>
      <c r="AD135" s="231">
        <f t="shared" ref="AD135:AD198" ca="1" si="143">Patient_time_PD_per_cycle*N135</f>
        <v>3459.6195926243709</v>
      </c>
      <c r="AE135" s="231">
        <f t="shared" ca="1" si="112"/>
        <v>32555.022580177112</v>
      </c>
      <c r="AF135" s="231">
        <f t="shared" ca="1" si="113"/>
        <v>154476.06947326849</v>
      </c>
      <c r="AG135" s="232">
        <f t="shared" ca="1" si="114"/>
        <v>238367.25645861472</v>
      </c>
      <c r="AH135" s="244">
        <f t="shared" ref="AH135:AH198" ca="1" si="144">M135*cycle_length_days/365.25</f>
        <v>2.9642645032426929</v>
      </c>
      <c r="AI135" s="243">
        <f t="shared" ref="AI135:AI198" ca="1" si="145">N135*cycle_length_days/365.25</f>
        <v>5.6340964522261094</v>
      </c>
      <c r="AJ135" s="242">
        <f t="shared" ref="AJ135:AJ198" ca="1" si="146">AH135+AI135</f>
        <v>8.5983609554688023</v>
      </c>
      <c r="AK135" s="241">
        <f t="shared" ref="AK135:AK198" ca="1" si="147">AH135*utility_pfs</f>
        <v>2.1342704423347389</v>
      </c>
      <c r="AL135" s="243">
        <f t="shared" ref="AL135:AL198" ca="1" si="148">AI135*utility_pd</f>
        <v>2.4959047283361664</v>
      </c>
      <c r="AM135" s="243"/>
      <c r="AN135" s="242">
        <f t="shared" ca="1" si="115"/>
        <v>4.6301751706709053</v>
      </c>
      <c r="AO135" s="224"/>
      <c r="AP135" s="235">
        <f t="shared" ref="AP135:AP198" si="149">B135/52</f>
        <v>9.9230769230769234</v>
      </c>
      <c r="AQ135" s="235">
        <f t="shared" si="116"/>
        <v>0.74578772635147905</v>
      </c>
      <c r="AR135" s="235">
        <f t="shared" si="117"/>
        <v>0.86265464546979376</v>
      </c>
      <c r="AT135" s="230">
        <f t="shared" ca="1" si="118"/>
        <v>43553.018716915692</v>
      </c>
      <c r="AU135" s="231">
        <f t="shared" ca="1" si="119"/>
        <v>2710.9810122213871</v>
      </c>
      <c r="AV135" s="231">
        <f t="shared" ref="AV135:AV198" ca="1" si="150">U135*AQ135</f>
        <v>4083.6186607220043</v>
      </c>
      <c r="AW135" s="231"/>
      <c r="AX135" s="231">
        <f t="shared" ref="AX135:AX198" ca="1" si="151">W135*AQ135</f>
        <v>10859.910411439168</v>
      </c>
      <c r="AY135" s="231">
        <f t="shared" ref="AY135:AY198" ca="1" si="152">X135*AQ135</f>
        <v>1357.4888014298961</v>
      </c>
      <c r="AZ135" s="231"/>
      <c r="BA135" s="232">
        <f t="shared" ca="1" si="120"/>
        <v>62565.017602728156</v>
      </c>
      <c r="BB135" s="231">
        <f t="shared" ca="1" si="121"/>
        <v>196.09388212415956</v>
      </c>
      <c r="BC135" s="231">
        <f t="shared" ref="BC135:BC198" ca="1" si="153">AB135*AQ135</f>
        <v>13842.899939940593</v>
      </c>
      <c r="BD135" s="231">
        <f t="shared" ref="BD135:BD198" ca="1" si="154">AC135*AQ135</f>
        <v>74308.08470470157</v>
      </c>
      <c r="BE135" s="231">
        <f t="shared" ref="BE135:BE198" ca="1" si="155">AD135*AQ135</f>
        <v>2580.1418300243599</v>
      </c>
      <c r="BF135" s="231">
        <f t="shared" ca="1" si="122"/>
        <v>24279.136271391351</v>
      </c>
      <c r="BG135" s="231">
        <f t="shared" ca="1" si="123"/>
        <v>115206.35662818202</v>
      </c>
      <c r="BH135" s="232">
        <f t="shared" ca="1" si="124"/>
        <v>177771.37423091018</v>
      </c>
      <c r="BI135" s="244">
        <f t="shared" ref="BI135:BI198" ca="1" si="156">AH135*AR135</f>
        <v>2.5571365441235194</v>
      </c>
      <c r="BJ135" s="243">
        <f t="shared" ref="BJ135:BJ198" ca="1" si="157">AI135*AR135</f>
        <v>4.8602794775377376</v>
      </c>
      <c r="BK135" s="242">
        <f t="shared" ref="BK135:BK198" ca="1" si="158">AJ135*AR135</f>
        <v>7.417416021661257</v>
      </c>
      <c r="BL135" s="241">
        <f t="shared" ref="BL135:BL198" ca="1" si="159">AK135*AR135</f>
        <v>1.8411383117689342</v>
      </c>
      <c r="BM135" s="243">
        <f t="shared" ref="BM135:BM198" ca="1" si="160">AL135*AR135</f>
        <v>2.1531038085492176</v>
      </c>
      <c r="BN135" s="243">
        <f t="shared" si="125"/>
        <v>0</v>
      </c>
      <c r="BO135" s="242">
        <f t="shared" ca="1" si="126"/>
        <v>3.9942421203181517</v>
      </c>
      <c r="BP135" s="67"/>
      <c r="BQ135" s="67"/>
      <c r="BR135" s="67"/>
      <c r="BS135" s="67"/>
      <c r="BT135" s="67"/>
      <c r="BU135" s="67"/>
    </row>
    <row r="136" spans="1:73" ht="12" customHeight="1" x14ac:dyDescent="0.15">
      <c r="A136" s="213">
        <f t="shared" si="127"/>
        <v>130</v>
      </c>
      <c r="B136" s="67">
        <f t="shared" si="128"/>
        <v>520</v>
      </c>
      <c r="C136" s="224">
        <f t="shared" si="129"/>
        <v>120</v>
      </c>
      <c r="D136" s="225">
        <f ca="1">IFERROR(OFFSET(extrapolation!V145,0,OS_dist_choice-1,1,1),0)</f>
        <v>0.11047681334522476</v>
      </c>
      <c r="E136" s="225">
        <f ca="1">IFERROR(OFFSET(extrapolation!J145,0,PFS_dist_choice-1,1,1),0)</f>
        <v>3.8218452901316251E-2</v>
      </c>
      <c r="F136" s="214"/>
      <c r="G136" s="226">
        <f t="shared" ca="1" si="130"/>
        <v>38.218452901316248</v>
      </c>
      <c r="H136" s="224">
        <f t="shared" ca="1" si="131"/>
        <v>72.258360443908487</v>
      </c>
      <c r="I136" s="224">
        <f t="shared" ca="1" si="108"/>
        <v>889.52318665477526</v>
      </c>
      <c r="J136" s="227">
        <f t="shared" ca="1" si="109"/>
        <v>1000</v>
      </c>
      <c r="K136" s="238">
        <f t="shared" ca="1" si="132"/>
        <v>0.29801228137483804</v>
      </c>
      <c r="L136" s="239">
        <f t="shared" ca="1" si="133"/>
        <v>1.1175943041486107</v>
      </c>
      <c r="M136" s="238">
        <f t="shared" ca="1" si="134"/>
        <v>38.367459042003667</v>
      </c>
      <c r="N136" s="238">
        <f t="shared" ca="1" si="135"/>
        <v>72.668151455295401</v>
      </c>
      <c r="O136" s="239">
        <f t="shared" ca="1" si="136"/>
        <v>888.9643895027009</v>
      </c>
      <c r="P136" s="217"/>
      <c r="Q136" s="217"/>
      <c r="R136" s="224"/>
      <c r="S136" s="230">
        <f t="shared" ca="1" si="137"/>
        <v>57946.833576356854</v>
      </c>
      <c r="T136" s="231">
        <f t="shared" ca="1" si="138"/>
        <v>3606.9317391045138</v>
      </c>
      <c r="U136" s="231">
        <f t="shared" ref="U136:U199" ca="1" si="161">SD_hcru_c3plus_placebo*G136</f>
        <v>5433.2117013569195</v>
      </c>
      <c r="V136" s="231"/>
      <c r="W136" s="231">
        <f t="shared" ca="1" si="139"/>
        <v>14448.571195873908</v>
      </c>
      <c r="X136" s="231">
        <f t="shared" ca="1" si="140"/>
        <v>1806.0713994842386</v>
      </c>
      <c r="Y136" s="231"/>
      <c r="Z136" s="232">
        <f t="shared" ca="1" si="110"/>
        <v>83241.619612176437</v>
      </c>
      <c r="AA136" s="231">
        <f t="shared" ca="1" si="111"/>
        <v>258.9375995685441</v>
      </c>
      <c r="AB136" s="231">
        <f t="shared" ca="1" si="141"/>
        <v>18352.679896057161</v>
      </c>
      <c r="AC136" s="231">
        <f t="shared" ca="1" si="142"/>
        <v>98516.387331507474</v>
      </c>
      <c r="AD136" s="231">
        <f t="shared" ca="1" si="143"/>
        <v>3420.7078934551205</v>
      </c>
      <c r="AE136" s="231">
        <f t="shared" ca="1" si="112"/>
        <v>32019.657851136428</v>
      </c>
      <c r="AF136" s="231">
        <f t="shared" ca="1" si="113"/>
        <v>152568.37057172472</v>
      </c>
      <c r="AG136" s="232">
        <f t="shared" ca="1" si="114"/>
        <v>235809.99018390116</v>
      </c>
      <c r="AH136" s="244">
        <f t="shared" ca="1" si="144"/>
        <v>2.9412425822754353</v>
      </c>
      <c r="AI136" s="243">
        <f t="shared" ca="1" si="145"/>
        <v>5.5707275585168272</v>
      </c>
      <c r="AJ136" s="242">
        <f t="shared" ca="1" si="146"/>
        <v>8.511970140792263</v>
      </c>
      <c r="AK136" s="241">
        <f t="shared" ca="1" si="147"/>
        <v>2.1176946592383135</v>
      </c>
      <c r="AL136" s="243">
        <f t="shared" ca="1" si="148"/>
        <v>2.4678323084229543</v>
      </c>
      <c r="AM136" s="243"/>
      <c r="AN136" s="242">
        <f t="shared" ca="1" si="115"/>
        <v>4.5855269676612682</v>
      </c>
      <c r="AO136" s="224"/>
      <c r="AP136" s="235">
        <f t="shared" si="149"/>
        <v>10</v>
      </c>
      <c r="AQ136" s="235">
        <f t="shared" si="116"/>
        <v>0.74409391489672516</v>
      </c>
      <c r="AR136" s="235">
        <f t="shared" si="117"/>
        <v>0.86166723172218462</v>
      </c>
      <c r="AT136" s="230">
        <f t="shared" ca="1" si="118"/>
        <v>43117.886251700373</v>
      </c>
      <c r="AU136" s="231">
        <f t="shared" ca="1" si="119"/>
        <v>2683.8959585155308</v>
      </c>
      <c r="AV136" s="231">
        <f t="shared" ca="1" si="150"/>
        <v>4042.8197653253669</v>
      </c>
      <c r="AW136" s="231"/>
      <c r="AX136" s="231">
        <f t="shared" ca="1" si="151"/>
        <v>10751.093905801874</v>
      </c>
      <c r="AY136" s="231">
        <f t="shared" ca="1" si="152"/>
        <v>1343.8867382252342</v>
      </c>
      <c r="AZ136" s="231"/>
      <c r="BA136" s="232">
        <f t="shared" ca="1" si="120"/>
        <v>61939.582619568384</v>
      </c>
      <c r="BB136" s="231">
        <f t="shared" ca="1" si="121"/>
        <v>192.67389217691854</v>
      </c>
      <c r="BC136" s="231">
        <f t="shared" ca="1" si="153"/>
        <v>13656.117432703597</v>
      </c>
      <c r="BD136" s="231">
        <f t="shared" ca="1" si="154"/>
        <v>73305.444330983533</v>
      </c>
      <c r="BE136" s="231">
        <f t="shared" ca="1" si="155"/>
        <v>2545.3279281591504</v>
      </c>
      <c r="BF136" s="231">
        <f t="shared" ca="1" si="122"/>
        <v>23825.632564105767</v>
      </c>
      <c r="BG136" s="231">
        <f t="shared" ca="1" si="123"/>
        <v>113525.19614812896</v>
      </c>
      <c r="BH136" s="232">
        <f t="shared" ca="1" si="124"/>
        <v>175464.77876769734</v>
      </c>
      <c r="BI136" s="244">
        <f t="shared" ca="1" si="156"/>
        <v>2.5343723536926843</v>
      </c>
      <c r="BJ136" s="243">
        <f t="shared" ca="1" si="157"/>
        <v>4.8001133940256784</v>
      </c>
      <c r="BK136" s="242">
        <f t="shared" ca="1" si="158"/>
        <v>7.3344857477183636</v>
      </c>
      <c r="BL136" s="241">
        <f t="shared" ca="1" si="159"/>
        <v>1.8247480946587327</v>
      </c>
      <c r="BM136" s="243">
        <f t="shared" ca="1" si="160"/>
        <v>2.1264502335533755</v>
      </c>
      <c r="BN136" s="243">
        <f t="shared" si="125"/>
        <v>0</v>
      </c>
      <c r="BO136" s="242">
        <f t="shared" ca="1" si="126"/>
        <v>3.9511983282121088</v>
      </c>
      <c r="BP136" s="67"/>
      <c r="BQ136" s="67"/>
      <c r="BR136" s="67"/>
      <c r="BS136" s="67"/>
      <c r="BT136" s="67"/>
      <c r="BU136" s="67"/>
    </row>
    <row r="137" spans="1:73" ht="12" customHeight="1" x14ac:dyDescent="0.15">
      <c r="A137" s="213">
        <f t="shared" si="127"/>
        <v>131</v>
      </c>
      <c r="B137" s="67">
        <f t="shared" si="128"/>
        <v>524</v>
      </c>
      <c r="C137" s="224">
        <f t="shared" si="129"/>
        <v>120.92307692307692</v>
      </c>
      <c r="D137" s="225">
        <f ca="1">IFERROR(OFFSET(extrapolation!V146,0,OS_dist_choice-1,1,1),0)</f>
        <v>0.10937748528703259</v>
      </c>
      <c r="E137" s="225">
        <f ca="1">IFERROR(OFFSET(extrapolation!J146,0,PFS_dist_choice-1,1,1),0)</f>
        <v>3.7924937953266527E-2</v>
      </c>
      <c r="F137" s="214"/>
      <c r="G137" s="226">
        <f t="shared" ca="1" si="130"/>
        <v>37.924937953266529</v>
      </c>
      <c r="H137" s="224">
        <f t="shared" ca="1" si="131"/>
        <v>71.45254733376612</v>
      </c>
      <c r="I137" s="224">
        <f t="shared" ca="1" si="108"/>
        <v>890.62251471296736</v>
      </c>
      <c r="J137" s="227">
        <f t="shared" ca="1" si="109"/>
        <v>1000</v>
      </c>
      <c r="K137" s="238">
        <f t="shared" ca="1" si="132"/>
        <v>0.29351494804971878</v>
      </c>
      <c r="L137" s="239">
        <f t="shared" ca="1" si="133"/>
        <v>1.0993280581920999</v>
      </c>
      <c r="M137" s="238">
        <f t="shared" ca="1" si="134"/>
        <v>38.071695427291388</v>
      </c>
      <c r="N137" s="238">
        <f t="shared" ca="1" si="135"/>
        <v>71.855453888837303</v>
      </c>
      <c r="O137" s="239">
        <f t="shared" ca="1" si="136"/>
        <v>890.07285068387137</v>
      </c>
      <c r="P137" s="217"/>
      <c r="Q137" s="217"/>
      <c r="R137" s="224"/>
      <c r="S137" s="230">
        <f t="shared" ca="1" si="137"/>
        <v>57501.806094717889</v>
      </c>
      <c r="T137" s="231">
        <f t="shared" ca="1" si="138"/>
        <v>3579.2307647936022</v>
      </c>
      <c r="U137" s="231">
        <f t="shared" ca="1" si="161"/>
        <v>5391.4850293122754</v>
      </c>
      <c r="V137" s="231"/>
      <c r="W137" s="231">
        <f t="shared" ca="1" si="139"/>
        <v>14337.191350791099</v>
      </c>
      <c r="X137" s="231">
        <f t="shared" ca="1" si="140"/>
        <v>1792.1489188488874</v>
      </c>
      <c r="Y137" s="231"/>
      <c r="Z137" s="232">
        <f t="shared" ca="1" si="110"/>
        <v>82601.862158463759</v>
      </c>
      <c r="AA137" s="231">
        <f t="shared" ca="1" si="111"/>
        <v>255.02994619837557</v>
      </c>
      <c r="AB137" s="231">
        <f t="shared" ca="1" si="141"/>
        <v>18147.429342811894</v>
      </c>
      <c r="AC137" s="231">
        <f t="shared" ca="1" si="142"/>
        <v>97414.611290186076</v>
      </c>
      <c r="AD137" s="231">
        <f t="shared" ca="1" si="143"/>
        <v>3382.4517809092386</v>
      </c>
      <c r="AE137" s="231">
        <f t="shared" ca="1" si="112"/>
        <v>31496.32040786112</v>
      </c>
      <c r="AF137" s="231">
        <f t="shared" ca="1" si="113"/>
        <v>150695.84276796671</v>
      </c>
      <c r="AG137" s="232">
        <f t="shared" ca="1" si="114"/>
        <v>233297.70492643048</v>
      </c>
      <c r="AH137" s="244">
        <f t="shared" ca="1" si="144"/>
        <v>2.9185693962057737</v>
      </c>
      <c r="AI137" s="243">
        <f t="shared" ca="1" si="145"/>
        <v>5.508426307700053</v>
      </c>
      <c r="AJ137" s="242">
        <f t="shared" ca="1" si="146"/>
        <v>8.4269957039058276</v>
      </c>
      <c r="AK137" s="241">
        <f t="shared" ca="1" si="147"/>
        <v>2.101369965268157</v>
      </c>
      <c r="AL137" s="243">
        <f t="shared" ca="1" si="148"/>
        <v>2.4402328543111236</v>
      </c>
      <c r="AM137" s="243"/>
      <c r="AN137" s="242">
        <f t="shared" ca="1" si="115"/>
        <v>4.5416028195792801</v>
      </c>
      <c r="AO137" s="224"/>
      <c r="AP137" s="235">
        <f t="shared" si="149"/>
        <v>10.076923076923077</v>
      </c>
      <c r="AQ137" s="235">
        <f t="shared" si="116"/>
        <v>0.74240395037742279</v>
      </c>
      <c r="AR137" s="235">
        <f t="shared" si="117"/>
        <v>0.86068094819037344</v>
      </c>
      <c r="AT137" s="230">
        <f t="shared" ca="1" si="118"/>
        <v>42689.567998555125</v>
      </c>
      <c r="AU137" s="231">
        <f t="shared" ca="1" si="119"/>
        <v>2657.2350590951746</v>
      </c>
      <c r="AV137" s="231">
        <f t="shared" ca="1" si="150"/>
        <v>4002.6597841621683</v>
      </c>
      <c r="AW137" s="231"/>
      <c r="AX137" s="231">
        <f t="shared" ca="1" si="151"/>
        <v>10643.987496144331</v>
      </c>
      <c r="AY137" s="231">
        <f t="shared" ca="1" si="152"/>
        <v>1330.4984370180414</v>
      </c>
      <c r="AZ137" s="231"/>
      <c r="BA137" s="232">
        <f t="shared" ca="1" si="120"/>
        <v>61323.948774974844</v>
      </c>
      <c r="BB137" s="231">
        <f t="shared" ca="1" si="121"/>
        <v>189.33523952221563</v>
      </c>
      <c r="BC137" s="231">
        <f t="shared" ca="1" si="153"/>
        <v>13472.723233298708</v>
      </c>
      <c r="BD137" s="231">
        <f t="shared" ca="1" si="154"/>
        <v>72320.992246315232</v>
      </c>
      <c r="BE137" s="231">
        <f t="shared" ca="1" si="155"/>
        <v>2511.1455641081675</v>
      </c>
      <c r="BF137" s="231">
        <f t="shared" ca="1" si="122"/>
        <v>23382.992693149135</v>
      </c>
      <c r="BG137" s="231">
        <f t="shared" ca="1" si="123"/>
        <v>111877.18897639346</v>
      </c>
      <c r="BH137" s="232">
        <f t="shared" ca="1" si="124"/>
        <v>173201.13775136831</v>
      </c>
      <c r="BI137" s="244">
        <f t="shared" ca="1" si="156"/>
        <v>2.5119570752857912</v>
      </c>
      <c r="BJ137" s="243">
        <f t="shared" ca="1" si="157"/>
        <v>4.7409975775480797</v>
      </c>
      <c r="BK137" s="242">
        <f t="shared" ca="1" si="158"/>
        <v>7.2529546528338713</v>
      </c>
      <c r="BL137" s="241">
        <f t="shared" ca="1" si="159"/>
        <v>1.8086090942057695</v>
      </c>
      <c r="BM137" s="243">
        <f t="shared" ca="1" si="160"/>
        <v>2.1002619268537992</v>
      </c>
      <c r="BN137" s="243">
        <f t="shared" si="125"/>
        <v>0</v>
      </c>
      <c r="BO137" s="242">
        <f t="shared" ca="1" si="126"/>
        <v>3.9088710210595683</v>
      </c>
      <c r="BP137" s="67"/>
      <c r="BQ137" s="67"/>
      <c r="BR137" s="67"/>
      <c r="BS137" s="67"/>
      <c r="BT137" s="67"/>
      <c r="BU137" s="67"/>
    </row>
    <row r="138" spans="1:73" ht="12" customHeight="1" x14ac:dyDescent="0.15">
      <c r="A138" s="213">
        <f t="shared" si="127"/>
        <v>132</v>
      </c>
      <c r="B138" s="67">
        <f t="shared" si="128"/>
        <v>528</v>
      </c>
      <c r="C138" s="224">
        <f t="shared" si="129"/>
        <v>121.84615384615384</v>
      </c>
      <c r="D138" s="225">
        <f ca="1">IFERROR(OFFSET(extrapolation!V147,0,OS_dist_choice-1,1,1),0)</f>
        <v>0.10829601549912397</v>
      </c>
      <c r="E138" s="225">
        <f ca="1">IFERROR(OFFSET(extrapolation!J147,0,PFS_dist_choice-1,1,1),0)</f>
        <v>3.7635819838969374E-2</v>
      </c>
      <c r="F138" s="214"/>
      <c r="G138" s="226">
        <f t="shared" ca="1" si="130"/>
        <v>37.635819838969375</v>
      </c>
      <c r="H138" s="224">
        <f t="shared" ca="1" si="131"/>
        <v>70.6601956601545</v>
      </c>
      <c r="I138" s="224">
        <f t="shared" ca="1" si="108"/>
        <v>891.70398450087612</v>
      </c>
      <c r="J138" s="227">
        <f t="shared" ca="1" si="109"/>
        <v>1000</v>
      </c>
      <c r="K138" s="238">
        <f t="shared" ca="1" si="132"/>
        <v>0.28911811429715328</v>
      </c>
      <c r="L138" s="239">
        <f t="shared" ca="1" si="133"/>
        <v>1.0814697879087589</v>
      </c>
      <c r="M138" s="238">
        <f t="shared" ca="1" si="134"/>
        <v>37.780378896117952</v>
      </c>
      <c r="N138" s="238">
        <f t="shared" ca="1" si="135"/>
        <v>71.05637149696031</v>
      </c>
      <c r="O138" s="239">
        <f t="shared" ca="1" si="136"/>
        <v>891.16324960692168</v>
      </c>
      <c r="P138" s="217"/>
      <c r="Q138" s="217"/>
      <c r="R138" s="224"/>
      <c r="S138" s="230">
        <f t="shared" ca="1" si="137"/>
        <v>57063.445094173301</v>
      </c>
      <c r="T138" s="231">
        <f t="shared" ca="1" si="138"/>
        <v>3551.944749174364</v>
      </c>
      <c r="U138" s="231">
        <f t="shared" ca="1" si="161"/>
        <v>5350.3834199475632</v>
      </c>
      <c r="V138" s="231"/>
      <c r="W138" s="231">
        <f t="shared" ca="1" si="139"/>
        <v>14227.486206215683</v>
      </c>
      <c r="X138" s="231">
        <f t="shared" ca="1" si="140"/>
        <v>1778.4357757769603</v>
      </c>
      <c r="Y138" s="231"/>
      <c r="Z138" s="232">
        <f t="shared" ca="1" si="110"/>
        <v>81971.695245287861</v>
      </c>
      <c r="AA138" s="231">
        <f t="shared" ca="1" si="111"/>
        <v>251.20961512900178</v>
      </c>
      <c r="AB138" s="231">
        <f t="shared" ca="1" si="141"/>
        <v>17945.617365281189</v>
      </c>
      <c r="AC138" s="231">
        <f t="shared" ca="1" si="142"/>
        <v>96331.293373720691</v>
      </c>
      <c r="AD138" s="231">
        <f t="shared" ca="1" si="143"/>
        <v>3344.8365754764127</v>
      </c>
      <c r="AE138" s="231">
        <f t="shared" ca="1" si="112"/>
        <v>30984.671679728679</v>
      </c>
      <c r="AF138" s="231">
        <f t="shared" ca="1" si="113"/>
        <v>148857.62860933598</v>
      </c>
      <c r="AG138" s="232">
        <f t="shared" ca="1" si="114"/>
        <v>230829.32385462383</v>
      </c>
      <c r="AH138" s="244">
        <f t="shared" ca="1" si="144"/>
        <v>2.8962371227687957</v>
      </c>
      <c r="AI138" s="243">
        <f t="shared" ca="1" si="145"/>
        <v>5.4471687937437059</v>
      </c>
      <c r="AJ138" s="242">
        <f t="shared" ca="1" si="146"/>
        <v>8.3434059165125021</v>
      </c>
      <c r="AK138" s="241">
        <f t="shared" ca="1" si="147"/>
        <v>2.0852907283935327</v>
      </c>
      <c r="AL138" s="243">
        <f t="shared" ca="1" si="148"/>
        <v>2.4130957756284617</v>
      </c>
      <c r="AM138" s="243"/>
      <c r="AN138" s="242">
        <f t="shared" ca="1" si="115"/>
        <v>4.4983865040219939</v>
      </c>
      <c r="AO138" s="224"/>
      <c r="AP138" s="235">
        <f t="shared" si="149"/>
        <v>10.153846153846153</v>
      </c>
      <c r="AQ138" s="235">
        <f t="shared" si="116"/>
        <v>0.74071782405652453</v>
      </c>
      <c r="AR138" s="235">
        <f t="shared" si="117"/>
        <v>0.85969579358069081</v>
      </c>
      <c r="AT138" s="230">
        <f t="shared" ca="1" si="118"/>
        <v>42267.910883325007</v>
      </c>
      <c r="AU138" s="231">
        <f t="shared" ca="1" si="119"/>
        <v>2630.9887857774329</v>
      </c>
      <c r="AV138" s="231">
        <f t="shared" ca="1" si="150"/>
        <v>3963.1243646916651</v>
      </c>
      <c r="AW138" s="231"/>
      <c r="AX138" s="231">
        <f t="shared" ca="1" si="151"/>
        <v>10538.552624462298</v>
      </c>
      <c r="AY138" s="231">
        <f t="shared" ca="1" si="152"/>
        <v>1317.3190780577872</v>
      </c>
      <c r="AZ138" s="231"/>
      <c r="BA138" s="232">
        <f t="shared" ca="1" si="120"/>
        <v>60717.895736314182</v>
      </c>
      <c r="BB138" s="231">
        <f t="shared" ca="1" si="121"/>
        <v>186.07543950043117</v>
      </c>
      <c r="BC138" s="231">
        <f t="shared" ca="1" si="153"/>
        <v>13292.638646162062</v>
      </c>
      <c r="BD138" s="231">
        <f t="shared" ca="1" si="154"/>
        <v>71354.306016333096</v>
      </c>
      <c r="BE138" s="231">
        <f t="shared" ca="1" si="155"/>
        <v>2477.5800700115656</v>
      </c>
      <c r="BF138" s="231">
        <f t="shared" ca="1" si="122"/>
        <v>22950.898585714447</v>
      </c>
      <c r="BG138" s="231">
        <f t="shared" ca="1" si="123"/>
        <v>110261.49875772161</v>
      </c>
      <c r="BH138" s="232">
        <f t="shared" ca="1" si="124"/>
        <v>170979.39449403578</v>
      </c>
      <c r="BI138" s="244">
        <f t="shared" ca="1" si="156"/>
        <v>2.4898828716565764</v>
      </c>
      <c r="BJ138" s="243">
        <f t="shared" ca="1" si="157"/>
        <v>4.6829080989054699</v>
      </c>
      <c r="BK138" s="242">
        <f t="shared" ca="1" si="158"/>
        <v>7.1727909705620467</v>
      </c>
      <c r="BL138" s="241">
        <f t="shared" ca="1" si="159"/>
        <v>1.7927156675927349</v>
      </c>
      <c r="BM138" s="243">
        <f t="shared" ca="1" si="160"/>
        <v>2.0745282878151228</v>
      </c>
      <c r="BN138" s="243">
        <f t="shared" si="125"/>
        <v>0</v>
      </c>
      <c r="BO138" s="242">
        <f t="shared" ca="1" si="126"/>
        <v>3.8672439554078575</v>
      </c>
      <c r="BP138" s="67"/>
      <c r="BQ138" s="67"/>
      <c r="BR138" s="67"/>
      <c r="BS138" s="67"/>
      <c r="BT138" s="67"/>
      <c r="BU138" s="67"/>
    </row>
    <row r="139" spans="1:73" ht="12" customHeight="1" x14ac:dyDescent="0.15">
      <c r="A139" s="213">
        <f t="shared" si="127"/>
        <v>133</v>
      </c>
      <c r="B139" s="67">
        <f t="shared" si="128"/>
        <v>532</v>
      </c>
      <c r="C139" s="224">
        <f t="shared" si="129"/>
        <v>122.76923076923076</v>
      </c>
      <c r="D139" s="225">
        <f ca="1">IFERROR(OFFSET(extrapolation!V148,0,OS_dist_choice-1,1,1),0)</f>
        <v>0.10723200742741691</v>
      </c>
      <c r="E139" s="225">
        <f ca="1">IFERROR(OFFSET(extrapolation!J148,0,PFS_dist_choice-1,1,1),0)</f>
        <v>3.7351001023668791E-2</v>
      </c>
      <c r="F139" s="214"/>
      <c r="G139" s="226">
        <f t="shared" ca="1" si="130"/>
        <v>37.351001023668793</v>
      </c>
      <c r="H139" s="224">
        <f t="shared" ca="1" si="131"/>
        <v>69.881006403748074</v>
      </c>
      <c r="I139" s="224">
        <f t="shared" ca="1" si="108"/>
        <v>892.76799257258313</v>
      </c>
      <c r="J139" s="227">
        <f t="shared" ca="1" si="109"/>
        <v>1000</v>
      </c>
      <c r="K139" s="238">
        <f t="shared" ca="1" si="132"/>
        <v>0.28481881530058217</v>
      </c>
      <c r="L139" s="239">
        <f t="shared" ca="1" si="133"/>
        <v>1.0640080717070077</v>
      </c>
      <c r="M139" s="238">
        <f t="shared" ca="1" si="134"/>
        <v>37.493410431319084</v>
      </c>
      <c r="N139" s="238">
        <f t="shared" ca="1" si="135"/>
        <v>70.270601031951287</v>
      </c>
      <c r="O139" s="239">
        <f t="shared" ca="1" si="136"/>
        <v>892.23598853672956</v>
      </c>
      <c r="P139" s="217"/>
      <c r="Q139" s="217"/>
      <c r="R139" s="224"/>
      <c r="S139" s="230">
        <f t="shared" ca="1" si="137"/>
        <v>56631.602692487031</v>
      </c>
      <c r="T139" s="231">
        <f t="shared" ca="1" si="138"/>
        <v>3525.0644872376897</v>
      </c>
      <c r="U139" s="231">
        <f t="shared" ca="1" si="161"/>
        <v>5309.8930075268017</v>
      </c>
      <c r="V139" s="231"/>
      <c r="W139" s="231">
        <f t="shared" ca="1" si="139"/>
        <v>14119.418473867867</v>
      </c>
      <c r="X139" s="231">
        <f t="shared" ca="1" si="140"/>
        <v>1764.9273092334834</v>
      </c>
      <c r="Y139" s="231"/>
      <c r="Z139" s="232">
        <f t="shared" ca="1" si="110"/>
        <v>81350.905970352862</v>
      </c>
      <c r="AA139" s="231">
        <f t="shared" ca="1" si="111"/>
        <v>247.47403028376067</v>
      </c>
      <c r="AB139" s="231">
        <f t="shared" ca="1" si="141"/>
        <v>17747.167376843568</v>
      </c>
      <c r="AC139" s="231">
        <f t="shared" ca="1" si="142"/>
        <v>95266.022468458847</v>
      </c>
      <c r="AD139" s="231">
        <f t="shared" ca="1" si="143"/>
        <v>3307.848002377043</v>
      </c>
      <c r="AE139" s="231">
        <f t="shared" ca="1" si="112"/>
        <v>30484.384432202256</v>
      </c>
      <c r="AF139" s="231">
        <f t="shared" ca="1" si="113"/>
        <v>147052.89631016547</v>
      </c>
      <c r="AG139" s="232">
        <f t="shared" ca="1" si="114"/>
        <v>228403.80228051834</v>
      </c>
      <c r="AH139" s="244">
        <f t="shared" ca="1" si="144"/>
        <v>2.8742381713263088</v>
      </c>
      <c r="AI139" s="243">
        <f t="shared" ca="1" si="145"/>
        <v>5.3869317697320627</v>
      </c>
      <c r="AJ139" s="242">
        <f t="shared" ca="1" si="146"/>
        <v>8.2611699410583714</v>
      </c>
      <c r="AK139" s="241">
        <f t="shared" ca="1" si="147"/>
        <v>2.0694514833549422</v>
      </c>
      <c r="AL139" s="243">
        <f t="shared" ca="1" si="148"/>
        <v>2.3864107739913036</v>
      </c>
      <c r="AM139" s="243"/>
      <c r="AN139" s="242">
        <f t="shared" ca="1" si="115"/>
        <v>4.4558622573462454</v>
      </c>
      <c r="AO139" s="224"/>
      <c r="AP139" s="235">
        <f t="shared" si="149"/>
        <v>10.23076923076923</v>
      </c>
      <c r="AQ139" s="235">
        <f t="shared" si="116"/>
        <v>0.73903552721682531</v>
      </c>
      <c r="AR139" s="235">
        <f t="shared" si="117"/>
        <v>0.85871176660094706</v>
      </c>
      <c r="AT139" s="230">
        <f t="shared" ca="1" si="118"/>
        <v>41852.766352975937</v>
      </c>
      <c r="AU139" s="231">
        <f t="shared" ca="1" si="119"/>
        <v>2605.1478917990139</v>
      </c>
      <c r="AV139" s="231">
        <f t="shared" ca="1" si="150"/>
        <v>3924.1995782825043</v>
      </c>
      <c r="AW139" s="231"/>
      <c r="AX139" s="231">
        <f t="shared" ca="1" si="151"/>
        <v>10434.751875829921</v>
      </c>
      <c r="AY139" s="231">
        <f t="shared" ca="1" si="152"/>
        <v>1304.3439844787401</v>
      </c>
      <c r="AZ139" s="231"/>
      <c r="BA139" s="232">
        <f t="shared" ca="1" si="120"/>
        <v>60121.209683366105</v>
      </c>
      <c r="BB139" s="231">
        <f t="shared" ca="1" si="121"/>
        <v>182.89210044323167</v>
      </c>
      <c r="BC139" s="231">
        <f t="shared" ca="1" si="153"/>
        <v>13115.787198950829</v>
      </c>
      <c r="BD139" s="231">
        <f t="shared" ca="1" si="154"/>
        <v>70404.975140827402</v>
      </c>
      <c r="BE139" s="231">
        <f t="shared" ca="1" si="155"/>
        <v>2444.6171923898405</v>
      </c>
      <c r="BF139" s="231">
        <f t="shared" ca="1" si="122"/>
        <v>22529.043120732975</v>
      </c>
      <c r="BG139" s="231">
        <f t="shared" ca="1" si="123"/>
        <v>108677.31475334428</v>
      </c>
      <c r="BH139" s="232">
        <f t="shared" ca="1" si="124"/>
        <v>168798.5244367104</v>
      </c>
      <c r="BI139" s="244">
        <f t="shared" ca="1" si="156"/>
        <v>2.46814213773149</v>
      </c>
      <c r="BJ139" s="243">
        <f t="shared" ca="1" si="157"/>
        <v>4.625821696545386</v>
      </c>
      <c r="BK139" s="242">
        <f t="shared" ca="1" si="158"/>
        <v>7.0939638342768756</v>
      </c>
      <c r="BL139" s="241">
        <f t="shared" ca="1" si="159"/>
        <v>1.7770623391666729</v>
      </c>
      <c r="BM139" s="243">
        <f t="shared" ca="1" si="160"/>
        <v>2.0492390115696058</v>
      </c>
      <c r="BN139" s="243">
        <f t="shared" si="125"/>
        <v>0</v>
      </c>
      <c r="BO139" s="242">
        <f t="shared" ca="1" si="126"/>
        <v>3.8263013507362782</v>
      </c>
      <c r="BP139" s="67"/>
      <c r="BQ139" s="67"/>
      <c r="BR139" s="67"/>
      <c r="BS139" s="67"/>
      <c r="BT139" s="67"/>
      <c r="BU139" s="67"/>
    </row>
    <row r="140" spans="1:73" ht="12" customHeight="1" x14ac:dyDescent="0.15">
      <c r="A140" s="213">
        <f t="shared" si="127"/>
        <v>134</v>
      </c>
      <c r="B140" s="67">
        <f t="shared" si="128"/>
        <v>536</v>
      </c>
      <c r="C140" s="224">
        <f t="shared" si="129"/>
        <v>123.69230769230771</v>
      </c>
      <c r="D140" s="225">
        <f ca="1">IFERROR(OFFSET(extrapolation!V149,0,OS_dist_choice-1,1,1),0)</f>
        <v>0.10618507555895229</v>
      </c>
      <c r="E140" s="225">
        <f ca="1">IFERROR(OFFSET(extrapolation!J149,0,PFS_dist_choice-1,1,1),0)</f>
        <v>3.7070386829049236E-2</v>
      </c>
      <c r="F140" s="214"/>
      <c r="G140" s="226">
        <f t="shared" ca="1" si="130"/>
        <v>37.070386829049234</v>
      </c>
      <c r="H140" s="224">
        <f t="shared" ca="1" si="131"/>
        <v>69.114688729903037</v>
      </c>
      <c r="I140" s="224">
        <f t="shared" ca="1" si="108"/>
        <v>893.81492444104776</v>
      </c>
      <c r="J140" s="227">
        <f t="shared" ca="1" si="109"/>
        <v>1000</v>
      </c>
      <c r="K140" s="238">
        <f t="shared" ca="1" si="132"/>
        <v>0.2806141946195595</v>
      </c>
      <c r="L140" s="239">
        <f t="shared" ca="1" si="133"/>
        <v>1.0469318684646396</v>
      </c>
      <c r="M140" s="238">
        <f t="shared" ca="1" si="134"/>
        <v>37.210693926359014</v>
      </c>
      <c r="N140" s="238">
        <f t="shared" ca="1" si="135"/>
        <v>69.497847566825556</v>
      </c>
      <c r="O140" s="239">
        <f t="shared" ca="1" si="136"/>
        <v>893.29145850681539</v>
      </c>
      <c r="P140" s="217"/>
      <c r="Q140" s="217"/>
      <c r="R140" s="224"/>
      <c r="S140" s="230">
        <f t="shared" ca="1" si="137"/>
        <v>56206.135338359178</v>
      </c>
      <c r="T140" s="231">
        <f t="shared" ca="1" si="138"/>
        <v>3498.581043555916</v>
      </c>
      <c r="U140" s="231">
        <f t="shared" ca="1" si="161"/>
        <v>5270.0003323912961</v>
      </c>
      <c r="V140" s="231"/>
      <c r="W140" s="231">
        <f t="shared" ca="1" si="139"/>
        <v>14012.951961563982</v>
      </c>
      <c r="X140" s="231">
        <f t="shared" ca="1" si="140"/>
        <v>1751.6189951954977</v>
      </c>
      <c r="Y140" s="231"/>
      <c r="Z140" s="232">
        <f t="shared" ca="1" si="110"/>
        <v>80739.287671065875</v>
      </c>
      <c r="AA140" s="231">
        <f t="shared" ca="1" si="111"/>
        <v>243.82070975207805</v>
      </c>
      <c r="AB140" s="231">
        <f t="shared" ca="1" si="141"/>
        <v>17552.004892316269</v>
      </c>
      <c r="AC140" s="231">
        <f t="shared" ca="1" si="142"/>
        <v>94218.398741179568</v>
      </c>
      <c r="AD140" s="231">
        <f t="shared" ca="1" si="143"/>
        <v>3271.4721785131792</v>
      </c>
      <c r="AE140" s="231">
        <f t="shared" ca="1" si="112"/>
        <v>29995.142331390343</v>
      </c>
      <c r="AF140" s="231">
        <f t="shared" ca="1" si="113"/>
        <v>145280.83885315145</v>
      </c>
      <c r="AG140" s="232">
        <f t="shared" ca="1" si="114"/>
        <v>226020.12652421731</v>
      </c>
      <c r="AH140" s="244">
        <f t="shared" ca="1" si="144"/>
        <v>2.8525651743683844</v>
      </c>
      <c r="AI140" s="243">
        <f t="shared" ca="1" si="145"/>
        <v>5.3276926266149642</v>
      </c>
      <c r="AJ140" s="242">
        <f t="shared" ca="1" si="146"/>
        <v>8.1802578009833482</v>
      </c>
      <c r="AK140" s="241">
        <f t="shared" ca="1" si="147"/>
        <v>2.0538469255452365</v>
      </c>
      <c r="AL140" s="243">
        <f t="shared" ca="1" si="148"/>
        <v>2.3601678335904293</v>
      </c>
      <c r="AM140" s="243"/>
      <c r="AN140" s="242">
        <f t="shared" ca="1" si="115"/>
        <v>4.4140147591356662</v>
      </c>
      <c r="AO140" s="224"/>
      <c r="AP140" s="235">
        <f t="shared" si="149"/>
        <v>10.307692307692308</v>
      </c>
      <c r="AQ140" s="235">
        <f t="shared" si="116"/>
        <v>0.73735705116091843</v>
      </c>
      <c r="AR140" s="235">
        <f t="shared" si="117"/>
        <v>0.85772886596043174</v>
      </c>
      <c r="AT140" s="230">
        <f t="shared" ca="1" si="118"/>
        <v>41443.99021024401</v>
      </c>
      <c r="AU140" s="231">
        <f t="shared" ca="1" si="119"/>
        <v>2579.7034015238792</v>
      </c>
      <c r="AV140" s="231">
        <f t="shared" ca="1" si="150"/>
        <v>3885.8719047091058</v>
      </c>
      <c r="AW140" s="231"/>
      <c r="AX140" s="231">
        <f t="shared" ca="1" si="151"/>
        <v>10332.548936438425</v>
      </c>
      <c r="AY140" s="231">
        <f t="shared" ca="1" si="152"/>
        <v>1291.5686170548031</v>
      </c>
      <c r="AZ140" s="231"/>
      <c r="BA140" s="232">
        <f t="shared" ca="1" si="120"/>
        <v>59533.683069970233</v>
      </c>
      <c r="BB140" s="231">
        <f t="shared" ca="1" si="121"/>
        <v>179.78291955475444</v>
      </c>
      <c r="BC140" s="231">
        <f t="shared" ca="1" si="153"/>
        <v>12942.094569360337</v>
      </c>
      <c r="BD140" s="231">
        <f t="shared" ca="1" si="154"/>
        <v>69472.600660899756</v>
      </c>
      <c r="BE140" s="231">
        <f t="shared" ca="1" si="155"/>
        <v>2412.2430785034635</v>
      </c>
      <c r="BF140" s="231">
        <f t="shared" ca="1" si="122"/>
        <v>22117.12969862602</v>
      </c>
      <c r="BG140" s="231">
        <f t="shared" ca="1" si="123"/>
        <v>107123.85092694435</v>
      </c>
      <c r="BH140" s="232">
        <f t="shared" ca="1" si="124"/>
        <v>166657.53399691457</v>
      </c>
      <c r="BI140" s="244">
        <f t="shared" ca="1" si="156"/>
        <v>2.4467274920892157</v>
      </c>
      <c r="BJ140" s="243">
        <f t="shared" ca="1" si="157"/>
        <v>4.5697157548122069</v>
      </c>
      <c r="BK140" s="242">
        <f t="shared" ca="1" si="158"/>
        <v>7.0164432469014226</v>
      </c>
      <c r="BL140" s="241">
        <f t="shared" ca="1" si="159"/>
        <v>1.7616437943042349</v>
      </c>
      <c r="BM140" s="243">
        <f t="shared" ca="1" si="160"/>
        <v>2.0243840793818078</v>
      </c>
      <c r="BN140" s="243">
        <f t="shared" si="125"/>
        <v>0</v>
      </c>
      <c r="BO140" s="242">
        <f t="shared" ca="1" si="126"/>
        <v>3.7860278736860433</v>
      </c>
      <c r="BP140" s="67"/>
      <c r="BQ140" s="67"/>
      <c r="BR140" s="67"/>
      <c r="BS140" s="67"/>
      <c r="BT140" s="67"/>
      <c r="BU140" s="67"/>
    </row>
    <row r="141" spans="1:73" ht="12" customHeight="1" x14ac:dyDescent="0.15">
      <c r="A141" s="213">
        <f t="shared" si="127"/>
        <v>135</v>
      </c>
      <c r="B141" s="67">
        <f t="shared" si="128"/>
        <v>540</v>
      </c>
      <c r="C141" s="224">
        <f t="shared" si="129"/>
        <v>124.61538461538461</v>
      </c>
      <c r="D141" s="225">
        <f ca="1">IFERROR(OFFSET(extrapolation!V150,0,OS_dist_choice-1,1,1),0)</f>
        <v>0.10515484505597601</v>
      </c>
      <c r="E141" s="225">
        <f ca="1">IFERROR(OFFSET(extrapolation!J150,0,PFS_dist_choice-1,1,1),0)</f>
        <v>3.6793885329574984E-2</v>
      </c>
      <c r="F141" s="214"/>
      <c r="G141" s="226">
        <f t="shared" ca="1" si="130"/>
        <v>36.793885329574984</v>
      </c>
      <c r="H141" s="224">
        <f t="shared" ca="1" si="131"/>
        <v>68.360959726401006</v>
      </c>
      <c r="I141" s="224">
        <f t="shared" ca="1" si="108"/>
        <v>894.84515494402399</v>
      </c>
      <c r="J141" s="227">
        <f t="shared" ca="1" si="109"/>
        <v>1000</v>
      </c>
      <c r="K141" s="238">
        <f t="shared" ca="1" si="132"/>
        <v>0.27650149947425007</v>
      </c>
      <c r="L141" s="239">
        <f t="shared" ca="1" si="133"/>
        <v>1.0302305029762238</v>
      </c>
      <c r="M141" s="238">
        <f t="shared" ca="1" si="134"/>
        <v>36.932136079312109</v>
      </c>
      <c r="N141" s="238">
        <f t="shared" ca="1" si="135"/>
        <v>68.737824228152022</v>
      </c>
      <c r="O141" s="239">
        <f t="shared" ca="1" si="136"/>
        <v>894.33003969253582</v>
      </c>
      <c r="P141" s="217"/>
      <c r="Q141" s="217"/>
      <c r="R141" s="224"/>
      <c r="S141" s="230">
        <f t="shared" ca="1" si="137"/>
        <v>55786.903654255722</v>
      </c>
      <c r="T141" s="231">
        <f t="shared" ca="1" si="138"/>
        <v>3472.4857424996735</v>
      </c>
      <c r="U141" s="231">
        <f t="shared" ca="1" si="161"/>
        <v>5230.6923262230384</v>
      </c>
      <c r="V141" s="231"/>
      <c r="W141" s="231">
        <f t="shared" ca="1" si="139"/>
        <v>13908.051533291671</v>
      </c>
      <c r="X141" s="231">
        <f t="shared" ca="1" si="140"/>
        <v>1738.5064416614589</v>
      </c>
      <c r="Y141" s="231"/>
      <c r="Z141" s="232">
        <f t="shared" ca="1" si="110"/>
        <v>80136.639697931576</v>
      </c>
      <c r="AA141" s="231">
        <f t="shared" ca="1" si="111"/>
        <v>240.24726169225073</v>
      </c>
      <c r="AB141" s="231">
        <f t="shared" ca="1" si="141"/>
        <v>17360.057460478965</v>
      </c>
      <c r="AC141" s="231">
        <f t="shared" ca="1" si="142"/>
        <v>93188.033276883856</v>
      </c>
      <c r="AD141" s="231">
        <f t="shared" ca="1" si="143"/>
        <v>3235.6955998918002</v>
      </c>
      <c r="AE141" s="231">
        <f t="shared" ca="1" si="112"/>
        <v>29516.639527107312</v>
      </c>
      <c r="AF141" s="231">
        <f t="shared" ca="1" si="113"/>
        <v>143540.67312605417</v>
      </c>
      <c r="AG141" s="232">
        <f t="shared" ca="1" si="114"/>
        <v>223677.31282398576</v>
      </c>
      <c r="AH141" s="244">
        <f t="shared" ca="1" si="144"/>
        <v>2.831210979386007</v>
      </c>
      <c r="AI141" s="243">
        <f t="shared" ca="1" si="145"/>
        <v>5.2694293727262327</v>
      </c>
      <c r="AJ141" s="242">
        <f t="shared" ca="1" si="146"/>
        <v>8.1006403521122401</v>
      </c>
      <c r="AK141" s="241">
        <f t="shared" ca="1" si="147"/>
        <v>2.038471905157925</v>
      </c>
      <c r="AL141" s="243">
        <f t="shared" ca="1" si="148"/>
        <v>2.334357212117721</v>
      </c>
      <c r="AM141" s="243"/>
      <c r="AN141" s="242">
        <f t="shared" ca="1" si="115"/>
        <v>4.3728291172756464</v>
      </c>
      <c r="AO141" s="224"/>
      <c r="AP141" s="235">
        <f t="shared" si="149"/>
        <v>10.384615384615385</v>
      </c>
      <c r="AQ141" s="235">
        <f t="shared" si="116"/>
        <v>0.73568238721115053</v>
      </c>
      <c r="AR141" s="235">
        <f t="shared" si="117"/>
        <v>0.85674709036991203</v>
      </c>
      <c r="AT141" s="230">
        <f t="shared" ca="1" si="118"/>
        <v>41041.442455481309</v>
      </c>
      <c r="AU141" s="231">
        <f t="shared" ca="1" si="119"/>
        <v>2554.6466005988445</v>
      </c>
      <c r="AV141" s="231">
        <f t="shared" ca="1" si="150"/>
        <v>3848.128217322811</v>
      </c>
      <c r="AW141" s="231"/>
      <c r="AX141" s="231">
        <f t="shared" ca="1" si="151"/>
        <v>10231.90855346772</v>
      </c>
      <c r="AY141" s="231">
        <f t="shared" ca="1" si="152"/>
        <v>1278.988569183465</v>
      </c>
      <c r="AZ141" s="231"/>
      <c r="BA141" s="232">
        <f t="shared" ca="1" si="120"/>
        <v>58955.114396054152</v>
      </c>
      <c r="BB141" s="231">
        <f t="shared" ca="1" si="121"/>
        <v>176.74567900269702</v>
      </c>
      <c r="BC141" s="231">
        <f t="shared" ca="1" si="153"/>
        <v>12771.488514647908</v>
      </c>
      <c r="BD141" s="231">
        <f t="shared" ca="1" si="154"/>
        <v>68556.794780650045</v>
      </c>
      <c r="BE141" s="231">
        <f t="shared" ca="1" si="155"/>
        <v>2380.4442632170153</v>
      </c>
      <c r="BF141" s="231">
        <f t="shared" ca="1" si="122"/>
        <v>21714.871829753312</v>
      </c>
      <c r="BG141" s="231">
        <f t="shared" ca="1" si="123"/>
        <v>105600.34506727097</v>
      </c>
      <c r="BH141" s="232">
        <f t="shared" ca="1" si="124"/>
        <v>164555.45946332515</v>
      </c>
      <c r="BI141" s="244">
        <f t="shared" ca="1" si="156"/>
        <v>2.4256317688123104</v>
      </c>
      <c r="BJ141" s="243">
        <f t="shared" ca="1" si="157"/>
        <v>4.5145682829929505</v>
      </c>
      <c r="BK141" s="242">
        <f t="shared" ca="1" si="158"/>
        <v>6.9402000518052613</v>
      </c>
      <c r="BL141" s="241">
        <f t="shared" ca="1" si="159"/>
        <v>1.7464548735448635</v>
      </c>
      <c r="BM141" s="243">
        <f t="shared" ca="1" si="160"/>
        <v>1.999953749365877</v>
      </c>
      <c r="BN141" s="243">
        <f t="shared" si="125"/>
        <v>0</v>
      </c>
      <c r="BO141" s="242">
        <f t="shared" ca="1" si="126"/>
        <v>3.7464086229107409</v>
      </c>
      <c r="BP141" s="67"/>
      <c r="BQ141" s="67"/>
      <c r="BR141" s="67"/>
      <c r="BS141" s="67"/>
      <c r="BT141" s="67"/>
      <c r="BU141" s="67"/>
    </row>
    <row r="142" spans="1:73" ht="12" customHeight="1" x14ac:dyDescent="0.15">
      <c r="A142" s="213">
        <f t="shared" si="127"/>
        <v>136</v>
      </c>
      <c r="B142" s="67">
        <f t="shared" si="128"/>
        <v>544</v>
      </c>
      <c r="C142" s="224">
        <f t="shared" si="129"/>
        <v>125.53846153846155</v>
      </c>
      <c r="D142" s="225">
        <f ca="1">IFERROR(OFFSET(extrapolation!V151,0,OS_dist_choice-1,1,1),0)</f>
        <v>0.10414095140394866</v>
      </c>
      <c r="E142" s="225">
        <f ca="1">IFERROR(OFFSET(extrapolation!J151,0,PFS_dist_choice-1,1,1),0)</f>
        <v>3.6521407253306923E-2</v>
      </c>
      <c r="F142" s="214"/>
      <c r="G142" s="226">
        <f t="shared" ca="1" si="130"/>
        <v>36.521407253306926</v>
      </c>
      <c r="H142" s="224">
        <f t="shared" ca="1" si="131"/>
        <v>67.619544150641673</v>
      </c>
      <c r="I142" s="224">
        <f t="shared" ca="1" si="108"/>
        <v>895.85904859605137</v>
      </c>
      <c r="J142" s="227">
        <f t="shared" ca="1" si="109"/>
        <v>1000</v>
      </c>
      <c r="K142" s="238">
        <f t="shared" ca="1" si="132"/>
        <v>0.27247807626805809</v>
      </c>
      <c r="L142" s="239">
        <f t="shared" ca="1" si="133"/>
        <v>1.0138936520273774</v>
      </c>
      <c r="M142" s="238">
        <f t="shared" ca="1" si="134"/>
        <v>36.657646291440955</v>
      </c>
      <c r="N142" s="238">
        <f t="shared" ca="1" si="135"/>
        <v>67.99025193852134</v>
      </c>
      <c r="O142" s="239">
        <f t="shared" ca="1" si="136"/>
        <v>895.35210177003773</v>
      </c>
      <c r="P142" s="217"/>
      <c r="Q142" s="217"/>
      <c r="R142" s="224"/>
      <c r="S142" s="230">
        <f t="shared" ca="1" si="137"/>
        <v>55373.772286026862</v>
      </c>
      <c r="T142" s="231">
        <f t="shared" ca="1" si="138"/>
        <v>3446.7701588773039</v>
      </c>
      <c r="U142" s="231">
        <f t="shared" ca="1" si="161"/>
        <v>5191.9562979446182</v>
      </c>
      <c r="V142" s="231"/>
      <c r="W142" s="231">
        <f t="shared" ca="1" si="139"/>
        <v>13804.683071016001</v>
      </c>
      <c r="X142" s="231">
        <f t="shared" ca="1" si="140"/>
        <v>1725.5853838770001</v>
      </c>
      <c r="Y142" s="231"/>
      <c r="Z142" s="232">
        <f t="shared" ca="1" si="110"/>
        <v>79542.767197741792</v>
      </c>
      <c r="AA142" s="231">
        <f t="shared" ca="1" si="111"/>
        <v>236.75138044113768</v>
      </c>
      <c r="AB142" s="231">
        <f t="shared" ca="1" si="141"/>
        <v>17171.25459903292</v>
      </c>
      <c r="AC142" s="231">
        <f t="shared" ca="1" si="142"/>
        <v>92174.547729658036</v>
      </c>
      <c r="AD142" s="231">
        <f t="shared" ca="1" si="143"/>
        <v>3200.5051295020148</v>
      </c>
      <c r="AE142" s="231">
        <f t="shared" ca="1" si="112"/>
        <v>29048.580253894052</v>
      </c>
      <c r="AF142" s="231">
        <f t="shared" ca="1" si="113"/>
        <v>141831.63909252817</v>
      </c>
      <c r="AG142" s="232">
        <f t="shared" ca="1" si="114"/>
        <v>221374.40629026998</v>
      </c>
      <c r="AH142" s="244">
        <f t="shared" ca="1" si="144"/>
        <v>2.8101686410960891</v>
      </c>
      <c r="AI142" s="243">
        <f t="shared" ca="1" si="145"/>
        <v>5.2121206140413348</v>
      </c>
      <c r="AJ142" s="242">
        <f t="shared" ca="1" si="146"/>
        <v>8.022289255137423</v>
      </c>
      <c r="AK142" s="241">
        <f t="shared" ca="1" si="147"/>
        <v>2.0233214215891842</v>
      </c>
      <c r="AL142" s="243">
        <f t="shared" ca="1" si="148"/>
        <v>2.3089694320203114</v>
      </c>
      <c r="AM142" s="243"/>
      <c r="AN142" s="242">
        <f t="shared" ca="1" si="115"/>
        <v>4.3322908536094955</v>
      </c>
      <c r="AO142" s="224"/>
      <c r="AP142" s="235">
        <f t="shared" si="149"/>
        <v>10.461538461538462</v>
      </c>
      <c r="AQ142" s="235">
        <f t="shared" si="116"/>
        <v>0.73401152670957681</v>
      </c>
      <c r="AR142" s="235">
        <f t="shared" si="117"/>
        <v>0.85576643854163048</v>
      </c>
      <c r="AT142" s="230">
        <f t="shared" ca="1" si="118"/>
        <v>40644.987135335032</v>
      </c>
      <c r="AU142" s="231">
        <f t="shared" ca="1" si="119"/>
        <v>2529.9690265345403</v>
      </c>
      <c r="AV142" s="231">
        <f t="shared" ca="1" si="150"/>
        <v>3810.9557688637315</v>
      </c>
      <c r="AW142" s="231"/>
      <c r="AX142" s="231">
        <f t="shared" ca="1" si="151"/>
        <v>10132.796496698304</v>
      </c>
      <c r="AY142" s="231">
        <f t="shared" ca="1" si="152"/>
        <v>1266.5995620872879</v>
      </c>
      <c r="AZ142" s="231"/>
      <c r="BA142" s="232">
        <f t="shared" ca="1" si="120"/>
        <v>58385.3079895189</v>
      </c>
      <c r="BB142" s="231">
        <f t="shared" ca="1" si="121"/>
        <v>173.77824220819932</v>
      </c>
      <c r="BC142" s="231">
        <f t="shared" ca="1" si="153"/>
        <v>12603.898803754995</v>
      </c>
      <c r="BD142" s="231">
        <f t="shared" ca="1" si="154"/>
        <v>67657.180502811054</v>
      </c>
      <c r="BE142" s="231">
        <f t="shared" ca="1" si="155"/>
        <v>2349.2076563476057</v>
      </c>
      <c r="BF142" s="231">
        <f t="shared" ca="1" si="122"/>
        <v>21321.99274090644</v>
      </c>
      <c r="BG142" s="231">
        <f t="shared" ca="1" si="123"/>
        <v>104106.0579460283</v>
      </c>
      <c r="BH142" s="232">
        <f t="shared" ca="1" si="124"/>
        <v>162491.36593554722</v>
      </c>
      <c r="BI142" s="244">
        <f t="shared" ca="1" si="156"/>
        <v>2.4048480096921736</v>
      </c>
      <c r="BJ142" s="243">
        <f t="shared" ca="1" si="157"/>
        <v>4.4603578951275695</v>
      </c>
      <c r="BK142" s="242">
        <f t="shared" ca="1" si="158"/>
        <v>6.8652059048197422</v>
      </c>
      <c r="BL142" s="241">
        <f t="shared" ca="1" si="159"/>
        <v>1.7314905669783649</v>
      </c>
      <c r="BM142" s="243">
        <f t="shared" ca="1" si="160"/>
        <v>1.9759385475415132</v>
      </c>
      <c r="BN142" s="243">
        <f t="shared" si="125"/>
        <v>0</v>
      </c>
      <c r="BO142" s="242">
        <f t="shared" ca="1" si="126"/>
        <v>3.7074291145198783</v>
      </c>
      <c r="BP142" s="67"/>
      <c r="BQ142" s="67"/>
      <c r="BR142" s="67"/>
      <c r="BS142" s="67"/>
      <c r="BT142" s="67"/>
      <c r="BU142" s="67"/>
    </row>
    <row r="143" spans="1:73" ht="12" customHeight="1" x14ac:dyDescent="0.15">
      <c r="A143" s="213">
        <f t="shared" si="127"/>
        <v>137</v>
      </c>
      <c r="B143" s="67">
        <f t="shared" si="128"/>
        <v>548</v>
      </c>
      <c r="C143" s="224">
        <f t="shared" si="129"/>
        <v>126.46153846153845</v>
      </c>
      <c r="D143" s="225">
        <f ca="1">IFERROR(OFFSET(extrapolation!V152,0,OS_dist_choice-1,1,1),0)</f>
        <v>0.10314304007289145</v>
      </c>
      <c r="E143" s="225">
        <f ca="1">IFERROR(OFFSET(extrapolation!J152,0,PFS_dist_choice-1,1,1),0)</f>
        <v>3.6252865886973337E-2</v>
      </c>
      <c r="F143" s="214"/>
      <c r="G143" s="226">
        <f t="shared" ca="1" si="130"/>
        <v>36.252865886973339</v>
      </c>
      <c r="H143" s="224">
        <f t="shared" ca="1" si="131"/>
        <v>66.890174185917999</v>
      </c>
      <c r="I143" s="224">
        <f t="shared" ca="1" si="108"/>
        <v>896.85695992710862</v>
      </c>
      <c r="J143" s="227">
        <f t="shared" ca="1" si="109"/>
        <v>1000</v>
      </c>
      <c r="K143" s="238">
        <f t="shared" ca="1" si="132"/>
        <v>0.2685413663335865</v>
      </c>
      <c r="L143" s="239">
        <f t="shared" ca="1" si="133"/>
        <v>0.99791133105725294</v>
      </c>
      <c r="M143" s="238">
        <f t="shared" ca="1" si="134"/>
        <v>36.387136570140129</v>
      </c>
      <c r="N143" s="238">
        <f t="shared" ca="1" si="135"/>
        <v>67.254859168279836</v>
      </c>
      <c r="O143" s="239">
        <f t="shared" ca="1" si="136"/>
        <v>896.35800426157994</v>
      </c>
      <c r="P143" s="217"/>
      <c r="Q143" s="217"/>
      <c r="R143" s="224"/>
      <c r="S143" s="230">
        <f t="shared" ca="1" si="137"/>
        <v>54966.609758975326</v>
      </c>
      <c r="T143" s="231">
        <f t="shared" ca="1" si="138"/>
        <v>3421.426108975751</v>
      </c>
      <c r="U143" s="231">
        <f t="shared" ca="1" si="161"/>
        <v>5153.779920223903</v>
      </c>
      <c r="V143" s="231"/>
      <c r="W143" s="231">
        <f t="shared" ca="1" si="139"/>
        <v>13702.81343812965</v>
      </c>
      <c r="X143" s="231">
        <f t="shared" ca="1" si="140"/>
        <v>1712.8516797662062</v>
      </c>
      <c r="Y143" s="231"/>
      <c r="Z143" s="232">
        <f t="shared" ca="1" si="110"/>
        <v>78957.480906070836</v>
      </c>
      <c r="AA143" s="231">
        <f t="shared" ca="1" si="111"/>
        <v>233.33084281789937</v>
      </c>
      <c r="AB143" s="231">
        <f t="shared" ca="1" si="141"/>
        <v>16985.527731900216</v>
      </c>
      <c r="AC143" s="231">
        <f t="shared" ca="1" si="142"/>
        <v>91177.573986098985</v>
      </c>
      <c r="AD143" s="231">
        <f t="shared" ca="1" si="143"/>
        <v>3165.8879856284366</v>
      </c>
      <c r="AE143" s="231">
        <f t="shared" ca="1" si="112"/>
        <v>28590.678448891314</v>
      </c>
      <c r="AF143" s="231">
        <f t="shared" ca="1" si="113"/>
        <v>140152.99899533685</v>
      </c>
      <c r="AG143" s="232">
        <f t="shared" ca="1" si="114"/>
        <v>219110.47990140767</v>
      </c>
      <c r="AH143" s="244">
        <f t="shared" ca="1" si="144"/>
        <v>2.78943141400116</v>
      </c>
      <c r="AI143" s="243">
        <f t="shared" ca="1" si="145"/>
        <v>5.1557455351453401</v>
      </c>
      <c r="AJ143" s="242">
        <f t="shared" ca="1" si="146"/>
        <v>7.9451769491465001</v>
      </c>
      <c r="AK143" s="241">
        <f t="shared" ca="1" si="147"/>
        <v>2.0083906180808353</v>
      </c>
      <c r="AL143" s="243">
        <f t="shared" ca="1" si="148"/>
        <v>2.2839952720693857</v>
      </c>
      <c r="AM143" s="243"/>
      <c r="AN143" s="242">
        <f t="shared" ca="1" si="115"/>
        <v>4.2923858901502214</v>
      </c>
      <c r="AO143" s="224"/>
      <c r="AP143" s="235">
        <f t="shared" si="149"/>
        <v>10.538461538461538</v>
      </c>
      <c r="AQ143" s="235">
        <f t="shared" si="116"/>
        <v>0.73234446101791595</v>
      </c>
      <c r="AR143" s="235">
        <f t="shared" si="117"/>
        <v>0.85478690918930356</v>
      </c>
      <c r="AT143" s="230">
        <f t="shared" ca="1" si="118"/>
        <v>40254.492197918902</v>
      </c>
      <c r="AU143" s="231">
        <f t="shared" ca="1" si="119"/>
        <v>2505.6624596904717</v>
      </c>
      <c r="AV143" s="231">
        <f t="shared" ca="1" si="150"/>
        <v>3774.3421778813322</v>
      </c>
      <c r="AW143" s="231"/>
      <c r="AX143" s="231">
        <f t="shared" ca="1" si="151"/>
        <v>10035.179521776114</v>
      </c>
      <c r="AY143" s="231">
        <f t="shared" ca="1" si="152"/>
        <v>1254.3974402220142</v>
      </c>
      <c r="AZ143" s="231"/>
      <c r="BA143" s="232">
        <f t="shared" ca="1" si="120"/>
        <v>57824.073797488832</v>
      </c>
      <c r="BB143" s="231">
        <f t="shared" ca="1" si="121"/>
        <v>170.87855032233057</v>
      </c>
      <c r="BC143" s="231">
        <f t="shared" ca="1" si="153"/>
        <v>12439.257151923328</v>
      </c>
      <c r="BD143" s="231">
        <f t="shared" ca="1" si="154"/>
        <v>66773.391277770817</v>
      </c>
      <c r="BE143" s="231">
        <f t="shared" ca="1" si="155"/>
        <v>2318.520530478153</v>
      </c>
      <c r="BF143" s="231">
        <f t="shared" ca="1" si="122"/>
        <v>20938.224998789854</v>
      </c>
      <c r="BG143" s="231">
        <f t="shared" ca="1" si="123"/>
        <v>102640.27250928448</v>
      </c>
      <c r="BH143" s="232">
        <f t="shared" ca="1" si="124"/>
        <v>160464.34630677331</v>
      </c>
      <c r="BI143" s="244">
        <f t="shared" ca="1" si="156"/>
        <v>2.3843694567696003</v>
      </c>
      <c r="BJ143" s="243">
        <f t="shared" ca="1" si="157"/>
        <v>4.4070637905534369</v>
      </c>
      <c r="BK143" s="242">
        <f t="shared" ca="1" si="158"/>
        <v>6.7914332473230372</v>
      </c>
      <c r="BL143" s="241">
        <f t="shared" ca="1" si="159"/>
        <v>1.7167460088741122</v>
      </c>
      <c r="BM143" s="243">
        <f t="shared" ca="1" si="160"/>
        <v>1.9523292592151726</v>
      </c>
      <c r="BN143" s="243">
        <f t="shared" si="125"/>
        <v>0</v>
      </c>
      <c r="BO143" s="242">
        <f t="shared" ca="1" si="126"/>
        <v>3.6690752680892853</v>
      </c>
      <c r="BP143" s="67"/>
      <c r="BQ143" s="67"/>
      <c r="BR143" s="67"/>
      <c r="BS143" s="67"/>
      <c r="BT143" s="67"/>
      <c r="BU143" s="67"/>
    </row>
    <row r="144" spans="1:73" ht="12" customHeight="1" x14ac:dyDescent="0.15">
      <c r="A144" s="213">
        <f t="shared" si="127"/>
        <v>138</v>
      </c>
      <c r="B144" s="67">
        <f t="shared" si="128"/>
        <v>552</v>
      </c>
      <c r="C144" s="224">
        <f t="shared" si="129"/>
        <v>127.38461538461539</v>
      </c>
      <c r="D144" s="225">
        <f ca="1">IFERROR(OFFSET(extrapolation!V153,0,OS_dist_choice-1,1,1),0)</f>
        <v>0.10216076619150233</v>
      </c>
      <c r="E144" s="225">
        <f ca="1">IFERROR(OFFSET(extrapolation!J153,0,PFS_dist_choice-1,1,1),0)</f>
        <v>3.5988176985082845E-2</v>
      </c>
      <c r="F144" s="214"/>
      <c r="G144" s="226">
        <f t="shared" ca="1" si="130"/>
        <v>35.988176985082845</v>
      </c>
      <c r="H144" s="224">
        <f t="shared" ca="1" si="131"/>
        <v>66.172589206419389</v>
      </c>
      <c r="I144" s="224">
        <f t="shared" ca="1" si="108"/>
        <v>897.83923380849774</v>
      </c>
      <c r="J144" s="227">
        <f t="shared" ca="1" si="109"/>
        <v>1000</v>
      </c>
      <c r="K144" s="238">
        <f t="shared" ca="1" si="132"/>
        <v>0.26468890189049432</v>
      </c>
      <c r="L144" s="239">
        <f t="shared" ca="1" si="133"/>
        <v>0.9822738813891192</v>
      </c>
      <c r="M144" s="238">
        <f t="shared" ca="1" si="134"/>
        <v>36.120521436028092</v>
      </c>
      <c r="N144" s="238">
        <f t="shared" ca="1" si="135"/>
        <v>66.531381696168694</v>
      </c>
      <c r="O144" s="239">
        <f t="shared" ca="1" si="136"/>
        <v>897.34809686780318</v>
      </c>
      <c r="P144" s="217"/>
      <c r="Q144" s="217"/>
      <c r="R144" s="224"/>
      <c r="S144" s="230">
        <f t="shared" ca="1" si="137"/>
        <v>54565.288340053405</v>
      </c>
      <c r="T144" s="231">
        <f t="shared" ca="1" si="138"/>
        <v>3396.4456419829426</v>
      </c>
      <c r="U144" s="231">
        <f t="shared" ca="1" si="161"/>
        <v>5116.1512165533468</v>
      </c>
      <c r="V144" s="231"/>
      <c r="W144" s="231">
        <f t="shared" ca="1" si="139"/>
        <v>13602.410444465204</v>
      </c>
      <c r="X144" s="231">
        <f t="shared" ca="1" si="140"/>
        <v>1700.3013055581505</v>
      </c>
      <c r="Y144" s="231"/>
      <c r="Z144" s="232">
        <f t="shared" ca="1" si="110"/>
        <v>78380.596948613063</v>
      </c>
      <c r="AA144" s="231">
        <f t="shared" ca="1" si="111"/>
        <v>229.9835046118516</v>
      </c>
      <c r="AB144" s="231">
        <f t="shared" ca="1" si="141"/>
        <v>16802.810128772071</v>
      </c>
      <c r="AC144" s="231">
        <f t="shared" ca="1" si="142"/>
        <v>90196.753840811973</v>
      </c>
      <c r="AD144" s="231">
        <f t="shared" ca="1" si="143"/>
        <v>3131.831730583749</v>
      </c>
      <c r="AE144" s="231">
        <f t="shared" ca="1" si="112"/>
        <v>28142.657385989201</v>
      </c>
      <c r="AF144" s="231">
        <f t="shared" ca="1" si="113"/>
        <v>138504.03659076884</v>
      </c>
      <c r="AG144" s="232">
        <f t="shared" ca="1" si="114"/>
        <v>216884.6335393819</v>
      </c>
      <c r="AH144" s="244">
        <f t="shared" ca="1" si="144"/>
        <v>2.7689927452670404</v>
      </c>
      <c r="AI144" s="243">
        <f t="shared" ca="1" si="145"/>
        <v>5.1002838808835689</v>
      </c>
      <c r="AJ144" s="242">
        <f t="shared" ca="1" si="146"/>
        <v>7.8692766261506097</v>
      </c>
      <c r="AK144" s="241">
        <f t="shared" ca="1" si="147"/>
        <v>1.9936747765922691</v>
      </c>
      <c r="AL144" s="243">
        <f t="shared" ca="1" si="148"/>
        <v>2.2594257592314211</v>
      </c>
      <c r="AM144" s="243"/>
      <c r="AN144" s="242">
        <f t="shared" ca="1" si="115"/>
        <v>4.2531005358236902</v>
      </c>
      <c r="AO144" s="224"/>
      <c r="AP144" s="235">
        <f t="shared" si="149"/>
        <v>10.615384615384615</v>
      </c>
      <c r="AQ144" s="235">
        <f t="shared" si="116"/>
        <v>0.73068118151750572</v>
      </c>
      <c r="AR144" s="235">
        <f t="shared" si="117"/>
        <v>0.85380850102812056</v>
      </c>
      <c r="AT144" s="230">
        <f t="shared" ca="1" si="118"/>
        <v>39869.829354153597</v>
      </c>
      <c r="AU144" s="231">
        <f t="shared" ca="1" si="119"/>
        <v>2481.7189146440796</v>
      </c>
      <c r="AV144" s="231">
        <f t="shared" ca="1" si="150"/>
        <v>3738.2754157334239</v>
      </c>
      <c r="AW144" s="231"/>
      <c r="AX144" s="231">
        <f t="shared" ca="1" si="151"/>
        <v>9939.0253350478961</v>
      </c>
      <c r="AY144" s="231">
        <f t="shared" ca="1" si="152"/>
        <v>1242.378166880987</v>
      </c>
      <c r="AZ144" s="231"/>
      <c r="BA144" s="232">
        <f t="shared" ca="1" si="120"/>
        <v>57271.227186459997</v>
      </c>
      <c r="BB144" s="231">
        <f t="shared" ca="1" si="121"/>
        <v>168.04461887932445</v>
      </c>
      <c r="BC144" s="231">
        <f t="shared" ca="1" si="153"/>
        <v>12277.497157705489</v>
      </c>
      <c r="BD144" s="231">
        <f t="shared" ca="1" si="154"/>
        <v>65905.070665448118</v>
      </c>
      <c r="BE144" s="231">
        <f t="shared" ca="1" si="155"/>
        <v>2288.3705092169484</v>
      </c>
      <c r="BF144" s="231">
        <f t="shared" ca="1" si="122"/>
        <v>20563.310149836947</v>
      </c>
      <c r="BG144" s="231">
        <f t="shared" ca="1" si="123"/>
        <v>101202.29310108682</v>
      </c>
      <c r="BH144" s="232">
        <f t="shared" ca="1" si="124"/>
        <v>158473.52028754682</v>
      </c>
      <c r="BI144" s="244">
        <f t="shared" ca="1" si="156"/>
        <v>2.3641895451941921</v>
      </c>
      <c r="BJ144" s="243">
        <f t="shared" ca="1" si="157"/>
        <v>4.354665735155085</v>
      </c>
      <c r="BK144" s="242">
        <f t="shared" ca="1" si="158"/>
        <v>6.7188552803492776</v>
      </c>
      <c r="BL144" s="241">
        <f t="shared" ca="1" si="159"/>
        <v>1.7022164725398183</v>
      </c>
      <c r="BM144" s="243">
        <f t="shared" ca="1" si="160"/>
        <v>1.9291169206737029</v>
      </c>
      <c r="BN144" s="243">
        <f t="shared" si="125"/>
        <v>0</v>
      </c>
      <c r="BO144" s="242">
        <f t="shared" ca="1" si="126"/>
        <v>3.6313333932135214</v>
      </c>
      <c r="BP144" s="67"/>
      <c r="BQ144" s="67"/>
      <c r="BR144" s="67"/>
      <c r="BS144" s="67"/>
      <c r="BT144" s="67"/>
      <c r="BU144" s="67"/>
    </row>
    <row r="145" spans="1:73" ht="12" customHeight="1" x14ac:dyDescent="0.15">
      <c r="A145" s="213">
        <f t="shared" si="127"/>
        <v>139</v>
      </c>
      <c r="B145" s="67">
        <f t="shared" si="128"/>
        <v>556</v>
      </c>
      <c r="C145" s="224">
        <f t="shared" si="129"/>
        <v>128.30769230769229</v>
      </c>
      <c r="D145" s="225">
        <f ca="1">IFERROR(OFFSET(extrapolation!V154,0,OS_dist_choice-1,1,1),0)</f>
        <v>0.10119379423350477</v>
      </c>
      <c r="E145" s="225">
        <f ca="1">IFERROR(OFFSET(extrapolation!J154,0,PFS_dist_choice-1,1,1),0)</f>
        <v>3.5727258682881215E-2</v>
      </c>
      <c r="F145" s="214"/>
      <c r="G145" s="226">
        <f t="shared" ca="1" si="130"/>
        <v>35.727258682881214</v>
      </c>
      <c r="H145" s="224">
        <f t="shared" ca="1" si="131"/>
        <v>65.466535550623576</v>
      </c>
      <c r="I145" s="224">
        <f t="shared" ca="1" si="108"/>
        <v>898.80620576649517</v>
      </c>
      <c r="J145" s="227">
        <f t="shared" ca="1" si="109"/>
        <v>1000</v>
      </c>
      <c r="K145" s="238">
        <f t="shared" ca="1" si="132"/>
        <v>0.26091830220163104</v>
      </c>
      <c r="L145" s="239">
        <f t="shared" ca="1" si="133"/>
        <v>0.96697195799742985</v>
      </c>
      <c r="M145" s="238">
        <f t="shared" ca="1" si="134"/>
        <v>35.857717833982029</v>
      </c>
      <c r="N145" s="238">
        <f t="shared" ca="1" si="135"/>
        <v>65.819562378521482</v>
      </c>
      <c r="O145" s="239">
        <f t="shared" ca="1" si="136"/>
        <v>898.32271978749645</v>
      </c>
      <c r="P145" s="217"/>
      <c r="Q145" s="217"/>
      <c r="R145" s="224"/>
      <c r="S145" s="230">
        <f t="shared" ca="1" si="137"/>
        <v>54169.68390588797</v>
      </c>
      <c r="T145" s="231">
        <f t="shared" ca="1" si="138"/>
        <v>3371.8210317729381</v>
      </c>
      <c r="U145" s="231">
        <f t="shared" ca="1" si="161"/>
        <v>5079.0585488757579</v>
      </c>
      <c r="V145" s="231"/>
      <c r="W145" s="231">
        <f t="shared" ca="1" si="139"/>
        <v>13503.442812792289</v>
      </c>
      <c r="X145" s="231">
        <f t="shared" ca="1" si="140"/>
        <v>1687.9303515990362</v>
      </c>
      <c r="Y145" s="231"/>
      <c r="Z145" s="232">
        <f t="shared" ca="1" si="110"/>
        <v>77811.936650927993</v>
      </c>
      <c r="AA145" s="231">
        <f t="shared" ca="1" si="111"/>
        <v>226.70729724259854</v>
      </c>
      <c r="AB145" s="231">
        <f t="shared" ca="1" si="141"/>
        <v>16623.036846818617</v>
      </c>
      <c r="AC145" s="231">
        <f t="shared" ca="1" si="142"/>
        <v>89231.738683511285</v>
      </c>
      <c r="AD145" s="231">
        <f t="shared" ca="1" si="143"/>
        <v>3098.3242598441416</v>
      </c>
      <c r="AE145" s="231">
        <f t="shared" ca="1" si="112"/>
        <v>27704.249325347329</v>
      </c>
      <c r="AF145" s="231">
        <f t="shared" ca="1" si="113"/>
        <v>136884.05641276398</v>
      </c>
      <c r="AG145" s="232">
        <f t="shared" ca="1" si="114"/>
        <v>214695.99306369197</v>
      </c>
      <c r="AH145" s="244">
        <f t="shared" ca="1" si="144"/>
        <v>2.7488462679027976</v>
      </c>
      <c r="AI145" s="243">
        <f t="shared" ca="1" si="145"/>
        <v>5.0457159386683132</v>
      </c>
      <c r="AJ145" s="242">
        <f t="shared" ca="1" si="146"/>
        <v>7.7945622065711113</v>
      </c>
      <c r="AK145" s="241">
        <f t="shared" ca="1" si="147"/>
        <v>1.9791693128900143</v>
      </c>
      <c r="AL145" s="243">
        <f t="shared" ca="1" si="148"/>
        <v>2.2352521608300626</v>
      </c>
      <c r="AM145" s="243"/>
      <c r="AN145" s="242">
        <f t="shared" ca="1" si="115"/>
        <v>4.2144214737200771</v>
      </c>
      <c r="AO145" s="224"/>
      <c r="AP145" s="235">
        <f t="shared" si="149"/>
        <v>10.692307692307692</v>
      </c>
      <c r="AQ145" s="235">
        <f t="shared" si="116"/>
        <v>0.72902167960925846</v>
      </c>
      <c r="AR145" s="235">
        <f t="shared" si="117"/>
        <v>0.85283121277474117</v>
      </c>
      <c r="AT145" s="230">
        <f t="shared" ca="1" si="118"/>
        <v>39490.873944973064</v>
      </c>
      <c r="AU145" s="231">
        <f t="shared" ca="1" si="119"/>
        <v>2458.1306319249302</v>
      </c>
      <c r="AV145" s="231">
        <f t="shared" ca="1" si="150"/>
        <v>3702.7437941351677</v>
      </c>
      <c r="AW145" s="231"/>
      <c r="AX145" s="231">
        <f t="shared" ca="1" si="151"/>
        <v>9844.3025598894037</v>
      </c>
      <c r="AY145" s="231">
        <f t="shared" ca="1" si="152"/>
        <v>1230.5378199861755</v>
      </c>
      <c r="AZ145" s="231"/>
      <c r="BA145" s="232">
        <f t="shared" ca="1" si="120"/>
        <v>56726.588750908741</v>
      </c>
      <c r="BB145" s="231">
        <f t="shared" ca="1" si="121"/>
        <v>165.27453461547461</v>
      </c>
      <c r="BC145" s="231">
        <f t="shared" ca="1" si="153"/>
        <v>12118.5542422743</v>
      </c>
      <c r="BD145" s="231">
        <f t="shared" ca="1" si="154"/>
        <v>65051.872009507839</v>
      </c>
      <c r="BE145" s="231">
        <f t="shared" ca="1" si="155"/>
        <v>2258.7455558856886</v>
      </c>
      <c r="BF145" s="231">
        <f t="shared" ca="1" si="122"/>
        <v>20196.998375478375</v>
      </c>
      <c r="BG145" s="231">
        <f t="shared" ca="1" si="123"/>
        <v>99791.444717761682</v>
      </c>
      <c r="BH145" s="232">
        <f t="shared" ca="1" si="124"/>
        <v>156518.03346867042</v>
      </c>
      <c r="BI145" s="244">
        <f t="shared" ca="1" si="156"/>
        <v>2.344301896386864</v>
      </c>
      <c r="BJ145" s="243">
        <f t="shared" ca="1" si="157"/>
        <v>4.303144043291339</v>
      </c>
      <c r="BK145" s="242">
        <f t="shared" ca="1" si="158"/>
        <v>6.6474459396782031</v>
      </c>
      <c r="BL145" s="241">
        <f t="shared" ca="1" si="159"/>
        <v>1.6878973653985421</v>
      </c>
      <c r="BM145" s="243">
        <f t="shared" ca="1" si="160"/>
        <v>1.906292811178063</v>
      </c>
      <c r="BN145" s="243">
        <f t="shared" si="125"/>
        <v>0</v>
      </c>
      <c r="BO145" s="242">
        <f t="shared" ca="1" si="126"/>
        <v>3.5941901765766056</v>
      </c>
      <c r="BP145" s="67"/>
      <c r="BQ145" s="67"/>
      <c r="BR145" s="67"/>
      <c r="BS145" s="67"/>
      <c r="BT145" s="67"/>
      <c r="BU145" s="67"/>
    </row>
    <row r="146" spans="1:73" ht="12" customHeight="1" x14ac:dyDescent="0.15">
      <c r="A146" s="213">
        <f t="shared" si="127"/>
        <v>140</v>
      </c>
      <c r="B146" s="67">
        <f t="shared" si="128"/>
        <v>560</v>
      </c>
      <c r="C146" s="224">
        <f t="shared" si="129"/>
        <v>129.23076923076923</v>
      </c>
      <c r="D146" s="225">
        <f ca="1">IFERROR(OFFSET(extrapolation!V155,0,OS_dist_choice-1,1,1),0)</f>
        <v>0.10024179771571312</v>
      </c>
      <c r="E146" s="225">
        <f ca="1">IFERROR(OFFSET(extrapolation!J155,0,PFS_dist_choice-1,1,1),0)</f>
        <v>3.5470031412962628E-2</v>
      </c>
      <c r="F146" s="214"/>
      <c r="G146" s="226">
        <f t="shared" ca="1" si="130"/>
        <v>35.470031412962626</v>
      </c>
      <c r="H146" s="224">
        <f t="shared" ca="1" si="131"/>
        <v>64.771766302750507</v>
      </c>
      <c r="I146" s="224">
        <f t="shared" ca="1" si="108"/>
        <v>899.75820228428688</v>
      </c>
      <c r="J146" s="227">
        <f t="shared" ca="1" si="109"/>
        <v>1000</v>
      </c>
      <c r="K146" s="238">
        <f t="shared" ca="1" si="132"/>
        <v>0.25722726991858735</v>
      </c>
      <c r="L146" s="239">
        <f t="shared" ca="1" si="133"/>
        <v>0.9519965177917129</v>
      </c>
      <c r="M146" s="238">
        <f t="shared" ca="1" si="134"/>
        <v>35.59864504792192</v>
      </c>
      <c r="N146" s="238">
        <f t="shared" ca="1" si="135"/>
        <v>65.119150926687041</v>
      </c>
      <c r="O146" s="239">
        <f t="shared" ca="1" si="136"/>
        <v>899.28220402539102</v>
      </c>
      <c r="P146" s="217"/>
      <c r="Q146" s="217"/>
      <c r="R146" s="224"/>
      <c r="S146" s="230">
        <f t="shared" ca="1" si="137"/>
        <v>53779.675816346498</v>
      </c>
      <c r="T146" s="231">
        <f t="shared" ca="1" si="138"/>
        <v>3347.5447690359761</v>
      </c>
      <c r="U146" s="231">
        <f t="shared" ca="1" si="161"/>
        <v>5042.4906057295921</v>
      </c>
      <c r="V146" s="231"/>
      <c r="W146" s="231">
        <f t="shared" ca="1" si="139"/>
        <v>13405.880146726628</v>
      </c>
      <c r="X146" s="231">
        <f t="shared" ca="1" si="140"/>
        <v>1675.7350183408284</v>
      </c>
      <c r="Y146" s="231"/>
      <c r="Z146" s="232">
        <f t="shared" ca="1" si="110"/>
        <v>77251.326356179517</v>
      </c>
      <c r="AA146" s="231">
        <f t="shared" ca="1" si="111"/>
        <v>223.50022458474655</v>
      </c>
      <c r="AB146" s="231">
        <f t="shared" ca="1" si="141"/>
        <v>16446.144674475992</v>
      </c>
      <c r="AC146" s="231">
        <f t="shared" ca="1" si="142"/>
        <v>88282.189197271859</v>
      </c>
      <c r="AD146" s="231">
        <f t="shared" ca="1" si="143"/>
        <v>3065.3537915719389</v>
      </c>
      <c r="AE146" s="231">
        <f t="shared" ca="1" si="112"/>
        <v>27275.195177722177</v>
      </c>
      <c r="AF146" s="231">
        <f t="shared" ca="1" si="113"/>
        <v>135292.38306562672</v>
      </c>
      <c r="AG146" s="232">
        <f t="shared" ca="1" si="114"/>
        <v>212543.70942180624</v>
      </c>
      <c r="AH146" s="244">
        <f t="shared" ca="1" si="144"/>
        <v>2.7289857942281004</v>
      </c>
      <c r="AI146" s="243">
        <f t="shared" ca="1" si="145"/>
        <v>4.9920225214161178</v>
      </c>
      <c r="AJ146" s="242">
        <f t="shared" ca="1" si="146"/>
        <v>7.7210083156442177</v>
      </c>
      <c r="AK146" s="241">
        <f t="shared" ca="1" si="147"/>
        <v>1.9648697718442323</v>
      </c>
      <c r="AL146" s="243">
        <f t="shared" ca="1" si="148"/>
        <v>2.2114659769873404</v>
      </c>
      <c r="AM146" s="243"/>
      <c r="AN146" s="242">
        <f t="shared" ca="1" si="115"/>
        <v>4.1763357488315727</v>
      </c>
      <c r="AO146" s="224"/>
      <c r="AP146" s="235">
        <f t="shared" si="149"/>
        <v>10.76923076923077</v>
      </c>
      <c r="AQ146" s="235">
        <f t="shared" si="116"/>
        <v>0.7273659467136161</v>
      </c>
      <c r="AR146" s="235">
        <f t="shared" si="117"/>
        <v>0.85185504314729354</v>
      </c>
      <c r="AT146" s="230">
        <f t="shared" ca="1" si="118"/>
        <v>39117.504814108237</v>
      </c>
      <c r="AU146" s="231">
        <f t="shared" ca="1" si="119"/>
        <v>2434.8900700960662</v>
      </c>
      <c r="AV146" s="231">
        <f t="shared" ca="1" si="150"/>
        <v>3667.7359532310202</v>
      </c>
      <c r="AW146" s="231"/>
      <c r="AX146" s="231">
        <f t="shared" ca="1" si="151"/>
        <v>9750.9807044530844</v>
      </c>
      <c r="AY146" s="231">
        <f t="shared" ca="1" si="152"/>
        <v>1218.8725880566355</v>
      </c>
      <c r="AZ146" s="231"/>
      <c r="BA146" s="232">
        <f t="shared" ca="1" si="120"/>
        <v>56189.984129945035</v>
      </c>
      <c r="BB146" s="231">
        <f t="shared" ca="1" si="121"/>
        <v>162.56645244578999</v>
      </c>
      <c r="BC146" s="231">
        <f t="shared" ca="1" si="153"/>
        <v>11962.365590939326</v>
      </c>
      <c r="BD146" s="231">
        <f t="shared" ca="1" si="154"/>
        <v>64213.458123424214</v>
      </c>
      <c r="BE146" s="231">
        <f t="shared" ca="1" si="155"/>
        <v>2229.633962618896</v>
      </c>
      <c r="BF146" s="231">
        <f t="shared" ca="1" si="122"/>
        <v>19839.048162242547</v>
      </c>
      <c r="BG146" s="231">
        <f t="shared" ca="1" si="123"/>
        <v>98407.072291670789</v>
      </c>
      <c r="BH146" s="232">
        <f t="shared" ca="1" si="124"/>
        <v>154597.05642161582</v>
      </c>
      <c r="BI146" s="244">
        <f t="shared" ca="1" si="156"/>
        <v>2.3247003114905298</v>
      </c>
      <c r="BJ146" s="243">
        <f t="shared" ca="1" si="157"/>
        <v>4.252479560373188</v>
      </c>
      <c r="BK146" s="242">
        <f t="shared" ca="1" si="158"/>
        <v>6.5771798718637173</v>
      </c>
      <c r="BL146" s="241">
        <f t="shared" ca="1" si="159"/>
        <v>1.6737842242731813</v>
      </c>
      <c r="BM146" s="243">
        <f t="shared" ca="1" si="160"/>
        <v>1.8838484452453226</v>
      </c>
      <c r="BN146" s="243">
        <f t="shared" si="125"/>
        <v>0</v>
      </c>
      <c r="BO146" s="242">
        <f t="shared" ca="1" si="126"/>
        <v>3.5576326695185037</v>
      </c>
      <c r="BP146" s="67"/>
      <c r="BQ146" s="67"/>
      <c r="BR146" s="67"/>
      <c r="BS146" s="67"/>
      <c r="BT146" s="67"/>
      <c r="BU146" s="67"/>
    </row>
    <row r="147" spans="1:73" ht="12" customHeight="1" x14ac:dyDescent="0.15">
      <c r="A147" s="213">
        <f t="shared" si="127"/>
        <v>141</v>
      </c>
      <c r="B147" s="67">
        <f t="shared" si="128"/>
        <v>564</v>
      </c>
      <c r="C147" s="224">
        <f t="shared" si="129"/>
        <v>130.15384615384616</v>
      </c>
      <c r="D147" s="225">
        <f ca="1">IFERROR(OFFSET(extrapolation!V156,0,OS_dist_choice-1,1,1),0)</f>
        <v>9.9304458907327101E-2</v>
      </c>
      <c r="E147" s="225">
        <f ca="1">IFERROR(OFFSET(extrapolation!J156,0,PFS_dist_choice-1,1,1),0)</f>
        <v>3.5216417825358809E-2</v>
      </c>
      <c r="F147" s="214"/>
      <c r="G147" s="226">
        <f t="shared" ca="1" si="130"/>
        <v>35.21641782535881</v>
      </c>
      <c r="H147" s="224">
        <f t="shared" ca="1" si="131"/>
        <v>64.088041081968299</v>
      </c>
      <c r="I147" s="224">
        <f t="shared" ca="1" si="108"/>
        <v>900.6955410926729</v>
      </c>
      <c r="J147" s="227">
        <f t="shared" ca="1" si="109"/>
        <v>1000</v>
      </c>
      <c r="K147" s="238">
        <f t="shared" ca="1" si="132"/>
        <v>0.25361358760381592</v>
      </c>
      <c r="L147" s="239">
        <f t="shared" ca="1" si="133"/>
        <v>0.93733880838601635</v>
      </c>
      <c r="M147" s="238">
        <f t="shared" ca="1" si="134"/>
        <v>35.343224619160722</v>
      </c>
      <c r="N147" s="238">
        <f t="shared" ca="1" si="135"/>
        <v>64.429903692359403</v>
      </c>
      <c r="O147" s="239">
        <f t="shared" ca="1" si="136"/>
        <v>900.22687168847983</v>
      </c>
      <c r="P147" s="217"/>
      <c r="Q147" s="217"/>
      <c r="R147" s="224"/>
      <c r="S147" s="230">
        <f t="shared" ca="1" si="137"/>
        <v>53395.14679337616</v>
      </c>
      <c r="T147" s="231">
        <f t="shared" ca="1" si="138"/>
        <v>3323.6095537367491</v>
      </c>
      <c r="U147" s="231">
        <f t="shared" ca="1" si="161"/>
        <v>5006.436390888658</v>
      </c>
      <c r="V147" s="231"/>
      <c r="W147" s="231">
        <f t="shared" ca="1" si="139"/>
        <v>13309.692899982021</v>
      </c>
      <c r="X147" s="231">
        <f t="shared" ca="1" si="140"/>
        <v>1663.7116124977526</v>
      </c>
      <c r="Y147" s="231"/>
      <c r="Z147" s="232">
        <f t="shared" ca="1" si="110"/>
        <v>76698.59725048134</v>
      </c>
      <c r="AA147" s="231">
        <f t="shared" ca="1" si="111"/>
        <v>220.36035994603634</v>
      </c>
      <c r="AB147" s="231">
        <f t="shared" ca="1" si="141"/>
        <v>16272.072077230421</v>
      </c>
      <c r="AC147" s="231">
        <f t="shared" ca="1" si="142"/>
        <v>87347.775067500508</v>
      </c>
      <c r="AD147" s="231">
        <f t="shared" ca="1" si="143"/>
        <v>3032.9088565104344</v>
      </c>
      <c r="AE147" s="231">
        <f t="shared" ca="1" si="112"/>
        <v>26855.24418270585</v>
      </c>
      <c r="AF147" s="231">
        <f t="shared" ca="1" si="113"/>
        <v>133728.36054389324</v>
      </c>
      <c r="AG147" s="232">
        <f t="shared" ca="1" si="114"/>
        <v>210426.95779437458</v>
      </c>
      <c r="AH147" s="244">
        <f t="shared" ca="1" si="144"/>
        <v>2.7094053096139636</v>
      </c>
      <c r="AI147" s="243">
        <f t="shared" ca="1" si="145"/>
        <v>4.9391849510912067</v>
      </c>
      <c r="AJ147" s="242">
        <f t="shared" ca="1" si="146"/>
        <v>7.6485902607051699</v>
      </c>
      <c r="AK147" s="241">
        <f t="shared" ca="1" si="147"/>
        <v>1.9507718229220536</v>
      </c>
      <c r="AL147" s="243">
        <f t="shared" ca="1" si="148"/>
        <v>2.1880589333334046</v>
      </c>
      <c r="AM147" s="243"/>
      <c r="AN147" s="242">
        <f t="shared" ca="1" si="115"/>
        <v>4.1388307562554587</v>
      </c>
      <c r="AO147" s="224"/>
      <c r="AP147" s="235">
        <f t="shared" si="149"/>
        <v>10.846153846153847</v>
      </c>
      <c r="AQ147" s="235">
        <f t="shared" si="116"/>
        <v>0.72571397427050699</v>
      </c>
      <c r="AR147" s="235">
        <f t="shared" si="117"/>
        <v>0.85087999086537369</v>
      </c>
      <c r="AT147" s="230">
        <f t="shared" ca="1" si="118"/>
        <v>38749.604186178127</v>
      </c>
      <c r="AU147" s="231">
        <f t="shared" ca="1" si="119"/>
        <v>2411.9898981657225</v>
      </c>
      <c r="AV147" s="231">
        <f t="shared" ca="1" si="150"/>
        <v>3633.2408501643013</v>
      </c>
      <c r="AW147" s="231"/>
      <c r="AX147" s="231">
        <f t="shared" ca="1" si="151"/>
        <v>9659.0301307659029</v>
      </c>
      <c r="AY147" s="231">
        <f t="shared" ca="1" si="152"/>
        <v>1207.3787663457379</v>
      </c>
      <c r="AZ147" s="231"/>
      <c r="BA147" s="232">
        <f t="shared" ca="1" si="120"/>
        <v>55661.243831619795</v>
      </c>
      <c r="BB147" s="231">
        <f t="shared" ca="1" si="121"/>
        <v>159.91859258811746</v>
      </c>
      <c r="BC147" s="231">
        <f t="shared" ca="1" si="153"/>
        <v>11808.870096783034</v>
      </c>
      <c r="BD147" s="231">
        <f t="shared" ca="1" si="154"/>
        <v>63389.500987922096</v>
      </c>
      <c r="BE147" s="231">
        <f t="shared" ca="1" si="155"/>
        <v>2201.0243398584062</v>
      </c>
      <c r="BF147" s="231">
        <f t="shared" ca="1" si="122"/>
        <v>19489.225985836376</v>
      </c>
      <c r="BG147" s="231">
        <f t="shared" ca="1" si="123"/>
        <v>97048.540002988026</v>
      </c>
      <c r="BH147" s="232">
        <f t="shared" ca="1" si="124"/>
        <v>152709.78383460781</v>
      </c>
      <c r="BI147" s="244">
        <f t="shared" ca="1" si="156"/>
        <v>2.3053787650949245</v>
      </c>
      <c r="BJ147" s="243">
        <f t="shared" ca="1" si="157"/>
        <v>4.2026536460668771</v>
      </c>
      <c r="BK147" s="242">
        <f t="shared" ca="1" si="158"/>
        <v>6.5080324111618015</v>
      </c>
      <c r="BL147" s="241">
        <f t="shared" ca="1" si="159"/>
        <v>1.6598727108683453</v>
      </c>
      <c r="BM147" s="243">
        <f t="shared" ca="1" si="160"/>
        <v>1.8617755652076267</v>
      </c>
      <c r="BN147" s="243">
        <f t="shared" si="125"/>
        <v>0</v>
      </c>
      <c r="BO147" s="242">
        <f t="shared" ca="1" si="126"/>
        <v>3.5216482760759722</v>
      </c>
      <c r="BP147" s="67"/>
      <c r="BQ147" s="67"/>
      <c r="BR147" s="67"/>
      <c r="BS147" s="67"/>
      <c r="BT147" s="67"/>
      <c r="BU147" s="67"/>
    </row>
    <row r="148" spans="1:73" ht="12" customHeight="1" x14ac:dyDescent="0.15">
      <c r="A148" s="213">
        <f t="shared" si="127"/>
        <v>142</v>
      </c>
      <c r="B148" s="67">
        <f t="shared" si="128"/>
        <v>568</v>
      </c>
      <c r="C148" s="224">
        <f t="shared" si="129"/>
        <v>131.07692307692309</v>
      </c>
      <c r="D148" s="225">
        <f ca="1">IFERROR(OFFSET(extrapolation!V157,0,OS_dist_choice-1,1,1),0)</f>
        <v>9.8381468549985598E-2</v>
      </c>
      <c r="E148" s="225">
        <f ca="1">IFERROR(OFFSET(extrapolation!J157,0,PFS_dist_choice-1,1,1),0)</f>
        <v>3.4966342710937334E-2</v>
      </c>
      <c r="F148" s="214"/>
      <c r="G148" s="226">
        <f t="shared" ca="1" si="130"/>
        <v>34.966342710937333</v>
      </c>
      <c r="H148" s="224">
        <f t="shared" ca="1" si="131"/>
        <v>63.415125839048301</v>
      </c>
      <c r="I148" s="224">
        <f t="shared" ca="1" si="108"/>
        <v>901.61853145001442</v>
      </c>
      <c r="J148" s="227">
        <f t="shared" ca="1" si="109"/>
        <v>1000</v>
      </c>
      <c r="K148" s="238">
        <f t="shared" ca="1" si="132"/>
        <v>0.25007511442147745</v>
      </c>
      <c r="L148" s="239">
        <f t="shared" ca="1" si="133"/>
        <v>0.92299035734151857</v>
      </c>
      <c r="M148" s="238">
        <f t="shared" ca="1" si="134"/>
        <v>35.091380268148072</v>
      </c>
      <c r="N148" s="238">
        <f t="shared" ca="1" si="135"/>
        <v>63.7515834605083</v>
      </c>
      <c r="O148" s="239">
        <f t="shared" ca="1" si="136"/>
        <v>901.15703627134371</v>
      </c>
      <c r="P148" s="217"/>
      <c r="Q148" s="217"/>
      <c r="R148" s="224"/>
      <c r="S148" s="230">
        <f t="shared" ca="1" si="137"/>
        <v>53015.982804860265</v>
      </c>
      <c r="T148" s="231">
        <f t="shared" ca="1" si="138"/>
        <v>3300.0082878849867</v>
      </c>
      <c r="U148" s="231">
        <f t="shared" ca="1" si="161"/>
        <v>4970.8852124722725</v>
      </c>
      <c r="V148" s="231"/>
      <c r="W148" s="231">
        <f t="shared" ca="1" si="139"/>
        <v>13214.852346900274</v>
      </c>
      <c r="X148" s="231">
        <f t="shared" ca="1" si="140"/>
        <v>1651.8565433625342</v>
      </c>
      <c r="Y148" s="231"/>
      <c r="Z148" s="232">
        <f t="shared" ca="1" si="110"/>
        <v>76153.585195480322</v>
      </c>
      <c r="AA148" s="231">
        <f t="shared" ca="1" si="111"/>
        <v>217.28584319207764</v>
      </c>
      <c r="AB148" s="231">
        <f t="shared" ca="1" si="141"/>
        <v>16100.759145321852</v>
      </c>
      <c r="AC148" s="231">
        <f t="shared" ca="1" si="142"/>
        <v>86428.174701211421</v>
      </c>
      <c r="AD148" s="231">
        <f t="shared" ca="1" si="143"/>
        <v>3000.9782882365071</v>
      </c>
      <c r="AE148" s="231">
        <f t="shared" ca="1" si="112"/>
        <v>26444.153600521291</v>
      </c>
      <c r="AF148" s="231">
        <f t="shared" ca="1" si="113"/>
        <v>132191.35157848315</v>
      </c>
      <c r="AG148" s="232">
        <f t="shared" ca="1" si="114"/>
        <v>208344.93677396348</v>
      </c>
      <c r="AH148" s="244">
        <f t="shared" ca="1" si="144"/>
        <v>2.6900989664836303</v>
      </c>
      <c r="AI148" s="243">
        <f t="shared" ca="1" si="145"/>
        <v>4.8871850428315744</v>
      </c>
      <c r="AJ148" s="242">
        <f t="shared" ca="1" si="146"/>
        <v>7.5772840093152052</v>
      </c>
      <c r="AK148" s="241">
        <f t="shared" ca="1" si="147"/>
        <v>1.9368712558682137</v>
      </c>
      <c r="AL148" s="243">
        <f t="shared" ca="1" si="148"/>
        <v>2.1650229739743874</v>
      </c>
      <c r="AM148" s="243"/>
      <c r="AN148" s="242">
        <f t="shared" ca="1" si="115"/>
        <v>4.1018942298426015</v>
      </c>
      <c r="AO148" s="224"/>
      <c r="AP148" s="235">
        <f t="shared" si="149"/>
        <v>10.923076923076923</v>
      </c>
      <c r="AQ148" s="235">
        <f t="shared" si="116"/>
        <v>0.72406575373930004</v>
      </c>
      <c r="AR148" s="235">
        <f t="shared" si="117"/>
        <v>0.8499060546500431</v>
      </c>
      <c r="AT148" s="230">
        <f t="shared" ca="1" si="118"/>
        <v>38387.057549830919</v>
      </c>
      <c r="AU148" s="231">
        <f t="shared" ca="1" si="119"/>
        <v>2389.4229883133798</v>
      </c>
      <c r="AV148" s="231">
        <f t="shared" ca="1" si="150"/>
        <v>3599.2477481202768</v>
      </c>
      <c r="AW148" s="231"/>
      <c r="AX148" s="231">
        <f t="shared" ca="1" si="151"/>
        <v>9568.4220251119041</v>
      </c>
      <c r="AY148" s="231">
        <f t="shared" ca="1" si="152"/>
        <v>1196.052753138988</v>
      </c>
      <c r="AZ148" s="231"/>
      <c r="BA148" s="232">
        <f t="shared" ca="1" si="120"/>
        <v>55140.203064515459</v>
      </c>
      <c r="BB148" s="231">
        <f t="shared" ca="1" si="121"/>
        <v>157.32923782775106</v>
      </c>
      <c r="BC148" s="231">
        <f t="shared" ca="1" si="153"/>
        <v>11658.008306332395</v>
      </c>
      <c r="BD148" s="231">
        <f t="shared" ca="1" si="154"/>
        <v>62579.681459344552</v>
      </c>
      <c r="BE148" s="231">
        <f t="shared" ca="1" si="155"/>
        <v>2172.9056062272407</v>
      </c>
      <c r="BF148" s="231">
        <f t="shared" ca="1" si="122"/>
        <v>19147.306008759275</v>
      </c>
      <c r="BG148" s="231">
        <f t="shared" ca="1" si="123"/>
        <v>95715.230618491216</v>
      </c>
      <c r="BH148" s="232">
        <f t="shared" ca="1" si="124"/>
        <v>150855.43368300667</v>
      </c>
      <c r="BI148" s="244">
        <f t="shared" ca="1" si="156"/>
        <v>2.2863313992222607</v>
      </c>
      <c r="BJ148" s="243">
        <f t="shared" ca="1" si="157"/>
        <v>4.1536481580976856</v>
      </c>
      <c r="BK148" s="242">
        <f t="shared" ca="1" si="158"/>
        <v>6.4399795573199468</v>
      </c>
      <c r="BL148" s="241">
        <f t="shared" ca="1" si="159"/>
        <v>1.6461586074400276</v>
      </c>
      <c r="BM148" s="243">
        <f t="shared" ca="1" si="160"/>
        <v>1.8400661340372746</v>
      </c>
      <c r="BN148" s="243">
        <f t="shared" si="125"/>
        <v>0</v>
      </c>
      <c r="BO148" s="242">
        <f t="shared" ca="1" si="126"/>
        <v>3.4862247414773027</v>
      </c>
      <c r="BP148" s="67"/>
      <c r="BQ148" s="67"/>
      <c r="BR148" s="67"/>
      <c r="BS148" s="67"/>
      <c r="BT148" s="67"/>
      <c r="BU148" s="67"/>
    </row>
    <row r="149" spans="1:73" ht="12" customHeight="1" x14ac:dyDescent="0.15">
      <c r="A149" s="213">
        <f t="shared" si="127"/>
        <v>143</v>
      </c>
      <c r="B149" s="67">
        <f t="shared" si="128"/>
        <v>572</v>
      </c>
      <c r="C149" s="224">
        <f t="shared" si="129"/>
        <v>132</v>
      </c>
      <c r="D149" s="225">
        <f ca="1">IFERROR(OFFSET(extrapolation!V158,0,OS_dist_choice-1,1,1),0)</f>
        <v>9.7472525588132755E-2</v>
      </c>
      <c r="E149" s="225">
        <f ca="1">IFERROR(OFFSET(extrapolation!J158,0,PFS_dist_choice-1,1,1),0)</f>
        <v>3.4719732927951025E-2</v>
      </c>
      <c r="F149" s="214"/>
      <c r="G149" s="226">
        <f t="shared" ca="1" si="130"/>
        <v>34.719732927951021</v>
      </c>
      <c r="H149" s="224">
        <f t="shared" ca="1" si="131"/>
        <v>62.752792660181854</v>
      </c>
      <c r="I149" s="224">
        <f t="shared" ca="1" si="108"/>
        <v>902.52747441186716</v>
      </c>
      <c r="J149" s="227">
        <f t="shared" ca="1" si="109"/>
        <v>1000</v>
      </c>
      <c r="K149" s="238">
        <f t="shared" ca="1" si="132"/>
        <v>0.24660978298631164</v>
      </c>
      <c r="L149" s="239">
        <f t="shared" ca="1" si="133"/>
        <v>0.9089429618527447</v>
      </c>
      <c r="M149" s="238">
        <f t="shared" ca="1" si="134"/>
        <v>34.843037819444177</v>
      </c>
      <c r="N149" s="238">
        <f t="shared" ca="1" si="135"/>
        <v>63.083959249615077</v>
      </c>
      <c r="O149" s="239">
        <f t="shared" ca="1" si="136"/>
        <v>902.07300293094079</v>
      </c>
      <c r="P149" s="217"/>
      <c r="Q149" s="217"/>
      <c r="R149" s="224"/>
      <c r="S149" s="230">
        <f t="shared" ca="1" si="137"/>
        <v>52642.072953252507</v>
      </c>
      <c r="T149" s="231">
        <f t="shared" ca="1" si="138"/>
        <v>3276.7340686034322</v>
      </c>
      <c r="U149" s="231">
        <f t="shared" ca="1" si="161"/>
        <v>4935.8266725033727</v>
      </c>
      <c r="V149" s="231"/>
      <c r="W149" s="231">
        <f t="shared" ca="1" si="139"/>
        <v>13121.330554197566</v>
      </c>
      <c r="X149" s="231">
        <f t="shared" ca="1" si="140"/>
        <v>1640.1663192746958</v>
      </c>
      <c r="Y149" s="231"/>
      <c r="Z149" s="232">
        <f t="shared" ca="1" si="110"/>
        <v>75616.130567831569</v>
      </c>
      <c r="AA149" s="231">
        <f t="shared" ca="1" si="111"/>
        <v>214.27487800838904</v>
      </c>
      <c r="AB149" s="231">
        <f t="shared" ca="1" si="141"/>
        <v>15932.147543292607</v>
      </c>
      <c r="AC149" s="231">
        <f t="shared" ca="1" si="142"/>
        <v>85523.074956205368</v>
      </c>
      <c r="AD149" s="231">
        <f t="shared" ca="1" si="143"/>
        <v>2969.5512137571304</v>
      </c>
      <c r="AE149" s="231">
        <f t="shared" ca="1" si="112"/>
        <v>26041.688416527006</v>
      </c>
      <c r="AF149" s="231">
        <f t="shared" ca="1" si="113"/>
        <v>130680.73700779051</v>
      </c>
      <c r="AG149" s="232">
        <f t="shared" ca="1" si="114"/>
        <v>206296.86757562208</v>
      </c>
      <c r="AH149" s="244">
        <f t="shared" ca="1" si="144"/>
        <v>2.6710610785610869</v>
      </c>
      <c r="AI149" s="243">
        <f t="shared" ca="1" si="145"/>
        <v>4.8360050896351048</v>
      </c>
      <c r="AJ149" s="242">
        <f t="shared" ca="1" si="146"/>
        <v>7.5070661681961912</v>
      </c>
      <c r="AK149" s="241">
        <f t="shared" ca="1" si="147"/>
        <v>1.9231639765639825</v>
      </c>
      <c r="AL149" s="243">
        <f t="shared" ca="1" si="148"/>
        <v>2.1423502547083513</v>
      </c>
      <c r="AM149" s="243"/>
      <c r="AN149" s="242">
        <f t="shared" ca="1" si="115"/>
        <v>4.065514231272334</v>
      </c>
      <c r="AO149" s="224"/>
      <c r="AP149" s="235">
        <f t="shared" si="149"/>
        <v>11</v>
      </c>
      <c r="AQ149" s="235">
        <f t="shared" si="116"/>
        <v>0.72242127659876232</v>
      </c>
      <c r="AR149" s="235">
        <f t="shared" si="117"/>
        <v>0.8489332332238273</v>
      </c>
      <c r="AT149" s="230">
        <f t="shared" ca="1" si="118"/>
        <v>38029.753545693857</v>
      </c>
      <c r="AU149" s="231">
        <f t="shared" ca="1" si="119"/>
        <v>2367.1824089151478</v>
      </c>
      <c r="AV149" s="231">
        <f t="shared" ca="1" si="150"/>
        <v>3565.7462058201077</v>
      </c>
      <c r="AW149" s="231"/>
      <c r="AX149" s="231">
        <f t="shared" ca="1" si="151"/>
        <v>9479.1283696377504</v>
      </c>
      <c r="AY149" s="231">
        <f t="shared" ca="1" si="152"/>
        <v>1184.8910462047188</v>
      </c>
      <c r="AZ149" s="231"/>
      <c r="BA149" s="232">
        <f t="shared" ca="1" si="120"/>
        <v>54626.701576271575</v>
      </c>
      <c r="BB149" s="231">
        <f t="shared" ca="1" si="121"/>
        <v>154.79673091386448</v>
      </c>
      <c r="BC149" s="231">
        <f t="shared" ca="1" si="153"/>
        <v>11509.722367185281</v>
      </c>
      <c r="BD149" s="231">
        <f t="shared" ca="1" si="154"/>
        <v>61783.688988513524</v>
      </c>
      <c r="BE149" s="231">
        <f t="shared" ca="1" si="155"/>
        <v>2145.2669787678301</v>
      </c>
      <c r="BF149" s="231">
        <f t="shared" ca="1" si="122"/>
        <v>18813.069790654641</v>
      </c>
      <c r="BG149" s="231">
        <f t="shared" ca="1" si="123"/>
        <v>94406.544856035136</v>
      </c>
      <c r="BH149" s="232">
        <f t="shared" ca="1" si="124"/>
        <v>149033.24643230671</v>
      </c>
      <c r="BI149" s="244">
        <f t="shared" ca="1" si="156"/>
        <v>2.267552517561187</v>
      </c>
      <c r="BJ149" s="243">
        <f t="shared" ca="1" si="157"/>
        <v>4.1054454366308146</v>
      </c>
      <c r="BK149" s="242">
        <f t="shared" ca="1" si="158"/>
        <v>6.3729979541920008</v>
      </c>
      <c r="BL149" s="241">
        <f t="shared" ca="1" si="159"/>
        <v>1.6326378126440546</v>
      </c>
      <c r="BM149" s="243">
        <f t="shared" ca="1" si="160"/>
        <v>1.8187123284274507</v>
      </c>
      <c r="BN149" s="243">
        <f t="shared" si="125"/>
        <v>0</v>
      </c>
      <c r="BO149" s="242">
        <f t="shared" ca="1" si="126"/>
        <v>3.4513501410715053</v>
      </c>
      <c r="BP149" s="67"/>
      <c r="BQ149" s="67"/>
      <c r="BR149" s="67"/>
      <c r="BS149" s="67"/>
      <c r="BT149" s="67"/>
      <c r="BU149" s="67"/>
    </row>
    <row r="150" spans="1:73" ht="12" customHeight="1" x14ac:dyDescent="0.15">
      <c r="A150" s="213">
        <f t="shared" si="127"/>
        <v>144</v>
      </c>
      <c r="B150" s="67">
        <f t="shared" si="128"/>
        <v>576</v>
      </c>
      <c r="C150" s="224">
        <f t="shared" si="129"/>
        <v>132.92307692307691</v>
      </c>
      <c r="D150" s="225">
        <f ca="1">IFERROR(OFFSET(extrapolation!V159,0,OS_dist_choice-1,1,1),0)</f>
        <v>9.6577336909272046E-2</v>
      </c>
      <c r="E150" s="225">
        <f ca="1">IFERROR(OFFSET(extrapolation!J159,0,PFS_dist_choice-1,1,1),0)</f>
        <v>3.4476517331587506E-2</v>
      </c>
      <c r="F150" s="214"/>
      <c r="G150" s="226">
        <f t="shared" ca="1" si="130"/>
        <v>34.476517331587509</v>
      </c>
      <c r="H150" s="224">
        <f t="shared" ca="1" si="131"/>
        <v>62.100819577684547</v>
      </c>
      <c r="I150" s="224">
        <f t="shared" ca="1" si="108"/>
        <v>903.42266309072795</v>
      </c>
      <c r="J150" s="227">
        <f t="shared" ca="1" si="109"/>
        <v>1000</v>
      </c>
      <c r="K150" s="238">
        <f t="shared" ca="1" si="132"/>
        <v>0.24321559636351253</v>
      </c>
      <c r="L150" s="239">
        <f t="shared" ca="1" si="133"/>
        <v>0.89518867886079079</v>
      </c>
      <c r="M150" s="238">
        <f t="shared" ca="1" si="134"/>
        <v>34.598125129769265</v>
      </c>
      <c r="N150" s="238">
        <f t="shared" ca="1" si="135"/>
        <v>62.4268061189332</v>
      </c>
      <c r="O150" s="239">
        <f t="shared" ca="1" si="136"/>
        <v>902.97506875129761</v>
      </c>
      <c r="P150" s="217"/>
      <c r="Q150" s="217"/>
      <c r="R150" s="224"/>
      <c r="S150" s="230">
        <f t="shared" ca="1" si="137"/>
        <v>52273.30936875991</v>
      </c>
      <c r="T150" s="231">
        <f t="shared" ca="1" si="138"/>
        <v>3253.7801814789595</v>
      </c>
      <c r="U150" s="231">
        <f t="shared" ca="1" si="161"/>
        <v>4901.2506568931431</v>
      </c>
      <c r="V150" s="231"/>
      <c r="W150" s="231">
        <f t="shared" ca="1" si="139"/>
        <v>13029.100353869029</v>
      </c>
      <c r="X150" s="231">
        <f t="shared" ca="1" si="140"/>
        <v>1628.6375442336287</v>
      </c>
      <c r="Y150" s="231"/>
      <c r="Z150" s="232">
        <f t="shared" ca="1" si="110"/>
        <v>75086.078105234672</v>
      </c>
      <c r="AA150" s="231">
        <f t="shared" ca="1" si="111"/>
        <v>211.32572929364255</v>
      </c>
      <c r="AB150" s="231">
        <f t="shared" ca="1" si="141"/>
        <v>15766.180461310129</v>
      </c>
      <c r="AC150" s="231">
        <f t="shared" ca="1" si="142"/>
        <v>84632.170879772428</v>
      </c>
      <c r="AD150" s="231">
        <f t="shared" ca="1" si="143"/>
        <v>2938.6170444365425</v>
      </c>
      <c r="AE150" s="231">
        <f t="shared" ca="1" si="112"/>
        <v>25647.621057955799</v>
      </c>
      <c r="AF150" s="231">
        <f t="shared" ca="1" si="113"/>
        <v>129195.91517276854</v>
      </c>
      <c r="AG150" s="232">
        <f t="shared" ca="1" si="114"/>
        <v>204281.99327800321</v>
      </c>
      <c r="AH150" s="244">
        <f t="shared" ca="1" si="144"/>
        <v>2.6522861153553441</v>
      </c>
      <c r="AI150" s="243">
        <f t="shared" ca="1" si="145"/>
        <v>4.7856278475842018</v>
      </c>
      <c r="AJ150" s="242">
        <f t="shared" ca="1" si="146"/>
        <v>7.4379139629395459</v>
      </c>
      <c r="AK150" s="241">
        <f t="shared" ca="1" si="147"/>
        <v>1.9096460030558478</v>
      </c>
      <c r="AL150" s="243">
        <f t="shared" ca="1" si="148"/>
        <v>2.1200331364798015</v>
      </c>
      <c r="AM150" s="243"/>
      <c r="AN150" s="242">
        <f t="shared" ca="1" si="115"/>
        <v>4.0296791395356495</v>
      </c>
      <c r="AO150" s="224"/>
      <c r="AP150" s="235">
        <f t="shared" si="149"/>
        <v>11.076923076923077</v>
      </c>
      <c r="AQ150" s="235">
        <f t="shared" si="116"/>
        <v>0.72078053434701239</v>
      </c>
      <c r="AR150" s="235">
        <f t="shared" si="117"/>
        <v>0.84796152531071278</v>
      </c>
      <c r="AT150" s="230">
        <f t="shared" ca="1" si="118"/>
        <v>37677.58385890146</v>
      </c>
      <c r="AU150" s="231">
        <f t="shared" ca="1" si="119"/>
        <v>2345.2614178541235</v>
      </c>
      <c r="AV150" s="231">
        <f t="shared" ca="1" si="150"/>
        <v>3532.7260674440849</v>
      </c>
      <c r="AW150" s="231"/>
      <c r="AX150" s="231">
        <f t="shared" ca="1" si="151"/>
        <v>9391.1219151225669</v>
      </c>
      <c r="AY150" s="231">
        <f t="shared" ca="1" si="152"/>
        <v>1173.8902393903209</v>
      </c>
      <c r="AZ150" s="231"/>
      <c r="BA150" s="232">
        <f t="shared" ca="1" si="120"/>
        <v>54120.583498712556</v>
      </c>
      <c r="BB150" s="231">
        <f t="shared" ca="1" si="121"/>
        <v>152.31947208154378</v>
      </c>
      <c r="BC150" s="231">
        <f t="shared" ca="1" si="153"/>
        <v>11363.955977514541</v>
      </c>
      <c r="BD150" s="231">
        <f t="shared" ca="1" si="154"/>
        <v>61001.221349670035</v>
      </c>
      <c r="BE150" s="231">
        <f t="shared" ca="1" si="155"/>
        <v>2118.0979635302092</v>
      </c>
      <c r="BF150" s="231">
        <f t="shared" ca="1" si="122"/>
        <v>18486.306010883069</v>
      </c>
      <c r="BG150" s="231">
        <f t="shared" ca="1" si="123"/>
        <v>93121.900773679386</v>
      </c>
      <c r="BH150" s="232">
        <f t="shared" ca="1" si="124"/>
        <v>147242.48427239194</v>
      </c>
      <c r="BI150" s="244">
        <f t="shared" ca="1" si="156"/>
        <v>2.2490365799371426</v>
      </c>
      <c r="BJ150" s="243">
        <f t="shared" ca="1" si="157"/>
        <v>4.0580282892069235</v>
      </c>
      <c r="BK150" s="242">
        <f t="shared" ca="1" si="158"/>
        <v>6.3070648691440656</v>
      </c>
      <c r="BL150" s="241">
        <f t="shared" ca="1" si="159"/>
        <v>1.6193063375547427</v>
      </c>
      <c r="BM150" s="243">
        <f t="shared" ca="1" si="160"/>
        <v>1.7977065321186669</v>
      </c>
      <c r="BN150" s="243">
        <f t="shared" si="125"/>
        <v>0</v>
      </c>
      <c r="BO150" s="242">
        <f t="shared" ca="1" si="126"/>
        <v>3.4170128696734099</v>
      </c>
      <c r="BP150" s="67"/>
      <c r="BQ150" s="67"/>
      <c r="BR150" s="67"/>
      <c r="BS150" s="67"/>
      <c r="BT150" s="67"/>
      <c r="BU150" s="67"/>
    </row>
    <row r="151" spans="1:73" ht="12" customHeight="1" x14ac:dyDescent="0.15">
      <c r="A151" s="213">
        <f t="shared" si="127"/>
        <v>145</v>
      </c>
      <c r="B151" s="67">
        <f t="shared" si="128"/>
        <v>580</v>
      </c>
      <c r="C151" s="224">
        <f t="shared" si="129"/>
        <v>133.84615384615384</v>
      </c>
      <c r="D151" s="225">
        <f ca="1">IFERROR(OFFSET(extrapolation!V160,0,OS_dist_choice-1,1,1),0)</f>
        <v>9.5695617093701099E-2</v>
      </c>
      <c r="E151" s="225">
        <f ca="1">IFERROR(OFFSET(extrapolation!J160,0,PFS_dist_choice-1,1,1),0)</f>
        <v>3.4236626706378469E-2</v>
      </c>
      <c r="F151" s="214"/>
      <c r="G151" s="226">
        <f t="shared" ca="1" si="130"/>
        <v>34.236626706378466</v>
      </c>
      <c r="H151" s="224">
        <f t="shared" ca="1" si="131"/>
        <v>61.458990387322615</v>
      </c>
      <c r="I151" s="224">
        <f t="shared" ca="1" si="108"/>
        <v>904.30438290629888</v>
      </c>
      <c r="J151" s="227">
        <f t="shared" ca="1" si="109"/>
        <v>1000</v>
      </c>
      <c r="K151" s="238">
        <f t="shared" ca="1" si="132"/>
        <v>0.2398906252090427</v>
      </c>
      <c r="L151" s="239">
        <f t="shared" ca="1" si="133"/>
        <v>0.88171981557093204</v>
      </c>
      <c r="M151" s="238">
        <f t="shared" ca="1" si="134"/>
        <v>34.356572018982988</v>
      </c>
      <c r="N151" s="238">
        <f t="shared" ca="1" si="135"/>
        <v>61.779904982503581</v>
      </c>
      <c r="O151" s="239">
        <f t="shared" ca="1" si="136"/>
        <v>903.86352299851342</v>
      </c>
      <c r="P151" s="217"/>
      <c r="Q151" s="217"/>
      <c r="R151" s="224"/>
      <c r="S151" s="230">
        <f t="shared" ca="1" si="137"/>
        <v>51909.587106861713</v>
      </c>
      <c r="T151" s="231">
        <f t="shared" ca="1" si="138"/>
        <v>3231.1400941835809</v>
      </c>
      <c r="U151" s="231">
        <f t="shared" ca="1" si="161"/>
        <v>4867.1473258321748</v>
      </c>
      <c r="V151" s="231"/>
      <c r="W151" s="231">
        <f t="shared" ca="1" si="139"/>
        <v>12938.135317196689</v>
      </c>
      <c r="X151" s="231">
        <f t="shared" ca="1" si="140"/>
        <v>1617.2669146495862</v>
      </c>
      <c r="Y151" s="231"/>
      <c r="Z151" s="232">
        <f t="shared" ca="1" si="110"/>
        <v>74563.276758723747</v>
      </c>
      <c r="AA151" s="231">
        <f t="shared" ca="1" si="111"/>
        <v>208.43672067493347</v>
      </c>
      <c r="AB151" s="231">
        <f t="shared" ca="1" si="141"/>
        <v>15602.802568195671</v>
      </c>
      <c r="AC151" s="231">
        <f t="shared" ca="1" si="142"/>
        <v>83755.165456552073</v>
      </c>
      <c r="AD151" s="231">
        <f t="shared" ca="1" si="143"/>
        <v>2908.1654672413911</v>
      </c>
      <c r="AE151" s="231">
        <f t="shared" ca="1" si="112"/>
        <v>25261.731122239322</v>
      </c>
      <c r="AF151" s="231">
        <f t="shared" ca="1" si="113"/>
        <v>127736.30133490339</v>
      </c>
      <c r="AG151" s="232">
        <f t="shared" ca="1" si="114"/>
        <v>202299.57809362712</v>
      </c>
      <c r="AH151" s="244">
        <f t="shared" ca="1" si="144"/>
        <v>2.6337686968693323</v>
      </c>
      <c r="AI151" s="243">
        <f t="shared" ca="1" si="145"/>
        <v>4.7360365215882281</v>
      </c>
      <c r="AJ151" s="242">
        <f t="shared" ca="1" si="146"/>
        <v>7.3698052184575609</v>
      </c>
      <c r="AK151" s="241">
        <f t="shared" ca="1" si="147"/>
        <v>1.8963134617459192</v>
      </c>
      <c r="AL151" s="243">
        <f t="shared" ca="1" si="148"/>
        <v>2.0980641790635852</v>
      </c>
      <c r="AM151" s="243"/>
      <c r="AN151" s="242">
        <f t="shared" ca="1" si="115"/>
        <v>3.9943776408095042</v>
      </c>
      <c r="AO151" s="224"/>
      <c r="AP151" s="235">
        <f t="shared" si="149"/>
        <v>11.153846153846153</v>
      </c>
      <c r="AQ151" s="235">
        <f t="shared" si="116"/>
        <v>0.71914351850148017</v>
      </c>
      <c r="AR151" s="235">
        <f t="shared" si="117"/>
        <v>0.84699092963614875</v>
      </c>
      <c r="AT151" s="230">
        <f t="shared" ca="1" si="118"/>
        <v>37330.443115987604</v>
      </c>
      <c r="AU151" s="231">
        <f t="shared" ca="1" si="119"/>
        <v>2323.6534561023846</v>
      </c>
      <c r="AV151" s="231">
        <f t="shared" ca="1" si="150"/>
        <v>3500.1774529640202</v>
      </c>
      <c r="AW151" s="231"/>
      <c r="AX151" s="231">
        <f t="shared" ca="1" si="151"/>
        <v>9304.376154857091</v>
      </c>
      <c r="AY151" s="231">
        <f t="shared" ca="1" si="152"/>
        <v>1163.0470193571364</v>
      </c>
      <c r="AZ151" s="231"/>
      <c r="BA151" s="232">
        <f t="shared" ca="1" si="120"/>
        <v>53621.697199268237</v>
      </c>
      <c r="BB151" s="231">
        <f t="shared" ca="1" si="121"/>
        <v>149.89591669108188</v>
      </c>
      <c r="BC151" s="231">
        <f t="shared" ca="1" si="153"/>
        <v>11220.654337376167</v>
      </c>
      <c r="BD151" s="231">
        <f t="shared" ca="1" si="154"/>
        <v>60231.984379098489</v>
      </c>
      <c r="BE151" s="231">
        <f t="shared" ca="1" si="155"/>
        <v>2091.3883464964752</v>
      </c>
      <c r="BF151" s="231">
        <f t="shared" ca="1" si="122"/>
        <v>18166.81020268553</v>
      </c>
      <c r="BG151" s="231">
        <f t="shared" ca="1" si="123"/>
        <v>91860.733182347743</v>
      </c>
      <c r="BH151" s="232">
        <f t="shared" ca="1" si="124"/>
        <v>145482.43038161597</v>
      </c>
      <c r="BI151" s="244">
        <f t="shared" ca="1" si="156"/>
        <v>2.2307781970079437</v>
      </c>
      <c r="BJ151" s="243">
        <f t="shared" ca="1" si="157"/>
        <v>4.0113799762107654</v>
      </c>
      <c r="BK151" s="242">
        <f t="shared" ca="1" si="158"/>
        <v>6.2421581732187095</v>
      </c>
      <c r="BL151" s="241">
        <f t="shared" ca="1" si="159"/>
        <v>1.6061603018457196</v>
      </c>
      <c r="BM151" s="243">
        <f t="shared" ca="1" si="160"/>
        <v>1.7770413294613694</v>
      </c>
      <c r="BN151" s="243">
        <f t="shared" si="125"/>
        <v>0</v>
      </c>
      <c r="BO151" s="242">
        <f t="shared" ca="1" si="126"/>
        <v>3.3832016313070885</v>
      </c>
      <c r="BP151" s="67"/>
      <c r="BQ151" s="67"/>
      <c r="BR151" s="67"/>
      <c r="BS151" s="67"/>
      <c r="BT151" s="67"/>
      <c r="BU151" s="67"/>
    </row>
    <row r="152" spans="1:73" ht="12" customHeight="1" x14ac:dyDescent="0.15">
      <c r="A152" s="213">
        <f t="shared" si="127"/>
        <v>146</v>
      </c>
      <c r="B152" s="67">
        <f t="shared" si="128"/>
        <v>584</v>
      </c>
      <c r="C152" s="224">
        <f t="shared" si="129"/>
        <v>134.76923076923077</v>
      </c>
      <c r="D152" s="225">
        <f ca="1">IFERROR(OFFSET(extrapolation!V161,0,OS_dist_choice-1,1,1),0)</f>
        <v>9.4827088173337057E-2</v>
      </c>
      <c r="E152" s="225">
        <f ca="1">IFERROR(OFFSET(extrapolation!J161,0,PFS_dist_choice-1,1,1),0)</f>
        <v>3.3999993701331999E-2</v>
      </c>
      <c r="F152" s="214"/>
      <c r="G152" s="226">
        <f t="shared" ca="1" si="130"/>
        <v>33.999993701332002</v>
      </c>
      <c r="H152" s="224">
        <f t="shared" ca="1" si="131"/>
        <v>60.827094472005115</v>
      </c>
      <c r="I152" s="224">
        <f t="shared" ca="1" si="108"/>
        <v>905.17291182666293</v>
      </c>
      <c r="J152" s="227">
        <f t="shared" ca="1" si="109"/>
        <v>1000</v>
      </c>
      <c r="K152" s="238">
        <f t="shared" ca="1" si="132"/>
        <v>0.23663300504646401</v>
      </c>
      <c r="L152" s="239">
        <f t="shared" ca="1" si="133"/>
        <v>0.86852892036404228</v>
      </c>
      <c r="M152" s="238">
        <f t="shared" ca="1" si="134"/>
        <v>34.118310203855231</v>
      </c>
      <c r="N152" s="238">
        <f t="shared" ca="1" si="135"/>
        <v>61.143042429663865</v>
      </c>
      <c r="O152" s="239">
        <f t="shared" ca="1" si="136"/>
        <v>904.7386473664809</v>
      </c>
      <c r="P152" s="217"/>
      <c r="Q152" s="217"/>
      <c r="R152" s="224"/>
      <c r="S152" s="230">
        <f t="shared" ca="1" si="137"/>
        <v>51550.804049957063</v>
      </c>
      <c r="T152" s="231">
        <f t="shared" ca="1" si="138"/>
        <v>3208.8074503524545</v>
      </c>
      <c r="U152" s="231">
        <f t="shared" ca="1" si="161"/>
        <v>4833.5071045687591</v>
      </c>
      <c r="V152" s="231"/>
      <c r="W152" s="231">
        <f t="shared" ca="1" si="139"/>
        <v>12848.409729808618</v>
      </c>
      <c r="X152" s="231">
        <f t="shared" ca="1" si="140"/>
        <v>1606.0512162260773</v>
      </c>
      <c r="Y152" s="231"/>
      <c r="Z152" s="232">
        <f t="shared" ca="1" si="110"/>
        <v>74047.579550912968</v>
      </c>
      <c r="AA152" s="231">
        <f t="shared" ca="1" si="111"/>
        <v>205.60623214166645</v>
      </c>
      <c r="AB152" s="231">
        <f t="shared" ca="1" si="141"/>
        <v>15441.959966093105</v>
      </c>
      <c r="AC152" s="231">
        <f t="shared" ca="1" si="142"/>
        <v>82891.769365197135</v>
      </c>
      <c r="AD152" s="231">
        <f t="shared" ca="1" si="143"/>
        <v>2878.1864362915671</v>
      </c>
      <c r="AE152" s="231">
        <f t="shared" ca="1" si="112"/>
        <v>24883.805116615513</v>
      </c>
      <c r="AF152" s="231">
        <f t="shared" ca="1" si="113"/>
        <v>126301.32711633897</v>
      </c>
      <c r="AG152" s="232">
        <f t="shared" ca="1" si="114"/>
        <v>200348.90666725195</v>
      </c>
      <c r="AH152" s="244">
        <f t="shared" ca="1" si="144"/>
        <v>2.6155035885227829</v>
      </c>
      <c r="AI152" s="243">
        <f t="shared" ca="1" si="145"/>
        <v>4.6872147516237872</v>
      </c>
      <c r="AJ152" s="242">
        <f t="shared" ca="1" si="146"/>
        <v>7.3027183401465701</v>
      </c>
      <c r="AK152" s="241">
        <f t="shared" ca="1" si="147"/>
        <v>1.8831625837364037</v>
      </c>
      <c r="AL152" s="243">
        <f t="shared" ca="1" si="148"/>
        <v>2.0764361349693377</v>
      </c>
      <c r="AM152" s="243"/>
      <c r="AN152" s="242">
        <f t="shared" ca="1" si="115"/>
        <v>3.9595987187057413</v>
      </c>
      <c r="AO152" s="224"/>
      <c r="AP152" s="235">
        <f t="shared" si="149"/>
        <v>11.23076923076923</v>
      </c>
      <c r="AQ152" s="235">
        <f t="shared" si="116"/>
        <v>0.7175102205988596</v>
      </c>
      <c r="AR152" s="235">
        <f t="shared" si="117"/>
        <v>0.84602144492704157</v>
      </c>
      <c r="AT152" s="230">
        <f t="shared" ca="1" si="118"/>
        <v>36988.228785933279</v>
      </c>
      <c r="AU152" s="231">
        <f t="shared" ca="1" si="119"/>
        <v>2302.3521415616538</v>
      </c>
      <c r="AV152" s="231">
        <f t="shared" ca="1" si="150"/>
        <v>3468.0907488652856</v>
      </c>
      <c r="AW152" s="231"/>
      <c r="AX152" s="231">
        <f t="shared" ca="1" si="151"/>
        <v>9218.8652995795164</v>
      </c>
      <c r="AY152" s="231">
        <f t="shared" ca="1" si="152"/>
        <v>1152.3581624474396</v>
      </c>
      <c r="AZ152" s="231"/>
      <c r="BA152" s="232">
        <f t="shared" ca="1" si="120"/>
        <v>53129.895138387168</v>
      </c>
      <c r="BB152" s="231">
        <f t="shared" ca="1" si="121"/>
        <v>147.52457298046744</v>
      </c>
      <c r="BC152" s="231">
        <f t="shared" ca="1" si="153"/>
        <v>11079.764101750223</v>
      </c>
      <c r="BD152" s="231">
        <f t="shared" ca="1" si="154"/>
        <v>59475.69172305239</v>
      </c>
      <c r="BE152" s="231">
        <f t="shared" ca="1" si="155"/>
        <v>2065.1281848282078</v>
      </c>
      <c r="BF152" s="231">
        <f t="shared" ca="1" si="122"/>
        <v>17854.384498561827</v>
      </c>
      <c r="BG152" s="231">
        <f t="shared" ca="1" si="123"/>
        <v>90622.493081173103</v>
      </c>
      <c r="BH152" s="232">
        <f t="shared" ca="1" si="124"/>
        <v>143752.38821956029</v>
      </c>
      <c r="BI152" s="244">
        <f t="shared" ca="1" si="156"/>
        <v>2.212772125173907</v>
      </c>
      <c r="BJ152" s="243">
        <f t="shared" ca="1" si="157"/>
        <v>3.9654841968521009</v>
      </c>
      <c r="BK152" s="242">
        <f t="shared" ca="1" si="158"/>
        <v>6.1782563220260078</v>
      </c>
      <c r="BL152" s="241">
        <f t="shared" ca="1" si="159"/>
        <v>1.5931959301252132</v>
      </c>
      <c r="BM152" s="243">
        <f t="shared" ca="1" si="160"/>
        <v>1.7567094992054806</v>
      </c>
      <c r="BN152" s="243">
        <f t="shared" si="125"/>
        <v>0</v>
      </c>
      <c r="BO152" s="242">
        <f t="shared" ca="1" si="126"/>
        <v>3.3499054293306938</v>
      </c>
      <c r="BP152" s="67"/>
      <c r="BQ152" s="67"/>
      <c r="BR152" s="67"/>
      <c r="BS152" s="67"/>
      <c r="BT152" s="67"/>
      <c r="BU152" s="67"/>
    </row>
    <row r="153" spans="1:73" ht="12" customHeight="1" x14ac:dyDescent="0.15">
      <c r="A153" s="213">
        <f t="shared" si="127"/>
        <v>147</v>
      </c>
      <c r="B153" s="67">
        <f t="shared" si="128"/>
        <v>588</v>
      </c>
      <c r="C153" s="224">
        <f t="shared" si="129"/>
        <v>135.69230769230771</v>
      </c>
      <c r="D153" s="225">
        <f ca="1">IFERROR(OFFSET(extrapolation!V162,0,OS_dist_choice-1,1,1),0)</f>
        <v>9.3971479399263577E-2</v>
      </c>
      <c r="E153" s="225">
        <f ca="1">IFERROR(OFFSET(extrapolation!J162,0,PFS_dist_choice-1,1,1),0)</f>
        <v>3.3766552767663431E-2</v>
      </c>
      <c r="F153" s="214"/>
      <c r="G153" s="226">
        <f t="shared" ca="1" si="130"/>
        <v>33.766552767663434</v>
      </c>
      <c r="H153" s="224">
        <f t="shared" ca="1" si="131"/>
        <v>60.204926631600074</v>
      </c>
      <c r="I153" s="224">
        <f t="shared" ca="1" si="108"/>
        <v>906.02852060073644</v>
      </c>
      <c r="J153" s="227">
        <f t="shared" ca="1" si="109"/>
        <v>1000</v>
      </c>
      <c r="K153" s="238">
        <f t="shared" ca="1" si="132"/>
        <v>0.23344093366856811</v>
      </c>
      <c r="L153" s="239">
        <f t="shared" ca="1" si="133"/>
        <v>0.85560877407351654</v>
      </c>
      <c r="M153" s="238">
        <f t="shared" ca="1" si="134"/>
        <v>33.883273234497722</v>
      </c>
      <c r="N153" s="238">
        <f t="shared" ca="1" si="135"/>
        <v>60.516010551802594</v>
      </c>
      <c r="O153" s="239">
        <f t="shared" ca="1" si="136"/>
        <v>905.60071621369968</v>
      </c>
      <c r="P153" s="217"/>
      <c r="Q153" s="217"/>
      <c r="R153" s="224"/>
      <c r="S153" s="230">
        <f t="shared" ca="1" si="137"/>
        <v>51196.860812952407</v>
      </c>
      <c r="T153" s="231">
        <f t="shared" ca="1" si="138"/>
        <v>3186.7760637071215</v>
      </c>
      <c r="U153" s="231">
        <f t="shared" ca="1" si="161"/>
        <v>4800.3206745565685</v>
      </c>
      <c r="V153" s="231"/>
      <c r="W153" s="231">
        <f t="shared" ca="1" si="139"/>
        <v>12759.898567740091</v>
      </c>
      <c r="X153" s="231">
        <f t="shared" ca="1" si="140"/>
        <v>1594.9873209675113</v>
      </c>
      <c r="Y153" s="231"/>
      <c r="Z153" s="232">
        <f t="shared" ca="1" si="110"/>
        <v>73538.843439923701</v>
      </c>
      <c r="AA153" s="231">
        <f t="shared" ca="1" si="111"/>
        <v>202.83269778787857</v>
      </c>
      <c r="AB153" s="231">
        <f t="shared" ca="1" si="141"/>
        <v>15283.60014671486</v>
      </c>
      <c r="AC153" s="231">
        <f t="shared" ca="1" si="142"/>
        <v>82041.700743504116</v>
      </c>
      <c r="AD153" s="231">
        <f t="shared" ca="1" si="143"/>
        <v>2848.6701647050036</v>
      </c>
      <c r="AE153" s="231">
        <f t="shared" ca="1" si="112"/>
        <v>24513.636208207892</v>
      </c>
      <c r="AF153" s="231">
        <f t="shared" ca="1" si="113"/>
        <v>124890.43996091976</v>
      </c>
      <c r="AG153" s="232">
        <f t="shared" ca="1" si="114"/>
        <v>198429.28340084344</v>
      </c>
      <c r="AH153" s="244">
        <f t="shared" ca="1" si="144"/>
        <v>2.5974856962790862</v>
      </c>
      <c r="AI153" s="243">
        <f t="shared" ca="1" si="145"/>
        <v>4.6391465994537242</v>
      </c>
      <c r="AJ153" s="242">
        <f t="shared" ca="1" si="146"/>
        <v>7.2366322957328109</v>
      </c>
      <c r="AK153" s="241">
        <f t="shared" ca="1" si="147"/>
        <v>1.8701897013209421</v>
      </c>
      <c r="AL153" s="243">
        <f t="shared" ca="1" si="148"/>
        <v>2.0551419435580001</v>
      </c>
      <c r="AM153" s="243"/>
      <c r="AN153" s="242">
        <f t="shared" ca="1" si="115"/>
        <v>3.9253316448789422</v>
      </c>
      <c r="AO153" s="224"/>
      <c r="AP153" s="235">
        <f t="shared" si="149"/>
        <v>11.307692307692308</v>
      </c>
      <c r="AQ153" s="235">
        <f t="shared" si="116"/>
        <v>0.71588063219506637</v>
      </c>
      <c r="AR153" s="235">
        <f t="shared" si="117"/>
        <v>0.84505306991175566</v>
      </c>
      <c r="AT153" s="230">
        <f t="shared" ca="1" si="118"/>
        <v>36650.841085179192</v>
      </c>
      <c r="AU153" s="231">
        <f t="shared" ca="1" si="119"/>
        <v>2281.3512631507592</v>
      </c>
      <c r="AV153" s="231">
        <f t="shared" ca="1" si="150"/>
        <v>3436.4565992406037</v>
      </c>
      <c r="AW153" s="231"/>
      <c r="AX153" s="231">
        <f t="shared" ca="1" si="151"/>
        <v>9134.5642534186973</v>
      </c>
      <c r="AY153" s="231">
        <f t="shared" ca="1" si="152"/>
        <v>1141.8205316773372</v>
      </c>
      <c r="AZ153" s="231"/>
      <c r="BA153" s="232">
        <f t="shared" ca="1" si="120"/>
        <v>52645.03373266659</v>
      </c>
      <c r="BB153" s="231">
        <f t="shared" ca="1" si="121"/>
        <v>145.20399992221735</v>
      </c>
      <c r="BC153" s="231">
        <f t="shared" ca="1" si="153"/>
        <v>10941.233335246843</v>
      </c>
      <c r="BD153" s="231">
        <f t="shared" ca="1" si="154"/>
        <v>58732.064594618176</v>
      </c>
      <c r="BE153" s="231">
        <f t="shared" ca="1" si="155"/>
        <v>2039.3077984242418</v>
      </c>
      <c r="BF153" s="231">
        <f t="shared" ca="1" si="122"/>
        <v>17548.837386131734</v>
      </c>
      <c r="BG153" s="231">
        <f t="shared" ca="1" si="123"/>
        <v>89406.647114343214</v>
      </c>
      <c r="BH153" s="232">
        <f t="shared" ca="1" si="124"/>
        <v>142051.68084700979</v>
      </c>
      <c r="BI153" s="244">
        <f t="shared" ca="1" si="156"/>
        <v>2.195013261692516</v>
      </c>
      <c r="BJ153" s="243">
        <f t="shared" ca="1" si="157"/>
        <v>3.9203250756390515</v>
      </c>
      <c r="BK153" s="242">
        <f t="shared" ca="1" si="158"/>
        <v>6.1153383373315675</v>
      </c>
      <c r="BL153" s="241">
        <f t="shared" ca="1" si="159"/>
        <v>1.5804095484186116</v>
      </c>
      <c r="BM153" s="243">
        <f t="shared" ca="1" si="160"/>
        <v>1.7367040085081</v>
      </c>
      <c r="BN153" s="243">
        <f t="shared" si="125"/>
        <v>0</v>
      </c>
      <c r="BO153" s="242">
        <f t="shared" ca="1" si="126"/>
        <v>3.3171135569267114</v>
      </c>
      <c r="BP153" s="67"/>
      <c r="BQ153" s="67"/>
      <c r="BR153" s="67"/>
      <c r="BS153" s="67"/>
      <c r="BT153" s="67"/>
      <c r="BU153" s="67"/>
    </row>
    <row r="154" spans="1:73" ht="12" customHeight="1" x14ac:dyDescent="0.15">
      <c r="A154" s="213">
        <f t="shared" si="127"/>
        <v>148</v>
      </c>
      <c r="B154" s="67">
        <f t="shared" si="128"/>
        <v>592</v>
      </c>
      <c r="C154" s="224">
        <f t="shared" si="129"/>
        <v>136.61538461538461</v>
      </c>
      <c r="D154" s="225">
        <f ca="1">IFERROR(OFFSET(extrapolation!V163,0,OS_dist_choice-1,1,1),0)</f>
        <v>9.3128527017644153E-2</v>
      </c>
      <c r="E154" s="225">
        <f ca="1">IFERROR(OFFSET(extrapolation!J163,0,PFS_dist_choice-1,1,1),0)</f>
        <v>3.3536240099002183E-2</v>
      </c>
      <c r="F154" s="214"/>
      <c r="G154" s="226">
        <f t="shared" ca="1" si="130"/>
        <v>33.536240099002185</v>
      </c>
      <c r="H154" s="224">
        <f t="shared" ca="1" si="131"/>
        <v>59.592286918642003</v>
      </c>
      <c r="I154" s="224">
        <f t="shared" ca="1" si="108"/>
        <v>906.87147298235584</v>
      </c>
      <c r="J154" s="227">
        <f t="shared" ca="1" si="109"/>
        <v>1000</v>
      </c>
      <c r="K154" s="238">
        <f t="shared" ca="1" si="132"/>
        <v>0.23031266866124867</v>
      </c>
      <c r="L154" s="239">
        <f t="shared" ca="1" si="133"/>
        <v>0.84295238161939778</v>
      </c>
      <c r="M154" s="238">
        <f t="shared" ca="1" si="134"/>
        <v>33.651396433332806</v>
      </c>
      <c r="N154" s="238">
        <f t="shared" ca="1" si="135"/>
        <v>59.898606775121038</v>
      </c>
      <c r="O154" s="239">
        <f t="shared" ca="1" si="136"/>
        <v>906.44999679154614</v>
      </c>
      <c r="P154" s="217"/>
      <c r="Q154" s="217"/>
      <c r="R154" s="224"/>
      <c r="S154" s="230">
        <f t="shared" ca="1" si="137"/>
        <v>50847.660652603154</v>
      </c>
      <c r="T154" s="231">
        <f t="shared" ca="1" si="138"/>
        <v>3165.0399124124283</v>
      </c>
      <c r="U154" s="231">
        <f t="shared" ca="1" si="161"/>
        <v>4767.5789649543476</v>
      </c>
      <c r="V154" s="231"/>
      <c r="W154" s="231">
        <f t="shared" ca="1" si="139"/>
        <v>12672.577474450201</v>
      </c>
      <c r="X154" s="231">
        <f t="shared" ca="1" si="140"/>
        <v>1584.0721843062752</v>
      </c>
      <c r="Y154" s="231"/>
      <c r="Z154" s="232">
        <f t="shared" ca="1" si="110"/>
        <v>73036.929188726412</v>
      </c>
      <c r="AA154" s="231">
        <f t="shared" ca="1" si="111"/>
        <v>200.11460366077537</v>
      </c>
      <c r="AB154" s="231">
        <f t="shared" ca="1" si="141"/>
        <v>15127.671949105154</v>
      </c>
      <c r="AC154" s="231">
        <f t="shared" ca="1" si="142"/>
        <v>81204.684961687861</v>
      </c>
      <c r="AD154" s="231">
        <f t="shared" ca="1" si="143"/>
        <v>2819.6071167252726</v>
      </c>
      <c r="AE154" s="231">
        <f t="shared" ca="1" si="112"/>
        <v>24151.023984338954</v>
      </c>
      <c r="AF154" s="231">
        <f t="shared" ca="1" si="113"/>
        <v>123503.10261551802</v>
      </c>
      <c r="AG154" s="232">
        <f t="shared" ca="1" si="114"/>
        <v>196540.03180424444</v>
      </c>
      <c r="AH154" s="244">
        <f t="shared" ca="1" si="144"/>
        <v>2.5797100619666491</v>
      </c>
      <c r="AI154" s="243">
        <f t="shared" ca="1" si="145"/>
        <v>4.5918165358066778</v>
      </c>
      <c r="AJ154" s="242">
        <f t="shared" ca="1" si="146"/>
        <v>7.1715265977733269</v>
      </c>
      <c r="AK154" s="241">
        <f t="shared" ca="1" si="147"/>
        <v>1.8573912446159873</v>
      </c>
      <c r="AL154" s="243">
        <f t="shared" ca="1" si="148"/>
        <v>2.0341747253623583</v>
      </c>
      <c r="AM154" s="243"/>
      <c r="AN154" s="242">
        <f t="shared" ca="1" si="115"/>
        <v>3.8915659699783456</v>
      </c>
      <c r="AO154" s="224"/>
      <c r="AP154" s="235">
        <f t="shared" si="149"/>
        <v>11.384615384615385</v>
      </c>
      <c r="AQ154" s="235">
        <f t="shared" si="116"/>
        <v>0.71425474486519469</v>
      </c>
      <c r="AR154" s="235">
        <f t="shared" si="117"/>
        <v>0.84408580332011052</v>
      </c>
      <c r="AT154" s="230">
        <f t="shared" ca="1" si="118"/>
        <v>36318.182886417067</v>
      </c>
      <c r="AU154" s="231">
        <f t="shared" ca="1" si="119"/>
        <v>2260.6447751282972</v>
      </c>
      <c r="AV154" s="231">
        <f t="shared" ca="1" si="150"/>
        <v>3405.2658972381364</v>
      </c>
      <c r="AW154" s="231"/>
      <c r="AX154" s="231">
        <f t="shared" ca="1" si="151"/>
        <v>9051.4485907978415</v>
      </c>
      <c r="AY154" s="231">
        <f t="shared" ca="1" si="152"/>
        <v>1131.4310738497302</v>
      </c>
      <c r="AZ154" s="231"/>
      <c r="BA154" s="232">
        <f t="shared" ca="1" si="120"/>
        <v>52166.973223431072</v>
      </c>
      <c r="BB154" s="231">
        <f t="shared" ca="1" si="121"/>
        <v>142.93280518152667</v>
      </c>
      <c r="BC154" s="231">
        <f t="shared" ca="1" si="153"/>
        <v>10805.011468412464</v>
      </c>
      <c r="BD154" s="231">
        <f t="shared" ca="1" si="154"/>
        <v>58000.831539168874</v>
      </c>
      <c r="BE154" s="231">
        <f t="shared" ca="1" si="155"/>
        <v>2013.9177617766968</v>
      </c>
      <c r="BF154" s="231">
        <f t="shared" ca="1" si="122"/>
        <v>17249.983474167217</v>
      </c>
      <c r="BG154" s="231">
        <f t="shared" ca="1" si="123"/>
        <v>88212.677048706784</v>
      </c>
      <c r="BH154" s="232">
        <f t="shared" ca="1" si="124"/>
        <v>140379.65027213786</v>
      </c>
      <c r="BI154" s="244">
        <f t="shared" ca="1" si="156"/>
        <v>2.1774966399880911</v>
      </c>
      <c r="BJ154" s="243">
        <f t="shared" ca="1" si="157"/>
        <v>3.8758871493249467</v>
      </c>
      <c r="BK154" s="242">
        <f t="shared" ca="1" si="158"/>
        <v>6.0533837893130373</v>
      </c>
      <c r="BL154" s="241">
        <f t="shared" ca="1" si="159"/>
        <v>1.5677975807914255</v>
      </c>
      <c r="BM154" s="243">
        <f t="shared" ca="1" si="160"/>
        <v>1.7170180071509513</v>
      </c>
      <c r="BN154" s="243">
        <f t="shared" si="125"/>
        <v>0</v>
      </c>
      <c r="BO154" s="242">
        <f t="shared" ca="1" si="126"/>
        <v>3.284815587942377</v>
      </c>
      <c r="BP154" s="67"/>
      <c r="BQ154" s="67"/>
      <c r="BR154" s="67"/>
      <c r="BS154" s="67"/>
      <c r="BT154" s="67"/>
      <c r="BU154" s="67"/>
    </row>
    <row r="155" spans="1:73" ht="12" customHeight="1" x14ac:dyDescent="0.15">
      <c r="A155" s="213">
        <f t="shared" si="127"/>
        <v>149</v>
      </c>
      <c r="B155" s="67">
        <f t="shared" si="128"/>
        <v>596</v>
      </c>
      <c r="C155" s="224">
        <f t="shared" si="129"/>
        <v>137.53846153846155</v>
      </c>
      <c r="D155" s="225">
        <f ca="1">IFERROR(OFFSET(extrapolation!V164,0,OS_dist_choice-1,1,1),0)</f>
        <v>9.2297974053663231E-2</v>
      </c>
      <c r="E155" s="225">
        <f ca="1">IFERROR(OFFSET(extrapolation!J164,0,PFS_dist_choice-1,1,1),0)</f>
        <v>3.3308993573961304E-2</v>
      </c>
      <c r="F155" s="214"/>
      <c r="G155" s="226">
        <f t="shared" ca="1" si="130"/>
        <v>33.308993573961303</v>
      </c>
      <c r="H155" s="224">
        <f t="shared" ca="1" si="131"/>
        <v>58.988980479701922</v>
      </c>
      <c r="I155" s="224">
        <f t="shared" ca="1" si="108"/>
        <v>907.70202594633679</v>
      </c>
      <c r="J155" s="227">
        <f t="shared" ca="1" si="109"/>
        <v>1000</v>
      </c>
      <c r="K155" s="238">
        <f t="shared" ca="1" si="132"/>
        <v>0.22724652504088283</v>
      </c>
      <c r="L155" s="239">
        <f t="shared" ca="1" si="133"/>
        <v>0.83055296398094924</v>
      </c>
      <c r="M155" s="238">
        <f t="shared" ca="1" si="134"/>
        <v>33.422616836481744</v>
      </c>
      <c r="N155" s="238">
        <f t="shared" ca="1" si="135"/>
        <v>59.290633699171963</v>
      </c>
      <c r="O155" s="239">
        <f t="shared" ca="1" si="136"/>
        <v>907.28674946434626</v>
      </c>
      <c r="P155" s="217"/>
      <c r="Q155" s="217"/>
      <c r="R155" s="224"/>
      <c r="S155" s="230">
        <f t="shared" ca="1" si="137"/>
        <v>50503.109380437556</v>
      </c>
      <c r="T155" s="231">
        <f t="shared" ca="1" si="138"/>
        <v>3143.5931336564272</v>
      </c>
      <c r="U155" s="231">
        <f t="shared" ca="1" si="161"/>
        <v>4735.2731444614856</v>
      </c>
      <c r="V155" s="231"/>
      <c r="W155" s="231">
        <f t="shared" ca="1" si="139"/>
        <v>12586.422738749641</v>
      </c>
      <c r="X155" s="231">
        <f t="shared" ca="1" si="140"/>
        <v>1573.3028423437052</v>
      </c>
      <c r="Y155" s="231"/>
      <c r="Z155" s="232">
        <f t="shared" ca="1" si="110"/>
        <v>72541.701239648813</v>
      </c>
      <c r="AA155" s="231">
        <f t="shared" ca="1" si="111"/>
        <v>197.45048570789368</v>
      </c>
      <c r="AB155" s="231">
        <f t="shared" ca="1" si="141"/>
        <v>14974.125518862204</v>
      </c>
      <c r="AC155" s="231">
        <f t="shared" ca="1" si="142"/>
        <v>80380.454403488315</v>
      </c>
      <c r="AD155" s="231">
        <f t="shared" ca="1" si="143"/>
        <v>2790.9880001211218</v>
      </c>
      <c r="AE155" s="231">
        <f t="shared" ca="1" si="112"/>
        <v>23795.774222540171</v>
      </c>
      <c r="AF155" s="231">
        <f t="shared" ca="1" si="113"/>
        <v>122138.79263071972</v>
      </c>
      <c r="AG155" s="232">
        <f t="shared" ca="1" si="114"/>
        <v>194680.49387036852</v>
      </c>
      <c r="AH155" s="244">
        <f t="shared" ca="1" si="144"/>
        <v>2.5621718587857325</v>
      </c>
      <c r="AI155" s="243">
        <f t="shared" ca="1" si="145"/>
        <v>4.5452094279994935</v>
      </c>
      <c r="AJ155" s="242">
        <f t="shared" ca="1" si="146"/>
        <v>7.107381286785226</v>
      </c>
      <c r="AK155" s="241">
        <f t="shared" ca="1" si="147"/>
        <v>1.8447637383257274</v>
      </c>
      <c r="AL155" s="243">
        <f t="shared" ca="1" si="148"/>
        <v>2.0135277766037758</v>
      </c>
      <c r="AM155" s="243"/>
      <c r="AN155" s="242">
        <f t="shared" ca="1" si="115"/>
        <v>3.858291514929503</v>
      </c>
      <c r="AO155" s="224"/>
      <c r="AP155" s="235">
        <f t="shared" si="149"/>
        <v>11.461538461538462</v>
      </c>
      <c r="AQ155" s="235">
        <f t="shared" si="116"/>
        <v>0.7126325502034726</v>
      </c>
      <c r="AR155" s="235">
        <f t="shared" si="117"/>
        <v>0.8431196438833799</v>
      </c>
      <c r="AT155" s="230">
        <f t="shared" ca="1" si="118"/>
        <v>35990.159630986134</v>
      </c>
      <c r="AU155" s="231">
        <f t="shared" ca="1" si="119"/>
        <v>2240.2267916397054</v>
      </c>
      <c r="AV155" s="231">
        <f t="shared" ca="1" si="150"/>
        <v>3374.5097768476053</v>
      </c>
      <c r="AW155" s="231"/>
      <c r="AX155" s="231">
        <f t="shared" ca="1" si="151"/>
        <v>8969.4945342541323</v>
      </c>
      <c r="AY155" s="231">
        <f t="shared" ca="1" si="152"/>
        <v>1121.1868167817665</v>
      </c>
      <c r="AZ155" s="231"/>
      <c r="BA155" s="232">
        <f t="shared" ca="1" si="120"/>
        <v>51695.577550509341</v>
      </c>
      <c r="BB155" s="231">
        <f t="shared" ca="1" si="121"/>
        <v>140.7096431689306</v>
      </c>
      <c r="BC155" s="231">
        <f t="shared" ca="1" si="153"/>
        <v>10671.049255573669</v>
      </c>
      <c r="BD155" s="231">
        <f t="shared" ca="1" si="154"/>
        <v>57281.728208071829</v>
      </c>
      <c r="BE155" s="231">
        <f t="shared" ca="1" si="155"/>
        <v>1988.9488961136049</v>
      </c>
      <c r="BF155" s="231">
        <f t="shared" ca="1" si="122"/>
        <v>16957.643268274856</v>
      </c>
      <c r="BG155" s="231">
        <f t="shared" ca="1" si="123"/>
        <v>87040.079271202907</v>
      </c>
      <c r="BH155" s="232">
        <f t="shared" ca="1" si="124"/>
        <v>138735.65682171224</v>
      </c>
      <c r="BI155" s="244">
        <f t="shared" ca="1" si="156"/>
        <v>2.1602174251474442</v>
      </c>
      <c r="BJ155" s="243">
        <f t="shared" ca="1" si="157"/>
        <v>3.8321553543103137</v>
      </c>
      <c r="BK155" s="242">
        <f t="shared" ca="1" si="158"/>
        <v>5.9923727794577584</v>
      </c>
      <c r="BL155" s="241">
        <f t="shared" ca="1" si="159"/>
        <v>1.5553565461061598</v>
      </c>
      <c r="BM155" s="243">
        <f t="shared" ca="1" si="160"/>
        <v>1.6976448219594691</v>
      </c>
      <c r="BN155" s="243">
        <f t="shared" si="125"/>
        <v>0</v>
      </c>
      <c r="BO155" s="242">
        <f t="shared" ca="1" si="126"/>
        <v>3.2530013680656289</v>
      </c>
      <c r="BP155" s="67"/>
      <c r="BQ155" s="67"/>
      <c r="BR155" s="67"/>
      <c r="BS155" s="67"/>
      <c r="BT155" s="67"/>
      <c r="BU155" s="67"/>
    </row>
    <row r="156" spans="1:73" ht="12" customHeight="1" x14ac:dyDescent="0.15">
      <c r="A156" s="213">
        <f t="shared" si="127"/>
        <v>150</v>
      </c>
      <c r="B156" s="67">
        <f t="shared" si="128"/>
        <v>600</v>
      </c>
      <c r="C156" s="224">
        <f t="shared" si="129"/>
        <v>138.46153846153845</v>
      </c>
      <c r="D156" s="225">
        <f ca="1">IFERROR(OFFSET(extrapolation!V165,0,OS_dist_choice-1,1,1),0)</f>
        <v>9.147957010317237E-2</v>
      </c>
      <c r="E156" s="225">
        <f ca="1">IFERROR(OFFSET(extrapolation!J165,0,PFS_dist_choice-1,1,1),0)</f>
        <v>3.3084752700962117E-2</v>
      </c>
      <c r="F156" s="214"/>
      <c r="G156" s="226">
        <f t="shared" ca="1" si="130"/>
        <v>33.084752700962113</v>
      </c>
      <c r="H156" s="224">
        <f t="shared" ca="1" si="131"/>
        <v>58.394817402210265</v>
      </c>
      <c r="I156" s="224">
        <f t="shared" ca="1" si="108"/>
        <v>908.52042989682764</v>
      </c>
      <c r="J156" s="227">
        <f t="shared" ca="1" si="109"/>
        <v>1000</v>
      </c>
      <c r="K156" s="238">
        <f t="shared" ca="1" si="132"/>
        <v>0.22424087299918938</v>
      </c>
      <c r="L156" s="239">
        <f t="shared" ca="1" si="133"/>
        <v>0.81840395049084691</v>
      </c>
      <c r="M156" s="238">
        <f t="shared" ca="1" si="134"/>
        <v>33.196873137461708</v>
      </c>
      <c r="N156" s="238">
        <f t="shared" ca="1" si="135"/>
        <v>58.691898940956094</v>
      </c>
      <c r="O156" s="239">
        <f t="shared" ca="1" si="136"/>
        <v>908.11122792158221</v>
      </c>
      <c r="P156" s="217"/>
      <c r="Q156" s="217"/>
      <c r="R156" s="224"/>
      <c r="S156" s="230">
        <f t="shared" ca="1" si="137"/>
        <v>50163.115279099831</v>
      </c>
      <c r="T156" s="231">
        <f t="shared" ca="1" si="138"/>
        <v>3122.4300184431104</v>
      </c>
      <c r="U156" s="231">
        <f t="shared" ca="1" si="161"/>
        <v>4703.3946134741755</v>
      </c>
      <c r="V156" s="231"/>
      <c r="W156" s="231">
        <f t="shared" ca="1" si="139"/>
        <v>12501.41127359788</v>
      </c>
      <c r="X156" s="231">
        <f t="shared" ca="1" si="140"/>
        <v>1562.676409199735</v>
      </c>
      <c r="Y156" s="231"/>
      <c r="Z156" s="232">
        <f t="shared" ca="1" si="110"/>
        <v>72053.027593814739</v>
      </c>
      <c r="AA156" s="231">
        <f t="shared" ca="1" si="111"/>
        <v>194.8389278176486</v>
      </c>
      <c r="AB156" s="231">
        <f t="shared" ca="1" si="141"/>
        <v>14822.912268764065</v>
      </c>
      <c r="AC156" s="231">
        <f t="shared" ca="1" si="142"/>
        <v>79568.748254811639</v>
      </c>
      <c r="AD156" s="231">
        <f t="shared" ca="1" si="143"/>
        <v>2762.8037588476263</v>
      </c>
      <c r="AE156" s="231">
        <f t="shared" ca="1" si="112"/>
        <v>23447.698669776626</v>
      </c>
      <c r="AF156" s="231">
        <f t="shared" ca="1" si="113"/>
        <v>120797.0018800176</v>
      </c>
      <c r="AG156" s="232">
        <f t="shared" ca="1" si="114"/>
        <v>192850.02947383234</v>
      </c>
      <c r="AH156" s="244">
        <f t="shared" ca="1" si="144"/>
        <v>2.5448663869922736</v>
      </c>
      <c r="AI156" s="243">
        <f t="shared" ca="1" si="145"/>
        <v>4.4993105279856831</v>
      </c>
      <c r="AJ156" s="242">
        <f t="shared" ca="1" si="146"/>
        <v>7.0441769149779567</v>
      </c>
      <c r="AK156" s="241">
        <f t="shared" ca="1" si="147"/>
        <v>1.832303798634437</v>
      </c>
      <c r="AL156" s="243">
        <f t="shared" ca="1" si="148"/>
        <v>1.9931945638976576</v>
      </c>
      <c r="AM156" s="243"/>
      <c r="AN156" s="242">
        <f t="shared" ca="1" si="115"/>
        <v>3.8254983625320946</v>
      </c>
      <c r="AO156" s="224"/>
      <c r="AP156" s="235">
        <f t="shared" si="149"/>
        <v>11.538461538461538</v>
      </c>
      <c r="AQ156" s="235">
        <f t="shared" si="116"/>
        <v>0.71101403982321931</v>
      </c>
      <c r="AR156" s="235">
        <f t="shared" si="117"/>
        <v>0.84215459033428941</v>
      </c>
      <c r="AT156" s="230">
        <f t="shared" ca="1" si="118"/>
        <v>35666.679244710627</v>
      </c>
      <c r="AU156" s="231">
        <f t="shared" ca="1" si="119"/>
        <v>2220.0915814785253</v>
      </c>
      <c r="AV156" s="231">
        <f t="shared" ca="1" si="150"/>
        <v>3344.1796050090425</v>
      </c>
      <c r="AW156" s="231"/>
      <c r="AX156" s="231">
        <f t="shared" ca="1" si="151"/>
        <v>8888.6789331323653</v>
      </c>
      <c r="AY156" s="231">
        <f t="shared" ca="1" si="152"/>
        <v>1111.0848666415457</v>
      </c>
      <c r="AZ156" s="231"/>
      <c r="BA156" s="232">
        <f t="shared" ca="1" si="120"/>
        <v>51230.714230972109</v>
      </c>
      <c r="BB156" s="231">
        <f t="shared" ca="1" si="121"/>
        <v>138.53321318245096</v>
      </c>
      <c r="BC156" s="231">
        <f t="shared" ca="1" si="153"/>
        <v>10539.2987341591</v>
      </c>
      <c r="BD156" s="231">
        <f t="shared" ca="1" si="154"/>
        <v>56574.497140330357</v>
      </c>
      <c r="BE156" s="231">
        <f t="shared" ca="1" si="155"/>
        <v>1964.3922618170261</v>
      </c>
      <c r="BF156" s="231">
        <f t="shared" ca="1" si="122"/>
        <v>16671.642955755404</v>
      </c>
      <c r="BG156" s="231">
        <f t="shared" ca="1" si="123"/>
        <v>85888.364305244337</v>
      </c>
      <c r="BH156" s="232">
        <f t="shared" ca="1" si="124"/>
        <v>137119.07853621646</v>
      </c>
      <c r="BI156" s="244">
        <f t="shared" ca="1" si="156"/>
        <v>2.1431709095929814</v>
      </c>
      <c r="BJ156" s="243">
        <f t="shared" ca="1" si="157"/>
        <v>3.7891150144825385</v>
      </c>
      <c r="BK156" s="242">
        <f t="shared" ca="1" si="158"/>
        <v>5.9322859240755195</v>
      </c>
      <c r="BL156" s="241">
        <f t="shared" ca="1" si="159"/>
        <v>1.5430830549069467</v>
      </c>
      <c r="BM156" s="243">
        <f t="shared" ca="1" si="160"/>
        <v>1.6785779514157644</v>
      </c>
      <c r="BN156" s="243">
        <f t="shared" si="125"/>
        <v>0</v>
      </c>
      <c r="BO156" s="242">
        <f t="shared" ca="1" si="126"/>
        <v>3.2216610063227109</v>
      </c>
      <c r="BP156" s="67"/>
      <c r="BQ156" s="67"/>
      <c r="BR156" s="67"/>
      <c r="BS156" s="67"/>
      <c r="BT156" s="67"/>
      <c r="BU156" s="67"/>
    </row>
    <row r="157" spans="1:73" ht="12" customHeight="1" x14ac:dyDescent="0.15">
      <c r="A157" s="213">
        <f t="shared" si="127"/>
        <v>151</v>
      </c>
      <c r="B157" s="67">
        <f t="shared" si="128"/>
        <v>604</v>
      </c>
      <c r="C157" s="224">
        <f t="shared" si="129"/>
        <v>139.38461538461539</v>
      </c>
      <c r="D157" s="225">
        <f ca="1">IFERROR(OFFSET(extrapolation!V166,0,OS_dist_choice-1,1,1),0)</f>
        <v>9.0673071131731245E-2</v>
      </c>
      <c r="E157" s="225">
        <f ca="1">IFERROR(OFFSET(extrapolation!J166,0,PFS_dist_choice-1,1,1),0)</f>
        <v>3.2863458565210189E-2</v>
      </c>
      <c r="F157" s="214"/>
      <c r="G157" s="226">
        <f t="shared" ca="1" si="130"/>
        <v>32.863458565210188</v>
      </c>
      <c r="H157" s="224">
        <f t="shared" ca="1" si="131"/>
        <v>57.809612566521082</v>
      </c>
      <c r="I157" s="224">
        <f t="shared" ca="1" si="108"/>
        <v>909.32692886826874</v>
      </c>
      <c r="J157" s="227">
        <f t="shared" ca="1" si="109"/>
        <v>1000</v>
      </c>
      <c r="K157" s="238">
        <f t="shared" ca="1" si="132"/>
        <v>0.22129413575192558</v>
      </c>
      <c r="L157" s="239">
        <f t="shared" ca="1" si="133"/>
        <v>0.80649897144110128</v>
      </c>
      <c r="M157" s="238">
        <f t="shared" ca="1" si="134"/>
        <v>32.974105633086154</v>
      </c>
      <c r="N157" s="238">
        <f t="shared" ca="1" si="135"/>
        <v>58.102214984365673</v>
      </c>
      <c r="O157" s="239">
        <f t="shared" ca="1" si="136"/>
        <v>908.92367938254824</v>
      </c>
      <c r="P157" s="217"/>
      <c r="Q157" s="217"/>
      <c r="R157" s="224"/>
      <c r="S157" s="230">
        <f t="shared" ca="1" si="137"/>
        <v>49827.589021955107</v>
      </c>
      <c r="T157" s="231">
        <f t="shared" ca="1" si="138"/>
        <v>3101.5450065881741</v>
      </c>
      <c r="U157" s="231">
        <f t="shared" ca="1" si="161"/>
        <v>4671.9349965474103</v>
      </c>
      <c r="V157" s="231"/>
      <c r="W157" s="231">
        <f t="shared" ca="1" si="139"/>
        <v>12417.520595730117</v>
      </c>
      <c r="X157" s="231">
        <f t="shared" ca="1" si="140"/>
        <v>1552.1900744662646</v>
      </c>
      <c r="Y157" s="231"/>
      <c r="Z157" s="232">
        <f t="shared" ca="1" si="110"/>
        <v>71570.779695287085</v>
      </c>
      <c r="AA157" s="231">
        <f t="shared" ca="1" si="111"/>
        <v>192.2785599501043</v>
      </c>
      <c r="AB157" s="231">
        <f t="shared" ca="1" si="141"/>
        <v>14673.984840744897</v>
      </c>
      <c r="AC157" s="231">
        <f t="shared" ca="1" si="142"/>
        <v>78769.31229962052</v>
      </c>
      <c r="AD157" s="231">
        <f t="shared" ca="1" si="143"/>
        <v>2735.0455659590452</v>
      </c>
      <c r="AE157" s="231">
        <f t="shared" ca="1" si="112"/>
        <v>23106.614830602804</v>
      </c>
      <c r="AF157" s="231">
        <f t="shared" ca="1" si="113"/>
        <v>119477.23609687737</v>
      </c>
      <c r="AG157" s="232">
        <f t="shared" ca="1" si="114"/>
        <v>191048.01579216446</v>
      </c>
      <c r="AH157" s="244">
        <f t="shared" ca="1" si="144"/>
        <v>2.5277890697506158</v>
      </c>
      <c r="AI157" s="243">
        <f t="shared" ca="1" si="145"/>
        <v>4.4541054608137953</v>
      </c>
      <c r="AJ157" s="242">
        <f t="shared" ca="1" si="146"/>
        <v>6.9818945305644107</v>
      </c>
      <c r="AK157" s="241">
        <f t="shared" ca="1" si="147"/>
        <v>1.8200081302204434</v>
      </c>
      <c r="AL157" s="243">
        <f t="shared" ca="1" si="148"/>
        <v>1.9731687191405114</v>
      </c>
      <c r="AM157" s="243"/>
      <c r="AN157" s="242">
        <f t="shared" ca="1" si="115"/>
        <v>3.7931768493609548</v>
      </c>
      <c r="AO157" s="224"/>
      <c r="AP157" s="235">
        <f t="shared" si="149"/>
        <v>11.615384615384615</v>
      </c>
      <c r="AQ157" s="235">
        <f t="shared" si="116"/>
        <v>0.70939920535680168</v>
      </c>
      <c r="AR157" s="235">
        <f t="shared" si="117"/>
        <v>0.8411906414070156</v>
      </c>
      <c r="AT157" s="230">
        <f t="shared" ca="1" si="118"/>
        <v>35347.652057020248</v>
      </c>
      <c r="AU157" s="231">
        <f t="shared" ca="1" si="119"/>
        <v>2200.233563052007</v>
      </c>
      <c r="AV157" s="231">
        <f t="shared" ca="1" si="150"/>
        <v>3314.266974029365</v>
      </c>
      <c r="AW157" s="231"/>
      <c r="AX157" s="231">
        <f t="shared" ca="1" si="151"/>
        <v>8808.9792431126643</v>
      </c>
      <c r="AY157" s="231">
        <f t="shared" ca="1" si="152"/>
        <v>1101.122405389083</v>
      </c>
      <c r="AZ157" s="231"/>
      <c r="BA157" s="232">
        <f t="shared" ca="1" si="120"/>
        <v>50772.254242603376</v>
      </c>
      <c r="BB157" s="231">
        <f t="shared" ca="1" si="121"/>
        <v>136.40225763575413</v>
      </c>
      <c r="BC157" s="231">
        <f t="shared" ca="1" si="153"/>
        <v>10409.713185442184</v>
      </c>
      <c r="BD157" s="231">
        <f t="shared" ca="1" si="154"/>
        <v>55878.887551852538</v>
      </c>
      <c r="BE157" s="231">
        <f t="shared" ca="1" si="155"/>
        <v>1940.2391511059907</v>
      </c>
      <c r="BF157" s="231">
        <f t="shared" ca="1" si="122"/>
        <v>16391.814199315319</v>
      </c>
      <c r="BG157" s="231">
        <f t="shared" ca="1" si="123"/>
        <v>84757.056345351783</v>
      </c>
      <c r="BH157" s="232">
        <f t="shared" ca="1" si="124"/>
        <v>135529.31058795517</v>
      </c>
      <c r="BI157" s="244">
        <f t="shared" ca="1" si="156"/>
        <v>2.1263525089251636</v>
      </c>
      <c r="BJ157" s="243">
        <f t="shared" ca="1" si="157"/>
        <v>3.7467518294764472</v>
      </c>
      <c r="BK157" s="242">
        <f t="shared" ca="1" si="158"/>
        <v>5.8731043384016104</v>
      </c>
      <c r="BL157" s="241">
        <f t="shared" ca="1" si="159"/>
        <v>1.530973806426118</v>
      </c>
      <c r="BM157" s="243">
        <f t="shared" ca="1" si="160"/>
        <v>1.6598110604580663</v>
      </c>
      <c r="BN157" s="243">
        <f t="shared" si="125"/>
        <v>0</v>
      </c>
      <c r="BO157" s="242">
        <f t="shared" ca="1" si="126"/>
        <v>3.1907848668841843</v>
      </c>
      <c r="BP157" s="67"/>
      <c r="BQ157" s="67"/>
      <c r="BR157" s="67"/>
      <c r="BS157" s="67"/>
      <c r="BT157" s="67"/>
      <c r="BU157" s="67"/>
    </row>
    <row r="158" spans="1:73" ht="12" customHeight="1" x14ac:dyDescent="0.15">
      <c r="A158" s="213">
        <f t="shared" si="127"/>
        <v>152</v>
      </c>
      <c r="B158" s="67">
        <f t="shared" si="128"/>
        <v>608</v>
      </c>
      <c r="C158" s="224">
        <f t="shared" si="129"/>
        <v>140.30769230769229</v>
      </c>
      <c r="D158" s="225">
        <f ca="1">IFERROR(OFFSET(extrapolation!V167,0,OS_dist_choice-1,1,1),0)</f>
        <v>8.9878239280749034E-2</v>
      </c>
      <c r="E158" s="225">
        <f ca="1">IFERROR(OFFSET(extrapolation!J167,0,PFS_dist_choice-1,1,1),0)</f>
        <v>3.2645053777726515E-2</v>
      </c>
      <c r="F158" s="214"/>
      <c r="G158" s="226">
        <f t="shared" ca="1" si="130"/>
        <v>32.645053777726517</v>
      </c>
      <c r="H158" s="224">
        <f t="shared" ca="1" si="131"/>
        <v>57.233185503022469</v>
      </c>
      <c r="I158" s="224">
        <f t="shared" ca="1" si="108"/>
        <v>910.12176071925103</v>
      </c>
      <c r="J158" s="227">
        <f t="shared" ca="1" si="109"/>
        <v>1000</v>
      </c>
      <c r="K158" s="238">
        <f t="shared" ca="1" si="132"/>
        <v>0.21840478748367076</v>
      </c>
      <c r="L158" s="239">
        <f t="shared" ca="1" si="133"/>
        <v>0.79483185098229114</v>
      </c>
      <c r="M158" s="238">
        <f t="shared" ca="1" si="134"/>
        <v>32.754256171468356</v>
      </c>
      <c r="N158" s="238">
        <f t="shared" ca="1" si="135"/>
        <v>57.521399034771775</v>
      </c>
      <c r="O158" s="239">
        <f t="shared" ca="1" si="136"/>
        <v>909.72434479375988</v>
      </c>
      <c r="P158" s="217"/>
      <c r="Q158" s="217"/>
      <c r="R158" s="224"/>
      <c r="S158" s="230">
        <f t="shared" ca="1" si="137"/>
        <v>49496.443595810451</v>
      </c>
      <c r="T158" s="231">
        <f t="shared" ca="1" si="138"/>
        <v>3080.9326819087491</v>
      </c>
      <c r="U158" s="231">
        <f t="shared" ca="1" si="161"/>
        <v>4640.886135149156</v>
      </c>
      <c r="V158" s="231"/>
      <c r="W158" s="231">
        <f t="shared" ca="1" si="139"/>
        <v>12334.72880607624</v>
      </c>
      <c r="X158" s="231">
        <f t="shared" ca="1" si="140"/>
        <v>1541.84110075953</v>
      </c>
      <c r="Y158" s="231"/>
      <c r="Z158" s="232">
        <f t="shared" ca="1" si="110"/>
        <v>71094.832319704132</v>
      </c>
      <c r="AA158" s="231">
        <f t="shared" ca="1" si="111"/>
        <v>189.76805635123281</v>
      </c>
      <c r="AB158" s="231">
        <f t="shared" ca="1" si="141"/>
        <v>14527.297069170319</v>
      </c>
      <c r="AC158" s="231">
        <f t="shared" ca="1" si="142"/>
        <v>77981.898722797792</v>
      </c>
      <c r="AD158" s="231">
        <f t="shared" ca="1" si="143"/>
        <v>2707.7048167638118</v>
      </c>
      <c r="AE158" s="231">
        <f t="shared" ca="1" si="112"/>
        <v>22772.345763721969</v>
      </c>
      <c r="AF158" s="231">
        <f t="shared" ca="1" si="113"/>
        <v>118179.01442880512</v>
      </c>
      <c r="AG158" s="232">
        <f t="shared" ca="1" si="114"/>
        <v>189273.84674850927</v>
      </c>
      <c r="AH158" s="244">
        <f t="shared" ca="1" si="144"/>
        <v>2.5109354491474716</v>
      </c>
      <c r="AI158" s="243">
        <f t="shared" ca="1" si="145"/>
        <v>4.4095802134801083</v>
      </c>
      <c r="AJ158" s="242">
        <f t="shared" ca="1" si="146"/>
        <v>6.9205156626275794</v>
      </c>
      <c r="AK158" s="241">
        <f t="shared" ca="1" si="147"/>
        <v>1.8078735233861796</v>
      </c>
      <c r="AL158" s="243">
        <f t="shared" ca="1" si="148"/>
        <v>1.9534440345716879</v>
      </c>
      <c r="AM158" s="243"/>
      <c r="AN158" s="242">
        <f t="shared" ca="1" si="115"/>
        <v>3.7613175579578675</v>
      </c>
      <c r="AO158" s="224"/>
      <c r="AP158" s="235">
        <f t="shared" si="149"/>
        <v>11.692307692307692</v>
      </c>
      <c r="AQ158" s="235">
        <f t="shared" si="116"/>
        <v>0.70778803845559068</v>
      </c>
      <c r="AR158" s="235">
        <f t="shared" si="117"/>
        <v>0.84022779583718343</v>
      </c>
      <c r="AT158" s="230">
        <f t="shared" ca="1" si="118"/>
        <v>35032.990723206465</v>
      </c>
      <c r="AU158" s="231">
        <f t="shared" ca="1" si="119"/>
        <v>2180.6472995419158</v>
      </c>
      <c r="AV158" s="231">
        <f t="shared" ca="1" si="150"/>
        <v>3284.7636942929685</v>
      </c>
      <c r="AW158" s="231"/>
      <c r="AX158" s="231">
        <f t="shared" ca="1" si="151"/>
        <v>8730.3735065343717</v>
      </c>
      <c r="AY158" s="231">
        <f t="shared" ca="1" si="152"/>
        <v>1091.2966883167965</v>
      </c>
      <c r="AZ158" s="231"/>
      <c r="BA158" s="232">
        <f t="shared" ca="1" si="120"/>
        <v>50320.071911892519</v>
      </c>
      <c r="BB158" s="231">
        <f t="shared" ca="1" si="121"/>
        <v>134.31556036636908</v>
      </c>
      <c r="BC158" s="231">
        <f t="shared" ca="1" si="153"/>
        <v>10282.247096649711</v>
      </c>
      <c r="BD158" s="231">
        <f t="shared" ca="1" si="154"/>
        <v>55194.655132051579</v>
      </c>
      <c r="BE158" s="231">
        <f t="shared" ca="1" si="155"/>
        <v>1916.4810809740129</v>
      </c>
      <c r="BF158" s="231">
        <f t="shared" ca="1" si="122"/>
        <v>16117.993939137252</v>
      </c>
      <c r="BG158" s="231">
        <f t="shared" ca="1" si="123"/>
        <v>83645.69280917893</v>
      </c>
      <c r="BH158" s="232">
        <f t="shared" ca="1" si="124"/>
        <v>133965.76472107146</v>
      </c>
      <c r="BI158" s="244">
        <f t="shared" ca="1" si="156"/>
        <v>2.1097577579266282</v>
      </c>
      <c r="BJ158" s="243">
        <f t="shared" ca="1" si="157"/>
        <v>3.7050518633396483</v>
      </c>
      <c r="BK158" s="242">
        <f t="shared" ca="1" si="158"/>
        <v>5.8148096212662761</v>
      </c>
      <c r="BL158" s="241">
        <f t="shared" ca="1" si="159"/>
        <v>1.5190255857071724</v>
      </c>
      <c r="BM158" s="243">
        <f t="shared" ca="1" si="160"/>
        <v>1.6413379754594641</v>
      </c>
      <c r="BN158" s="243">
        <f t="shared" si="125"/>
        <v>0</v>
      </c>
      <c r="BO158" s="242">
        <f t="shared" ca="1" si="126"/>
        <v>3.1603635611666365</v>
      </c>
      <c r="BP158" s="67"/>
      <c r="BQ158" s="67"/>
      <c r="BR158" s="67"/>
      <c r="BS158" s="67"/>
      <c r="BT158" s="67"/>
      <c r="BU158" s="67"/>
    </row>
    <row r="159" spans="1:73" ht="12" customHeight="1" x14ac:dyDescent="0.15">
      <c r="A159" s="213">
        <f t="shared" si="127"/>
        <v>153</v>
      </c>
      <c r="B159" s="67">
        <f t="shared" si="128"/>
        <v>612</v>
      </c>
      <c r="C159" s="224">
        <f t="shared" si="129"/>
        <v>141.23076923076923</v>
      </c>
      <c r="D159" s="225">
        <f ca="1">IFERROR(OFFSET(extrapolation!V168,0,OS_dist_choice-1,1,1),0)</f>
        <v>8.9094842680443917E-2</v>
      </c>
      <c r="E159" s="225">
        <f ca="1">IFERROR(OFFSET(extrapolation!J168,0,PFS_dist_choice-1,1,1),0)</f>
        <v>3.2429482426341145E-2</v>
      </c>
      <c r="F159" s="214"/>
      <c r="G159" s="226">
        <f t="shared" ca="1" si="130"/>
        <v>32.429482426341146</v>
      </c>
      <c r="H159" s="224">
        <f t="shared" ca="1" si="131"/>
        <v>56.665360254102779</v>
      </c>
      <c r="I159" s="224">
        <f t="shared" ca="1" si="108"/>
        <v>910.90515731955611</v>
      </c>
      <c r="J159" s="227">
        <f t="shared" ca="1" si="109"/>
        <v>1000</v>
      </c>
      <c r="K159" s="238">
        <f t="shared" ca="1" si="132"/>
        <v>0.2155713513853712</v>
      </c>
      <c r="L159" s="239">
        <f t="shared" ca="1" si="133"/>
        <v>0.78339660030508185</v>
      </c>
      <c r="M159" s="238">
        <f t="shared" ca="1" si="134"/>
        <v>32.537268102033835</v>
      </c>
      <c r="N159" s="238">
        <f t="shared" ca="1" si="135"/>
        <v>56.949272878562624</v>
      </c>
      <c r="O159" s="239">
        <f t="shared" ca="1" si="136"/>
        <v>910.51345901940363</v>
      </c>
      <c r="P159" s="217"/>
      <c r="Q159" s="217"/>
      <c r="R159" s="224"/>
      <c r="S159" s="230">
        <f t="shared" ca="1" si="137"/>
        <v>49169.594226611414</v>
      </c>
      <c r="T159" s="231">
        <f t="shared" ca="1" si="138"/>
        <v>3060.5877675983438</v>
      </c>
      <c r="U159" s="231">
        <f t="shared" ca="1" si="161"/>
        <v>4610.2400806935093</v>
      </c>
      <c r="V159" s="231"/>
      <c r="W159" s="231">
        <f t="shared" ca="1" si="139"/>
        <v>12253.01457093631</v>
      </c>
      <c r="X159" s="231">
        <f t="shared" ca="1" si="140"/>
        <v>1531.6268213670387</v>
      </c>
      <c r="Y159" s="231"/>
      <c r="Z159" s="232">
        <f t="shared" ca="1" si="110"/>
        <v>70625.063467206623</v>
      </c>
      <c r="AA159" s="231">
        <f t="shared" ca="1" si="111"/>
        <v>187.30613384777152</v>
      </c>
      <c r="AB159" s="231">
        <f t="shared" ca="1" si="141"/>
        <v>14382.80394536315</v>
      </c>
      <c r="AC159" s="231">
        <f t="shared" ca="1" si="142"/>
        <v>77206.265919722267</v>
      </c>
      <c r="AD159" s="231">
        <f t="shared" ca="1" si="143"/>
        <v>2680.7731222125785</v>
      </c>
      <c r="AE159" s="231">
        <f t="shared" ca="1" si="112"/>
        <v>22444.719886633095</v>
      </c>
      <c r="AF159" s="231">
        <f t="shared" ca="1" si="113"/>
        <v>116901.86900777885</v>
      </c>
      <c r="AG159" s="232">
        <f t="shared" ca="1" si="114"/>
        <v>187526.93247498549</v>
      </c>
      <c r="AH159" s="244">
        <f t="shared" ca="1" si="144"/>
        <v>2.4943011823598833</v>
      </c>
      <c r="AI159" s="243">
        <f t="shared" ca="1" si="145"/>
        <v>4.3657211241608582</v>
      </c>
      <c r="AJ159" s="242">
        <f t="shared" ca="1" si="146"/>
        <v>6.860022306520742</v>
      </c>
      <c r="AK159" s="241">
        <f t="shared" ca="1" si="147"/>
        <v>1.7958968512991158</v>
      </c>
      <c r="AL159" s="243">
        <f t="shared" ca="1" si="148"/>
        <v>1.9340144580032601</v>
      </c>
      <c r="AM159" s="243"/>
      <c r="AN159" s="242">
        <f t="shared" ca="1" si="115"/>
        <v>3.7299113093023761</v>
      </c>
      <c r="AO159" s="224"/>
      <c r="AP159" s="235">
        <f t="shared" si="149"/>
        <v>11.76923076923077</v>
      </c>
      <c r="AQ159" s="235">
        <f t="shared" si="116"/>
        <v>0.70618053078991849</v>
      </c>
      <c r="AR159" s="235">
        <f t="shared" si="117"/>
        <v>0.83926605236186558</v>
      </c>
      <c r="AT159" s="230">
        <f t="shared" ca="1" si="118"/>
        <v>34722.610149673361</v>
      </c>
      <c r="AU159" s="231">
        <f t="shared" ca="1" si="119"/>
        <v>2161.3274942517301</v>
      </c>
      <c r="AV159" s="231">
        <f t="shared" ca="1" si="150"/>
        <v>3255.6617872530992</v>
      </c>
      <c r="AW159" s="231"/>
      <c r="AX159" s="231">
        <f t="shared" ca="1" si="151"/>
        <v>8652.8403334804079</v>
      </c>
      <c r="AY159" s="231">
        <f t="shared" ca="1" si="152"/>
        <v>1081.605041685051</v>
      </c>
      <c r="AZ159" s="231"/>
      <c r="BA159" s="232">
        <f t="shared" ca="1" si="120"/>
        <v>49874.044806343656</v>
      </c>
      <c r="BB159" s="231">
        <f t="shared" ca="1" si="121"/>
        <v>132.27194502082682</v>
      </c>
      <c r="BC159" s="231">
        <f t="shared" ca="1" si="153"/>
        <v>10156.856124383883</v>
      </c>
      <c r="BD159" s="231">
        <f t="shared" ca="1" si="154"/>
        <v>54521.561847497069</v>
      </c>
      <c r="BE159" s="231">
        <f t="shared" ca="1" si="155"/>
        <v>1893.1097863714258</v>
      </c>
      <c r="BF159" s="231">
        <f t="shared" ca="1" si="122"/>
        <v>15850.024202973598</v>
      </c>
      <c r="BG159" s="231">
        <f t="shared" ca="1" si="123"/>
        <v>82553.823906246791</v>
      </c>
      <c r="BH159" s="232">
        <f t="shared" ca="1" si="124"/>
        <v>132427.86871259045</v>
      </c>
      <c r="BI159" s="244">
        <f t="shared" ca="1" si="156"/>
        <v>2.0933823067207129</v>
      </c>
      <c r="BJ159" s="243">
        <f t="shared" ca="1" si="157"/>
        <v>3.6640015335872893</v>
      </c>
      <c r="BK159" s="242">
        <f t="shared" ca="1" si="158"/>
        <v>5.7573838403080027</v>
      </c>
      <c r="BL159" s="241">
        <f t="shared" ca="1" si="159"/>
        <v>1.5072352608389132</v>
      </c>
      <c r="BM159" s="243">
        <f t="shared" ca="1" si="160"/>
        <v>1.6231526793791691</v>
      </c>
      <c r="BN159" s="243">
        <f t="shared" si="125"/>
        <v>0</v>
      </c>
      <c r="BO159" s="242">
        <f t="shared" ca="1" si="126"/>
        <v>3.1303879402180828</v>
      </c>
      <c r="BP159" s="67"/>
      <c r="BQ159" s="67"/>
      <c r="BR159" s="67"/>
      <c r="BS159" s="67"/>
      <c r="BT159" s="67"/>
      <c r="BU159" s="67"/>
    </row>
    <row r="160" spans="1:73" ht="12" customHeight="1" x14ac:dyDescent="0.15">
      <c r="A160" s="213">
        <f t="shared" si="127"/>
        <v>154</v>
      </c>
      <c r="B160" s="67">
        <f t="shared" si="128"/>
        <v>616</v>
      </c>
      <c r="C160" s="224">
        <f t="shared" si="129"/>
        <v>142.15384615384616</v>
      </c>
      <c r="D160" s="225">
        <f ca="1">IFERROR(OFFSET(extrapolation!V169,0,OS_dist_choice-1,1,1),0)</f>
        <v>8.832265526934896E-2</v>
      </c>
      <c r="E160" s="225">
        <f ca="1">IFERROR(OFFSET(extrapolation!J169,0,PFS_dist_choice-1,1,1),0)</f>
        <v>3.2216690028561715E-2</v>
      </c>
      <c r="F160" s="214"/>
      <c r="G160" s="226">
        <f t="shared" ca="1" si="130"/>
        <v>32.216690028561715</v>
      </c>
      <c r="H160" s="224">
        <f t="shared" ca="1" si="131"/>
        <v>56.105965240787327</v>
      </c>
      <c r="I160" s="224">
        <f t="shared" ca="1" si="108"/>
        <v>911.67734473065093</v>
      </c>
      <c r="J160" s="227">
        <f t="shared" ca="1" si="109"/>
        <v>1000</v>
      </c>
      <c r="K160" s="238">
        <f t="shared" ca="1" si="132"/>
        <v>0.21279239777943104</v>
      </c>
      <c r="L160" s="239">
        <f t="shared" ca="1" si="133"/>
        <v>0.77218741109481925</v>
      </c>
      <c r="M160" s="238">
        <f t="shared" ca="1" si="134"/>
        <v>32.323086227451427</v>
      </c>
      <c r="N160" s="238">
        <f t="shared" ca="1" si="135"/>
        <v>56.385662747445053</v>
      </c>
      <c r="O160" s="239">
        <f t="shared" ca="1" si="136"/>
        <v>911.29125102510352</v>
      </c>
      <c r="P160" s="217"/>
      <c r="Q160" s="217"/>
      <c r="R160" s="224"/>
      <c r="S160" s="230">
        <f t="shared" ca="1" si="137"/>
        <v>48846.95830798128</v>
      </c>
      <c r="T160" s="231">
        <f t="shared" ca="1" si="138"/>
        <v>3040.5051217787286</v>
      </c>
      <c r="U160" s="231">
        <f t="shared" ca="1" si="161"/>
        <v>4579.9890878403894</v>
      </c>
      <c r="V160" s="231"/>
      <c r="W160" s="231">
        <f t="shared" ca="1" si="139"/>
        <v>12172.357103878569</v>
      </c>
      <c r="X160" s="231">
        <f t="shared" ca="1" si="140"/>
        <v>1521.5446379848211</v>
      </c>
      <c r="Y160" s="231"/>
      <c r="Z160" s="232">
        <f t="shared" ca="1" si="110"/>
        <v>70161.354259463784</v>
      </c>
      <c r="AA160" s="231">
        <f t="shared" ca="1" si="111"/>
        <v>184.89155021814784</v>
      </c>
      <c r="AB160" s="231">
        <f t="shared" ca="1" si="141"/>
        <v>14240.461583332117</v>
      </c>
      <c r="AC160" s="231">
        <f t="shared" ca="1" si="142"/>
        <v>76442.178312301854</v>
      </c>
      <c r="AD160" s="231">
        <f t="shared" ca="1" si="143"/>
        <v>2654.2423025104808</v>
      </c>
      <c r="AE160" s="231">
        <f t="shared" ca="1" si="112"/>
        <v>22123.570788101602</v>
      </c>
      <c r="AF160" s="231">
        <f t="shared" ca="1" si="113"/>
        <v>115645.3445364642</v>
      </c>
      <c r="AG160" s="232">
        <f t="shared" ca="1" si="114"/>
        <v>185806.69879592798</v>
      </c>
      <c r="AH160" s="244">
        <f t="shared" ca="1" si="144"/>
        <v>2.4778820379702666</v>
      </c>
      <c r="AI160" s="243">
        <f t="shared" ca="1" si="145"/>
        <v>4.3225148718096138</v>
      </c>
      <c r="AJ160" s="242">
        <f t="shared" ca="1" si="146"/>
        <v>6.8003969097798809</v>
      </c>
      <c r="AK160" s="241">
        <f t="shared" ca="1" si="147"/>
        <v>1.7840750673385919</v>
      </c>
      <c r="AL160" s="243">
        <f t="shared" ca="1" si="148"/>
        <v>1.9148740882116588</v>
      </c>
      <c r="AM160" s="243"/>
      <c r="AN160" s="242">
        <f t="shared" ca="1" si="115"/>
        <v>3.6989491555502507</v>
      </c>
      <c r="AO160" s="224"/>
      <c r="AP160" s="235">
        <f t="shared" si="149"/>
        <v>11.846153846153847</v>
      </c>
      <c r="AQ160" s="235">
        <f t="shared" si="116"/>
        <v>0.7045766740490359</v>
      </c>
      <c r="AR160" s="235">
        <f t="shared" si="117"/>
        <v>0.83830540971958001</v>
      </c>
      <c r="AT160" s="230">
        <f t="shared" ca="1" si="118"/>
        <v>34416.427422049375</v>
      </c>
      <c r="AU160" s="231">
        <f t="shared" ca="1" si="119"/>
        <v>2142.2689861319154</v>
      </c>
      <c r="AV160" s="231">
        <f t="shared" ca="1" si="150"/>
        <v>3226.9534786914592</v>
      </c>
      <c r="AW160" s="231"/>
      <c r="AX160" s="231">
        <f t="shared" ca="1" si="151"/>
        <v>8576.3588835879164</v>
      </c>
      <c r="AY160" s="231">
        <f t="shared" ca="1" si="152"/>
        <v>1072.0448604484895</v>
      </c>
      <c r="AZ160" s="231"/>
      <c r="BA160" s="232">
        <f t="shared" ca="1" si="120"/>
        <v>49434.053630909148</v>
      </c>
      <c r="BB160" s="231">
        <f t="shared" ca="1" si="121"/>
        <v>130.2702735124729</v>
      </c>
      <c r="BC160" s="231">
        <f t="shared" ca="1" si="153"/>
        <v>10033.49705930721</v>
      </c>
      <c r="BD160" s="231">
        <f t="shared" ca="1" si="154"/>
        <v>53859.375752344982</v>
      </c>
      <c r="BE160" s="231">
        <f t="shared" ca="1" si="155"/>
        <v>1870.1172136230896</v>
      </c>
      <c r="BF160" s="231">
        <f t="shared" ca="1" si="122"/>
        <v>15587.751923969035</v>
      </c>
      <c r="BG160" s="231">
        <f t="shared" ca="1" si="123"/>
        <v>81481.012222756792</v>
      </c>
      <c r="BH160" s="232">
        <f t="shared" ca="1" si="124"/>
        <v>130915.06585366593</v>
      </c>
      <c r="BI160" s="244">
        <f t="shared" ca="1" si="156"/>
        <v>2.0772219170774524</v>
      </c>
      <c r="BJ160" s="243">
        <f t="shared" ca="1" si="157"/>
        <v>3.6235876006313363</v>
      </c>
      <c r="BK160" s="242">
        <f t="shared" ca="1" si="158"/>
        <v>5.7008095177087892</v>
      </c>
      <c r="BL160" s="241">
        <f t="shared" ca="1" si="159"/>
        <v>1.4955997802957655</v>
      </c>
      <c r="BM160" s="243">
        <f t="shared" ca="1" si="160"/>
        <v>1.6052493070796818</v>
      </c>
      <c r="BN160" s="243">
        <f t="shared" si="125"/>
        <v>0</v>
      </c>
      <c r="BO160" s="242">
        <f t="shared" ca="1" si="126"/>
        <v>3.1008490873754475</v>
      </c>
      <c r="BP160" s="67"/>
      <c r="BQ160" s="67"/>
      <c r="BR160" s="67"/>
      <c r="BS160" s="67"/>
      <c r="BT160" s="67"/>
      <c r="BU160" s="67"/>
    </row>
    <row r="161" spans="1:73" ht="12" customHeight="1" x14ac:dyDescent="0.15">
      <c r="A161" s="213">
        <f t="shared" si="127"/>
        <v>155</v>
      </c>
      <c r="B161" s="67">
        <f t="shared" si="128"/>
        <v>620</v>
      </c>
      <c r="C161" s="224">
        <f t="shared" si="129"/>
        <v>143.07692307692309</v>
      </c>
      <c r="D161" s="225">
        <f ca="1">IFERROR(OFFSET(extrapolation!V170,0,OS_dist_choice-1,1,1),0)</f>
        <v>8.7561456620109154E-2</v>
      </c>
      <c r="E161" s="225">
        <f ca="1">IFERROR(OFFSET(extrapolation!J170,0,PFS_dist_choice-1,1,1),0)</f>
        <v>3.2006623486233995E-2</v>
      </c>
      <c r="F161" s="214"/>
      <c r="G161" s="226">
        <f t="shared" ca="1" si="130"/>
        <v>32.006623486233998</v>
      </c>
      <c r="H161" s="224">
        <f t="shared" ca="1" si="131"/>
        <v>55.55483313387515</v>
      </c>
      <c r="I161" s="224">
        <f t="shared" ca="1" si="108"/>
        <v>912.4385433798908</v>
      </c>
      <c r="J161" s="227">
        <f t="shared" ca="1" si="109"/>
        <v>1000</v>
      </c>
      <c r="K161" s="238">
        <f t="shared" ca="1" si="132"/>
        <v>0.21006654232771638</v>
      </c>
      <c r="L161" s="239">
        <f t="shared" ca="1" si="133"/>
        <v>0.76119864923987279</v>
      </c>
      <c r="M161" s="238">
        <f t="shared" ca="1" si="134"/>
        <v>32.111656757397853</v>
      </c>
      <c r="N161" s="238">
        <f t="shared" ca="1" si="135"/>
        <v>55.830399187331238</v>
      </c>
      <c r="O161" s="239">
        <f t="shared" ca="1" si="136"/>
        <v>912.05794405527081</v>
      </c>
      <c r="P161" s="217"/>
      <c r="Q161" s="217"/>
      <c r="R161" s="224"/>
      <c r="S161" s="230">
        <f t="shared" ca="1" si="137"/>
        <v>48528.455332477381</v>
      </c>
      <c r="T161" s="231">
        <f t="shared" ca="1" si="138"/>
        <v>3020.6797332209494</v>
      </c>
      <c r="U161" s="231">
        <f t="shared" ca="1" si="161"/>
        <v>4550.125608049997</v>
      </c>
      <c r="V161" s="231"/>
      <c r="W161" s="231">
        <f t="shared" ca="1" si="139"/>
        <v>12092.736148327913</v>
      </c>
      <c r="X161" s="231">
        <f t="shared" ca="1" si="140"/>
        <v>1511.5920185409891</v>
      </c>
      <c r="Y161" s="231"/>
      <c r="Z161" s="232">
        <f t="shared" ca="1" si="110"/>
        <v>69703.588840617231</v>
      </c>
      <c r="AA161" s="231">
        <f t="shared" ca="1" si="111"/>
        <v>182.52310263544555</v>
      </c>
      <c r="AB161" s="231">
        <f t="shared" ca="1" si="141"/>
        <v>14100.227186658589</v>
      </c>
      <c r="AC161" s="231">
        <f t="shared" ca="1" si="142"/>
        <v>75689.406171223018</v>
      </c>
      <c r="AD161" s="231">
        <f t="shared" ca="1" si="143"/>
        <v>2628.1043809452435</v>
      </c>
      <c r="AE161" s="231">
        <f t="shared" ca="1" si="112"/>
        <v>21808.737047900097</v>
      </c>
      <c r="AF161" s="231">
        <f t="shared" ca="1" si="113"/>
        <v>114408.99788936239</v>
      </c>
      <c r="AG161" s="232">
        <f t="shared" ca="1" si="114"/>
        <v>184112.58672997961</v>
      </c>
      <c r="AH161" s="244">
        <f t="shared" ca="1" si="144"/>
        <v>2.4616738924220121</v>
      </c>
      <c r="AI161" s="243">
        <f t="shared" ca="1" si="145"/>
        <v>4.2799484661061591</v>
      </c>
      <c r="AJ161" s="242">
        <f t="shared" ca="1" si="146"/>
        <v>6.7416223585281712</v>
      </c>
      <c r="AK161" s="241">
        <f t="shared" ca="1" si="147"/>
        <v>1.7724052025438486</v>
      </c>
      <c r="AL161" s="243">
        <f t="shared" ca="1" si="148"/>
        <v>1.8960171704850286</v>
      </c>
      <c r="AM161" s="243"/>
      <c r="AN161" s="242">
        <f t="shared" ca="1" si="115"/>
        <v>3.6684223730288772</v>
      </c>
      <c r="AO161" s="224"/>
      <c r="AP161" s="235">
        <f t="shared" si="149"/>
        <v>11.923076923076923</v>
      </c>
      <c r="AQ161" s="235">
        <f t="shared" si="116"/>
        <v>0.70297645994106805</v>
      </c>
      <c r="AR161" s="235">
        <f t="shared" si="117"/>
        <v>0.83734586665028887</v>
      </c>
      <c r="AT161" s="230">
        <f t="shared" ca="1" si="118"/>
        <v>34114.361736033199</v>
      </c>
      <c r="AU161" s="231">
        <f t="shared" ca="1" si="119"/>
        <v>2123.4667454753931</v>
      </c>
      <c r="AV161" s="231">
        <f t="shared" ca="1" si="150"/>
        <v>3198.6311922341865</v>
      </c>
      <c r="AW161" s="231"/>
      <c r="AX161" s="231">
        <f t="shared" ca="1" si="151"/>
        <v>8500.9088485529428</v>
      </c>
      <c r="AY161" s="231">
        <f t="shared" ca="1" si="152"/>
        <v>1062.6136060691178</v>
      </c>
      <c r="AZ161" s="231"/>
      <c r="BA161" s="232">
        <f t="shared" ca="1" si="120"/>
        <v>48999.982128364834</v>
      </c>
      <c r="BB161" s="231">
        <f t="shared" ca="1" si="121"/>
        <v>128.30944454812575</v>
      </c>
      <c r="BC161" s="231">
        <f t="shared" ca="1" si="153"/>
        <v>9912.1277920420598</v>
      </c>
      <c r="BD161" s="231">
        <f t="shared" ca="1" si="154"/>
        <v>53207.870805287988</v>
      </c>
      <c r="BE161" s="231">
        <f t="shared" ca="1" si="155"/>
        <v>1847.4955140724994</v>
      </c>
      <c r="BF161" s="231">
        <f t="shared" ca="1" si="122"/>
        <v>15331.028765718429</v>
      </c>
      <c r="BG161" s="231">
        <f t="shared" ca="1" si="123"/>
        <v>80426.832321669106</v>
      </c>
      <c r="BH161" s="232">
        <f t="shared" ca="1" si="124"/>
        <v>129426.81445003393</v>
      </c>
      <c r="BI161" s="244">
        <f t="shared" ca="1" si="156"/>
        <v>2.0612724588604996</v>
      </c>
      <c r="BJ161" s="243">
        <f t="shared" ca="1" si="157"/>
        <v>3.5837971575702361</v>
      </c>
      <c r="BK161" s="242">
        <f t="shared" ca="1" si="158"/>
        <v>5.6450696164307361</v>
      </c>
      <c r="BL161" s="241">
        <f t="shared" ca="1" si="159"/>
        <v>1.4841161703795598</v>
      </c>
      <c r="BM161" s="243">
        <f t="shared" ca="1" si="160"/>
        <v>1.5876221408036149</v>
      </c>
      <c r="BN161" s="243">
        <f t="shared" si="125"/>
        <v>0</v>
      </c>
      <c r="BO161" s="242">
        <f t="shared" ca="1" si="126"/>
        <v>3.0717383111831746</v>
      </c>
      <c r="BP161" s="67"/>
      <c r="BQ161" s="67"/>
      <c r="BR161" s="67"/>
      <c r="BS161" s="67"/>
      <c r="BT161" s="67"/>
      <c r="BU161" s="67"/>
    </row>
    <row r="162" spans="1:73" ht="12" customHeight="1" x14ac:dyDescent="0.15">
      <c r="A162" s="213">
        <f t="shared" si="127"/>
        <v>156</v>
      </c>
      <c r="B162" s="67">
        <f t="shared" si="128"/>
        <v>624</v>
      </c>
      <c r="C162" s="224">
        <f t="shared" si="129"/>
        <v>144</v>
      </c>
      <c r="D162" s="225">
        <f ca="1">IFERROR(OFFSET(extrapolation!V171,0,OS_dist_choice-1,1,1),0)</f>
        <v>8.6811031771319158E-2</v>
      </c>
      <c r="E162" s="225">
        <f ca="1">IFERROR(OFFSET(extrapolation!J171,0,PFS_dist_choice-1,1,1),0)</f>
        <v>3.1799231041915357E-2</v>
      </c>
      <c r="F162" s="214"/>
      <c r="G162" s="226">
        <f t="shared" ca="1" si="130"/>
        <v>31.799231041915359</v>
      </c>
      <c r="H162" s="224">
        <f t="shared" ca="1" si="131"/>
        <v>55.011800729403717</v>
      </c>
      <c r="I162" s="224">
        <f t="shared" ca="1" si="108"/>
        <v>913.18896822868089</v>
      </c>
      <c r="J162" s="227">
        <f t="shared" ca="1" si="109"/>
        <v>1000</v>
      </c>
      <c r="K162" s="238">
        <f t="shared" ca="1" si="132"/>
        <v>0.20739244431863924</v>
      </c>
      <c r="L162" s="239">
        <f t="shared" ca="1" si="133"/>
        <v>0.75042484879008953</v>
      </c>
      <c r="M162" s="238">
        <f t="shared" ca="1" si="134"/>
        <v>31.902927264074677</v>
      </c>
      <c r="N162" s="238">
        <f t="shared" ca="1" si="135"/>
        <v>55.283316931639433</v>
      </c>
      <c r="O162" s="239">
        <f t="shared" ca="1" si="136"/>
        <v>912.81375580428585</v>
      </c>
      <c r="P162" s="217"/>
      <c r="Q162" s="217"/>
      <c r="R162" s="224"/>
      <c r="S162" s="230">
        <f t="shared" ca="1" si="137"/>
        <v>48214.006825444485</v>
      </c>
      <c r="T162" s="231">
        <f t="shared" ca="1" si="138"/>
        <v>3001.1067172279968</v>
      </c>
      <c r="U162" s="231">
        <f t="shared" ca="1" si="161"/>
        <v>4520.642283380771</v>
      </c>
      <c r="V162" s="231"/>
      <c r="W162" s="231">
        <f t="shared" ca="1" si="139"/>
        <v>12014.131960814299</v>
      </c>
      <c r="X162" s="231">
        <f t="shared" ca="1" si="140"/>
        <v>1501.7664951017873</v>
      </c>
      <c r="Y162" s="231"/>
      <c r="Z162" s="232">
        <f t="shared" ca="1" si="110"/>
        <v>69251.654281969342</v>
      </c>
      <c r="AA162" s="231">
        <f t="shared" ca="1" si="111"/>
        <v>180.19962617908257</v>
      </c>
      <c r="AB162" s="231">
        <f t="shared" ca="1" si="141"/>
        <v>13962.059016498084</v>
      </c>
      <c r="AC162" s="231">
        <f t="shared" ca="1" si="142"/>
        <v>74947.725444184223</v>
      </c>
      <c r="AD162" s="231">
        <f t="shared" ca="1" si="143"/>
        <v>2602.3515779230629</v>
      </c>
      <c r="AE162" s="231">
        <f t="shared" ca="1" si="112"/>
        <v>21500.062063714951</v>
      </c>
      <c r="AF162" s="231">
        <f t="shared" ca="1" si="113"/>
        <v>113192.39772849942</v>
      </c>
      <c r="AG162" s="232">
        <f t="shared" ca="1" si="114"/>
        <v>182444.05201046876</v>
      </c>
      <c r="AH162" s="244">
        <f t="shared" ca="1" si="144"/>
        <v>2.4456727266094211</v>
      </c>
      <c r="AI162" s="243">
        <f t="shared" ca="1" si="145"/>
        <v>4.2380092377437482</v>
      </c>
      <c r="AJ162" s="242">
        <f t="shared" ca="1" si="146"/>
        <v>6.6836819643531697</v>
      </c>
      <c r="AK162" s="241">
        <f t="shared" ca="1" si="147"/>
        <v>1.7608843631587832</v>
      </c>
      <c r="AL162" s="243">
        <f t="shared" ca="1" si="148"/>
        <v>1.8774380923204805</v>
      </c>
      <c r="AM162" s="243"/>
      <c r="AN162" s="242">
        <f t="shared" ca="1" si="115"/>
        <v>3.6383224554792637</v>
      </c>
      <c r="AO162" s="224"/>
      <c r="AP162" s="235">
        <f t="shared" si="149"/>
        <v>12</v>
      </c>
      <c r="AQ162" s="235">
        <f t="shared" si="116"/>
        <v>0.70137988019297326</v>
      </c>
      <c r="AR162" s="235">
        <f t="shared" si="117"/>
        <v>0.83638742189539661</v>
      </c>
      <c r="AT162" s="230">
        <f t="shared" ca="1" si="118"/>
        <v>33816.334330853446</v>
      </c>
      <c r="AU162" s="231">
        <f t="shared" ca="1" si="119"/>
        <v>2104.9158697756998</v>
      </c>
      <c r="AV162" s="231">
        <f t="shared" ca="1" si="150"/>
        <v>3170.6875431128942</v>
      </c>
      <c r="AW162" s="231"/>
      <c r="AX162" s="231">
        <f t="shared" ca="1" si="151"/>
        <v>8426.4704352985027</v>
      </c>
      <c r="AY162" s="231">
        <f t="shared" ca="1" si="152"/>
        <v>1053.3088044123128</v>
      </c>
      <c r="AZ162" s="231"/>
      <c r="BA162" s="232">
        <f t="shared" ca="1" si="120"/>
        <v>48571.716983452861</v>
      </c>
      <c r="BB162" s="231">
        <f t="shared" ca="1" si="121"/>
        <v>126.3883922203035</v>
      </c>
      <c r="BC162" s="231">
        <f t="shared" ca="1" si="153"/>
        <v>9792.7072802386483</v>
      </c>
      <c r="BD162" s="231">
        <f t="shared" ca="1" si="154"/>
        <v>52566.826692777788</v>
      </c>
      <c r="BE162" s="231">
        <f t="shared" ca="1" si="155"/>
        <v>1825.2370379436727</v>
      </c>
      <c r="BF162" s="231">
        <f t="shared" ca="1" si="122"/>
        <v>15079.710954389882</v>
      </c>
      <c r="BG162" s="231">
        <f t="shared" ca="1" si="123"/>
        <v>79390.870357570297</v>
      </c>
      <c r="BH162" s="232">
        <f t="shared" ca="1" si="124"/>
        <v>127962.58734102316</v>
      </c>
      <c r="BI162" s="244">
        <f t="shared" ca="1" si="156"/>
        <v>2.0455299066087389</v>
      </c>
      <c r="BJ162" s="243">
        <f t="shared" ca="1" si="157"/>
        <v>3.5446176203253685</v>
      </c>
      <c r="BK162" s="242">
        <f t="shared" ca="1" si="158"/>
        <v>5.5901475269341079</v>
      </c>
      <c r="BL162" s="241">
        <f t="shared" ca="1" si="159"/>
        <v>1.472781532758292</v>
      </c>
      <c r="BM162" s="243">
        <f t="shared" ca="1" si="160"/>
        <v>1.5702656058041384</v>
      </c>
      <c r="BN162" s="243">
        <f t="shared" si="125"/>
        <v>0</v>
      </c>
      <c r="BO162" s="242">
        <f t="shared" ca="1" si="126"/>
        <v>3.0430471385624305</v>
      </c>
      <c r="BP162" s="67"/>
      <c r="BQ162" s="67"/>
      <c r="BR162" s="67"/>
      <c r="BS162" s="67"/>
      <c r="BT162" s="67"/>
      <c r="BU162" s="67"/>
    </row>
    <row r="163" spans="1:73" ht="12" customHeight="1" x14ac:dyDescent="0.15">
      <c r="A163" s="213">
        <f t="shared" si="127"/>
        <v>157</v>
      </c>
      <c r="B163" s="67">
        <f t="shared" si="128"/>
        <v>628</v>
      </c>
      <c r="C163" s="224">
        <f t="shared" si="129"/>
        <v>144.92307692307691</v>
      </c>
      <c r="D163" s="225">
        <f ca="1">IFERROR(OFFSET(extrapolation!V172,0,OS_dist_choice-1,1,1),0)</f>
        <v>8.6071171065168359E-2</v>
      </c>
      <c r="E163" s="225">
        <f ca="1">IFERROR(OFFSET(extrapolation!J172,0,PFS_dist_choice-1,1,1),0)</f>
        <v>3.1594462236886098E-2</v>
      </c>
      <c r="F163" s="214"/>
      <c r="G163" s="226">
        <f t="shared" ca="1" si="130"/>
        <v>31.594462236886098</v>
      </c>
      <c r="H163" s="224">
        <f t="shared" ca="1" si="131"/>
        <v>54.476708828282312</v>
      </c>
      <c r="I163" s="224">
        <f t="shared" ca="1" si="108"/>
        <v>913.92882893483159</v>
      </c>
      <c r="J163" s="227">
        <f t="shared" ca="1" si="109"/>
        <v>1000</v>
      </c>
      <c r="K163" s="238">
        <f t="shared" ca="1" si="132"/>
        <v>0.20476880502926065</v>
      </c>
      <c r="L163" s="239">
        <f t="shared" ca="1" si="133"/>
        <v>0.73986070615069366</v>
      </c>
      <c r="M163" s="238">
        <f t="shared" ca="1" si="134"/>
        <v>31.696846639400729</v>
      </c>
      <c r="N163" s="238">
        <f t="shared" ca="1" si="135"/>
        <v>54.744254778843015</v>
      </c>
      <c r="O163" s="239">
        <f t="shared" ca="1" si="136"/>
        <v>913.55889858175624</v>
      </c>
      <c r="P163" s="217"/>
      <c r="Q163" s="217"/>
      <c r="R163" s="224"/>
      <c r="S163" s="230">
        <f t="shared" ca="1" si="137"/>
        <v>47903.536281351597</v>
      </c>
      <c r="T163" s="231">
        <f t="shared" ca="1" si="138"/>
        <v>2981.7813116720563</v>
      </c>
      <c r="U163" s="231">
        <f t="shared" ca="1" si="161"/>
        <v>4491.5319405202008</v>
      </c>
      <c r="V163" s="231"/>
      <c r="W163" s="231">
        <f t="shared" ca="1" si="139"/>
        <v>11936.525294852085</v>
      </c>
      <c r="X163" s="231">
        <f t="shared" ca="1" si="140"/>
        <v>1492.0656618565106</v>
      </c>
      <c r="Y163" s="231"/>
      <c r="Z163" s="232">
        <f t="shared" ca="1" si="110"/>
        <v>68805.440490252455</v>
      </c>
      <c r="AA163" s="231">
        <f t="shared" ca="1" si="111"/>
        <v>177.9199924116711</v>
      </c>
      <c r="AB163" s="231">
        <f t="shared" ca="1" si="141"/>
        <v>13825.916360654714</v>
      </c>
      <c r="AC163" s="231">
        <f t="shared" ca="1" si="142"/>
        <v>74216.917589888952</v>
      </c>
      <c r="AD163" s="231">
        <f t="shared" ca="1" si="143"/>
        <v>2576.9763052044773</v>
      </c>
      <c r="AE163" s="231">
        <f t="shared" ca="1" si="112"/>
        <v>21197.393884798505</v>
      </c>
      <c r="AF163" s="231">
        <f t="shared" ca="1" si="113"/>
        <v>111995.12413295833</v>
      </c>
      <c r="AG163" s="232">
        <f t="shared" ca="1" si="114"/>
        <v>180800.56462321078</v>
      </c>
      <c r="AH163" s="244">
        <f t="shared" ca="1" si="144"/>
        <v>2.4298746225960861</v>
      </c>
      <c r="AI163" s="243">
        <f t="shared" ca="1" si="145"/>
        <v>4.196684829042038</v>
      </c>
      <c r="AJ163" s="242">
        <f t="shared" ca="1" si="146"/>
        <v>6.6265594516381245</v>
      </c>
      <c r="AK163" s="241">
        <f t="shared" ca="1" si="147"/>
        <v>1.7495097282691818</v>
      </c>
      <c r="AL163" s="243">
        <f t="shared" ca="1" si="148"/>
        <v>1.8591313792656228</v>
      </c>
      <c r="AM163" s="243"/>
      <c r="AN163" s="242">
        <f t="shared" ca="1" si="115"/>
        <v>3.6086411075348046</v>
      </c>
      <c r="AO163" s="224"/>
      <c r="AP163" s="235">
        <f t="shared" si="149"/>
        <v>12.076923076923077</v>
      </c>
      <c r="AQ163" s="235">
        <f t="shared" si="116"/>
        <v>0.69978692655049757</v>
      </c>
      <c r="AR163" s="235">
        <f t="shared" si="117"/>
        <v>0.83543007419774673</v>
      </c>
      <c r="AT163" s="230">
        <f t="shared" ca="1" si="118"/>
        <v>33522.268425227288</v>
      </c>
      <c r="AU163" s="231">
        <f t="shared" ca="1" si="119"/>
        <v>2086.6115797406997</v>
      </c>
      <c r="AV163" s="231">
        <f t="shared" ca="1" si="150"/>
        <v>3143.1153321600236</v>
      </c>
      <c r="AW163" s="231"/>
      <c r="AX163" s="231">
        <f t="shared" ca="1" si="151"/>
        <v>8353.0243497768115</v>
      </c>
      <c r="AY163" s="231">
        <f t="shared" ca="1" si="152"/>
        <v>1044.1280437221014</v>
      </c>
      <c r="AZ163" s="231"/>
      <c r="BA163" s="232">
        <f t="shared" ca="1" si="120"/>
        <v>48149.147730626923</v>
      </c>
      <c r="BB163" s="231">
        <f t="shared" ca="1" si="121"/>
        <v>124.50608466165117</v>
      </c>
      <c r="BC163" s="231">
        <f t="shared" ca="1" si="153"/>
        <v>9675.195516766802</v>
      </c>
      <c r="BD163" s="231">
        <f t="shared" ca="1" si="154"/>
        <v>51936.028658279953</v>
      </c>
      <c r="BE163" s="231">
        <f t="shared" ca="1" si="155"/>
        <v>1803.3343284124981</v>
      </c>
      <c r="BF163" s="231">
        <f t="shared" ca="1" si="122"/>
        <v>14833.659117523457</v>
      </c>
      <c r="BG163" s="231">
        <f t="shared" ca="1" si="123"/>
        <v>78372.72370564437</v>
      </c>
      <c r="BH163" s="232">
        <f t="shared" ca="1" si="124"/>
        <v>126521.87143627129</v>
      </c>
      <c r="BI163" s="244">
        <f t="shared" ca="1" si="156"/>
        <v>2.0299903362466702</v>
      </c>
      <c r="BJ163" s="243">
        <f t="shared" ca="1" si="157"/>
        <v>3.5060367181111478</v>
      </c>
      <c r="BK163" s="242">
        <f t="shared" ca="1" si="158"/>
        <v>5.5360270543578185</v>
      </c>
      <c r="BL163" s="241">
        <f t="shared" ca="1" si="159"/>
        <v>1.4615930420976022</v>
      </c>
      <c r="BM163" s="243">
        <f t="shared" ca="1" si="160"/>
        <v>1.5531742661232384</v>
      </c>
      <c r="BN163" s="243">
        <f t="shared" si="125"/>
        <v>0</v>
      </c>
      <c r="BO163" s="242">
        <f t="shared" ca="1" si="126"/>
        <v>3.0147673082208408</v>
      </c>
      <c r="BP163" s="67"/>
      <c r="BQ163" s="67"/>
      <c r="BR163" s="67"/>
      <c r="BS163" s="67"/>
      <c r="BT163" s="67"/>
      <c r="BU163" s="67"/>
    </row>
    <row r="164" spans="1:73" ht="12" customHeight="1" x14ac:dyDescent="0.15">
      <c r="A164" s="213">
        <f t="shared" si="127"/>
        <v>158</v>
      </c>
      <c r="B164" s="67">
        <f t="shared" si="128"/>
        <v>632</v>
      </c>
      <c r="C164" s="224">
        <f t="shared" si="129"/>
        <v>145.84615384615384</v>
      </c>
      <c r="D164" s="225">
        <f ca="1">IFERROR(OFFSET(extrapolation!V173,0,OS_dist_choice-1,1,1),0)</f>
        <v>8.5341669990665309E-2</v>
      </c>
      <c r="E164" s="225">
        <f ca="1">IFERROR(OFFSET(extrapolation!J173,0,PFS_dist_choice-1,1,1),0)</f>
        <v>3.1392267870727728E-2</v>
      </c>
      <c r="F164" s="214"/>
      <c r="G164" s="226">
        <f t="shared" ca="1" si="130"/>
        <v>31.392267870727729</v>
      </c>
      <c r="H164" s="224">
        <f t="shared" ca="1" si="131"/>
        <v>53.949402119937531</v>
      </c>
      <c r="I164" s="224">
        <f t="shared" ca="1" si="108"/>
        <v>914.65833000933469</v>
      </c>
      <c r="J164" s="227">
        <f t="shared" ca="1" si="109"/>
        <v>1000</v>
      </c>
      <c r="K164" s="238">
        <f t="shared" ca="1" si="132"/>
        <v>0.20219436615836983</v>
      </c>
      <c r="L164" s="239">
        <f t="shared" ca="1" si="133"/>
        <v>0.72950107450310497</v>
      </c>
      <c r="M164" s="238">
        <f t="shared" ca="1" si="134"/>
        <v>31.493365053806912</v>
      </c>
      <c r="N164" s="238">
        <f t="shared" ca="1" si="135"/>
        <v>54.213055474109922</v>
      </c>
      <c r="O164" s="239">
        <f t="shared" ca="1" si="136"/>
        <v>914.29357947208314</v>
      </c>
      <c r="P164" s="217"/>
      <c r="Q164" s="217"/>
      <c r="R164" s="224"/>
      <c r="S164" s="230">
        <f t="shared" ca="1" si="137"/>
        <v>47596.969102504525</v>
      </c>
      <c r="T164" s="231">
        <f t="shared" ca="1" si="138"/>
        <v>2962.6988731796382</v>
      </c>
      <c r="U164" s="231">
        <f t="shared" ca="1" si="161"/>
        <v>4462.7875850383944</v>
      </c>
      <c r="V164" s="231"/>
      <c r="W164" s="231">
        <f t="shared" ca="1" si="139"/>
        <v>11859.897385422822</v>
      </c>
      <c r="X164" s="231">
        <f t="shared" ca="1" si="140"/>
        <v>1482.4871731778528</v>
      </c>
      <c r="Y164" s="231"/>
      <c r="Z164" s="232">
        <f t="shared" ca="1" si="110"/>
        <v>68364.840119323228</v>
      </c>
      <c r="AA164" s="231">
        <f t="shared" ca="1" si="111"/>
        <v>175.68310801754791</v>
      </c>
      <c r="AB164" s="231">
        <f t="shared" ca="1" si="141"/>
        <v>13691.759503688674</v>
      </c>
      <c r="AC164" s="231">
        <f t="shared" ca="1" si="142"/>
        <v>73496.769417583972</v>
      </c>
      <c r="AD164" s="231">
        <f t="shared" ca="1" si="143"/>
        <v>2551.9711603327764</v>
      </c>
      <c r="AE164" s="231">
        <f t="shared" ca="1" si="112"/>
        <v>20900.585052122595</v>
      </c>
      <c r="AF164" s="231">
        <f t="shared" ca="1" si="113"/>
        <v>110816.76824174557</v>
      </c>
      <c r="AG164" s="232">
        <f t="shared" ca="1" si="114"/>
        <v>179181.60836106879</v>
      </c>
      <c r="AH164" s="244">
        <f t="shared" ca="1" si="144"/>
        <v>2.4142757604561083</v>
      </c>
      <c r="AI164" s="243">
        <f t="shared" ca="1" si="145"/>
        <v>4.1559631848735874</v>
      </c>
      <c r="AJ164" s="242">
        <f t="shared" ca="1" si="146"/>
        <v>6.5702389453296952</v>
      </c>
      <c r="AK164" s="241">
        <f t="shared" ca="1" si="147"/>
        <v>1.7382785475283979</v>
      </c>
      <c r="AL164" s="243">
        <f t="shared" ca="1" si="148"/>
        <v>1.8410916908989992</v>
      </c>
      <c r="AM164" s="243"/>
      <c r="AN164" s="242">
        <f t="shared" ca="1" si="115"/>
        <v>3.5793702384273969</v>
      </c>
      <c r="AO164" s="224"/>
      <c r="AP164" s="235">
        <f t="shared" si="149"/>
        <v>12.153846153846153</v>
      </c>
      <c r="AQ164" s="235">
        <f t="shared" si="116"/>
        <v>0.69819759077813603</v>
      </c>
      <c r="AR164" s="235">
        <f t="shared" si="117"/>
        <v>0.83447382230162448</v>
      </c>
      <c r="AT164" s="230">
        <f t="shared" ca="1" si="118"/>
        <v>33232.08915571004</v>
      </c>
      <c r="AU164" s="231">
        <f t="shared" ca="1" si="119"/>
        <v>2068.5492154551216</v>
      </c>
      <c r="AV164" s="231">
        <f t="shared" ca="1" si="150"/>
        <v>3115.9075400283828</v>
      </c>
      <c r="AW164" s="231"/>
      <c r="AX164" s="231">
        <f t="shared" ca="1" si="151"/>
        <v>8280.5517813781298</v>
      </c>
      <c r="AY164" s="231">
        <f t="shared" ca="1" si="152"/>
        <v>1035.0689726722662</v>
      </c>
      <c r="AZ164" s="231"/>
      <c r="BA164" s="232">
        <f t="shared" ca="1" si="120"/>
        <v>47732.166665243938</v>
      </c>
      <c r="BB164" s="231">
        <f t="shared" ca="1" si="121"/>
        <v>122.66152275826698</v>
      </c>
      <c r="BC164" s="231">
        <f t="shared" ca="1" si="153"/>
        <v>9559.5534989890803</v>
      </c>
      <c r="BD164" s="231">
        <f t="shared" ca="1" si="154"/>
        <v>51315.267337333316</v>
      </c>
      <c r="BE164" s="231">
        <f t="shared" ca="1" si="155"/>
        <v>1781.7801158796287</v>
      </c>
      <c r="BF164" s="231">
        <f t="shared" ca="1" si="122"/>
        <v>14592.738129245519</v>
      </c>
      <c r="BG164" s="231">
        <f t="shared" ca="1" si="123"/>
        <v>77372.000604205808</v>
      </c>
      <c r="BH164" s="232">
        <f t="shared" ca="1" si="124"/>
        <v>125104.16726944975</v>
      </c>
      <c r="BI164" s="244">
        <f t="shared" ca="1" si="156"/>
        <v>2.0146499219179699</v>
      </c>
      <c r="BJ164" s="243">
        <f t="shared" ca="1" si="157"/>
        <v>3.4680424842262951</v>
      </c>
      <c r="BK164" s="242">
        <f t="shared" ca="1" si="158"/>
        <v>5.482692406144265</v>
      </c>
      <c r="BL164" s="241">
        <f t="shared" ca="1" si="159"/>
        <v>1.4505479437809383</v>
      </c>
      <c r="BM164" s="243">
        <f t="shared" ca="1" si="160"/>
        <v>1.5363428205122487</v>
      </c>
      <c r="BN164" s="243">
        <f t="shared" si="125"/>
        <v>0</v>
      </c>
      <c r="BO164" s="242">
        <f t="shared" ca="1" si="126"/>
        <v>2.9868907642931868</v>
      </c>
      <c r="BP164" s="67"/>
      <c r="BQ164" s="67"/>
      <c r="BR164" s="67"/>
      <c r="BS164" s="67"/>
      <c r="BT164" s="67"/>
      <c r="BU164" s="67"/>
    </row>
    <row r="165" spans="1:73" ht="12" customHeight="1" x14ac:dyDescent="0.15">
      <c r="A165" s="213">
        <f t="shared" si="127"/>
        <v>159</v>
      </c>
      <c r="B165" s="67">
        <f t="shared" si="128"/>
        <v>636</v>
      </c>
      <c r="C165" s="224">
        <f t="shared" si="129"/>
        <v>146.76923076923077</v>
      </c>
      <c r="D165" s="225">
        <f ca="1">IFERROR(OFFSET(extrapolation!V174,0,OS_dist_choice-1,1,1),0)</f>
        <v>8.4622329032226731E-2</v>
      </c>
      <c r="E165" s="225">
        <f ca="1">IFERROR(OFFSET(extrapolation!J174,0,PFS_dist_choice-1,1,1),0)</f>
        <v>3.1192599962399939E-2</v>
      </c>
      <c r="F165" s="214"/>
      <c r="G165" s="226">
        <f t="shared" ca="1" si="130"/>
        <v>31.192599962399939</v>
      </c>
      <c r="H165" s="224">
        <f t="shared" ca="1" si="131"/>
        <v>53.429729069826749</v>
      </c>
      <c r="I165" s="224">
        <f t="shared" ca="1" si="108"/>
        <v>915.37767096777327</v>
      </c>
      <c r="J165" s="227">
        <f t="shared" ca="1" si="109"/>
        <v>1000</v>
      </c>
      <c r="K165" s="238">
        <f t="shared" ca="1" si="132"/>
        <v>0.19966790832778969</v>
      </c>
      <c r="L165" s="239">
        <f t="shared" ca="1" si="133"/>
        <v>0.71934095843857904</v>
      </c>
      <c r="M165" s="238">
        <f t="shared" ca="1" si="134"/>
        <v>31.292433916563834</v>
      </c>
      <c r="N165" s="238">
        <f t="shared" ca="1" si="135"/>
        <v>53.68956559488214</v>
      </c>
      <c r="O165" s="239">
        <f t="shared" ca="1" si="136"/>
        <v>915.01800048855398</v>
      </c>
      <c r="P165" s="217"/>
      <c r="Q165" s="217"/>
      <c r="R165" s="224"/>
      <c r="S165" s="230">
        <f t="shared" ca="1" si="137"/>
        <v>47294.232540030767</v>
      </c>
      <c r="T165" s="231">
        <f t="shared" ca="1" si="138"/>
        <v>2943.85487345815</v>
      </c>
      <c r="U165" s="231">
        <f t="shared" ca="1" si="161"/>
        <v>4434.4023958546995</v>
      </c>
      <c r="V165" s="231"/>
      <c r="W165" s="231">
        <f t="shared" ca="1" si="139"/>
        <v>11784.229934035275</v>
      </c>
      <c r="X165" s="231">
        <f t="shared" ca="1" si="140"/>
        <v>1473.0287417544093</v>
      </c>
      <c r="Y165" s="231"/>
      <c r="Z165" s="232">
        <f t="shared" ca="1" si="110"/>
        <v>67929.748485133285</v>
      </c>
      <c r="AA165" s="231">
        <f t="shared" ca="1" si="111"/>
        <v>173.48791350058528</v>
      </c>
      <c r="AB165" s="231">
        <f t="shared" ca="1" si="141"/>
        <v>13559.549698018807</v>
      </c>
      <c r="AC165" s="231">
        <f t="shared" ca="1" si="142"/>
        <v>72787.072931939154</v>
      </c>
      <c r="AD165" s="231">
        <f t="shared" ca="1" si="143"/>
        <v>2527.3289212478871</v>
      </c>
      <c r="AE165" s="231">
        <f t="shared" ca="1" si="112"/>
        <v>20609.492444629584</v>
      </c>
      <c r="AF165" s="231">
        <f t="shared" ca="1" si="113"/>
        <v>109656.93190933601</v>
      </c>
      <c r="AG165" s="232">
        <f t="shared" ca="1" si="114"/>
        <v>177586.68039446929</v>
      </c>
      <c r="AH165" s="244">
        <f t="shared" ca="1" si="144"/>
        <v>2.3988724152328196</v>
      </c>
      <c r="AI165" s="243">
        <f t="shared" ca="1" si="145"/>
        <v>4.1158325438924024</v>
      </c>
      <c r="AJ165" s="242">
        <f t="shared" ca="1" si="146"/>
        <v>6.514704959125222</v>
      </c>
      <c r="AK165" s="241">
        <f t="shared" ca="1" si="147"/>
        <v>1.72718813896763</v>
      </c>
      <c r="AL165" s="243">
        <f t="shared" ca="1" si="148"/>
        <v>1.8233138169443344</v>
      </c>
      <c r="AM165" s="243"/>
      <c r="AN165" s="242">
        <f t="shared" ca="1" si="115"/>
        <v>3.5505019559119644</v>
      </c>
      <c r="AO165" s="224"/>
      <c r="AP165" s="235">
        <f t="shared" si="149"/>
        <v>12.23076923076923</v>
      </c>
      <c r="AQ165" s="235">
        <f t="shared" si="116"/>
        <v>0.69661186465908687</v>
      </c>
      <c r="AR165" s="235">
        <f t="shared" si="117"/>
        <v>0.83351866495275051</v>
      </c>
      <c r="AT165" s="230">
        <f t="shared" ca="1" si="118"/>
        <v>32945.723517331295</v>
      </c>
      <c r="AU165" s="231">
        <f t="shared" ca="1" si="119"/>
        <v>2050.7242326854221</v>
      </c>
      <c r="AV165" s="231">
        <f t="shared" ca="1" si="150"/>
        <v>3089.0573216250646</v>
      </c>
      <c r="AW165" s="231"/>
      <c r="AX165" s="231">
        <f t="shared" ca="1" si="151"/>
        <v>8209.0343879197408</v>
      </c>
      <c r="AY165" s="231">
        <f t="shared" ca="1" si="152"/>
        <v>1026.1292984899676</v>
      </c>
      <c r="AZ165" s="231"/>
      <c r="BA165" s="232">
        <f t="shared" ca="1" si="120"/>
        <v>47320.668758051477</v>
      </c>
      <c r="BB165" s="231">
        <f t="shared" ca="1" si="121"/>
        <v>120.85373891945709</v>
      </c>
      <c r="BC165" s="231">
        <f t="shared" ca="1" si="153"/>
        <v>9445.743199074439</v>
      </c>
      <c r="BD165" s="231">
        <f t="shared" ca="1" si="154"/>
        <v>50704.338598195085</v>
      </c>
      <c r="BE165" s="231">
        <f t="shared" ca="1" si="155"/>
        <v>1760.5673124373291</v>
      </c>
      <c r="BF165" s="231">
        <f t="shared" ca="1" si="122"/>
        <v>14356.816961530778</v>
      </c>
      <c r="BG165" s="231">
        <f t="shared" ca="1" si="123"/>
        <v>76388.319810157074</v>
      </c>
      <c r="BH165" s="232">
        <f t="shared" ca="1" si="124"/>
        <v>123708.98856820856</v>
      </c>
      <c r="BI165" s="244">
        <f t="shared" ca="1" si="156"/>
        <v>1.99950493293684</v>
      </c>
      <c r="BJ165" s="243">
        <f t="shared" ca="1" si="157"/>
        <v>3.4306232471542781</v>
      </c>
      <c r="BK165" s="242">
        <f t="shared" ca="1" si="158"/>
        <v>5.4301281800911179</v>
      </c>
      <c r="BL165" s="241">
        <f t="shared" ca="1" si="159"/>
        <v>1.4396435517145247</v>
      </c>
      <c r="BM165" s="243">
        <f t="shared" ca="1" si="160"/>
        <v>1.5197660984893453</v>
      </c>
      <c r="BN165" s="243">
        <f t="shared" si="125"/>
        <v>0</v>
      </c>
      <c r="BO165" s="242">
        <f t="shared" ca="1" si="126"/>
        <v>2.9594096502038698</v>
      </c>
      <c r="BP165" s="67"/>
      <c r="BQ165" s="67"/>
      <c r="BR165" s="67"/>
      <c r="BS165" s="67"/>
      <c r="BT165" s="67"/>
      <c r="BU165" s="67"/>
    </row>
    <row r="166" spans="1:73" ht="12" customHeight="1" x14ac:dyDescent="0.15">
      <c r="A166" s="213">
        <f t="shared" si="127"/>
        <v>160</v>
      </c>
      <c r="B166" s="67">
        <f t="shared" si="128"/>
        <v>640</v>
      </c>
      <c r="C166" s="224">
        <f t="shared" si="129"/>
        <v>147.69230769230771</v>
      </c>
      <c r="D166" s="225">
        <f ca="1">IFERROR(OFFSET(extrapolation!V175,0,OS_dist_choice-1,1,1),0)</f>
        <v>8.3912953523422151E-2</v>
      </c>
      <c r="E166" s="225">
        <f ca="1">IFERROR(OFFSET(extrapolation!J175,0,PFS_dist_choice-1,1,1),0)</f>
        <v>3.0995411712752496E-2</v>
      </c>
      <c r="F166" s="214"/>
      <c r="G166" s="226">
        <f t="shared" ca="1" si="130"/>
        <v>30.995411712752496</v>
      </c>
      <c r="H166" s="224">
        <f t="shared" ca="1" si="131"/>
        <v>52.917541810669718</v>
      </c>
      <c r="I166" s="224">
        <f t="shared" ca="1" si="108"/>
        <v>916.08704647657783</v>
      </c>
      <c r="J166" s="227">
        <f t="shared" ca="1" si="109"/>
        <v>1000</v>
      </c>
      <c r="K166" s="238">
        <f t="shared" ca="1" si="132"/>
        <v>0.19718824964744286</v>
      </c>
      <c r="L166" s="239">
        <f t="shared" ca="1" si="133"/>
        <v>0.70937550880455547</v>
      </c>
      <c r="M166" s="238">
        <f t="shared" ca="1" si="134"/>
        <v>31.094005837576219</v>
      </c>
      <c r="N166" s="238">
        <f t="shared" ca="1" si="135"/>
        <v>53.173635440248233</v>
      </c>
      <c r="O166" s="239">
        <f t="shared" ca="1" si="136"/>
        <v>915.7323587221756</v>
      </c>
      <c r="P166" s="217"/>
      <c r="Q166" s="217"/>
      <c r="R166" s="224"/>
      <c r="S166" s="230">
        <f t="shared" ca="1" si="137"/>
        <v>46995.25563704002</v>
      </c>
      <c r="T166" s="231">
        <f t="shared" ca="1" si="138"/>
        <v>2925.2448957578927</v>
      </c>
      <c r="U166" s="231">
        <f t="shared" ca="1" si="161"/>
        <v>4406.3697199083199</v>
      </c>
      <c r="V166" s="231"/>
      <c r="W166" s="231">
        <f t="shared" ca="1" si="139"/>
        <v>11709.505094337803</v>
      </c>
      <c r="X166" s="231">
        <f t="shared" ca="1" si="140"/>
        <v>1463.6881367922254</v>
      </c>
      <c r="Y166" s="231"/>
      <c r="Z166" s="232">
        <f t="shared" ca="1" si="110"/>
        <v>67500.063483836275</v>
      </c>
      <c r="AA166" s="231">
        <f t="shared" ca="1" si="111"/>
        <v>171.33338193740209</v>
      </c>
      <c r="AB166" s="231">
        <f t="shared" ca="1" si="141"/>
        <v>13429.24913598312</v>
      </c>
      <c r="AC166" s="231">
        <f t="shared" ca="1" si="142"/>
        <v>72087.625183069598</v>
      </c>
      <c r="AD166" s="231">
        <f t="shared" ca="1" si="143"/>
        <v>2503.0425410788052</v>
      </c>
      <c r="AE166" s="231">
        <f t="shared" ca="1" si="112"/>
        <v>20323.977131577543</v>
      </c>
      <c r="AF166" s="231">
        <f t="shared" ca="1" si="113"/>
        <v>108515.22737364647</v>
      </c>
      <c r="AG166" s="232">
        <f t="shared" ca="1" si="114"/>
        <v>176015.29085748276</v>
      </c>
      <c r="AH166" s="244">
        <f t="shared" ca="1" si="144"/>
        <v>2.3836609540099496</v>
      </c>
      <c r="AI166" s="243">
        <f t="shared" ca="1" si="145"/>
        <v>4.0762814300532524</v>
      </c>
      <c r="AJ166" s="242">
        <f t="shared" ca="1" si="146"/>
        <v>6.4599423840632024</v>
      </c>
      <c r="AK166" s="241">
        <f t="shared" ca="1" si="147"/>
        <v>1.7162358868871637</v>
      </c>
      <c r="AL166" s="243">
        <f t="shared" ca="1" si="148"/>
        <v>1.8057926735135907</v>
      </c>
      <c r="AM166" s="243"/>
      <c r="AN166" s="242">
        <f t="shared" ca="1" si="115"/>
        <v>3.5220285604007544</v>
      </c>
      <c r="AO166" s="224"/>
      <c r="AP166" s="235">
        <f t="shared" si="149"/>
        <v>12.307692307692308</v>
      </c>
      <c r="AQ166" s="235">
        <f t="shared" si="116"/>
        <v>0.69502973999521001</v>
      </c>
      <c r="AR166" s="235">
        <f t="shared" si="117"/>
        <v>0.83256460089828144</v>
      </c>
      <c r="AT166" s="230">
        <f t="shared" ca="1" si="118"/>
        <v>32663.100306420351</v>
      </c>
      <c r="AU166" s="231">
        <f t="shared" ca="1" si="119"/>
        <v>2033.1321993209233</v>
      </c>
      <c r="AV166" s="231">
        <f t="shared" ca="1" si="150"/>
        <v>3062.558000750646</v>
      </c>
      <c r="AW166" s="231"/>
      <c r="AX166" s="231">
        <f t="shared" ca="1" si="151"/>
        <v>8138.4542811901902</v>
      </c>
      <c r="AY166" s="231">
        <f t="shared" ca="1" si="152"/>
        <v>1017.3067851487738</v>
      </c>
      <c r="AZ166" s="231"/>
      <c r="BA166" s="232">
        <f t="shared" ca="1" si="120"/>
        <v>46914.551572830896</v>
      </c>
      <c r="BB166" s="231">
        <f t="shared" ca="1" si="121"/>
        <v>119.08179590045259</v>
      </c>
      <c r="BC166" s="231">
        <f t="shared" ca="1" si="153"/>
        <v>9333.7275353132463</v>
      </c>
      <c r="BD166" s="231">
        <f t="shared" ca="1" si="154"/>
        <v>50103.043387861013</v>
      </c>
      <c r="BE166" s="231">
        <f t="shared" ca="1" si="155"/>
        <v>1739.6890065229518</v>
      </c>
      <c r="BF166" s="231">
        <f t="shared" ca="1" si="122"/>
        <v>14125.768541428934</v>
      </c>
      <c r="BG166" s="231">
        <f t="shared" ca="1" si="123"/>
        <v>75421.310267026609</v>
      </c>
      <c r="BH166" s="232">
        <f t="shared" ca="1" si="124"/>
        <v>122335.86183985751</v>
      </c>
      <c r="BI166" s="244">
        <f t="shared" ca="1" si="156"/>
        <v>1.9845517308521106</v>
      </c>
      <c r="BJ166" s="243">
        <f t="shared" ca="1" si="157"/>
        <v>3.3937676219613619</v>
      </c>
      <c r="BK166" s="242">
        <f t="shared" ca="1" si="158"/>
        <v>5.378319352813473</v>
      </c>
      <c r="BL166" s="241">
        <f t="shared" ca="1" si="159"/>
        <v>1.4288772462135195</v>
      </c>
      <c r="BM166" s="243">
        <f t="shared" ca="1" si="160"/>
        <v>1.5034390565288833</v>
      </c>
      <c r="BN166" s="243">
        <f t="shared" si="125"/>
        <v>0</v>
      </c>
      <c r="BO166" s="242">
        <f t="shared" ca="1" si="126"/>
        <v>2.9323163027424028</v>
      </c>
      <c r="BP166" s="67"/>
      <c r="BQ166" s="67"/>
      <c r="BR166" s="67"/>
      <c r="BS166" s="67"/>
      <c r="BT166" s="67"/>
      <c r="BU166" s="67"/>
    </row>
    <row r="167" spans="1:73" ht="12" customHeight="1" x14ac:dyDescent="0.15">
      <c r="A167" s="213">
        <f t="shared" si="127"/>
        <v>161</v>
      </c>
      <c r="B167" s="67">
        <f t="shared" si="128"/>
        <v>644</v>
      </c>
      <c r="C167" s="224">
        <f t="shared" si="129"/>
        <v>148.61538461538461</v>
      </c>
      <c r="D167" s="225">
        <f ca="1">IFERROR(OFFSET(extrapolation!V176,0,OS_dist_choice-1,1,1),0)</f>
        <v>8.3213353505677448E-2</v>
      </c>
      <c r="E167" s="225">
        <f ca="1">IFERROR(OFFSET(extrapolation!J176,0,PFS_dist_choice-1,1,1),0)</f>
        <v>3.080065746841008E-2</v>
      </c>
      <c r="F167" s="214"/>
      <c r="G167" s="226">
        <f t="shared" ca="1" si="130"/>
        <v>30.80065746841008</v>
      </c>
      <c r="H167" s="224">
        <f t="shared" ca="1" si="131"/>
        <v>52.412696037267324</v>
      </c>
      <c r="I167" s="224">
        <f t="shared" ca="1" si="108"/>
        <v>916.78664649432255</v>
      </c>
      <c r="J167" s="227">
        <f t="shared" ca="1" si="109"/>
        <v>1000</v>
      </c>
      <c r="K167" s="238">
        <f t="shared" ca="1" si="132"/>
        <v>0.19475424434241617</v>
      </c>
      <c r="L167" s="239">
        <f t="shared" ca="1" si="133"/>
        <v>0.69960001774472858</v>
      </c>
      <c r="M167" s="238">
        <f t="shared" ca="1" si="134"/>
        <v>30.89803459058129</v>
      </c>
      <c r="N167" s="238">
        <f t="shared" ca="1" si="135"/>
        <v>52.665118923968521</v>
      </c>
      <c r="O167" s="239">
        <f t="shared" ca="1" si="136"/>
        <v>916.43684648545013</v>
      </c>
      <c r="P167" s="217"/>
      <c r="Q167" s="217"/>
      <c r="R167" s="224"/>
      <c r="S167" s="230">
        <f t="shared" ca="1" si="137"/>
        <v>46699.969173866346</v>
      </c>
      <c r="T167" s="231">
        <f t="shared" ca="1" si="138"/>
        <v>2906.8646314636312</v>
      </c>
      <c r="U167" s="231">
        <f t="shared" ca="1" si="161"/>
        <v>4378.6830670241134</v>
      </c>
      <c r="V167" s="231"/>
      <c r="W167" s="231">
        <f t="shared" ca="1" si="139"/>
        <v>11635.705458259465</v>
      </c>
      <c r="X167" s="231">
        <f t="shared" ca="1" si="140"/>
        <v>1454.4631822824331</v>
      </c>
      <c r="Y167" s="231"/>
      <c r="Z167" s="232">
        <f t="shared" ca="1" si="110"/>
        <v>67075.685512895987</v>
      </c>
      <c r="AA167" s="231">
        <f t="shared" ca="1" si="111"/>
        <v>169.21851778444466</v>
      </c>
      <c r="AB167" s="231">
        <f t="shared" ca="1" si="141"/>
        <v>13300.820922821802</v>
      </c>
      <c r="AC167" s="231">
        <f t="shared" ca="1" si="142"/>
        <v>71398.228121509543</v>
      </c>
      <c r="AD167" s="231">
        <f t="shared" ca="1" si="143"/>
        <v>2479.10514310797</v>
      </c>
      <c r="AE167" s="231">
        <f t="shared" ca="1" si="112"/>
        <v>20043.904230435703</v>
      </c>
      <c r="AF167" s="231">
        <f t="shared" ca="1" si="113"/>
        <v>107391.27693565945</v>
      </c>
      <c r="AG167" s="232">
        <f t="shared" ca="1" si="114"/>
        <v>174466.96244855545</v>
      </c>
      <c r="AH167" s="244">
        <f t="shared" ca="1" si="144"/>
        <v>2.3686378330904208</v>
      </c>
      <c r="AI167" s="243">
        <f t="shared" ca="1" si="145"/>
        <v>4.0372986444110026</v>
      </c>
      <c r="AJ167" s="242">
        <f t="shared" ca="1" si="146"/>
        <v>6.4059364775014238</v>
      </c>
      <c r="AK167" s="241">
        <f t="shared" ca="1" si="147"/>
        <v>1.7054192398251029</v>
      </c>
      <c r="AL167" s="243">
        <f t="shared" ca="1" si="148"/>
        <v>1.7885232994740741</v>
      </c>
      <c r="AM167" s="243"/>
      <c r="AN167" s="242">
        <f t="shared" ca="1" si="115"/>
        <v>3.493942539299177</v>
      </c>
      <c r="AO167" s="224"/>
      <c r="AP167" s="235">
        <f t="shared" si="149"/>
        <v>12.384615384615385</v>
      </c>
      <c r="AQ167" s="235">
        <f t="shared" si="116"/>
        <v>0.69345120860698517</v>
      </c>
      <c r="AR167" s="235">
        <f t="shared" si="117"/>
        <v>0.8316116288868084</v>
      </c>
      <c r="AT167" s="230">
        <f t="shared" ca="1" si="118"/>
        <v>32384.15006552657</v>
      </c>
      <c r="AU167" s="231">
        <f t="shared" ca="1" si="119"/>
        <v>2015.7687919453535</v>
      </c>
      <c r="AV167" s="231">
        <f t="shared" ca="1" si="150"/>
        <v>3036.4030649348119</v>
      </c>
      <c r="AW167" s="231"/>
      <c r="AX167" s="231">
        <f t="shared" ca="1" si="151"/>
        <v>8068.7940130249199</v>
      </c>
      <c r="AY167" s="231">
        <f t="shared" ca="1" si="152"/>
        <v>1008.599251628115</v>
      </c>
      <c r="AZ167" s="231"/>
      <c r="BA167" s="232">
        <f t="shared" ca="1" si="120"/>
        <v>46513.715187059766</v>
      </c>
      <c r="BB167" s="231">
        <f t="shared" ca="1" si="121"/>
        <v>117.34478567630576</v>
      </c>
      <c r="BC167" s="231">
        <f t="shared" ca="1" si="153"/>
        <v>9223.4703443958551</v>
      </c>
      <c r="BD167" s="231">
        <f t="shared" ca="1" si="154"/>
        <v>49511.187583258026</v>
      </c>
      <c r="BE167" s="231">
        <f t="shared" ca="1" si="155"/>
        <v>1719.1384577520148</v>
      </c>
      <c r="BF167" s="231">
        <f t="shared" ca="1" si="122"/>
        <v>13899.469613798301</v>
      </c>
      <c r="BG167" s="231">
        <f t="shared" ca="1" si="123"/>
        <v>74470.610784880497</v>
      </c>
      <c r="BH167" s="232">
        <f t="shared" ca="1" si="124"/>
        <v>120984.32597194027</v>
      </c>
      <c r="BI167" s="244">
        <f t="shared" ca="1" si="156"/>
        <v>1.969786766619245</v>
      </c>
      <c r="BJ167" s="243">
        <f t="shared" ca="1" si="157"/>
        <v>3.3574645019811373</v>
      </c>
      <c r="BK167" s="242">
        <f t="shared" ca="1" si="158"/>
        <v>5.3272512686003823</v>
      </c>
      <c r="BL167" s="241">
        <f t="shared" ca="1" si="159"/>
        <v>1.4182464719658563</v>
      </c>
      <c r="BM167" s="243">
        <f t="shared" ca="1" si="160"/>
        <v>1.4873567743776437</v>
      </c>
      <c r="BN167" s="243">
        <f t="shared" si="125"/>
        <v>0</v>
      </c>
      <c r="BO167" s="242">
        <f t="shared" ca="1" si="126"/>
        <v>2.9056032463435</v>
      </c>
      <c r="BP167" s="67"/>
      <c r="BQ167" s="67"/>
      <c r="BR167" s="67"/>
      <c r="BS167" s="67"/>
      <c r="BT167" s="67"/>
      <c r="BU167" s="67"/>
    </row>
    <row r="168" spans="1:73" ht="12" customHeight="1" x14ac:dyDescent="0.15">
      <c r="A168" s="213">
        <f t="shared" si="127"/>
        <v>162</v>
      </c>
      <c r="B168" s="67">
        <f t="shared" si="128"/>
        <v>648</v>
      </c>
      <c r="C168" s="224">
        <f t="shared" si="129"/>
        <v>149.53846153846155</v>
      </c>
      <c r="D168" s="225">
        <f ca="1">IFERROR(OFFSET(extrapolation!V177,0,OS_dist_choice-1,1,1),0)</f>
        <v>8.2523343591747747E-2</v>
      </c>
      <c r="E168" s="225">
        <f ca="1">IFERROR(OFFSET(extrapolation!J177,0,PFS_dist_choice-1,1,1),0)</f>
        <v>3.0608292686972287E-2</v>
      </c>
      <c r="F168" s="214"/>
      <c r="G168" s="226">
        <f t="shared" ca="1" si="130"/>
        <v>30.608292686972288</v>
      </c>
      <c r="H168" s="224">
        <f t="shared" ca="1" si="131"/>
        <v>51.915050904775512</v>
      </c>
      <c r="I168" s="224">
        <f t="shared" ca="1" si="108"/>
        <v>917.47665640825221</v>
      </c>
      <c r="J168" s="227">
        <f t="shared" ca="1" si="109"/>
        <v>1000</v>
      </c>
      <c r="K168" s="238">
        <f t="shared" ca="1" si="132"/>
        <v>0.19236478143779223</v>
      </c>
      <c r="L168" s="239">
        <f t="shared" ca="1" si="133"/>
        <v>0.69000991392965716</v>
      </c>
      <c r="M168" s="238">
        <f t="shared" ca="1" si="134"/>
        <v>30.704475077691185</v>
      </c>
      <c r="N168" s="238">
        <f t="shared" ca="1" si="135"/>
        <v>52.163873471021418</v>
      </c>
      <c r="O168" s="239">
        <f t="shared" ca="1" si="136"/>
        <v>917.13165145128733</v>
      </c>
      <c r="P168" s="217"/>
      <c r="Q168" s="217"/>
      <c r="R168" s="224"/>
      <c r="S168" s="230">
        <f t="shared" ca="1" si="137"/>
        <v>46408.305615304453</v>
      </c>
      <c r="T168" s="231">
        <f t="shared" ca="1" si="138"/>
        <v>2888.7098768102846</v>
      </c>
      <c r="U168" s="231">
        <f t="shared" ca="1" si="161"/>
        <v>4351.336104965354</v>
      </c>
      <c r="V168" s="231"/>
      <c r="W168" s="231">
        <f t="shared" ca="1" si="139"/>
        <v>11562.814042657257</v>
      </c>
      <c r="X168" s="231">
        <f t="shared" ca="1" si="140"/>
        <v>1445.3517553321572</v>
      </c>
      <c r="Y168" s="231"/>
      <c r="Z168" s="232">
        <f t="shared" ca="1" si="110"/>
        <v>66656.517395069503</v>
      </c>
      <c r="AA168" s="231">
        <f t="shared" ca="1" si="111"/>
        <v>167.14235573525991</v>
      </c>
      <c r="AB168" s="231">
        <f t="shared" ca="1" si="141"/>
        <v>13174.229050549509</v>
      </c>
      <c r="AC168" s="231">
        <f t="shared" ca="1" si="142"/>
        <v>70718.688457960074</v>
      </c>
      <c r="AD168" s="231">
        <f t="shared" ca="1" si="143"/>
        <v>2455.5100159013914</v>
      </c>
      <c r="AE168" s="231">
        <f t="shared" ca="1" si="112"/>
        <v>19769.14277023893</v>
      </c>
      <c r="AF168" s="231">
        <f t="shared" ca="1" si="113"/>
        <v>106284.71265038518</v>
      </c>
      <c r="AG168" s="232">
        <f t="shared" ca="1" si="114"/>
        <v>172941.23004545469</v>
      </c>
      <c r="AH168" s="244">
        <f t="shared" ca="1" si="144"/>
        <v>2.3537995952781743</v>
      </c>
      <c r="AI168" s="243">
        <f t="shared" ca="1" si="145"/>
        <v>3.9988732571898691</v>
      </c>
      <c r="AJ168" s="242">
        <f t="shared" ca="1" si="146"/>
        <v>6.3526728524680429</v>
      </c>
      <c r="AK168" s="241">
        <f t="shared" ca="1" si="147"/>
        <v>1.6947357086002854</v>
      </c>
      <c r="AL168" s="243">
        <f t="shared" ca="1" si="148"/>
        <v>1.7715008529351119</v>
      </c>
      <c r="AM168" s="243"/>
      <c r="AN168" s="242">
        <f t="shared" ca="1" si="115"/>
        <v>3.4662365615353972</v>
      </c>
      <c r="AO168" s="224"/>
      <c r="AP168" s="235">
        <f t="shared" si="149"/>
        <v>12.461538461538462</v>
      </c>
      <c r="AQ168" s="235">
        <f t="shared" si="116"/>
        <v>0.69187626233346855</v>
      </c>
      <c r="AR168" s="235">
        <f t="shared" si="117"/>
        <v>0.8306597476683546</v>
      </c>
      <c r="AT168" s="230">
        <f t="shared" ca="1" si="118"/>
        <v>32108.805030346164</v>
      </c>
      <c r="AU168" s="231">
        <f t="shared" ca="1" si="119"/>
        <v>1998.6297925332742</v>
      </c>
      <c r="AV168" s="231">
        <f t="shared" ca="1" si="150"/>
        <v>3010.5861604601027</v>
      </c>
      <c r="AW168" s="231"/>
      <c r="AX168" s="231">
        <f t="shared" ca="1" si="151"/>
        <v>8000.0365618906462</v>
      </c>
      <c r="AY168" s="231">
        <f t="shared" ca="1" si="152"/>
        <v>1000.0045702363308</v>
      </c>
      <c r="AZ168" s="231"/>
      <c r="BA168" s="232">
        <f t="shared" ca="1" si="120"/>
        <v>46118.06211546652</v>
      </c>
      <c r="BB168" s="231">
        <f t="shared" ca="1" si="121"/>
        <v>115.64182836372261</v>
      </c>
      <c r="BC168" s="231">
        <f t="shared" ca="1" si="153"/>
        <v>9114.9363546191944</v>
      </c>
      <c r="BD168" s="231">
        <f t="shared" ca="1" si="154"/>
        <v>48928.58184741842</v>
      </c>
      <c r="BE168" s="231">
        <f t="shared" ca="1" si="155"/>
        <v>1698.9090919242506</v>
      </c>
      <c r="BF168" s="231">
        <f t="shared" ca="1" si="122"/>
        <v>13677.800609409624</v>
      </c>
      <c r="BG168" s="231">
        <f t="shared" ca="1" si="123"/>
        <v>73535.86973173522</v>
      </c>
      <c r="BH168" s="232">
        <f t="shared" ca="1" si="124"/>
        <v>119653.93184720175</v>
      </c>
      <c r="BI168" s="244">
        <f t="shared" ca="1" si="156"/>
        <v>1.9552065778756433</v>
      </c>
      <c r="BJ168" s="243">
        <f t="shared" ca="1" si="157"/>
        <v>3.321703050775068</v>
      </c>
      <c r="BK168" s="242">
        <f t="shared" ca="1" si="158"/>
        <v>5.2769096286507109</v>
      </c>
      <c r="BL168" s="241">
        <f t="shared" ca="1" si="159"/>
        <v>1.4077487360704632</v>
      </c>
      <c r="BM168" s="243">
        <f t="shared" ca="1" si="160"/>
        <v>1.4715144514933551</v>
      </c>
      <c r="BN168" s="243">
        <f t="shared" si="125"/>
        <v>0</v>
      </c>
      <c r="BO168" s="242">
        <f t="shared" ca="1" si="126"/>
        <v>2.8792631875638182</v>
      </c>
      <c r="BP168" s="67"/>
      <c r="BQ168" s="67"/>
      <c r="BR168" s="67"/>
      <c r="BS168" s="67"/>
      <c r="BT168" s="67"/>
      <c r="BU168" s="67"/>
    </row>
    <row r="169" spans="1:73" ht="12" customHeight="1" x14ac:dyDescent="0.15">
      <c r="A169" s="213">
        <f t="shared" si="127"/>
        <v>163</v>
      </c>
      <c r="B169" s="67">
        <f t="shared" si="128"/>
        <v>652</v>
      </c>
      <c r="C169" s="224">
        <f t="shared" si="129"/>
        <v>150.46153846153845</v>
      </c>
      <c r="D169" s="225">
        <f ca="1">IFERROR(OFFSET(extrapolation!V178,0,OS_dist_choice-1,1,1),0)</f>
        <v>8.1842742833775725E-2</v>
      </c>
      <c r="E169" s="225">
        <f ca="1">IFERROR(OFFSET(extrapolation!J178,0,PFS_dist_choice-1,1,1),0)</f>
        <v>3.0418273903473361E-2</v>
      </c>
      <c r="F169" s="214"/>
      <c r="G169" s="226">
        <f t="shared" ca="1" si="130"/>
        <v>30.418273903473363</v>
      </c>
      <c r="H169" s="224">
        <f t="shared" ca="1" si="131"/>
        <v>51.424468930302282</v>
      </c>
      <c r="I169" s="224">
        <f t="shared" ca="1" si="108"/>
        <v>918.15725716622433</v>
      </c>
      <c r="J169" s="227">
        <f t="shared" ca="1" si="109"/>
        <v>1000</v>
      </c>
      <c r="K169" s="238">
        <f t="shared" ca="1" si="132"/>
        <v>0.19001878349892465</v>
      </c>
      <c r="L169" s="239">
        <f t="shared" ca="1" si="133"/>
        <v>0.68060075797211539</v>
      </c>
      <c r="M169" s="238">
        <f t="shared" ca="1" si="134"/>
        <v>30.513283295222827</v>
      </c>
      <c r="N169" s="238">
        <f t="shared" ca="1" si="135"/>
        <v>51.669759917538897</v>
      </c>
      <c r="O169" s="239">
        <f t="shared" ca="1" si="136"/>
        <v>917.81695678723827</v>
      </c>
      <c r="P169" s="217"/>
      <c r="Q169" s="217"/>
      <c r="R169" s="224"/>
      <c r="S169" s="230">
        <f t="shared" ca="1" si="137"/>
        <v>46120.199059755876</v>
      </c>
      <c r="T169" s="231">
        <f t="shared" ca="1" si="138"/>
        <v>2870.7765297175065</v>
      </c>
      <c r="U169" s="231">
        <f t="shared" ca="1" si="161"/>
        <v>4324.3226546655796</v>
      </c>
      <c r="V169" s="231"/>
      <c r="W169" s="231">
        <f t="shared" ca="1" si="139"/>
        <v>11490.814276448193</v>
      </c>
      <c r="X169" s="231">
        <f t="shared" ca="1" si="140"/>
        <v>1436.3517845560241</v>
      </c>
      <c r="Y169" s="231"/>
      <c r="Z169" s="232">
        <f t="shared" ca="1" si="110"/>
        <v>66242.464305143178</v>
      </c>
      <c r="AA169" s="231">
        <f t="shared" ca="1" si="111"/>
        <v>165.10395962594302</v>
      </c>
      <c r="AB169" s="231">
        <f t="shared" ca="1" si="141"/>
        <v>13049.438372683611</v>
      </c>
      <c r="AC169" s="231">
        <f t="shared" ca="1" si="142"/>
        <v>70048.817527631298</v>
      </c>
      <c r="AD169" s="231">
        <f t="shared" ca="1" si="143"/>
        <v>2432.2506085983086</v>
      </c>
      <c r="AE169" s="231">
        <f t="shared" ca="1" si="112"/>
        <v>19499.565560235176</v>
      </c>
      <c r="AF169" s="231">
        <f t="shared" ca="1" si="113"/>
        <v>105195.17602877434</v>
      </c>
      <c r="AG169" s="232">
        <f t="shared" ca="1" si="114"/>
        <v>171437.64033391752</v>
      </c>
      <c r="AH169" s="244">
        <f t="shared" ca="1" si="144"/>
        <v>2.3391428672586971</v>
      </c>
      <c r="AI169" s="243">
        <f t="shared" ca="1" si="145"/>
        <v>3.960994600112496</v>
      </c>
      <c r="AJ169" s="242">
        <f t="shared" ca="1" si="146"/>
        <v>6.3001374673711936</v>
      </c>
      <c r="AK169" s="241">
        <f t="shared" ca="1" si="147"/>
        <v>1.684182864426262</v>
      </c>
      <c r="AL169" s="243">
        <f t="shared" ca="1" si="148"/>
        <v>1.7547206078498359</v>
      </c>
      <c r="AM169" s="243"/>
      <c r="AN169" s="242">
        <f t="shared" ca="1" si="115"/>
        <v>3.4389034722760981</v>
      </c>
      <c r="AO169" s="224"/>
      <c r="AP169" s="235">
        <f t="shared" si="149"/>
        <v>12.538461538461538</v>
      </c>
      <c r="AQ169" s="235">
        <f t="shared" si="116"/>
        <v>0.69030489303225173</v>
      </c>
      <c r="AR169" s="235">
        <f t="shared" si="117"/>
        <v>0.82970895599437389</v>
      </c>
      <c r="AT169" s="230">
        <f t="shared" ca="1" si="118"/>
        <v>31836.999078570938</v>
      </c>
      <c r="AU169" s="231">
        <f t="shared" ca="1" si="119"/>
        <v>1981.7110852661422</v>
      </c>
      <c r="AV169" s="231">
        <f t="shared" ca="1" si="150"/>
        <v>2985.1010875658658</v>
      </c>
      <c r="AW169" s="231"/>
      <c r="AX169" s="231">
        <f t="shared" ca="1" si="151"/>
        <v>7932.165319957041</v>
      </c>
      <c r="AY169" s="231">
        <f t="shared" ca="1" si="152"/>
        <v>991.52066499463012</v>
      </c>
      <c r="AZ169" s="231"/>
      <c r="BA169" s="232">
        <f t="shared" ca="1" si="120"/>
        <v>45727.497236354611</v>
      </c>
      <c r="BB169" s="231">
        <f t="shared" ca="1" si="121"/>
        <v>113.97207118878781</v>
      </c>
      <c r="BC169" s="231">
        <f t="shared" ca="1" si="153"/>
        <v>9008.0911599863211</v>
      </c>
      <c r="BD169" s="231">
        <f t="shared" ca="1" si="154"/>
        <v>48355.041490447242</v>
      </c>
      <c r="BE169" s="231">
        <f t="shared" ca="1" si="155"/>
        <v>1678.9944961960846</v>
      </c>
      <c r="BF169" s="231">
        <f t="shared" ca="1" si="122"/>
        <v>13460.645518233523</v>
      </c>
      <c r="BG169" s="231">
        <f t="shared" ca="1" si="123"/>
        <v>72616.744736051958</v>
      </c>
      <c r="BH169" s="232">
        <f t="shared" ca="1" si="124"/>
        <v>118344.24197240657</v>
      </c>
      <c r="BI169" s="244">
        <f t="shared" ca="1" si="156"/>
        <v>1.9408077863148998</v>
      </c>
      <c r="BJ169" s="243">
        <f t="shared" ca="1" si="157"/>
        <v>3.2864726943586917</v>
      </c>
      <c r="BK169" s="242">
        <f t="shared" ca="1" si="158"/>
        <v>5.227280480673592</v>
      </c>
      <c r="BL169" s="241">
        <f t="shared" ca="1" si="159"/>
        <v>1.3973816061467279</v>
      </c>
      <c r="BM169" s="243">
        <f t="shared" ca="1" si="160"/>
        <v>1.4559074036009005</v>
      </c>
      <c r="BN169" s="243">
        <f t="shared" si="125"/>
        <v>0</v>
      </c>
      <c r="BO169" s="242">
        <f t="shared" ca="1" si="126"/>
        <v>2.8532890097476287</v>
      </c>
      <c r="BP169" s="67"/>
      <c r="BQ169" s="67"/>
      <c r="BR169" s="67"/>
      <c r="BS169" s="67"/>
      <c r="BT169" s="67"/>
      <c r="BU169" s="67"/>
    </row>
    <row r="170" spans="1:73" ht="12" customHeight="1" x14ac:dyDescent="0.15">
      <c r="A170" s="213">
        <f t="shared" si="127"/>
        <v>164</v>
      </c>
      <c r="B170" s="67">
        <f t="shared" si="128"/>
        <v>656</v>
      </c>
      <c r="C170" s="224">
        <f t="shared" si="129"/>
        <v>151.38461538461539</v>
      </c>
      <c r="D170" s="225">
        <f ca="1">IFERROR(OFFSET(extrapolation!V179,0,OS_dist_choice-1,1,1),0)</f>
        <v>8.1171374595763873E-2</v>
      </c>
      <c r="E170" s="225">
        <f ca="1">IFERROR(OFFSET(extrapolation!J179,0,PFS_dist_choice-1,1,1),0)</f>
        <v>3.0230558698047989E-2</v>
      </c>
      <c r="F170" s="214"/>
      <c r="G170" s="226">
        <f t="shared" ca="1" si="130"/>
        <v>30.230558698047989</v>
      </c>
      <c r="H170" s="224">
        <f t="shared" ca="1" si="131"/>
        <v>50.940815897715879</v>
      </c>
      <c r="I170" s="224">
        <f t="shared" ca="1" si="108"/>
        <v>918.82862540423616</v>
      </c>
      <c r="J170" s="227">
        <f t="shared" ca="1" si="109"/>
        <v>1000</v>
      </c>
      <c r="K170" s="238">
        <f t="shared" ca="1" si="132"/>
        <v>0.18771520542537345</v>
      </c>
      <c r="L170" s="239">
        <f t="shared" ca="1" si="133"/>
        <v>0.67136823801183709</v>
      </c>
      <c r="M170" s="238">
        <f t="shared" ca="1" si="134"/>
        <v>30.324416300760674</v>
      </c>
      <c r="N170" s="238">
        <f t="shared" ca="1" si="135"/>
        <v>51.182642414009081</v>
      </c>
      <c r="O170" s="239">
        <f t="shared" ca="1" si="136"/>
        <v>918.49294128523024</v>
      </c>
      <c r="P170" s="217"/>
      <c r="Q170" s="217"/>
      <c r="R170" s="224"/>
      <c r="S170" s="230">
        <f t="shared" ca="1" si="137"/>
        <v>45835.585190203841</v>
      </c>
      <c r="T170" s="231">
        <f t="shared" ca="1" si="138"/>
        <v>2853.0605867380882</v>
      </c>
      <c r="U170" s="231">
        <f t="shared" ca="1" si="161"/>
        <v>4297.6366856318973</v>
      </c>
      <c r="V170" s="231"/>
      <c r="W170" s="231">
        <f t="shared" ca="1" si="139"/>
        <v>11419.689988205659</v>
      </c>
      <c r="X170" s="231">
        <f t="shared" ca="1" si="140"/>
        <v>1427.4612485257073</v>
      </c>
      <c r="Y170" s="231"/>
      <c r="Z170" s="232">
        <f t="shared" ca="1" si="110"/>
        <v>65833.433699305198</v>
      </c>
      <c r="AA170" s="231">
        <f t="shared" ca="1" si="111"/>
        <v>163.10242138720906</v>
      </c>
      <c r="AB170" s="231">
        <f t="shared" ca="1" si="141"/>
        <v>12926.414579797549</v>
      </c>
      <c r="AC170" s="231">
        <f t="shared" ca="1" si="142"/>
        <v>69388.431159013911</v>
      </c>
      <c r="AD170" s="231">
        <f t="shared" ca="1" si="143"/>
        <v>2409.3205263546497</v>
      </c>
      <c r="AE170" s="231">
        <f t="shared" ca="1" si="112"/>
        <v>19235.049063386075</v>
      </c>
      <c r="AF170" s="231">
        <f t="shared" ca="1" si="113"/>
        <v>104122.31774993939</v>
      </c>
      <c r="AG170" s="232">
        <f t="shared" ca="1" si="114"/>
        <v>169955.75144924459</v>
      </c>
      <c r="AH170" s="244">
        <f t="shared" ca="1" si="144"/>
        <v>2.3246643570740559</v>
      </c>
      <c r="AI170" s="243">
        <f t="shared" ca="1" si="145"/>
        <v>3.923652258979478</v>
      </c>
      <c r="AJ170" s="242">
        <f t="shared" ca="1" si="146"/>
        <v>6.2483166160535344</v>
      </c>
      <c r="AK170" s="241">
        <f t="shared" ca="1" si="147"/>
        <v>1.6737583370933202</v>
      </c>
      <c r="AL170" s="243">
        <f t="shared" ca="1" si="148"/>
        <v>1.7381779507279087</v>
      </c>
      <c r="AM170" s="243"/>
      <c r="AN170" s="242">
        <f t="shared" ca="1" si="115"/>
        <v>3.4119362878212289</v>
      </c>
      <c r="AO170" s="224"/>
      <c r="AP170" s="235">
        <f t="shared" si="149"/>
        <v>12.615384615384615</v>
      </c>
      <c r="AQ170" s="235">
        <f t="shared" si="116"/>
        <v>0.68873709257941906</v>
      </c>
      <c r="AR170" s="235">
        <f t="shared" si="117"/>
        <v>0.82875925261774941</v>
      </c>
      <c r="AT170" s="230">
        <f t="shared" ca="1" si="118"/>
        <v>31568.667680577273</v>
      </c>
      <c r="AU170" s="231">
        <f t="shared" ca="1" si="119"/>
        <v>1965.0086534629224</v>
      </c>
      <c r="AV170" s="231">
        <f t="shared" ca="1" si="150"/>
        <v>2959.9417958247636</v>
      </c>
      <c r="AW170" s="231"/>
      <c r="AX170" s="231">
        <f t="shared" ca="1" si="151"/>
        <v>7865.1640806350661</v>
      </c>
      <c r="AY170" s="231">
        <f t="shared" ca="1" si="152"/>
        <v>983.14551007938326</v>
      </c>
      <c r="AZ170" s="231"/>
      <c r="BA170" s="232">
        <f t="shared" ca="1" si="120"/>
        <v>45341.927720579413</v>
      </c>
      <c r="BB170" s="231">
        <f t="shared" ca="1" si="121"/>
        <v>112.33468749888962</v>
      </c>
      <c r="BC170" s="231">
        <f t="shared" ca="1" si="153"/>
        <v>8902.9011951659759</v>
      </c>
      <c r="BD170" s="231">
        <f t="shared" ca="1" si="154"/>
        <v>47790.386335106414</v>
      </c>
      <c r="BE170" s="231">
        <f t="shared" ca="1" si="155"/>
        <v>1659.388414413417</v>
      </c>
      <c r="BF170" s="231">
        <f t="shared" ca="1" si="122"/>
        <v>13247.891767539004</v>
      </c>
      <c r="BG170" s="231">
        <f t="shared" ca="1" si="123"/>
        <v>71712.902399723695</v>
      </c>
      <c r="BH170" s="232">
        <f t="shared" ca="1" si="124"/>
        <v>117054.83012030312</v>
      </c>
      <c r="BI170" s="244">
        <f t="shared" ca="1" si="156"/>
        <v>1.9265870951558155</v>
      </c>
      <c r="BJ170" s="243">
        <f t="shared" ca="1" si="157"/>
        <v>3.2517631136837761</v>
      </c>
      <c r="BK170" s="242">
        <f t="shared" ca="1" si="158"/>
        <v>5.1783502088395919</v>
      </c>
      <c r="BL170" s="241">
        <f t="shared" ca="1" si="159"/>
        <v>1.3871427085121872</v>
      </c>
      <c r="BM170" s="243">
        <f t="shared" ca="1" si="160"/>
        <v>1.4405310593619129</v>
      </c>
      <c r="BN170" s="243">
        <f t="shared" si="125"/>
        <v>0</v>
      </c>
      <c r="BO170" s="242">
        <f t="shared" ca="1" si="126"/>
        <v>2.8276737678741002</v>
      </c>
      <c r="BP170" s="67"/>
      <c r="BQ170" s="67"/>
      <c r="BR170" s="67"/>
      <c r="BS170" s="67"/>
      <c r="BT170" s="67"/>
      <c r="BU170" s="67"/>
    </row>
    <row r="171" spans="1:73" ht="12" customHeight="1" x14ac:dyDescent="0.15">
      <c r="A171" s="213">
        <f t="shared" si="127"/>
        <v>165</v>
      </c>
      <c r="B171" s="67">
        <f t="shared" si="128"/>
        <v>660</v>
      </c>
      <c r="C171" s="224">
        <f t="shared" si="129"/>
        <v>152.30769230769229</v>
      </c>
      <c r="D171" s="225">
        <f ca="1">IFERROR(OFFSET(extrapolation!V180,0,OS_dist_choice-1,1,1),0)</f>
        <v>8.0509066430292625E-2</v>
      </c>
      <c r="E171" s="225">
        <f ca="1">IFERROR(OFFSET(extrapolation!J180,0,PFS_dist_choice-1,1,1),0)</f>
        <v>3.0045105664754362E-2</v>
      </c>
      <c r="F171" s="214"/>
      <c r="G171" s="226">
        <f t="shared" ca="1" si="130"/>
        <v>30.045105664754363</v>
      </c>
      <c r="H171" s="224">
        <f t="shared" ca="1" si="131"/>
        <v>50.463960765538332</v>
      </c>
      <c r="I171" s="224">
        <f t="shared" ca="1" si="108"/>
        <v>919.49093356970729</v>
      </c>
      <c r="J171" s="227">
        <f t="shared" ca="1" si="109"/>
        <v>1000</v>
      </c>
      <c r="K171" s="238">
        <f t="shared" ca="1" si="132"/>
        <v>0.18545303329362639</v>
      </c>
      <c r="L171" s="239">
        <f t="shared" ca="1" si="133"/>
        <v>0.66230816547113136</v>
      </c>
      <c r="M171" s="238">
        <f t="shared" ca="1" si="134"/>
        <v>30.137832181401176</v>
      </c>
      <c r="N171" s="238">
        <f t="shared" ca="1" si="135"/>
        <v>50.702388331627105</v>
      </c>
      <c r="O171" s="239">
        <f t="shared" ca="1" si="136"/>
        <v>919.15977948697173</v>
      </c>
      <c r="P171" s="217"/>
      <c r="Q171" s="217"/>
      <c r="R171" s="224"/>
      <c r="S171" s="230">
        <f t="shared" ca="1" si="137"/>
        <v>45554.401226942828</v>
      </c>
      <c r="T171" s="231">
        <f t="shared" ca="1" si="138"/>
        <v>2835.5581401155837</v>
      </c>
      <c r="U171" s="231">
        <f t="shared" ca="1" si="161"/>
        <v>4271.2723115128092</v>
      </c>
      <c r="V171" s="231"/>
      <c r="W171" s="231">
        <f t="shared" ca="1" si="139"/>
        <v>11349.42539420078</v>
      </c>
      <c r="X171" s="231">
        <f t="shared" ca="1" si="140"/>
        <v>1418.6781742750975</v>
      </c>
      <c r="Y171" s="231"/>
      <c r="Z171" s="232">
        <f t="shared" ca="1" si="110"/>
        <v>65429.3352470471</v>
      </c>
      <c r="AA171" s="231">
        <f t="shared" ca="1" si="111"/>
        <v>161.13686003885419</v>
      </c>
      <c r="AB171" s="231">
        <f t="shared" ca="1" si="141"/>
        <v>12805.124175869312</v>
      </c>
      <c r="AC171" s="231">
        <f t="shared" ca="1" si="142"/>
        <v>68737.349546918864</v>
      </c>
      <c r="AD171" s="231">
        <f t="shared" ca="1" si="143"/>
        <v>2386.7135259346828</v>
      </c>
      <c r="AE171" s="231">
        <f t="shared" ca="1" si="112"/>
        <v>18975.473274763142</v>
      </c>
      <c r="AF171" s="231">
        <f t="shared" ca="1" si="113"/>
        <v>103065.79738352486</v>
      </c>
      <c r="AG171" s="232">
        <f t="shared" ca="1" si="114"/>
        <v>168495.13263057196</v>
      </c>
      <c r="AH171" s="244">
        <f t="shared" ca="1" si="144"/>
        <v>2.310360851688523</v>
      </c>
      <c r="AI171" s="243">
        <f t="shared" ca="1" si="145"/>
        <v>3.8868360664902366</v>
      </c>
      <c r="AJ171" s="242">
        <f t="shared" ca="1" si="146"/>
        <v>6.1971969181787596</v>
      </c>
      <c r="AK171" s="241">
        <f t="shared" ca="1" si="147"/>
        <v>1.6634598132157365</v>
      </c>
      <c r="AL171" s="243">
        <f t="shared" ca="1" si="148"/>
        <v>1.7218683774551748</v>
      </c>
      <c r="AM171" s="243"/>
      <c r="AN171" s="242">
        <f t="shared" ca="1" si="115"/>
        <v>3.3853281906709114</v>
      </c>
      <c r="AO171" s="224"/>
      <c r="AP171" s="235">
        <f t="shared" si="149"/>
        <v>12.692307692307692</v>
      </c>
      <c r="AQ171" s="235">
        <f t="shared" si="116"/>
        <v>0.68717285286950547</v>
      </c>
      <c r="AR171" s="235">
        <f t="shared" si="117"/>
        <v>0.82781063629279161</v>
      </c>
      <c r="AT171" s="230">
        <f t="shared" ca="1" si="118"/>
        <v>31303.747851880402</v>
      </c>
      <c r="AU171" s="231">
        <f t="shared" ca="1" si="119"/>
        <v>1948.5185766205745</v>
      </c>
      <c r="AV171" s="231">
        <f t="shared" ca="1" si="150"/>
        <v>2935.102379684784</v>
      </c>
      <c r="AW171" s="231"/>
      <c r="AX171" s="231">
        <f t="shared" ca="1" si="151"/>
        <v>7799.017026562562</v>
      </c>
      <c r="AY171" s="231">
        <f t="shared" ca="1" si="152"/>
        <v>974.87712832032025</v>
      </c>
      <c r="AZ171" s="231"/>
      <c r="BA171" s="232">
        <f t="shared" ca="1" si="120"/>
        <v>44961.262963068642</v>
      </c>
      <c r="BB171" s="231">
        <f t="shared" ca="1" si="121"/>
        <v>110.72887581533365</v>
      </c>
      <c r="BC171" s="231">
        <f t="shared" ca="1" si="153"/>
        <v>8799.3337112803911</v>
      </c>
      <c r="BD171" s="231">
        <f t="shared" ca="1" si="154"/>
        <v>47234.440586844648</v>
      </c>
      <c r="BE171" s="231">
        <f t="shared" ca="1" si="155"/>
        <v>1640.0847425987724</v>
      </c>
      <c r="BF171" s="231">
        <f t="shared" ca="1" si="122"/>
        <v>13039.430104768046</v>
      </c>
      <c r="BG171" s="231">
        <f t="shared" ca="1" si="123"/>
        <v>70824.018021307187</v>
      </c>
      <c r="BH171" s="232">
        <f t="shared" ca="1" si="124"/>
        <v>115785.28098437583</v>
      </c>
      <c r="BI171" s="244">
        <f t="shared" ca="1" si="156"/>
        <v>1.9125412867022322</v>
      </c>
      <c r="BJ171" s="243">
        <f t="shared" ca="1" si="157"/>
        <v>3.2175642373670539</v>
      </c>
      <c r="BK171" s="242">
        <f t="shared" ca="1" si="158"/>
        <v>5.1301055240692861</v>
      </c>
      <c r="BL171" s="241">
        <f t="shared" ca="1" si="159"/>
        <v>1.3770297264256071</v>
      </c>
      <c r="BM171" s="243">
        <f t="shared" ca="1" si="160"/>
        <v>1.4253809571536049</v>
      </c>
      <c r="BN171" s="243">
        <f t="shared" si="125"/>
        <v>0</v>
      </c>
      <c r="BO171" s="242">
        <f t="shared" ca="1" si="126"/>
        <v>2.802410683579212</v>
      </c>
      <c r="BP171" s="67"/>
      <c r="BQ171" s="67"/>
      <c r="BR171" s="67"/>
      <c r="BS171" s="67"/>
      <c r="BT171" s="67"/>
      <c r="BU171" s="67"/>
    </row>
    <row r="172" spans="1:73" ht="12" customHeight="1" x14ac:dyDescent="0.15">
      <c r="A172" s="213">
        <f t="shared" si="127"/>
        <v>166</v>
      </c>
      <c r="B172" s="67">
        <f t="shared" si="128"/>
        <v>664</v>
      </c>
      <c r="C172" s="224">
        <f t="shared" si="129"/>
        <v>153.23076923076923</v>
      </c>
      <c r="D172" s="225">
        <f ca="1">IFERROR(OFFSET(extrapolation!V181,0,OS_dist_choice-1,1,1),0)</f>
        <v>7.9855649959324038E-2</v>
      </c>
      <c r="E172" s="225">
        <f ca="1">IFERROR(OFFSET(extrapolation!J181,0,PFS_dist_choice-1,1,1),0)</f>
        <v>2.9861874381504679E-2</v>
      </c>
      <c r="F172" s="214"/>
      <c r="G172" s="226">
        <f t="shared" ca="1" si="130"/>
        <v>29.861874381504677</v>
      </c>
      <c r="H172" s="224">
        <f t="shared" ca="1" si="131"/>
        <v>49.993775577819406</v>
      </c>
      <c r="I172" s="224">
        <f t="shared" ca="1" si="108"/>
        <v>920.14435004067593</v>
      </c>
      <c r="J172" s="227">
        <f t="shared" ca="1" si="109"/>
        <v>1000</v>
      </c>
      <c r="K172" s="238">
        <f t="shared" ca="1" si="132"/>
        <v>0.18323128324968607</v>
      </c>
      <c r="L172" s="239">
        <f t="shared" ca="1" si="133"/>
        <v>0.65341647096863653</v>
      </c>
      <c r="M172" s="238">
        <f t="shared" ca="1" si="134"/>
        <v>29.953490023129518</v>
      </c>
      <c r="N172" s="238">
        <f t="shared" ca="1" si="135"/>
        <v>50.228868171678869</v>
      </c>
      <c r="O172" s="239">
        <f t="shared" ca="1" si="136"/>
        <v>919.81764180519167</v>
      </c>
      <c r="P172" s="217"/>
      <c r="Q172" s="217"/>
      <c r="R172" s="224"/>
      <c r="S172" s="230">
        <f t="shared" ca="1" si="137"/>
        <v>45276.585881987143</v>
      </c>
      <c r="T172" s="231">
        <f t="shared" ca="1" si="138"/>
        <v>2818.265374946448</v>
      </c>
      <c r="U172" s="231">
        <f t="shared" ca="1" si="161"/>
        <v>4245.2237858234676</v>
      </c>
      <c r="V172" s="231"/>
      <c r="W172" s="231">
        <f t="shared" ca="1" si="139"/>
        <v>11280.005086870207</v>
      </c>
      <c r="X172" s="231">
        <f t="shared" ca="1" si="140"/>
        <v>1410.0006358587759</v>
      </c>
      <c r="Y172" s="231"/>
      <c r="Z172" s="232">
        <f t="shared" ca="1" si="110"/>
        <v>65030.08076548604</v>
      </c>
      <c r="AA172" s="231">
        <f t="shared" ca="1" si="111"/>
        <v>159.20642072754401</v>
      </c>
      <c r="AB172" s="231">
        <f t="shared" ca="1" si="141"/>
        <v>12685.534455395882</v>
      </c>
      <c r="AC172" s="231">
        <f t="shared" ca="1" si="142"/>
        <v>68095.397129628662</v>
      </c>
      <c r="AD172" s="231">
        <f t="shared" ca="1" si="143"/>
        <v>2364.4235114454395</v>
      </c>
      <c r="AE172" s="231">
        <f t="shared" ca="1" si="112"/>
        <v>18720.721604474697</v>
      </c>
      <c r="AF172" s="231">
        <f t="shared" ca="1" si="113"/>
        <v>102025.28312167223</v>
      </c>
      <c r="AG172" s="232">
        <f t="shared" ca="1" si="114"/>
        <v>167055.36388715828</v>
      </c>
      <c r="AH172" s="244">
        <f t="shared" ca="1" si="144"/>
        <v>2.2962292146410035</v>
      </c>
      <c r="AI172" s="243">
        <f t="shared" ca="1" si="145"/>
        <v>3.8505360952963952</v>
      </c>
      <c r="AJ172" s="242">
        <f t="shared" ca="1" si="146"/>
        <v>6.1467653099373987</v>
      </c>
      <c r="AK172" s="241">
        <f t="shared" ca="1" si="147"/>
        <v>1.6532850345415224</v>
      </c>
      <c r="AL172" s="243">
        <f t="shared" ca="1" si="148"/>
        <v>1.705787490216303</v>
      </c>
      <c r="AM172" s="243"/>
      <c r="AN172" s="242">
        <f t="shared" ca="1" si="115"/>
        <v>3.3590725247578255</v>
      </c>
      <c r="AO172" s="224"/>
      <c r="AP172" s="235">
        <f t="shared" si="149"/>
        <v>12.76923076923077</v>
      </c>
      <c r="AQ172" s="235">
        <f t="shared" si="116"/>
        <v>0.68561216581545492</v>
      </c>
      <c r="AR172" s="235">
        <f t="shared" si="117"/>
        <v>0.82686310577523714</v>
      </c>
      <c r="AT172" s="230">
        <f t="shared" ca="1" si="118"/>
        <v>31042.178107278654</v>
      </c>
      <c r="AU172" s="231">
        <f t="shared" ca="1" si="119"/>
        <v>1932.2370275597393</v>
      </c>
      <c r="AV172" s="231">
        <f t="shared" ca="1" si="150"/>
        <v>2910.5770741697124</v>
      </c>
      <c r="AW172" s="231"/>
      <c r="AX172" s="231">
        <f t="shared" ca="1" si="151"/>
        <v>7733.7087180184317</v>
      </c>
      <c r="AY172" s="231">
        <f t="shared" ca="1" si="152"/>
        <v>966.71358975230396</v>
      </c>
      <c r="AZ172" s="231"/>
      <c r="BA172" s="232">
        <f t="shared" ca="1" si="120"/>
        <v>44585.414516778837</v>
      </c>
      <c r="BB172" s="231">
        <f t="shared" ca="1" si="121"/>
        <v>109.15385892673798</v>
      </c>
      <c r="BC172" s="231">
        <f t="shared" ca="1" si="153"/>
        <v>8697.3567524905484</v>
      </c>
      <c r="BD172" s="231">
        <f t="shared" ca="1" si="154"/>
        <v>46687.032708108221</v>
      </c>
      <c r="BE172" s="231">
        <f t="shared" ca="1" si="155"/>
        <v>1621.0775245870909</v>
      </c>
      <c r="BF172" s="231">
        <f t="shared" ca="1" si="122"/>
        <v>12835.154484872075</v>
      </c>
      <c r="BG172" s="231">
        <f t="shared" ca="1" si="123"/>
        <v>69949.775328984673</v>
      </c>
      <c r="BH172" s="232">
        <f t="shared" ca="1" si="124"/>
        <v>114535.18984576353</v>
      </c>
      <c r="BI172" s="244">
        <f t="shared" ca="1" si="156"/>
        <v>1.8986672199898937</v>
      </c>
      <c r="BJ172" s="243">
        <f t="shared" ca="1" si="157"/>
        <v>3.1838662346564317</v>
      </c>
      <c r="BK172" s="242">
        <f t="shared" ca="1" si="158"/>
        <v>5.0825334546463257</v>
      </c>
      <c r="BL172" s="241">
        <f t="shared" ca="1" si="159"/>
        <v>1.3670403983927235</v>
      </c>
      <c r="BM172" s="243">
        <f t="shared" ca="1" si="160"/>
        <v>1.4104527419527992</v>
      </c>
      <c r="BN172" s="243">
        <f t="shared" si="125"/>
        <v>0</v>
      </c>
      <c r="BO172" s="242">
        <f t="shared" ca="1" si="126"/>
        <v>2.7774931403455225</v>
      </c>
      <c r="BP172" s="67"/>
      <c r="BQ172" s="67"/>
      <c r="BR172" s="67"/>
      <c r="BS172" s="67"/>
      <c r="BT172" s="67"/>
      <c r="BU172" s="67"/>
    </row>
    <row r="173" spans="1:73" ht="12" customHeight="1" x14ac:dyDescent="0.15">
      <c r="A173" s="213">
        <f t="shared" si="127"/>
        <v>167</v>
      </c>
      <c r="B173" s="67">
        <f t="shared" si="128"/>
        <v>668</v>
      </c>
      <c r="C173" s="224">
        <f t="shared" si="129"/>
        <v>154.15384615384616</v>
      </c>
      <c r="D173" s="225">
        <f ca="1">IFERROR(OFFSET(extrapolation!V182,0,OS_dist_choice-1,1,1),0)</f>
        <v>7.9210960758939422E-2</v>
      </c>
      <c r="E173" s="225">
        <f ca="1">IFERROR(OFFSET(extrapolation!J182,0,PFS_dist_choice-1,1,1),0)</f>
        <v>2.9680825381059275E-2</v>
      </c>
      <c r="F173" s="214"/>
      <c r="G173" s="226">
        <f t="shared" ca="1" si="130"/>
        <v>29.680825381059275</v>
      </c>
      <c r="H173" s="224">
        <f t="shared" ca="1" si="131"/>
        <v>49.530135377880129</v>
      </c>
      <c r="I173" s="224">
        <f t="shared" ca="1" si="108"/>
        <v>920.78903924106055</v>
      </c>
      <c r="J173" s="227">
        <f t="shared" ca="1" si="109"/>
        <v>1000</v>
      </c>
      <c r="K173" s="238">
        <f t="shared" ca="1" si="132"/>
        <v>0.18104900044540173</v>
      </c>
      <c r="L173" s="239">
        <f t="shared" ca="1" si="133"/>
        <v>0.64468920038461874</v>
      </c>
      <c r="M173" s="238">
        <f t="shared" ca="1" si="134"/>
        <v>29.771349881281978</v>
      </c>
      <c r="N173" s="238">
        <f t="shared" ca="1" si="135"/>
        <v>49.761955477849767</v>
      </c>
      <c r="O173" s="239">
        <f t="shared" ca="1" si="136"/>
        <v>920.46669464086824</v>
      </c>
      <c r="P173" s="217"/>
      <c r="Q173" s="217"/>
      <c r="R173" s="224"/>
      <c r="S173" s="230">
        <f t="shared" ca="1" si="137"/>
        <v>45002.079315092225</v>
      </c>
      <c r="T173" s="231">
        <f t="shared" ca="1" si="138"/>
        <v>2801.1785664425597</v>
      </c>
      <c r="U173" s="231">
        <f t="shared" ca="1" si="161"/>
        <v>4219.4854978221483</v>
      </c>
      <c r="V173" s="231"/>
      <c r="W173" s="231">
        <f t="shared" ca="1" si="139"/>
        <v>11211.414023692692</v>
      </c>
      <c r="X173" s="231">
        <f t="shared" ca="1" si="140"/>
        <v>1401.4267529615865</v>
      </c>
      <c r="Y173" s="231"/>
      <c r="Z173" s="232">
        <f t="shared" ca="1" si="110"/>
        <v>64635.584156011217</v>
      </c>
      <c r="AA173" s="231">
        <f t="shared" ca="1" si="111"/>
        <v>157.31027380261125</v>
      </c>
      <c r="AB173" s="231">
        <f t="shared" ca="1" si="141"/>
        <v>12567.61348124639</v>
      </c>
      <c r="AC173" s="231">
        <f t="shared" ca="1" si="142"/>
        <v>67462.402470014087</v>
      </c>
      <c r="AD173" s="231">
        <f t="shared" ca="1" si="143"/>
        <v>2342.444530208822</v>
      </c>
      <c r="AE173" s="231">
        <f t="shared" ca="1" si="112"/>
        <v>18470.680764934608</v>
      </c>
      <c r="AF173" s="231">
        <f t="shared" ca="1" si="113"/>
        <v>101000.45152020652</v>
      </c>
      <c r="AG173" s="232">
        <f t="shared" ca="1" si="114"/>
        <v>165636.03567621775</v>
      </c>
      <c r="AH173" s="244">
        <f t="shared" ca="1" si="144"/>
        <v>2.2822663837806854</v>
      </c>
      <c r="AI173" s="243">
        <f t="shared" ca="1" si="145"/>
        <v>3.8147426512793796</v>
      </c>
      <c r="AJ173" s="242">
        <f t="shared" ca="1" si="146"/>
        <v>6.097009035060065</v>
      </c>
      <c r="AK173" s="241">
        <f t="shared" ca="1" si="147"/>
        <v>1.6432317963220935</v>
      </c>
      <c r="AL173" s="243">
        <f t="shared" ca="1" si="148"/>
        <v>1.6899309945167651</v>
      </c>
      <c r="AM173" s="243"/>
      <c r="AN173" s="242">
        <f t="shared" ca="1" si="115"/>
        <v>3.3331627908388586</v>
      </c>
      <c r="AO173" s="224"/>
      <c r="AP173" s="235">
        <f t="shared" si="149"/>
        <v>12.846153846153847</v>
      </c>
      <c r="AQ173" s="235">
        <f t="shared" si="116"/>
        <v>0.68405502334857859</v>
      </c>
      <c r="AR173" s="235">
        <f t="shared" si="117"/>
        <v>0.82591665982224649</v>
      </c>
      <c r="AT173" s="230">
        <f t="shared" ca="1" si="118"/>
        <v>30783.898416619999</v>
      </c>
      <c r="AU173" s="231">
        <f t="shared" ca="1" si="119"/>
        <v>1916.1602696714031</v>
      </c>
      <c r="AV173" s="231">
        <f t="shared" ca="1" si="150"/>
        <v>2886.3602507317182</v>
      </c>
      <c r="AW173" s="231"/>
      <c r="AX173" s="231">
        <f t="shared" ca="1" si="151"/>
        <v>7669.2240817476859</v>
      </c>
      <c r="AY173" s="231">
        <f t="shared" ca="1" si="152"/>
        <v>958.65301021846074</v>
      </c>
      <c r="AZ173" s="231"/>
      <c r="BA173" s="232">
        <f t="shared" ca="1" si="120"/>
        <v>44214.296028989273</v>
      </c>
      <c r="BB173" s="231">
        <f t="shared" ca="1" si="121"/>
        <v>107.60888301901653</v>
      </c>
      <c r="BC173" s="231">
        <f t="shared" ca="1" si="153"/>
        <v>8596.9391333499098</v>
      </c>
      <c r="BD173" s="231">
        <f t="shared" ca="1" si="154"/>
        <v>46147.995296776695</v>
      </c>
      <c r="BE173" s="231">
        <f t="shared" ca="1" si="155"/>
        <v>1602.360947804746</v>
      </c>
      <c r="BF173" s="231">
        <f t="shared" ca="1" si="122"/>
        <v>12634.961961921485</v>
      </c>
      <c r="BG173" s="231">
        <f t="shared" ca="1" si="123"/>
        <v>69089.86622287186</v>
      </c>
      <c r="BH173" s="232">
        <f t="shared" ca="1" si="124"/>
        <v>113304.16225186114</v>
      </c>
      <c r="BI173" s="244">
        <f t="shared" ca="1" si="156"/>
        <v>1.8849618285167409</v>
      </c>
      <c r="BJ173" s="243">
        <f t="shared" ca="1" si="157"/>
        <v>3.1506595086261262</v>
      </c>
      <c r="BK173" s="242">
        <f t="shared" ca="1" si="158"/>
        <v>5.0356213371428673</v>
      </c>
      <c r="BL173" s="241">
        <f t="shared" ca="1" si="159"/>
        <v>1.3571725165320536</v>
      </c>
      <c r="BM173" s="243">
        <f t="shared" ca="1" si="160"/>
        <v>1.3957421623213737</v>
      </c>
      <c r="BN173" s="243">
        <f t="shared" si="125"/>
        <v>0</v>
      </c>
      <c r="BO173" s="242">
        <f t="shared" ca="1" si="126"/>
        <v>2.7529146788534273</v>
      </c>
      <c r="BP173" s="67"/>
      <c r="BQ173" s="67"/>
      <c r="BR173" s="67"/>
      <c r="BS173" s="67"/>
      <c r="BT173" s="67"/>
      <c r="BU173" s="67"/>
    </row>
    <row r="174" spans="1:73" ht="12" customHeight="1" x14ac:dyDescent="0.15">
      <c r="A174" s="213">
        <f t="shared" si="127"/>
        <v>168</v>
      </c>
      <c r="B174" s="67">
        <f t="shared" si="128"/>
        <v>672</v>
      </c>
      <c r="C174" s="224">
        <f t="shared" si="129"/>
        <v>155.07692307692309</v>
      </c>
      <c r="D174" s="225">
        <f ca="1">IFERROR(OFFSET(extrapolation!V183,0,OS_dist_choice-1,1,1),0)</f>
        <v>7.8574838247863363E-2</v>
      </c>
      <c r="E174" s="225">
        <f ca="1">IFERROR(OFFSET(extrapolation!J183,0,PFS_dist_choice-1,1,1),0)</f>
        <v>2.950192012303951E-2</v>
      </c>
      <c r="F174" s="214"/>
      <c r="G174" s="226">
        <f t="shared" ca="1" si="130"/>
        <v>29.501920123039511</v>
      </c>
      <c r="H174" s="224">
        <f t="shared" ca="1" si="131"/>
        <v>49.072918124823786</v>
      </c>
      <c r="I174" s="224">
        <f t="shared" ca="1" si="108"/>
        <v>921.42516175213666</v>
      </c>
      <c r="J174" s="227">
        <f t="shared" ca="1" si="109"/>
        <v>1000</v>
      </c>
      <c r="K174" s="238">
        <f t="shared" ca="1" si="132"/>
        <v>0.17890525801976409</v>
      </c>
      <c r="L174" s="239">
        <f t="shared" ca="1" si="133"/>
        <v>0.63612251107610973</v>
      </c>
      <c r="M174" s="238">
        <f t="shared" ca="1" si="134"/>
        <v>29.591372752049395</v>
      </c>
      <c r="N174" s="238">
        <f t="shared" ca="1" si="135"/>
        <v>49.301526751351958</v>
      </c>
      <c r="O174" s="239">
        <f t="shared" ca="1" si="136"/>
        <v>921.1071004965986</v>
      </c>
      <c r="P174" s="217"/>
      <c r="Q174" s="217"/>
      <c r="R174" s="224"/>
      <c r="S174" s="230">
        <f t="shared" ca="1" si="137"/>
        <v>44730.823091320555</v>
      </c>
      <c r="T174" s="231">
        <f t="shared" ca="1" si="138"/>
        <v>2784.2940772898878</v>
      </c>
      <c r="U174" s="231">
        <f t="shared" ca="1" si="161"/>
        <v>4194.0519685315421</v>
      </c>
      <c r="V174" s="231"/>
      <c r="W174" s="231">
        <f t="shared" ca="1" si="139"/>
        <v>11143.637516457769</v>
      </c>
      <c r="X174" s="231">
        <f t="shared" ca="1" si="140"/>
        <v>1392.9546895572212</v>
      </c>
      <c r="Y174" s="231"/>
      <c r="Z174" s="232">
        <f t="shared" ca="1" si="110"/>
        <v>64245.761343156977</v>
      </c>
      <c r="AA174" s="231">
        <f t="shared" ca="1" si="111"/>
        <v>155.44761393092071</v>
      </c>
      <c r="AB174" s="231">
        <f t="shared" ca="1" si="141"/>
        <v>12451.330063227122</v>
      </c>
      <c r="AC174" s="231">
        <f t="shared" ca="1" si="142"/>
        <v>66838.198140472057</v>
      </c>
      <c r="AD174" s="231">
        <f t="shared" ca="1" si="143"/>
        <v>2320.7707687663906</v>
      </c>
      <c r="AE174" s="231">
        <f t="shared" ca="1" si="112"/>
        <v>18225.240662424054</v>
      </c>
      <c r="AF174" s="231">
        <f t="shared" ca="1" si="113"/>
        <v>99990.987248820544</v>
      </c>
      <c r="AG174" s="232">
        <f t="shared" ca="1" si="114"/>
        <v>164236.74859197752</v>
      </c>
      <c r="AH174" s="244">
        <f t="shared" ca="1" si="144"/>
        <v>2.2684693690825002</v>
      </c>
      <c r="AI174" s="243">
        <f t="shared" ca="1" si="145"/>
        <v>3.7794462670440927</v>
      </c>
      <c r="AJ174" s="242">
        <f t="shared" ca="1" si="146"/>
        <v>6.0479156361265929</v>
      </c>
      <c r="AK174" s="241">
        <f t="shared" ca="1" si="147"/>
        <v>1.6332979457394001</v>
      </c>
      <c r="AL174" s="243">
        <f t="shared" ca="1" si="148"/>
        <v>1.6742946963005332</v>
      </c>
      <c r="AM174" s="243"/>
      <c r="AN174" s="242">
        <f t="shared" ca="1" si="115"/>
        <v>3.3075926420399333</v>
      </c>
      <c r="AO174" s="224"/>
      <c r="AP174" s="235">
        <f t="shared" si="149"/>
        <v>12.923076923076923</v>
      </c>
      <c r="AQ174" s="235">
        <f t="shared" si="116"/>
        <v>0.68250141741851267</v>
      </c>
      <c r="AR174" s="235">
        <f t="shared" si="117"/>
        <v>0.82497129719240292</v>
      </c>
      <c r="AT174" s="230">
        <f t="shared" ca="1" si="118"/>
        <v>30528.850162123017</v>
      </c>
      <c r="AU174" s="231">
        <f t="shared" ca="1" si="119"/>
        <v>1900.2846542603183</v>
      </c>
      <c r="AV174" s="231">
        <f t="shared" ca="1" si="150"/>
        <v>2862.446413249681</v>
      </c>
      <c r="AW174" s="231"/>
      <c r="AX174" s="231">
        <f t="shared" ca="1" si="151"/>
        <v>7605.5484001805416</v>
      </c>
      <c r="AY174" s="231">
        <f t="shared" ca="1" si="152"/>
        <v>950.69355002256771</v>
      </c>
      <c r="AZ174" s="231"/>
      <c r="BA174" s="232">
        <f t="shared" ca="1" si="120"/>
        <v>43847.823179836123</v>
      </c>
      <c r="BB174" s="231">
        <f t="shared" ca="1" si="121"/>
        <v>106.09321684217912</v>
      </c>
      <c r="BC174" s="231">
        <f t="shared" ca="1" si="153"/>
        <v>8498.0504168982498</v>
      </c>
      <c r="BD174" s="231">
        <f t="shared" ca="1" si="154"/>
        <v>45617.164968571575</v>
      </c>
      <c r="BE174" s="231">
        <f t="shared" ca="1" si="155"/>
        <v>1583.9293391865128</v>
      </c>
      <c r="BF174" s="231">
        <f t="shared" ca="1" si="122"/>
        <v>12438.752584897929</v>
      </c>
      <c r="BG174" s="231">
        <f t="shared" ca="1" si="123"/>
        <v>68243.990526396447</v>
      </c>
      <c r="BH174" s="232">
        <f t="shared" ca="1" si="124"/>
        <v>112091.81370623257</v>
      </c>
      <c r="BI174" s="244">
        <f t="shared" ca="1" si="156"/>
        <v>1.871422118053222</v>
      </c>
      <c r="BJ174" s="243">
        <f t="shared" ca="1" si="157"/>
        <v>3.1179346895923499</v>
      </c>
      <c r="BK174" s="242">
        <f t="shared" ca="1" si="158"/>
        <v>4.9893568076455717</v>
      </c>
      <c r="BL174" s="241">
        <f t="shared" ca="1" si="159"/>
        <v>1.3474239249983198</v>
      </c>
      <c r="BM174" s="243">
        <f t="shared" ca="1" si="160"/>
        <v>1.3812450674894112</v>
      </c>
      <c r="BN174" s="243">
        <f t="shared" si="125"/>
        <v>0</v>
      </c>
      <c r="BO174" s="242">
        <f t="shared" ca="1" si="126"/>
        <v>2.728668992487731</v>
      </c>
      <c r="BP174" s="67"/>
      <c r="BQ174" s="67"/>
      <c r="BR174" s="67"/>
      <c r="BS174" s="67"/>
      <c r="BT174" s="67"/>
      <c r="BU174" s="67"/>
    </row>
    <row r="175" spans="1:73" ht="12" customHeight="1" x14ac:dyDescent="0.15">
      <c r="A175" s="213">
        <f t="shared" si="127"/>
        <v>169</v>
      </c>
      <c r="B175" s="67">
        <f t="shared" si="128"/>
        <v>676</v>
      </c>
      <c r="C175" s="224">
        <f t="shared" si="129"/>
        <v>156</v>
      </c>
      <c r="D175" s="225">
        <f ca="1">IFERROR(OFFSET(extrapolation!V184,0,OS_dist_choice-1,1,1),0)</f>
        <v>7.7947125579631904E-2</v>
      </c>
      <c r="E175" s="225">
        <f ca="1">IFERROR(OFFSET(extrapolation!J184,0,PFS_dist_choice-1,1,1),0)</f>
        <v>2.9325120966918333E-2</v>
      </c>
      <c r="F175" s="214"/>
      <c r="G175" s="226">
        <f t="shared" ca="1" si="130"/>
        <v>29.325120966918334</v>
      </c>
      <c r="H175" s="224">
        <f t="shared" ca="1" si="131"/>
        <v>48.622004612713567</v>
      </c>
      <c r="I175" s="224">
        <f t="shared" ca="1" si="108"/>
        <v>922.05287442036808</v>
      </c>
      <c r="J175" s="227">
        <f t="shared" ca="1" si="109"/>
        <v>1000</v>
      </c>
      <c r="K175" s="238">
        <f t="shared" ca="1" si="132"/>
        <v>0.17679915612117725</v>
      </c>
      <c r="L175" s="239">
        <f t="shared" ca="1" si="133"/>
        <v>0.62771266823142469</v>
      </c>
      <c r="M175" s="238">
        <f t="shared" ca="1" si="134"/>
        <v>29.413520544978923</v>
      </c>
      <c r="N175" s="238">
        <f t="shared" ca="1" si="135"/>
        <v>48.847461368768677</v>
      </c>
      <c r="O175" s="239">
        <f t="shared" ca="1" si="136"/>
        <v>921.73901808625237</v>
      </c>
      <c r="P175" s="217"/>
      <c r="Q175" s="217"/>
      <c r="R175" s="224"/>
      <c r="S175" s="230">
        <f t="shared" ca="1" si="137"/>
        <v>44462.760140089966</v>
      </c>
      <c r="T175" s="231">
        <f t="shared" ca="1" si="138"/>
        <v>2767.6083550994326</v>
      </c>
      <c r="U175" s="231">
        <f t="shared" ca="1" si="161"/>
        <v>4168.917846899044</v>
      </c>
      <c r="V175" s="231"/>
      <c r="W175" s="231">
        <f t="shared" ca="1" si="139"/>
        <v>11076.661220910342</v>
      </c>
      <c r="X175" s="231">
        <f t="shared" ca="1" si="140"/>
        <v>1384.5826526137928</v>
      </c>
      <c r="Y175" s="231"/>
      <c r="Z175" s="232">
        <f t="shared" ca="1" si="110"/>
        <v>63860.530215612569</v>
      </c>
      <c r="AA175" s="231">
        <f t="shared" ca="1" si="111"/>
        <v>153.61765924733876</v>
      </c>
      <c r="AB175" s="231">
        <f t="shared" ca="1" si="141"/>
        <v>12336.653737332714</v>
      </c>
      <c r="AC175" s="231">
        <f t="shared" ca="1" si="142"/>
        <v>66222.620611546983</v>
      </c>
      <c r="AD175" s="231">
        <f t="shared" ca="1" si="143"/>
        <v>2299.3965490120481</v>
      </c>
      <c r="AE175" s="231">
        <f t="shared" ca="1" si="112"/>
        <v>17984.294292646533</v>
      </c>
      <c r="AF175" s="231">
        <f t="shared" ca="1" si="113"/>
        <v>98996.582849785613</v>
      </c>
      <c r="AG175" s="232">
        <f t="shared" ca="1" si="114"/>
        <v>162857.11306539818</v>
      </c>
      <c r="AH175" s="244">
        <f t="shared" ca="1" si="144"/>
        <v>2.2548352505391098</v>
      </c>
      <c r="AI175" s="243">
        <f t="shared" ca="1" si="145"/>
        <v>3.7446376956208707</v>
      </c>
      <c r="AJ175" s="242">
        <f t="shared" ca="1" si="146"/>
        <v>5.9994729461599805</v>
      </c>
      <c r="AK175" s="241">
        <f t="shared" ca="1" si="147"/>
        <v>1.6234813803881589</v>
      </c>
      <c r="AL175" s="243">
        <f t="shared" ca="1" si="148"/>
        <v>1.6588744991600457</v>
      </c>
      <c r="AM175" s="243"/>
      <c r="AN175" s="242">
        <f t="shared" ca="1" si="115"/>
        <v>3.2823558795482048</v>
      </c>
      <c r="AO175" s="224"/>
      <c r="AP175" s="235">
        <f t="shared" si="149"/>
        <v>13</v>
      </c>
      <c r="AQ175" s="235">
        <f t="shared" si="116"/>
        <v>0.68095133999317792</v>
      </c>
      <c r="AR175" s="235">
        <f t="shared" si="117"/>
        <v>0.82402701664571099</v>
      </c>
      <c r="AT175" s="230">
        <f t="shared" ca="1" si="118"/>
        <v>30276.976097189523</v>
      </c>
      <c r="AU175" s="231">
        <f t="shared" ca="1" si="119"/>
        <v>1884.6066179812735</v>
      </c>
      <c r="AV175" s="231">
        <f t="shared" ca="1" si="150"/>
        <v>2838.8301941673781</v>
      </c>
      <c r="AW175" s="231"/>
      <c r="AX175" s="231">
        <f t="shared" ca="1" si="151"/>
        <v>7542.667301029368</v>
      </c>
      <c r="AY175" s="231">
        <f t="shared" ca="1" si="152"/>
        <v>942.833412628671</v>
      </c>
      <c r="AZ175" s="231"/>
      <c r="BA175" s="232">
        <f t="shared" ca="1" si="120"/>
        <v>43485.91362299621</v>
      </c>
      <c r="BB175" s="231">
        <f t="shared" ca="1" si="121"/>
        <v>104.60615091109074</v>
      </c>
      <c r="BC175" s="231">
        <f t="shared" ca="1" si="153"/>
        <v>8400.6608934685573</v>
      </c>
      <c r="BD175" s="231">
        <f t="shared" ca="1" si="154"/>
        <v>45094.382243292763</v>
      </c>
      <c r="BE175" s="231">
        <f t="shared" ca="1" si="155"/>
        <v>1565.7771612254433</v>
      </c>
      <c r="BF175" s="231">
        <f t="shared" ca="1" si="122"/>
        <v>12246.429297409319</v>
      </c>
      <c r="BG175" s="231">
        <f t="shared" ca="1" si="123"/>
        <v>67411.855746307163</v>
      </c>
      <c r="BH175" s="232">
        <f t="shared" ca="1" si="124"/>
        <v>110897.76936930338</v>
      </c>
      <c r="BI175" s="244">
        <f t="shared" ca="1" si="156"/>
        <v>1.858045164529327</v>
      </c>
      <c r="BJ175" s="243">
        <f t="shared" ca="1" si="157"/>
        <v>3.085682628741536</v>
      </c>
      <c r="BK175" s="242">
        <f t="shared" ca="1" si="158"/>
        <v>4.9437277932708632</v>
      </c>
      <c r="BL175" s="241">
        <f t="shared" ca="1" si="159"/>
        <v>1.3377925184611152</v>
      </c>
      <c r="BM175" s="243">
        <f t="shared" ca="1" si="160"/>
        <v>1.3669574045325004</v>
      </c>
      <c r="BN175" s="243">
        <f t="shared" si="125"/>
        <v>0</v>
      </c>
      <c r="BO175" s="242">
        <f t="shared" ca="1" si="126"/>
        <v>2.7047499229936158</v>
      </c>
      <c r="BP175" s="67"/>
      <c r="BQ175" s="67"/>
      <c r="BR175" s="67"/>
      <c r="BS175" s="67"/>
      <c r="BT175" s="67"/>
      <c r="BU175" s="67"/>
    </row>
    <row r="176" spans="1:73" ht="12" customHeight="1" x14ac:dyDescent="0.15">
      <c r="A176" s="213">
        <f t="shared" si="127"/>
        <v>170</v>
      </c>
      <c r="B176" s="67">
        <f t="shared" si="128"/>
        <v>680</v>
      </c>
      <c r="C176" s="224">
        <f t="shared" si="129"/>
        <v>156.92307692307691</v>
      </c>
      <c r="D176" s="225">
        <f ca="1">IFERROR(OFFSET(extrapolation!V185,0,OS_dist_choice-1,1,1),0)</f>
        <v>7.7327669538273941E-2</v>
      </c>
      <c r="E176" s="225">
        <f ca="1">IFERROR(OFFSET(extrapolation!J185,0,PFS_dist_choice-1,1,1),0)</f>
        <v>2.9150391145949382E-2</v>
      </c>
      <c r="F176" s="214"/>
      <c r="G176" s="226">
        <f t="shared" ca="1" si="130"/>
        <v>29.150391145949381</v>
      </c>
      <c r="H176" s="224">
        <f t="shared" ca="1" si="131"/>
        <v>48.177278392324638</v>
      </c>
      <c r="I176" s="224">
        <f t="shared" ca="1" si="108"/>
        <v>922.67233046172601</v>
      </c>
      <c r="J176" s="227">
        <f t="shared" ca="1" si="109"/>
        <v>1000</v>
      </c>
      <c r="K176" s="238">
        <f t="shared" ca="1" si="132"/>
        <v>0.17472982096895251</v>
      </c>
      <c r="L176" s="239">
        <f t="shared" ca="1" si="133"/>
        <v>0.61945604135792109</v>
      </c>
      <c r="M176" s="238">
        <f t="shared" ca="1" si="134"/>
        <v>29.237756056433859</v>
      </c>
      <c r="N176" s="238">
        <f t="shared" ca="1" si="135"/>
        <v>48.399641502519103</v>
      </c>
      <c r="O176" s="239">
        <f t="shared" ca="1" si="136"/>
        <v>922.3626024410471</v>
      </c>
      <c r="P176" s="217"/>
      <c r="Q176" s="217"/>
      <c r="R176" s="224"/>
      <c r="S176" s="230">
        <f t="shared" ca="1" si="137"/>
        <v>44197.834715644909</v>
      </c>
      <c r="T176" s="231">
        <f t="shared" ca="1" si="138"/>
        <v>2751.1179299467371</v>
      </c>
      <c r="U176" s="231">
        <f t="shared" ca="1" si="161"/>
        <v>4144.0779060904551</v>
      </c>
      <c r="V176" s="231"/>
      <c r="W176" s="231">
        <f t="shared" ca="1" si="139"/>
        <v>11010.471126756089</v>
      </c>
      <c r="X176" s="231">
        <f t="shared" ca="1" si="140"/>
        <v>1376.3088908445111</v>
      </c>
      <c r="Y176" s="231"/>
      <c r="Z176" s="232">
        <f t="shared" ca="1" si="110"/>
        <v>63479.810569282701</v>
      </c>
      <c r="AA176" s="231">
        <f t="shared" ca="1" si="111"/>
        <v>151.81965053928178</v>
      </c>
      <c r="AB176" s="231">
        <f t="shared" ca="1" si="141"/>
        <v>12223.554745659179</v>
      </c>
      <c r="AC176" s="231">
        <f t="shared" ca="1" si="142"/>
        <v>65615.510144104759</v>
      </c>
      <c r="AD176" s="231">
        <f t="shared" ca="1" si="143"/>
        <v>2278.3163244480816</v>
      </c>
      <c r="AE176" s="231">
        <f t="shared" ca="1" si="112"/>
        <v>17747.737640100342</v>
      </c>
      <c r="AF176" s="231">
        <f t="shared" ca="1" si="113"/>
        <v>98016.938504851641</v>
      </c>
      <c r="AG176" s="232">
        <f t="shared" ca="1" si="114"/>
        <v>161496.74907413434</v>
      </c>
      <c r="AH176" s="244">
        <f t="shared" ca="1" si="144"/>
        <v>2.2413611761263468</v>
      </c>
      <c r="AI176" s="243">
        <f t="shared" ca="1" si="145"/>
        <v>3.7103079043683365</v>
      </c>
      <c r="AJ176" s="242">
        <f t="shared" ca="1" si="146"/>
        <v>5.9516690804946837</v>
      </c>
      <c r="AK176" s="241">
        <f t="shared" ca="1" si="147"/>
        <v>1.6137800468109695</v>
      </c>
      <c r="AL176" s="243">
        <f t="shared" ca="1" si="148"/>
        <v>1.643666401635173</v>
      </c>
      <c r="AM176" s="243"/>
      <c r="AN176" s="242">
        <f t="shared" ca="1" si="115"/>
        <v>3.2574464484461423</v>
      </c>
      <c r="AO176" s="224"/>
      <c r="AP176" s="235">
        <f t="shared" si="149"/>
        <v>13.076923076923077</v>
      </c>
      <c r="AQ176" s="235">
        <f t="shared" si="116"/>
        <v>0.67940478305873542</v>
      </c>
      <c r="AR176" s="235">
        <f t="shared" si="117"/>
        <v>0.82308381694359289</v>
      </c>
      <c r="AT176" s="230">
        <f t="shared" ca="1" si="118"/>
        <v>30028.220306648574</v>
      </c>
      <c r="AU176" s="231">
        <f t="shared" ca="1" si="119"/>
        <v>1869.1226803644602</v>
      </c>
      <c r="AV176" s="231">
        <f t="shared" ca="1" si="150"/>
        <v>2815.5063507658842</v>
      </c>
      <c r="AW176" s="231"/>
      <c r="AX176" s="231">
        <f t="shared" ca="1" si="151"/>
        <v>7480.5667472481909</v>
      </c>
      <c r="AY176" s="231">
        <f t="shared" ca="1" si="152"/>
        <v>935.07084340602387</v>
      </c>
      <c r="AZ176" s="231"/>
      <c r="BA176" s="232">
        <f t="shared" ca="1" si="120"/>
        <v>43128.486928433136</v>
      </c>
      <c r="BB176" s="231">
        <f t="shared" ca="1" si="121"/>
        <v>103.14699673869376</v>
      </c>
      <c r="BC176" s="231">
        <f t="shared" ca="1" si="153"/>
        <v>8304.7415601811499</v>
      </c>
      <c r="BD176" s="231">
        <f t="shared" ca="1" si="154"/>
        <v>44579.491434743744</v>
      </c>
      <c r="BE176" s="231">
        <f t="shared" ca="1" si="155"/>
        <v>1547.8990081508243</v>
      </c>
      <c r="BF176" s="231">
        <f t="shared" ca="1" si="122"/>
        <v>12057.897841155725</v>
      </c>
      <c r="BG176" s="231">
        <f t="shared" ca="1" si="123"/>
        <v>66593.176840970133</v>
      </c>
      <c r="BH176" s="232">
        <f t="shared" ca="1" si="124"/>
        <v>109721.66376940327</v>
      </c>
      <c r="BI176" s="244">
        <f t="shared" ca="1" si="156"/>
        <v>1.8448281119952541</v>
      </c>
      <c r="BJ176" s="243">
        <f t="shared" ca="1" si="157"/>
        <v>3.0538943919634738</v>
      </c>
      <c r="BK176" s="242">
        <f t="shared" ca="1" si="158"/>
        <v>4.8987225039587283</v>
      </c>
      <c r="BL176" s="241">
        <f t="shared" ca="1" si="159"/>
        <v>1.3282762406365829</v>
      </c>
      <c r="BM176" s="243">
        <f t="shared" ca="1" si="160"/>
        <v>1.3528752156398187</v>
      </c>
      <c r="BN176" s="243">
        <f t="shared" si="125"/>
        <v>0</v>
      </c>
      <c r="BO176" s="242">
        <f t="shared" ca="1" si="126"/>
        <v>2.6811514562764014</v>
      </c>
      <c r="BP176" s="67"/>
      <c r="BQ176" s="67"/>
      <c r="BR176" s="67"/>
      <c r="BS176" s="67"/>
      <c r="BT176" s="67"/>
      <c r="BU176" s="67"/>
    </row>
    <row r="177" spans="1:73" ht="12" customHeight="1" x14ac:dyDescent="0.15">
      <c r="A177" s="213">
        <f t="shared" si="127"/>
        <v>171</v>
      </c>
      <c r="B177" s="67">
        <f t="shared" si="128"/>
        <v>684</v>
      </c>
      <c r="C177" s="224">
        <f t="shared" si="129"/>
        <v>157.84615384615384</v>
      </c>
      <c r="D177" s="225">
        <f ca="1">IFERROR(OFFSET(extrapolation!V186,0,OS_dist_choice-1,1,1),0)</f>
        <v>7.6716320437371935E-2</v>
      </c>
      <c r="E177" s="225">
        <f ca="1">IFERROR(OFFSET(extrapolation!J186,0,PFS_dist_choice-1,1,1),0)</f>
        <v>2.8977694741995835E-2</v>
      </c>
      <c r="F177" s="214"/>
      <c r="G177" s="226">
        <f t="shared" ca="1" si="130"/>
        <v>28.977694741995833</v>
      </c>
      <c r="H177" s="224">
        <f t="shared" ca="1" si="131"/>
        <v>47.738625695376186</v>
      </c>
      <c r="I177" s="224">
        <f t="shared" ca="1" si="108"/>
        <v>923.28367956262798</v>
      </c>
      <c r="J177" s="227">
        <f t="shared" ca="1" si="109"/>
        <v>1000</v>
      </c>
      <c r="K177" s="238">
        <f t="shared" ca="1" si="132"/>
        <v>0.17269640395354813</v>
      </c>
      <c r="L177" s="239">
        <f t="shared" ca="1" si="133"/>
        <v>0.61134910090197536</v>
      </c>
      <c r="M177" s="238">
        <f t="shared" ca="1" si="134"/>
        <v>29.064042943972609</v>
      </c>
      <c r="N177" s="238">
        <f t="shared" ca="1" si="135"/>
        <v>47.957952043850412</v>
      </c>
      <c r="O177" s="239">
        <f t="shared" ca="1" si="136"/>
        <v>922.97800501217694</v>
      </c>
      <c r="P177" s="217"/>
      <c r="Q177" s="217"/>
      <c r="R177" s="224"/>
      <c r="S177" s="230">
        <f t="shared" ca="1" si="137"/>
        <v>43935.992358891977</v>
      </c>
      <c r="T177" s="231">
        <f t="shared" ca="1" si="138"/>
        <v>2734.8194119963205</v>
      </c>
      <c r="U177" s="231">
        <f t="shared" ca="1" si="161"/>
        <v>4119.5270399116107</v>
      </c>
      <c r="V177" s="231"/>
      <c r="W177" s="231">
        <f t="shared" ca="1" si="139"/>
        <v>10945.053548012982</v>
      </c>
      <c r="X177" s="231">
        <f t="shared" ca="1" si="140"/>
        <v>1368.1316935016227</v>
      </c>
      <c r="Y177" s="231"/>
      <c r="Z177" s="232">
        <f t="shared" ca="1" si="110"/>
        <v>63103.524052314518</v>
      </c>
      <c r="AA177" s="231">
        <f t="shared" ca="1" si="111"/>
        <v>150.05285046493057</v>
      </c>
      <c r="AB177" s="231">
        <f t="shared" ca="1" si="141"/>
        <v>12112.004016955201</v>
      </c>
      <c r="AC177" s="231">
        <f t="shared" ca="1" si="142"/>
        <v>65016.710684932914</v>
      </c>
      <c r="AD177" s="231">
        <f t="shared" ca="1" si="143"/>
        <v>2257.5246765601705</v>
      </c>
      <c r="AE177" s="231">
        <f t="shared" ca="1" si="112"/>
        <v>17515.469581239155</v>
      </c>
      <c r="AF177" s="231">
        <f t="shared" ca="1" si="113"/>
        <v>97051.761810152384</v>
      </c>
      <c r="AG177" s="232">
        <f t="shared" ca="1" si="114"/>
        <v>160155.2858624669</v>
      </c>
      <c r="AH177" s="244">
        <f t="shared" ca="1" si="144"/>
        <v>2.2280443598391049</v>
      </c>
      <c r="AI177" s="243">
        <f t="shared" ca="1" si="145"/>
        <v>3.6764480690699837</v>
      </c>
      <c r="AJ177" s="242">
        <f t="shared" ca="1" si="146"/>
        <v>5.904492428909089</v>
      </c>
      <c r="AK177" s="241">
        <f t="shared" ca="1" si="147"/>
        <v>1.6041919390841555</v>
      </c>
      <c r="AL177" s="243">
        <f t="shared" ca="1" si="148"/>
        <v>1.6286664945980027</v>
      </c>
      <c r="AM177" s="243"/>
      <c r="AN177" s="242">
        <f t="shared" ca="1" si="115"/>
        <v>3.232858433682158</v>
      </c>
      <c r="AO177" s="224"/>
      <c r="AP177" s="235">
        <f t="shared" si="149"/>
        <v>13.153846153846153</v>
      </c>
      <c r="AQ177" s="235">
        <f t="shared" si="116"/>
        <v>0.67786173861954957</v>
      </c>
      <c r="AR177" s="235">
        <f t="shared" si="117"/>
        <v>0.82214169684889105</v>
      </c>
      <c r="AT177" s="230">
        <f t="shared" ca="1" si="118"/>
        <v>29782.528168373759</v>
      </c>
      <c r="AU177" s="231">
        <f t="shared" ca="1" si="119"/>
        <v>1853.82944142632</v>
      </c>
      <c r="AV177" s="231">
        <f t="shared" ca="1" si="150"/>
        <v>2792.469761564731</v>
      </c>
      <c r="AW177" s="231"/>
      <c r="AX177" s="231">
        <f t="shared" ca="1" si="151"/>
        <v>7419.2330273401494</v>
      </c>
      <c r="AY177" s="231">
        <f t="shared" ca="1" si="152"/>
        <v>927.40412841751868</v>
      </c>
      <c r="AZ177" s="231"/>
      <c r="BA177" s="232">
        <f t="shared" ca="1" si="120"/>
        <v>42775.464527122487</v>
      </c>
      <c r="BB177" s="231">
        <f t="shared" ca="1" si="121"/>
        <v>101.71508610097712</v>
      </c>
      <c r="BC177" s="231">
        <f t="shared" ca="1" si="153"/>
        <v>8210.2641011002215</v>
      </c>
      <c r="BD177" s="231">
        <f t="shared" ca="1" si="154"/>
        <v>44072.340544212871</v>
      </c>
      <c r="BE177" s="231">
        <f t="shared" ca="1" si="155"/>
        <v>1530.2896022296136</v>
      </c>
      <c r="BF177" s="231">
        <f t="shared" ca="1" si="122"/>
        <v>11873.066663076606</v>
      </c>
      <c r="BG177" s="231">
        <f t="shared" ca="1" si="123"/>
        <v>65787.675996720296</v>
      </c>
      <c r="BH177" s="232">
        <f t="shared" ca="1" si="124"/>
        <v>108563.14052384278</v>
      </c>
      <c r="BI177" s="244">
        <f t="shared" ca="1" si="156"/>
        <v>1.8317681706527229</v>
      </c>
      <c r="BJ177" s="243">
        <f t="shared" ca="1" si="157"/>
        <v>3.0225612538820252</v>
      </c>
      <c r="BK177" s="242">
        <f t="shared" ca="1" si="158"/>
        <v>4.8543294245347486</v>
      </c>
      <c r="BL177" s="241">
        <f t="shared" ca="1" si="159"/>
        <v>1.3188730828699604</v>
      </c>
      <c r="BM177" s="243">
        <f t="shared" ca="1" si="160"/>
        <v>1.3389946354697373</v>
      </c>
      <c r="BN177" s="243">
        <f t="shared" si="125"/>
        <v>0</v>
      </c>
      <c r="BO177" s="242">
        <f t="shared" ca="1" si="126"/>
        <v>2.6578677183396975</v>
      </c>
      <c r="BP177" s="67"/>
      <c r="BQ177" s="67"/>
      <c r="BR177" s="67"/>
      <c r="BS177" s="67"/>
      <c r="BT177" s="67"/>
      <c r="BU177" s="67"/>
    </row>
    <row r="178" spans="1:73" ht="12" customHeight="1" x14ac:dyDescent="0.15">
      <c r="A178" s="213">
        <f t="shared" si="127"/>
        <v>172</v>
      </c>
      <c r="B178" s="67">
        <f t="shared" si="128"/>
        <v>688</v>
      </c>
      <c r="C178" s="224">
        <f t="shared" si="129"/>
        <v>158.76923076923077</v>
      </c>
      <c r="D178" s="225">
        <f ca="1">IFERROR(OFFSET(extrapolation!V187,0,OS_dist_choice-1,1,1),0)</f>
        <v>7.6112932022380814E-2</v>
      </c>
      <c r="E178" s="225">
        <f ca="1">IFERROR(OFFSET(extrapolation!J187,0,PFS_dist_choice-1,1,1),0)</f>
        <v>2.8806996661224046E-2</v>
      </c>
      <c r="F178" s="214"/>
      <c r="G178" s="226">
        <f t="shared" ca="1" si="130"/>
        <v>28.806996661224044</v>
      </c>
      <c r="H178" s="224">
        <f t="shared" ca="1" si="131"/>
        <v>47.305935361156685</v>
      </c>
      <c r="I178" s="224">
        <f t="shared" ca="1" si="108"/>
        <v>923.88706797761927</v>
      </c>
      <c r="J178" s="227">
        <f t="shared" ca="1" si="109"/>
        <v>1000</v>
      </c>
      <c r="K178" s="238">
        <f t="shared" ca="1" si="132"/>
        <v>0.17069808077178905</v>
      </c>
      <c r="L178" s="239">
        <f t="shared" ca="1" si="133"/>
        <v>0.60338841499128648</v>
      </c>
      <c r="M178" s="238">
        <f t="shared" ca="1" si="134"/>
        <v>28.892345701609941</v>
      </c>
      <c r="N178" s="238">
        <f t="shared" ca="1" si="135"/>
        <v>47.522280528266435</v>
      </c>
      <c r="O178" s="239">
        <f t="shared" ca="1" si="136"/>
        <v>923.58537377012362</v>
      </c>
      <c r="P178" s="217"/>
      <c r="Q178" s="217"/>
      <c r="R178" s="224"/>
      <c r="S178" s="230">
        <f t="shared" ca="1" si="137"/>
        <v>43677.179860546559</v>
      </c>
      <c r="T178" s="231">
        <f t="shared" ca="1" si="138"/>
        <v>2718.7094892077193</v>
      </c>
      <c r="U178" s="231">
        <f t="shared" ca="1" si="161"/>
        <v>4095.2602593529318</v>
      </c>
      <c r="V178" s="231"/>
      <c r="W178" s="231">
        <f t="shared" ca="1" si="139"/>
        <v>10880.395113695078</v>
      </c>
      <c r="X178" s="231">
        <f t="shared" ca="1" si="140"/>
        <v>1360.0493892118848</v>
      </c>
      <c r="Y178" s="231"/>
      <c r="Z178" s="232">
        <f t="shared" ca="1" si="110"/>
        <v>62731.594112014172</v>
      </c>
      <c r="AA178" s="231">
        <f t="shared" ca="1" si="111"/>
        <v>148.31654280183787</v>
      </c>
      <c r="AB178" s="231">
        <f t="shared" ca="1" si="141"/>
        <v>12001.973147788787</v>
      </c>
      <c r="AC178" s="231">
        <f t="shared" ca="1" si="142"/>
        <v>64426.069765644083</v>
      </c>
      <c r="AD178" s="231">
        <f t="shared" ca="1" si="143"/>
        <v>2237.0163113070857</v>
      </c>
      <c r="AE178" s="231">
        <f t="shared" ca="1" si="112"/>
        <v>17287.391791137314</v>
      </c>
      <c r="AF178" s="231">
        <f t="shared" ca="1" si="113"/>
        <v>96100.767558679116</v>
      </c>
      <c r="AG178" s="232">
        <f t="shared" ca="1" si="114"/>
        <v>158832.3616706933</v>
      </c>
      <c r="AH178" s="244">
        <f t="shared" ca="1" si="144"/>
        <v>2.2148820797948758</v>
      </c>
      <c r="AI178" s="243">
        <f t="shared" ca="1" si="145"/>
        <v>3.6430495682175503</v>
      </c>
      <c r="AJ178" s="242">
        <f t="shared" ca="1" si="146"/>
        <v>5.8579316480124266</v>
      </c>
      <c r="AK178" s="241">
        <f t="shared" ca="1" si="147"/>
        <v>1.5947150974523105</v>
      </c>
      <c r="AL178" s="243">
        <f t="shared" ca="1" si="148"/>
        <v>1.6138709587203748</v>
      </c>
      <c r="AM178" s="243"/>
      <c r="AN178" s="242">
        <f t="shared" ca="1" si="115"/>
        <v>3.2085860561726856</v>
      </c>
      <c r="AO178" s="224"/>
      <c r="AP178" s="235">
        <f t="shared" si="149"/>
        <v>13.23076923076923</v>
      </c>
      <c r="AQ178" s="235">
        <f t="shared" si="116"/>
        <v>0.67632219869814258</v>
      </c>
      <c r="AR178" s="235">
        <f t="shared" si="117"/>
        <v>0.8212006551258626</v>
      </c>
      <c r="AT178" s="230">
        <f t="shared" ca="1" si="118"/>
        <v>29539.846316219082</v>
      </c>
      <c r="AU178" s="231">
        <f t="shared" ca="1" si="119"/>
        <v>1838.7235793624689</v>
      </c>
      <c r="AV178" s="231">
        <f t="shared" ca="1" si="150"/>
        <v>2769.7154228467007</v>
      </c>
      <c r="AW178" s="231"/>
      <c r="AX178" s="231">
        <f t="shared" ca="1" si="151"/>
        <v>7358.6527459987819</v>
      </c>
      <c r="AY178" s="231">
        <f t="shared" ca="1" si="152"/>
        <v>919.83159324984774</v>
      </c>
      <c r="AZ178" s="231"/>
      <c r="BA178" s="232">
        <f t="shared" ca="1" si="120"/>
        <v>42426.769657676879</v>
      </c>
      <c r="BB178" s="231">
        <f t="shared" ca="1" si="121"/>
        <v>100.30977033104617</v>
      </c>
      <c r="BC178" s="231">
        <f t="shared" ca="1" si="153"/>
        <v>8117.2008680285799</v>
      </c>
      <c r="BD178" s="231">
        <f t="shared" ca="1" si="154"/>
        <v>43572.781157380334</v>
      </c>
      <c r="BE178" s="231">
        <f t="shared" ca="1" si="155"/>
        <v>1512.9437901868168</v>
      </c>
      <c r="BF178" s="231">
        <f t="shared" ca="1" si="122"/>
        <v>11691.84682593821</v>
      </c>
      <c r="BG178" s="231">
        <f t="shared" ca="1" si="123"/>
        <v>64995.082411864991</v>
      </c>
      <c r="BH178" s="232">
        <f t="shared" ca="1" si="124"/>
        <v>107421.85206954187</v>
      </c>
      <c r="BI178" s="244">
        <f t="shared" ca="1" si="156"/>
        <v>1.8188626149540852</v>
      </c>
      <c r="BJ178" s="243">
        <f t="shared" ca="1" si="157"/>
        <v>2.9916746920762431</v>
      </c>
      <c r="BK178" s="242">
        <f t="shared" ca="1" si="158"/>
        <v>4.8105373070303283</v>
      </c>
      <c r="BL178" s="241">
        <f t="shared" ca="1" si="159"/>
        <v>1.3095810827669412</v>
      </c>
      <c r="BM178" s="243">
        <f t="shared" ca="1" si="160"/>
        <v>1.3253118885897757</v>
      </c>
      <c r="BN178" s="243">
        <f t="shared" si="125"/>
        <v>0</v>
      </c>
      <c r="BO178" s="242">
        <f t="shared" ca="1" si="126"/>
        <v>2.6348929713567171</v>
      </c>
      <c r="BP178" s="67"/>
      <c r="BQ178" s="67"/>
      <c r="BR178" s="67"/>
      <c r="BS178" s="67"/>
      <c r="BT178" s="67"/>
      <c r="BU178" s="67"/>
    </row>
    <row r="179" spans="1:73" ht="12" customHeight="1" x14ac:dyDescent="0.15">
      <c r="A179" s="213">
        <f t="shared" si="127"/>
        <v>173</v>
      </c>
      <c r="B179" s="67">
        <f t="shared" si="128"/>
        <v>692</v>
      </c>
      <c r="C179" s="224">
        <f t="shared" si="129"/>
        <v>159.69230769230771</v>
      </c>
      <c r="D179" s="225">
        <f ca="1">IFERROR(OFFSET(extrapolation!V188,0,OS_dist_choice-1,1,1),0)</f>
        <v>7.5517361376085751E-2</v>
      </c>
      <c r="E179" s="225">
        <f ca="1">IFERROR(OFFSET(extrapolation!J188,0,PFS_dist_choice-1,1,1),0)</f>
        <v>2.8638262610627033E-2</v>
      </c>
      <c r="F179" s="214"/>
      <c r="G179" s="226">
        <f t="shared" ca="1" si="130"/>
        <v>28.638262610627034</v>
      </c>
      <c r="H179" s="224">
        <f t="shared" ca="1" si="131"/>
        <v>46.879098765458707</v>
      </c>
      <c r="I179" s="224">
        <f t="shared" ca="1" si="108"/>
        <v>924.48263862391423</v>
      </c>
      <c r="J179" s="227">
        <f t="shared" ca="1" si="109"/>
        <v>1000</v>
      </c>
      <c r="K179" s="238">
        <f t="shared" ca="1" si="132"/>
        <v>0.16873405059700985</v>
      </c>
      <c r="L179" s="239">
        <f t="shared" ca="1" si="133"/>
        <v>0.59557064629495926</v>
      </c>
      <c r="M179" s="238">
        <f t="shared" ca="1" si="134"/>
        <v>28.722629635925539</v>
      </c>
      <c r="N179" s="238">
        <f t="shared" ca="1" si="135"/>
        <v>47.092517063307696</v>
      </c>
      <c r="O179" s="239">
        <f t="shared" ca="1" si="136"/>
        <v>924.18485330076669</v>
      </c>
      <c r="P179" s="217"/>
      <c r="Q179" s="217"/>
      <c r="R179" s="224"/>
      <c r="S179" s="230">
        <f t="shared" ca="1" si="137"/>
        <v>43421.345225537749</v>
      </c>
      <c r="T179" s="231">
        <f t="shared" ca="1" si="138"/>
        <v>2702.784925119855</v>
      </c>
      <c r="U179" s="231">
        <f t="shared" ca="1" si="161"/>
        <v>4071.2726892519599</v>
      </c>
      <c r="V179" s="231"/>
      <c r="W179" s="231">
        <f t="shared" ca="1" si="139"/>
        <v>10816.482758815384</v>
      </c>
      <c r="X179" s="231">
        <f t="shared" ca="1" si="140"/>
        <v>1352.060344851923</v>
      </c>
      <c r="Y179" s="231"/>
      <c r="Z179" s="232">
        <f t="shared" ca="1" si="110"/>
        <v>62363.945943576873</v>
      </c>
      <c r="AA179" s="231">
        <f t="shared" ca="1" si="111"/>
        <v>146.61003172588039</v>
      </c>
      <c r="AB179" s="231">
        <f t="shared" ca="1" si="141"/>
        <v>11893.434384307782</v>
      </c>
      <c r="AC179" s="231">
        <f t="shared" ca="1" si="142"/>
        <v>63843.438404767199</v>
      </c>
      <c r="AD179" s="231">
        <f t="shared" ca="1" si="143"/>
        <v>2216.7860557210834</v>
      </c>
      <c r="AE179" s="231">
        <f t="shared" ca="1" si="112"/>
        <v>17063.408653529594</v>
      </c>
      <c r="AF179" s="231">
        <f t="shared" ca="1" si="113"/>
        <v>95163.677530051529</v>
      </c>
      <c r="AG179" s="232">
        <f t="shared" ca="1" si="114"/>
        <v>157527.6234736284</v>
      </c>
      <c r="AH179" s="244">
        <f t="shared" ca="1" si="144"/>
        <v>2.2018716764022317</v>
      </c>
      <c r="AI179" s="243">
        <f t="shared" ca="1" si="145"/>
        <v>3.6101039774746488</v>
      </c>
      <c r="AJ179" s="242">
        <f t="shared" ca="1" si="146"/>
        <v>5.8119756538768801</v>
      </c>
      <c r="AK179" s="241">
        <f t="shared" ca="1" si="147"/>
        <v>1.5853476070096069</v>
      </c>
      <c r="AL179" s="243">
        <f t="shared" ca="1" si="148"/>
        <v>1.5992760620212694</v>
      </c>
      <c r="AM179" s="243"/>
      <c r="AN179" s="242">
        <f t="shared" ca="1" si="115"/>
        <v>3.1846236690308762</v>
      </c>
      <c r="AO179" s="224"/>
      <c r="AP179" s="235">
        <f t="shared" si="149"/>
        <v>13.307692307692308</v>
      </c>
      <c r="AQ179" s="235">
        <f t="shared" si="116"/>
        <v>0.6747861553351554</v>
      </c>
      <c r="AR179" s="235">
        <f t="shared" si="117"/>
        <v>0.82026069054017881</v>
      </c>
      <c r="AT179" s="230">
        <f t="shared" ca="1" si="118"/>
        <v>29300.122604221124</v>
      </c>
      <c r="AU179" s="231">
        <f t="shared" ca="1" si="119"/>
        <v>1823.8018483194428</v>
      </c>
      <c r="AV179" s="231">
        <f t="shared" ca="1" si="150"/>
        <v>2747.2384453013487</v>
      </c>
      <c r="AW179" s="231"/>
      <c r="AX179" s="231">
        <f t="shared" ca="1" si="151"/>
        <v>7298.8128150700277</v>
      </c>
      <c r="AY179" s="231">
        <f t="shared" ca="1" si="152"/>
        <v>912.35160188375346</v>
      </c>
      <c r="AZ179" s="231"/>
      <c r="BA179" s="232">
        <f t="shared" ca="1" si="120"/>
        <v>42082.327314795701</v>
      </c>
      <c r="BB179" s="231">
        <f t="shared" ca="1" si="121"/>
        <v>98.930419641871993</v>
      </c>
      <c r="BC179" s="231">
        <f t="shared" ca="1" si="153"/>
        <v>8025.5248619179893</v>
      </c>
      <c r="BD179" s="231">
        <f t="shared" ca="1" si="154"/>
        <v>43080.668344529666</v>
      </c>
      <c r="BE179" s="231">
        <f t="shared" ca="1" si="155"/>
        <v>1495.8565397406135</v>
      </c>
      <c r="BF179" s="231">
        <f t="shared" ca="1" si="122"/>
        <v>11514.151922227855</v>
      </c>
      <c r="BG179" s="231">
        <f t="shared" ca="1" si="123"/>
        <v>64215.132088057988</v>
      </c>
      <c r="BH179" s="232">
        <f t="shared" ca="1" si="124"/>
        <v>106297.45940285368</v>
      </c>
      <c r="BI179" s="244">
        <f t="shared" ca="1" si="156"/>
        <v>1.8061087817665558</v>
      </c>
      <c r="BJ179" s="243">
        <f t="shared" ca="1" si="157"/>
        <v>2.9612263814852016</v>
      </c>
      <c r="BK179" s="242">
        <f t="shared" ca="1" si="158"/>
        <v>4.7673351632517571</v>
      </c>
      <c r="BL179" s="241">
        <f t="shared" ca="1" si="159"/>
        <v>1.30039832287192</v>
      </c>
      <c r="BM179" s="243">
        <f t="shared" ca="1" si="160"/>
        <v>1.3118232869979443</v>
      </c>
      <c r="BN179" s="243">
        <f t="shared" si="125"/>
        <v>0</v>
      </c>
      <c r="BO179" s="242">
        <f t="shared" ca="1" si="126"/>
        <v>2.6122216098698643</v>
      </c>
      <c r="BP179" s="67"/>
      <c r="BQ179" s="67"/>
      <c r="BR179" s="67"/>
      <c r="BS179" s="67"/>
      <c r="BT179" s="67"/>
      <c r="BU179" s="67"/>
    </row>
    <row r="180" spans="1:73" ht="12" customHeight="1" x14ac:dyDescent="0.15">
      <c r="A180" s="213">
        <f t="shared" si="127"/>
        <v>174</v>
      </c>
      <c r="B180" s="67">
        <f t="shared" si="128"/>
        <v>696</v>
      </c>
      <c r="C180" s="224">
        <f t="shared" si="129"/>
        <v>160.61538461538461</v>
      </c>
      <c r="D180" s="225">
        <f ca="1">IFERROR(OFFSET(extrapolation!V189,0,OS_dist_choice-1,1,1),0)</f>
        <v>7.4929468827082929E-2</v>
      </c>
      <c r="E180" s="225">
        <f ca="1">IFERROR(OFFSET(extrapolation!J189,0,PFS_dist_choice-1,1,1),0)</f>
        <v>2.8471459075344624E-2</v>
      </c>
      <c r="F180" s="214"/>
      <c r="G180" s="226">
        <f t="shared" ca="1" si="130"/>
        <v>28.471459075344622</v>
      </c>
      <c r="H180" s="224">
        <f t="shared" ca="1" si="131"/>
        <v>46.458009751738359</v>
      </c>
      <c r="I180" s="224">
        <f t="shared" ca="1" si="108"/>
        <v>925.07053117291707</v>
      </c>
      <c r="J180" s="227">
        <f t="shared" ca="1" si="109"/>
        <v>1000</v>
      </c>
      <c r="K180" s="238">
        <f t="shared" ca="1" si="132"/>
        <v>0.16680353528241199</v>
      </c>
      <c r="L180" s="239">
        <f t="shared" ca="1" si="133"/>
        <v>0.58789254900284504</v>
      </c>
      <c r="M180" s="238">
        <f t="shared" ca="1" si="134"/>
        <v>28.554860842985828</v>
      </c>
      <c r="N180" s="238">
        <f t="shared" ca="1" si="135"/>
        <v>46.668554258598533</v>
      </c>
      <c r="O180" s="239">
        <f t="shared" ca="1" si="136"/>
        <v>924.77658489841565</v>
      </c>
      <c r="P180" s="217"/>
      <c r="Q180" s="217"/>
      <c r="R180" s="224"/>
      <c r="S180" s="230">
        <f t="shared" ca="1" si="137"/>
        <v>43168.437638621144</v>
      </c>
      <c r="T180" s="231">
        <f t="shared" ca="1" si="138"/>
        <v>2687.0425567105822</v>
      </c>
      <c r="U180" s="231">
        <f t="shared" ca="1" si="161"/>
        <v>4047.5595650691416</v>
      </c>
      <c r="V180" s="231"/>
      <c r="W180" s="231">
        <f t="shared" ca="1" si="139"/>
        <v>10753.303715694976</v>
      </c>
      <c r="X180" s="231">
        <f t="shared" ca="1" si="140"/>
        <v>1344.162964461872</v>
      </c>
      <c r="Y180" s="231"/>
      <c r="Z180" s="232">
        <f t="shared" ca="1" si="110"/>
        <v>62000.506440557721</v>
      </c>
      <c r="AA180" s="231">
        <f t="shared" ca="1" si="111"/>
        <v>144.93264111907001</v>
      </c>
      <c r="AB180" s="231">
        <f t="shared" ca="1" si="141"/>
        <v>11786.360604572948</v>
      </c>
      <c r="AC180" s="231">
        <f t="shared" ca="1" si="142"/>
        <v>63268.671012912258</v>
      </c>
      <c r="AD180" s="231">
        <f t="shared" ca="1" si="143"/>
        <v>2196.8288546150088</v>
      </c>
      <c r="AE180" s="231">
        <f t="shared" ca="1" si="112"/>
        <v>16843.427174267737</v>
      </c>
      <c r="AF180" s="231">
        <f t="shared" ca="1" si="113"/>
        <v>94240.220287487027</v>
      </c>
      <c r="AG180" s="232">
        <f t="shared" ca="1" si="114"/>
        <v>156240.72672804474</v>
      </c>
      <c r="AH180" s="244">
        <f t="shared" ca="1" si="144"/>
        <v>2.1890105505916586</v>
      </c>
      <c r="AI180" s="243">
        <f t="shared" ca="1" si="145"/>
        <v>3.5776030643141929</v>
      </c>
      <c r="AJ180" s="242">
        <f t="shared" ca="1" si="146"/>
        <v>5.766613614905852</v>
      </c>
      <c r="AK180" s="241">
        <f t="shared" ca="1" si="147"/>
        <v>1.5760875964259942</v>
      </c>
      <c r="AL180" s="243">
        <f t="shared" ca="1" si="148"/>
        <v>1.5848781574911874</v>
      </c>
      <c r="AM180" s="243"/>
      <c r="AN180" s="242">
        <f t="shared" ca="1" si="115"/>
        <v>3.1609657539171816</v>
      </c>
      <c r="AO180" s="224"/>
      <c r="AP180" s="235">
        <f t="shared" si="149"/>
        <v>13.384615384615385</v>
      </c>
      <c r="AQ180" s="235">
        <f t="shared" si="116"/>
        <v>0.67325360058930594</v>
      </c>
      <c r="AR180" s="235">
        <f t="shared" si="117"/>
        <v>0.81932180185892467</v>
      </c>
      <c r="AT180" s="230">
        <f t="shared" ca="1" si="118"/>
        <v>29063.306072016603</v>
      </c>
      <c r="AU180" s="231">
        <f t="shared" ca="1" si="119"/>
        <v>1809.0610762420938</v>
      </c>
      <c r="AV180" s="231">
        <f t="shared" ca="1" si="150"/>
        <v>2725.0340507824849</v>
      </c>
      <c r="AW180" s="231"/>
      <c r="AX180" s="231">
        <f t="shared" ca="1" si="151"/>
        <v>7239.700444822005</v>
      </c>
      <c r="AY180" s="231">
        <f t="shared" ca="1" si="152"/>
        <v>904.96255560275063</v>
      </c>
      <c r="AZ180" s="231"/>
      <c r="BA180" s="232">
        <f t="shared" ca="1" si="120"/>
        <v>41742.064199465938</v>
      </c>
      <c r="BB180" s="231">
        <f t="shared" ca="1" si="121"/>
        <v>97.576422476331587</v>
      </c>
      <c r="BC180" s="231">
        <f t="shared" ca="1" si="153"/>
        <v>7935.2097148726862</v>
      </c>
      <c r="BD180" s="231">
        <f t="shared" ca="1" si="154"/>
        <v>42595.860563943432</v>
      </c>
      <c r="BE180" s="231">
        <f t="shared" ca="1" si="155"/>
        <v>1479.0229362480356</v>
      </c>
      <c r="BF180" s="231">
        <f t="shared" ca="1" si="122"/>
        <v>11339.897991339514</v>
      </c>
      <c r="BG180" s="231">
        <f t="shared" ca="1" si="123"/>
        <v>63447.567628879995</v>
      </c>
      <c r="BH180" s="232">
        <f t="shared" ca="1" si="124"/>
        <v>105189.63182834593</v>
      </c>
      <c r="BI180" s="244">
        <f t="shared" ca="1" si="156"/>
        <v>1.7935040685989545</v>
      </c>
      <c r="BJ180" s="243">
        <f t="shared" ca="1" si="157"/>
        <v>2.9312081889899151</v>
      </c>
      <c r="BK180" s="242">
        <f t="shared" ca="1" si="158"/>
        <v>4.7247122575888696</v>
      </c>
      <c r="BL180" s="241">
        <f t="shared" ca="1" si="159"/>
        <v>1.2913229293912472</v>
      </c>
      <c r="BM180" s="243">
        <f t="shared" ca="1" si="160"/>
        <v>1.2985252277225323</v>
      </c>
      <c r="BN180" s="243">
        <f t="shared" si="125"/>
        <v>0</v>
      </c>
      <c r="BO180" s="242">
        <f t="shared" ca="1" si="126"/>
        <v>2.5898481571137797</v>
      </c>
      <c r="BP180" s="67"/>
      <c r="BQ180" s="67"/>
      <c r="BR180" s="67"/>
      <c r="BS180" s="67"/>
      <c r="BT180" s="67"/>
      <c r="BU180" s="67"/>
    </row>
    <row r="181" spans="1:73" ht="12" customHeight="1" x14ac:dyDescent="0.15">
      <c r="A181" s="213">
        <f t="shared" si="127"/>
        <v>175</v>
      </c>
      <c r="B181" s="67">
        <f t="shared" si="128"/>
        <v>700</v>
      </c>
      <c r="C181" s="224">
        <f t="shared" si="129"/>
        <v>161.53846153846155</v>
      </c>
      <c r="D181" s="225">
        <f ca="1">IFERROR(OFFSET(extrapolation!V190,0,OS_dist_choice-1,1,1),0)</f>
        <v>7.4349117861176109E-2</v>
      </c>
      <c r="E181" s="225">
        <f ca="1">IFERROR(OFFSET(extrapolation!J190,0,PFS_dist_choice-1,1,1),0)</f>
        <v>2.8306553296749821E-2</v>
      </c>
      <c r="F181" s="214"/>
      <c r="G181" s="226">
        <f t="shared" ca="1" si="130"/>
        <v>28.306553296749822</v>
      </c>
      <c r="H181" s="224">
        <f t="shared" ca="1" si="131"/>
        <v>46.042564564426357</v>
      </c>
      <c r="I181" s="224">
        <f t="shared" ca="1" si="108"/>
        <v>925.65088213882382</v>
      </c>
      <c r="J181" s="227">
        <f t="shared" ca="1" si="109"/>
        <v>1000</v>
      </c>
      <c r="K181" s="238">
        <f t="shared" ca="1" si="132"/>
        <v>0.16490577859480027</v>
      </c>
      <c r="L181" s="239">
        <f t="shared" ca="1" si="133"/>
        <v>0.58035096590674584</v>
      </c>
      <c r="M181" s="238">
        <f t="shared" ca="1" si="134"/>
        <v>28.389006186047222</v>
      </c>
      <c r="N181" s="238">
        <f t="shared" ca="1" si="135"/>
        <v>46.250287158082358</v>
      </c>
      <c r="O181" s="239">
        <f t="shared" ca="1" si="136"/>
        <v>925.36070665587044</v>
      </c>
      <c r="P181" s="217"/>
      <c r="Q181" s="217"/>
      <c r="R181" s="224"/>
      <c r="S181" s="230">
        <f t="shared" ca="1" si="137"/>
        <v>42918.407431153399</v>
      </c>
      <c r="T181" s="231">
        <f t="shared" ca="1" si="138"/>
        <v>2671.4792923285527</v>
      </c>
      <c r="U181" s="231">
        <f t="shared" ca="1" si="161"/>
        <v>4024.1162297725477</v>
      </c>
      <c r="V181" s="231"/>
      <c r="W181" s="231">
        <f t="shared" ca="1" si="139"/>
        <v>10690.845505566407</v>
      </c>
      <c r="X181" s="231">
        <f t="shared" ca="1" si="140"/>
        <v>1336.3556881958009</v>
      </c>
      <c r="Y181" s="231"/>
      <c r="Z181" s="232">
        <f t="shared" ca="1" si="110"/>
        <v>61641.204147016702</v>
      </c>
      <c r="AA181" s="231">
        <f t="shared" ca="1" si="111"/>
        <v>143.28371390376088</v>
      </c>
      <c r="AB181" s="231">
        <f t="shared" ca="1" si="141"/>
        <v>11680.725301443657</v>
      </c>
      <c r="AC181" s="231">
        <f t="shared" ca="1" si="142"/>
        <v>62701.62530090144</v>
      </c>
      <c r="AD181" s="231">
        <f t="shared" ca="1" si="143"/>
        <v>2177.1397673924107</v>
      </c>
      <c r="AE181" s="231">
        <f t="shared" ca="1" si="112"/>
        <v>16627.356897695445</v>
      </c>
      <c r="AF181" s="231">
        <f t="shared" ca="1" si="113"/>
        <v>93330.130981336712</v>
      </c>
      <c r="AG181" s="232">
        <f t="shared" ca="1" si="114"/>
        <v>154971.33512835341</v>
      </c>
      <c r="AH181" s="244">
        <f t="shared" ca="1" si="144"/>
        <v>2.1762961621062895</v>
      </c>
      <c r="AI181" s="243">
        <f t="shared" ca="1" si="145"/>
        <v>3.5455387828235621</v>
      </c>
      <c r="AJ181" s="242">
        <f t="shared" ca="1" si="146"/>
        <v>5.7218349449298511</v>
      </c>
      <c r="AK181" s="241">
        <f t="shared" ca="1" si="147"/>
        <v>1.5669332367165283</v>
      </c>
      <c r="AL181" s="243">
        <f t="shared" ca="1" si="148"/>
        <v>1.5706736807908379</v>
      </c>
      <c r="AM181" s="243"/>
      <c r="AN181" s="242">
        <f t="shared" ca="1" si="115"/>
        <v>3.137606917507366</v>
      </c>
      <c r="AO181" s="224"/>
      <c r="AP181" s="235">
        <f t="shared" si="149"/>
        <v>13.461538461538462</v>
      </c>
      <c r="AQ181" s="235">
        <f t="shared" si="116"/>
        <v>0.67172452653734804</v>
      </c>
      <c r="AR181" s="235">
        <f t="shared" si="117"/>
        <v>0.81838398785059574</v>
      </c>
      <c r="AT181" s="230">
        <f t="shared" ca="1" si="118"/>
        <v>28829.346911428518</v>
      </c>
      <c r="AU181" s="231">
        <f t="shared" ca="1" si="119"/>
        <v>1794.4981627937266</v>
      </c>
      <c r="AV181" s="231">
        <f t="shared" ca="1" si="150"/>
        <v>2703.0975691752228</v>
      </c>
      <c r="AW181" s="231"/>
      <c r="AX181" s="231">
        <f t="shared" ca="1" si="151"/>
        <v>7181.3031355105304</v>
      </c>
      <c r="AY181" s="231">
        <f t="shared" ca="1" si="152"/>
        <v>897.6628919388163</v>
      </c>
      <c r="AZ181" s="231"/>
      <c r="BA181" s="232">
        <f t="shared" ca="1" si="120"/>
        <v>41405.908670846809</v>
      </c>
      <c r="BB181" s="231">
        <f t="shared" ca="1" si="121"/>
        <v>96.247184882516606</v>
      </c>
      <c r="BC181" s="231">
        <f t="shared" ca="1" si="153"/>
        <v>7846.2296727250623</v>
      </c>
      <c r="BD181" s="231">
        <f t="shared" ca="1" si="154"/>
        <v>42118.219568370223</v>
      </c>
      <c r="BE181" s="231">
        <f t="shared" ca="1" si="155"/>
        <v>1462.4381794572992</v>
      </c>
      <c r="BF181" s="231">
        <f t="shared" ca="1" si="122"/>
        <v>11169.00343967198</v>
      </c>
      <c r="BG181" s="231">
        <f t="shared" ca="1" si="123"/>
        <v>62692.13804510708</v>
      </c>
      <c r="BH181" s="232">
        <f t="shared" ca="1" si="124"/>
        <v>104098.0467159539</v>
      </c>
      <c r="BI181" s="244">
        <f t="shared" ca="1" si="156"/>
        <v>1.7810459318884917</v>
      </c>
      <c r="BJ181" s="243">
        <f t="shared" ca="1" si="157"/>
        <v>2.901612168166094</v>
      </c>
      <c r="BK181" s="242">
        <f t="shared" ca="1" si="158"/>
        <v>4.682658100054585</v>
      </c>
      <c r="BL181" s="241">
        <f t="shared" ca="1" si="159"/>
        <v>1.282353070959714</v>
      </c>
      <c r="BM181" s="243">
        <f t="shared" ca="1" si="160"/>
        <v>1.2854141904975795</v>
      </c>
      <c r="BN181" s="243">
        <f t="shared" si="125"/>
        <v>0</v>
      </c>
      <c r="BO181" s="242">
        <f t="shared" ca="1" si="126"/>
        <v>2.5677672614572935</v>
      </c>
      <c r="BP181" s="67"/>
      <c r="BQ181" s="67"/>
      <c r="BR181" s="67"/>
      <c r="BS181" s="67"/>
      <c r="BT181" s="67"/>
      <c r="BU181" s="67"/>
    </row>
    <row r="182" spans="1:73" ht="12" customHeight="1" x14ac:dyDescent="0.15">
      <c r="A182" s="213">
        <f t="shared" si="127"/>
        <v>176</v>
      </c>
      <c r="B182" s="67">
        <f t="shared" si="128"/>
        <v>704</v>
      </c>
      <c r="C182" s="224">
        <f t="shared" si="129"/>
        <v>162.46153846153845</v>
      </c>
      <c r="D182" s="225">
        <f ca="1">IFERROR(OFFSET(extrapolation!V191,0,OS_dist_choice-1,1,1),0)</f>
        <v>7.3776175035581745E-2</v>
      </c>
      <c r="E182" s="225">
        <f ca="1">IFERROR(OFFSET(extrapolation!J191,0,PFS_dist_choice-1,1,1),0)</f>
        <v>2.814351325127051E-2</v>
      </c>
      <c r="F182" s="214"/>
      <c r="G182" s="226">
        <f t="shared" ca="1" si="130"/>
        <v>28.143513251270509</v>
      </c>
      <c r="H182" s="224">
        <f t="shared" ca="1" si="131"/>
        <v>45.632661784311267</v>
      </c>
      <c r="I182" s="224">
        <f t="shared" ca="1" si="108"/>
        <v>926.22382496441821</v>
      </c>
      <c r="J182" s="227">
        <f t="shared" ca="1" si="109"/>
        <v>1000</v>
      </c>
      <c r="K182" s="238">
        <f t="shared" ca="1" si="132"/>
        <v>0.16304004547931328</v>
      </c>
      <c r="L182" s="239">
        <f t="shared" ca="1" si="133"/>
        <v>0.5729428255943958</v>
      </c>
      <c r="M182" s="238">
        <f t="shared" ca="1" si="134"/>
        <v>28.225033274010165</v>
      </c>
      <c r="N182" s="238">
        <f t="shared" ca="1" si="135"/>
        <v>45.837613174368812</v>
      </c>
      <c r="O182" s="239">
        <f t="shared" ca="1" si="136"/>
        <v>925.93735355162107</v>
      </c>
      <c r="P182" s="217"/>
      <c r="Q182" s="217"/>
      <c r="R182" s="224"/>
      <c r="S182" s="230">
        <f t="shared" ca="1" si="137"/>
        <v>42671.206048981643</v>
      </c>
      <c r="T182" s="231">
        <f t="shared" ca="1" si="138"/>
        <v>2656.0921096944767</v>
      </c>
      <c r="U182" s="231">
        <f t="shared" ca="1" si="161"/>
        <v>4000.9381308271177</v>
      </c>
      <c r="V182" s="231"/>
      <c r="W182" s="231">
        <f t="shared" ca="1" si="139"/>
        <v>10629.095930459844</v>
      </c>
      <c r="X182" s="231">
        <f t="shared" ca="1" si="140"/>
        <v>1328.6369913074805</v>
      </c>
      <c r="Y182" s="231"/>
      <c r="Z182" s="232">
        <f t="shared" ca="1" si="110"/>
        <v>61285.96921127056</v>
      </c>
      <c r="AA182" s="231">
        <f t="shared" ca="1" si="111"/>
        <v>141.66261140378677</v>
      </c>
      <c r="AB182" s="231">
        <f t="shared" ca="1" si="141"/>
        <v>11576.502565996965</v>
      </c>
      <c r="AC182" s="231">
        <f t="shared" ca="1" si="142"/>
        <v>62142.162190763425</v>
      </c>
      <c r="AD182" s="231">
        <f t="shared" ca="1" si="143"/>
        <v>2157.7139649570631</v>
      </c>
      <c r="AE182" s="231">
        <f t="shared" ca="1" si="112"/>
        <v>16415.109826254469</v>
      </c>
      <c r="AF182" s="231">
        <f t="shared" ca="1" si="113"/>
        <v>92433.151159375702</v>
      </c>
      <c r="AG182" s="232">
        <f t="shared" ca="1" si="114"/>
        <v>153719.12037064627</v>
      </c>
      <c r="AH182" s="244">
        <f t="shared" ca="1" si="144"/>
        <v>2.1637260278501973</v>
      </c>
      <c r="AI182" s="243">
        <f t="shared" ca="1" si="145"/>
        <v>3.513903268671668</v>
      </c>
      <c r="AJ182" s="242">
        <f t="shared" ca="1" si="146"/>
        <v>5.6776292965218653</v>
      </c>
      <c r="AK182" s="241">
        <f t="shared" ca="1" si="147"/>
        <v>1.557882740052142</v>
      </c>
      <c r="AL182" s="243">
        <f t="shared" ca="1" si="148"/>
        <v>1.556659148021549</v>
      </c>
      <c r="AM182" s="243"/>
      <c r="AN182" s="242">
        <f t="shared" ca="1" si="115"/>
        <v>3.114541888073691</v>
      </c>
      <c r="AO182" s="224"/>
      <c r="AP182" s="235">
        <f t="shared" si="149"/>
        <v>13.538461538461538</v>
      </c>
      <c r="AQ182" s="235">
        <f t="shared" si="116"/>
        <v>0.6701989252740308</v>
      </c>
      <c r="AR182" s="235">
        <f t="shared" si="117"/>
        <v>0.81744724728509743</v>
      </c>
      <c r="AT182" s="230">
        <f t="shared" ca="1" si="118"/>
        <v>28598.19643417422</v>
      </c>
      <c r="AU182" s="231">
        <f t="shared" ca="1" si="119"/>
        <v>1780.1100773460714</v>
      </c>
      <c r="AV182" s="231">
        <f t="shared" ca="1" si="150"/>
        <v>2681.4244353682238</v>
      </c>
      <c r="AW182" s="231"/>
      <c r="AX182" s="231">
        <f t="shared" ca="1" si="151"/>
        <v>7123.6086692287618</v>
      </c>
      <c r="AY182" s="231">
        <f t="shared" ca="1" si="152"/>
        <v>890.45108365359522</v>
      </c>
      <c r="AZ182" s="231"/>
      <c r="BA182" s="232">
        <f t="shared" ca="1" si="120"/>
        <v>41073.790699770871</v>
      </c>
      <c r="BB182" s="231">
        <f t="shared" ca="1" si="121"/>
        <v>94.94212991433055</v>
      </c>
      <c r="BC182" s="231">
        <f t="shared" ca="1" si="153"/>
        <v>7758.5595781632255</v>
      </c>
      <c r="BD182" s="231">
        <f t="shared" ca="1" si="154"/>
        <v>41647.610314454156</v>
      </c>
      <c r="BE182" s="231">
        <f t="shared" ca="1" si="155"/>
        <v>1446.0975803629915</v>
      </c>
      <c r="BF182" s="231">
        <f t="shared" ca="1" si="122"/>
        <v>11001.388963810929</v>
      </c>
      <c r="BG182" s="231">
        <f t="shared" ca="1" si="123"/>
        <v>61948.59856670563</v>
      </c>
      <c r="BH182" s="232">
        <f t="shared" ca="1" si="124"/>
        <v>103022.3892664765</v>
      </c>
      <c r="BI182" s="244">
        <f t="shared" ca="1" si="156"/>
        <v>1.7687318853452618</v>
      </c>
      <c r="BJ182" s="243">
        <f t="shared" ca="1" si="157"/>
        <v>2.872430554201761</v>
      </c>
      <c r="BK182" s="242">
        <f t="shared" ca="1" si="158"/>
        <v>4.6411624395470232</v>
      </c>
      <c r="BL182" s="241">
        <f t="shared" ca="1" si="159"/>
        <v>1.2734869574485885</v>
      </c>
      <c r="BM182" s="243">
        <f t="shared" ca="1" si="160"/>
        <v>1.2724867355113803</v>
      </c>
      <c r="BN182" s="243">
        <f t="shared" si="125"/>
        <v>0</v>
      </c>
      <c r="BO182" s="242">
        <f t="shared" ca="1" si="126"/>
        <v>2.5459736929599686</v>
      </c>
      <c r="BP182" s="67"/>
      <c r="BQ182" s="67"/>
      <c r="BR182" s="67"/>
      <c r="BS182" s="67"/>
      <c r="BT182" s="67"/>
      <c r="BU182" s="67"/>
    </row>
    <row r="183" spans="1:73" ht="12" customHeight="1" x14ac:dyDescent="0.15">
      <c r="A183" s="213">
        <f t="shared" si="127"/>
        <v>177</v>
      </c>
      <c r="B183" s="67">
        <f t="shared" si="128"/>
        <v>708</v>
      </c>
      <c r="C183" s="224">
        <f t="shared" si="129"/>
        <v>163.38461538461539</v>
      </c>
      <c r="D183" s="225">
        <f ca="1">IFERROR(OFFSET(extrapolation!V192,0,OS_dist_choice-1,1,1),0)</f>
        <v>7.321050989584281E-2</v>
      </c>
      <c r="E183" s="225">
        <f ca="1">IFERROR(OFFSET(extrapolation!J192,0,PFS_dist_choice-1,1,1),0)</f>
        <v>2.7982307629918185E-2</v>
      </c>
      <c r="F183" s="214"/>
      <c r="G183" s="226">
        <f t="shared" ca="1" si="130"/>
        <v>27.982307629918186</v>
      </c>
      <c r="H183" s="224">
        <f t="shared" ca="1" si="131"/>
        <v>45.228202265924551</v>
      </c>
      <c r="I183" s="224">
        <f t="shared" ca="1" si="108"/>
        <v>926.78949010415727</v>
      </c>
      <c r="J183" s="227">
        <f t="shared" ca="1" si="109"/>
        <v>1000</v>
      </c>
      <c r="K183" s="238">
        <f t="shared" ca="1" si="132"/>
        <v>0.16120562135232319</v>
      </c>
      <c r="L183" s="239">
        <f t="shared" ca="1" si="133"/>
        <v>0.5656651397390533</v>
      </c>
      <c r="M183" s="238">
        <f t="shared" ca="1" si="134"/>
        <v>28.062910440594347</v>
      </c>
      <c r="N183" s="238">
        <f t="shared" ca="1" si="135"/>
        <v>45.430432025117909</v>
      </c>
      <c r="O183" s="239">
        <f t="shared" ca="1" si="136"/>
        <v>926.5066575342878</v>
      </c>
      <c r="P183" s="217"/>
      <c r="Q183" s="217"/>
      <c r="R183" s="224"/>
      <c r="S183" s="230">
        <f t="shared" ca="1" si="137"/>
        <v>42426.786021405002</v>
      </c>
      <c r="T183" s="231">
        <f t="shared" ca="1" si="138"/>
        <v>2640.8780539691147</v>
      </c>
      <c r="U183" s="231">
        <f t="shared" ca="1" si="161"/>
        <v>3978.0208172844286</v>
      </c>
      <c r="V183" s="231"/>
      <c r="W183" s="231">
        <f t="shared" ca="1" si="139"/>
        <v>10568.043065360782</v>
      </c>
      <c r="X183" s="231">
        <f t="shared" ca="1" si="140"/>
        <v>1321.0053831700977</v>
      </c>
      <c r="Y183" s="231"/>
      <c r="Z183" s="232">
        <f t="shared" ca="1" si="110"/>
        <v>60934.733341189429</v>
      </c>
      <c r="AA183" s="231">
        <f t="shared" ca="1" si="111"/>
        <v>140.06871273007411</v>
      </c>
      <c r="AB183" s="231">
        <f t="shared" ca="1" si="141"/>
        <v>11473.667071461128</v>
      </c>
      <c r="AC183" s="231">
        <f t="shared" ca="1" si="142"/>
        <v>61590.145729489217</v>
      </c>
      <c r="AD183" s="231">
        <f t="shared" ca="1" si="143"/>
        <v>2138.5467267183753</v>
      </c>
      <c r="AE183" s="231">
        <f t="shared" ca="1" si="112"/>
        <v>16206.600342830028</v>
      </c>
      <c r="AF183" s="231">
        <f t="shared" ca="1" si="113"/>
        <v>91549.028583228821</v>
      </c>
      <c r="AG183" s="232">
        <f t="shared" ca="1" si="114"/>
        <v>152483.76192441824</v>
      </c>
      <c r="AH183" s="244">
        <f t="shared" ca="1" si="144"/>
        <v>2.1512977202919692</v>
      </c>
      <c r="AI183" s="243">
        <f t="shared" ca="1" si="145"/>
        <v>3.4826888342321736</v>
      </c>
      <c r="AJ183" s="242">
        <f t="shared" ca="1" si="146"/>
        <v>5.6339865545241423</v>
      </c>
      <c r="AK183" s="241">
        <f t="shared" ca="1" si="147"/>
        <v>1.5489343586102178</v>
      </c>
      <c r="AL183" s="243">
        <f t="shared" ca="1" si="148"/>
        <v>1.5428311535648529</v>
      </c>
      <c r="AM183" s="243"/>
      <c r="AN183" s="242">
        <f t="shared" ca="1" si="115"/>
        <v>3.0917655121750709</v>
      </c>
      <c r="AO183" s="224"/>
      <c r="AP183" s="235">
        <f t="shared" si="149"/>
        <v>13.615384615384615</v>
      </c>
      <c r="AQ183" s="235">
        <f t="shared" si="116"/>
        <v>0.66867678891205728</v>
      </c>
      <c r="AR183" s="235">
        <f t="shared" si="117"/>
        <v>0.81651157893374327</v>
      </c>
      <c r="AT183" s="230">
        <f t="shared" ca="1" si="118"/>
        <v>28369.807040652056</v>
      </c>
      <c r="AU183" s="231">
        <f t="shared" ca="1" si="119"/>
        <v>1765.8938570363903</v>
      </c>
      <c r="AV183" s="231">
        <f t="shared" ca="1" si="150"/>
        <v>2660.0101863270693</v>
      </c>
      <c r="AW183" s="231"/>
      <c r="AX183" s="231">
        <f t="shared" ca="1" si="151"/>
        <v>7066.6051020297828</v>
      </c>
      <c r="AY183" s="231">
        <f t="shared" ca="1" si="152"/>
        <v>883.32563775372284</v>
      </c>
      <c r="AZ183" s="231"/>
      <c r="BA183" s="232">
        <f t="shared" ca="1" si="120"/>
        <v>40745.641823799022</v>
      </c>
      <c r="BB183" s="231">
        <f t="shared" ca="1" si="121"/>
        <v>93.660697055391353</v>
      </c>
      <c r="BC183" s="231">
        <f t="shared" ca="1" si="153"/>
        <v>7672.1748543906351</v>
      </c>
      <c r="BD183" s="231">
        <f t="shared" ca="1" si="154"/>
        <v>41183.90087502051</v>
      </c>
      <c r="BE183" s="231">
        <f t="shared" ca="1" si="155"/>
        <v>1429.9965581604342</v>
      </c>
      <c r="BF183" s="231">
        <f t="shared" ca="1" si="122"/>
        <v>10836.97747642463</v>
      </c>
      <c r="BG183" s="231">
        <f t="shared" ca="1" si="123"/>
        <v>61216.710461051596</v>
      </c>
      <c r="BH183" s="232">
        <f t="shared" ca="1" si="124"/>
        <v>101962.35228485061</v>
      </c>
      <c r="BI183" s="244">
        <f t="shared" ca="1" si="156"/>
        <v>1.7565594983521582</v>
      </c>
      <c r="BJ183" s="243">
        <f t="shared" ca="1" si="157"/>
        <v>2.8436557589738296</v>
      </c>
      <c r="BK183" s="242">
        <f t="shared" ca="1" si="158"/>
        <v>4.6002152573259876</v>
      </c>
      <c r="BL183" s="241">
        <f t="shared" ca="1" si="159"/>
        <v>1.2647228388135539</v>
      </c>
      <c r="BM183" s="243">
        <f t="shared" ca="1" si="160"/>
        <v>1.2597395012254065</v>
      </c>
      <c r="BN183" s="243">
        <f t="shared" si="125"/>
        <v>0</v>
      </c>
      <c r="BO183" s="242">
        <f t="shared" ca="1" si="126"/>
        <v>2.5244623400389608</v>
      </c>
      <c r="BP183" s="67"/>
      <c r="BQ183" s="67"/>
      <c r="BR183" s="67"/>
      <c r="BS183" s="67"/>
      <c r="BT183" s="67"/>
      <c r="BU183" s="67"/>
    </row>
    <row r="184" spans="1:73" ht="12" customHeight="1" x14ac:dyDescent="0.15">
      <c r="A184" s="213">
        <f t="shared" si="127"/>
        <v>178</v>
      </c>
      <c r="B184" s="67">
        <f t="shared" si="128"/>
        <v>712</v>
      </c>
      <c r="C184" s="224">
        <f t="shared" si="129"/>
        <v>164.30769230769229</v>
      </c>
      <c r="D184" s="225">
        <f ca="1">IFERROR(OFFSET(extrapolation!V193,0,OS_dist_choice-1,1,1),0)</f>
        <v>7.2651994895354871E-2</v>
      </c>
      <c r="E184" s="225">
        <f ca="1">IFERROR(OFFSET(extrapolation!J193,0,PFS_dist_choice-1,1,1),0)</f>
        <v>2.7822905818496835E-2</v>
      </c>
      <c r="F184" s="214"/>
      <c r="G184" s="226">
        <f t="shared" ca="1" si="130"/>
        <v>27.822905818496835</v>
      </c>
      <c r="H184" s="224">
        <f t="shared" ca="1" si="131"/>
        <v>44.829089076858054</v>
      </c>
      <c r="I184" s="224">
        <f t="shared" ca="1" si="108"/>
        <v>927.34800510464515</v>
      </c>
      <c r="J184" s="227">
        <f t="shared" ca="1" si="109"/>
        <v>1000</v>
      </c>
      <c r="K184" s="238">
        <f t="shared" ca="1" si="132"/>
        <v>0.15940181142135046</v>
      </c>
      <c r="L184" s="239">
        <f t="shared" ca="1" si="133"/>
        <v>0.55851500048788694</v>
      </c>
      <c r="M184" s="238">
        <f t="shared" ca="1" si="134"/>
        <v>27.902606724207509</v>
      </c>
      <c r="N184" s="238">
        <f t="shared" ca="1" si="135"/>
        <v>45.028645671391303</v>
      </c>
      <c r="O184" s="239">
        <f t="shared" ca="1" si="136"/>
        <v>927.06874760440121</v>
      </c>
      <c r="P184" s="217"/>
      <c r="Q184" s="217"/>
      <c r="R184" s="224"/>
      <c r="S184" s="230">
        <f t="shared" ca="1" si="137"/>
        <v>42185.100931167224</v>
      </c>
      <c r="T184" s="231">
        <f t="shared" ca="1" si="138"/>
        <v>2625.834235885452</v>
      </c>
      <c r="U184" s="231">
        <f t="shared" ca="1" si="161"/>
        <v>3955.3599369691465</v>
      </c>
      <c r="V184" s="231"/>
      <c r="W184" s="231">
        <f t="shared" ca="1" si="139"/>
        <v>10507.675250628961</v>
      </c>
      <c r="X184" s="231">
        <f t="shared" ca="1" si="140"/>
        <v>1313.4594063286202</v>
      </c>
      <c r="Y184" s="231"/>
      <c r="Z184" s="232">
        <f t="shared" ca="1" si="110"/>
        <v>60587.429760979401</v>
      </c>
      <c r="AA184" s="231">
        <f t="shared" ca="1" si="111"/>
        <v>138.50141418972805</v>
      </c>
      <c r="AB184" s="231">
        <f t="shared" ca="1" si="141"/>
        <v>11372.194057645926</v>
      </c>
      <c r="AC184" s="231">
        <f t="shared" ca="1" si="142"/>
        <v>61045.443005454807</v>
      </c>
      <c r="AD184" s="231">
        <f t="shared" ca="1" si="143"/>
        <v>2119.6334376894029</v>
      </c>
      <c r="AE184" s="231">
        <f t="shared" ca="1" si="112"/>
        <v>16001.745135926716</v>
      </c>
      <c r="AF184" s="231">
        <f t="shared" ca="1" si="113"/>
        <v>90677.517050906579</v>
      </c>
      <c r="AG184" s="232">
        <f t="shared" ca="1" si="114"/>
        <v>151264.94681188598</v>
      </c>
      <c r="AH184" s="244">
        <f t="shared" ca="1" si="144"/>
        <v>2.1390088659214515</v>
      </c>
      <c r="AI184" s="243">
        <f t="shared" ca="1" si="145"/>
        <v>3.4518879638575126</v>
      </c>
      <c r="AJ184" s="242">
        <f t="shared" ca="1" si="146"/>
        <v>5.5908968297789645</v>
      </c>
      <c r="AK184" s="241">
        <f t="shared" ca="1" si="147"/>
        <v>1.5400863834634451</v>
      </c>
      <c r="AL184" s="243">
        <f t="shared" ca="1" si="148"/>
        <v>1.5291863679888782</v>
      </c>
      <c r="AM184" s="243"/>
      <c r="AN184" s="242">
        <f t="shared" ca="1" si="115"/>
        <v>3.0692727514523233</v>
      </c>
      <c r="AO184" s="224"/>
      <c r="AP184" s="235">
        <f t="shared" si="149"/>
        <v>13.692307692307692</v>
      </c>
      <c r="AQ184" s="235">
        <f t="shared" si="116"/>
        <v>0.66715810958204413</v>
      </c>
      <c r="AR184" s="235">
        <f t="shared" si="117"/>
        <v>0.81557698156925285</v>
      </c>
      <c r="AT184" s="230">
        <f t="shared" ca="1" si="118"/>
        <v>28144.132189765256</v>
      </c>
      <c r="AU184" s="231">
        <f t="shared" ca="1" si="119"/>
        <v>1751.8466048891496</v>
      </c>
      <c r="AV184" s="231">
        <f t="shared" ca="1" si="150"/>
        <v>2638.8504582648889</v>
      </c>
      <c r="AW184" s="231"/>
      <c r="AX184" s="231">
        <f t="shared" ca="1" si="151"/>
        <v>7010.2807563116494</v>
      </c>
      <c r="AY184" s="231">
        <f t="shared" ca="1" si="152"/>
        <v>876.28509453895617</v>
      </c>
      <c r="AZ184" s="231"/>
      <c r="BA184" s="232">
        <f t="shared" ca="1" si="120"/>
        <v>40421.395103769901</v>
      </c>
      <c r="BB184" s="231">
        <f t="shared" ca="1" si="121"/>
        <v>92.402341665258675</v>
      </c>
      <c r="BC184" s="231">
        <f t="shared" ca="1" si="153"/>
        <v>7587.0514892992114</v>
      </c>
      <c r="BD184" s="231">
        <f t="shared" ca="1" si="154"/>
        <v>40726.962354117648</v>
      </c>
      <c r="BE184" s="231">
        <f t="shared" ca="1" si="155"/>
        <v>1414.1306372957515</v>
      </c>
      <c r="BF184" s="231">
        <f t="shared" ca="1" si="122"/>
        <v>10675.694034898537</v>
      </c>
      <c r="BG184" s="231">
        <f t="shared" ca="1" si="123"/>
        <v>60496.240857276411</v>
      </c>
      <c r="BH184" s="232">
        <f t="shared" ca="1" si="124"/>
        <v>100917.63596104631</v>
      </c>
      <c r="BI184" s="244">
        <f t="shared" ca="1" si="156"/>
        <v>1.744526394418088</v>
      </c>
      <c r="BJ184" s="243">
        <f t="shared" ca="1" si="157"/>
        <v>2.8152803662781443</v>
      </c>
      <c r="BK184" s="242">
        <f t="shared" ca="1" si="158"/>
        <v>4.5598067606962331</v>
      </c>
      <c r="BL184" s="241">
        <f t="shared" ca="1" si="159"/>
        <v>1.2560590039810233</v>
      </c>
      <c r="BM184" s="243">
        <f t="shared" ca="1" si="160"/>
        <v>1.247169202261218</v>
      </c>
      <c r="BN184" s="243">
        <f t="shared" si="125"/>
        <v>0</v>
      </c>
      <c r="BO184" s="242">
        <f t="shared" ca="1" si="126"/>
        <v>2.5032282062422415</v>
      </c>
      <c r="BP184" s="67"/>
      <c r="BQ184" s="67"/>
      <c r="BR184" s="67"/>
      <c r="BS184" s="67"/>
      <c r="BT184" s="67"/>
      <c r="BU184" s="67"/>
    </row>
    <row r="185" spans="1:73" ht="12" customHeight="1" x14ac:dyDescent="0.15">
      <c r="A185" s="213">
        <f t="shared" si="127"/>
        <v>179</v>
      </c>
      <c r="B185" s="67">
        <f t="shared" si="128"/>
        <v>716</v>
      </c>
      <c r="C185" s="224">
        <f t="shared" si="129"/>
        <v>165.23076923076923</v>
      </c>
      <c r="D185" s="225">
        <f ca="1">IFERROR(OFFSET(extrapolation!V194,0,OS_dist_choice-1,1,1),0)</f>
        <v>7.2100505317409913E-2</v>
      </c>
      <c r="E185" s="225">
        <f ca="1">IFERROR(OFFSET(extrapolation!J194,0,PFS_dist_choice-1,1,1),0)</f>
        <v>2.7665277878464813E-2</v>
      </c>
      <c r="F185" s="214"/>
      <c r="G185" s="226">
        <f t="shared" ca="1" si="130"/>
        <v>27.665277878464813</v>
      </c>
      <c r="H185" s="224">
        <f t="shared" ca="1" si="131"/>
        <v>44.435227438945162</v>
      </c>
      <c r="I185" s="224">
        <f t="shared" ca="1" si="108"/>
        <v>927.89949468258999</v>
      </c>
      <c r="J185" s="227">
        <f t="shared" ca="1" si="109"/>
        <v>1000</v>
      </c>
      <c r="K185" s="238">
        <f t="shared" ca="1" si="132"/>
        <v>0.15762794003202174</v>
      </c>
      <c r="L185" s="239">
        <f t="shared" ca="1" si="133"/>
        <v>0.55148957794483522</v>
      </c>
      <c r="M185" s="238">
        <f t="shared" ca="1" si="134"/>
        <v>27.744091848480824</v>
      </c>
      <c r="N185" s="238">
        <f t="shared" ca="1" si="135"/>
        <v>44.632158257901608</v>
      </c>
      <c r="O185" s="239">
        <f t="shared" ca="1" si="136"/>
        <v>927.62374989361751</v>
      </c>
      <c r="P185" s="217"/>
      <c r="Q185" s="217"/>
      <c r="R185" s="224"/>
      <c r="S185" s="230">
        <f t="shared" ca="1" si="137"/>
        <v>41946.1053854395</v>
      </c>
      <c r="T185" s="231">
        <f t="shared" ca="1" si="138"/>
        <v>2610.9578299425107</v>
      </c>
      <c r="U185" s="231">
        <f t="shared" ca="1" si="161"/>
        <v>3932.9512337583142</v>
      </c>
      <c r="V185" s="231"/>
      <c r="W185" s="231">
        <f t="shared" ca="1" si="139"/>
        <v>10447.981084668303</v>
      </c>
      <c r="X185" s="231">
        <f t="shared" ca="1" si="140"/>
        <v>1305.9976355835379</v>
      </c>
      <c r="Y185" s="231"/>
      <c r="Z185" s="232">
        <f t="shared" ca="1" si="110"/>
        <v>60243.993169392168</v>
      </c>
      <c r="AA185" s="231">
        <f t="shared" ca="1" si="111"/>
        <v>136.96012871861566</v>
      </c>
      <c r="AB185" s="231">
        <f t="shared" ca="1" si="141"/>
        <v>11272.059315852355</v>
      </c>
      <c r="AC185" s="231">
        <f t="shared" ca="1" si="142"/>
        <v>60507.924067417036</v>
      </c>
      <c r="AD185" s="231">
        <f t="shared" ca="1" si="143"/>
        <v>2100.9695856742023</v>
      </c>
      <c r="AE185" s="231">
        <f t="shared" ca="1" si="112"/>
        <v>15800.463127551104</v>
      </c>
      <c r="AF185" s="231">
        <f t="shared" ca="1" si="113"/>
        <v>89818.376225213317</v>
      </c>
      <c r="AG185" s="232">
        <f t="shared" ca="1" si="114"/>
        <v>150062.36939460548</v>
      </c>
      <c r="AH185" s="244">
        <f t="shared" ca="1" si="144"/>
        <v>2.1268571437575994</v>
      </c>
      <c r="AI185" s="243">
        <f t="shared" ca="1" si="145"/>
        <v>3.4214933092984121</v>
      </c>
      <c r="AJ185" s="242">
        <f t="shared" ca="1" si="146"/>
        <v>5.5483504530560115</v>
      </c>
      <c r="AK185" s="241">
        <f t="shared" ca="1" si="147"/>
        <v>1.5313371435054715</v>
      </c>
      <c r="AL185" s="243">
        <f t="shared" ca="1" si="148"/>
        <v>1.5157215360191967</v>
      </c>
      <c r="AM185" s="243"/>
      <c r="AN185" s="242">
        <f t="shared" ca="1" si="115"/>
        <v>3.0470586795246684</v>
      </c>
      <c r="AO185" s="224"/>
      <c r="AP185" s="235">
        <f t="shared" si="149"/>
        <v>13.76923076923077</v>
      </c>
      <c r="AQ185" s="235">
        <f t="shared" si="116"/>
        <v>0.66564287943248057</v>
      </c>
      <c r="AR185" s="235">
        <f t="shared" si="117"/>
        <v>0.81464345396575089</v>
      </c>
      <c r="AT185" s="230">
        <f t="shared" ca="1" si="118"/>
        <v>27921.126369742229</v>
      </c>
      <c r="AU185" s="231">
        <f t="shared" ca="1" si="119"/>
        <v>1737.9654879997138</v>
      </c>
      <c r="AV185" s="231">
        <f t="shared" ca="1" si="150"/>
        <v>2617.940983906411</v>
      </c>
      <c r="AW185" s="231"/>
      <c r="AX185" s="231">
        <f t="shared" ca="1" si="151"/>
        <v>6954.624213454701</v>
      </c>
      <c r="AY185" s="231">
        <f t="shared" ca="1" si="152"/>
        <v>869.32802668183763</v>
      </c>
      <c r="AZ185" s="231"/>
      <c r="BA185" s="232">
        <f t="shared" ca="1" si="120"/>
        <v>40100.985081784893</v>
      </c>
      <c r="BB185" s="231">
        <f t="shared" ca="1" si="121"/>
        <v>91.166534447702503</v>
      </c>
      <c r="BC185" s="231">
        <f t="shared" ca="1" si="153"/>
        <v>7503.166020137679</v>
      </c>
      <c r="BD185" s="231">
        <f t="shared" ca="1" si="154"/>
        <v>40276.668804717367</v>
      </c>
      <c r="BE185" s="231">
        <f t="shared" ca="1" si="155"/>
        <v>1398.4954446082418</v>
      </c>
      <c r="BF185" s="231">
        <f t="shared" ca="1" si="122"/>
        <v>10517.465772589854</v>
      </c>
      <c r="BG185" s="231">
        <f t="shared" ca="1" si="123"/>
        <v>59786.962576500846</v>
      </c>
      <c r="BH185" s="232">
        <f t="shared" ca="1" si="124"/>
        <v>99887.947658285746</v>
      </c>
      <c r="BI185" s="244">
        <f t="shared" ca="1" si="156"/>
        <v>1.7326302496824224</v>
      </c>
      <c r="BJ185" s="243">
        <f t="shared" ca="1" si="157"/>
        <v>2.7872971272075655</v>
      </c>
      <c r="BK185" s="242">
        <f t="shared" ca="1" si="158"/>
        <v>4.5199273768899877</v>
      </c>
      <c r="BL185" s="241">
        <f t="shared" ca="1" si="159"/>
        <v>1.2474937797713439</v>
      </c>
      <c r="BM185" s="243">
        <f t="shared" ca="1" si="160"/>
        <v>1.2347726273529516</v>
      </c>
      <c r="BN185" s="243">
        <f t="shared" si="125"/>
        <v>0</v>
      </c>
      <c r="BO185" s="242">
        <f t="shared" ca="1" si="126"/>
        <v>2.4822664071242957</v>
      </c>
      <c r="BP185" s="67"/>
      <c r="BQ185" s="67"/>
      <c r="BR185" s="67"/>
      <c r="BS185" s="67"/>
      <c r="BT185" s="67"/>
      <c r="BU185" s="67"/>
    </row>
    <row r="186" spans="1:73" ht="12" customHeight="1" x14ac:dyDescent="0.15">
      <c r="A186" s="213">
        <f t="shared" si="127"/>
        <v>180</v>
      </c>
      <c r="B186" s="67">
        <f t="shared" si="128"/>
        <v>720</v>
      </c>
      <c r="C186" s="224">
        <f t="shared" si="129"/>
        <v>166.15384615384616</v>
      </c>
      <c r="D186" s="225">
        <f ca="1">IFERROR(OFFSET(extrapolation!V195,0,OS_dist_choice-1,1,1),0)</f>
        <v>7.1555919199669554E-2</v>
      </c>
      <c r="E186" s="225">
        <f ca="1">IFERROR(OFFSET(extrapolation!J195,0,PFS_dist_choice-1,1,1),0)</f>
        <v>2.750939452842556E-2</v>
      </c>
      <c r="F186" s="214"/>
      <c r="G186" s="226">
        <f t="shared" ca="1" si="130"/>
        <v>27.50939452842556</v>
      </c>
      <c r="H186" s="224">
        <f t="shared" ca="1" si="131"/>
        <v>44.046524671244015</v>
      </c>
      <c r="I186" s="224">
        <f t="shared" ca="1" si="108"/>
        <v>928.44408080033043</v>
      </c>
      <c r="J186" s="227">
        <f t="shared" ca="1" si="109"/>
        <v>1000</v>
      </c>
      <c r="K186" s="238">
        <f t="shared" ca="1" si="132"/>
        <v>0.1558833500392538</v>
      </c>
      <c r="L186" s="239">
        <f t="shared" ca="1" si="133"/>
        <v>0.54458611774043675</v>
      </c>
      <c r="M186" s="238">
        <f t="shared" ca="1" si="134"/>
        <v>27.587336203445187</v>
      </c>
      <c r="N186" s="238">
        <f t="shared" ca="1" si="135"/>
        <v>44.240876055094589</v>
      </c>
      <c r="O186" s="239">
        <f t="shared" ca="1" si="136"/>
        <v>928.17178774146021</v>
      </c>
      <c r="P186" s="217"/>
      <c r="Q186" s="217"/>
      <c r="R186" s="224"/>
      <c r="S186" s="230">
        <f t="shared" ca="1" si="137"/>
        <v>41709.754987756642</v>
      </c>
      <c r="T186" s="231">
        <f t="shared" ca="1" si="138"/>
        <v>2596.2460726585009</v>
      </c>
      <c r="U186" s="231">
        <f t="shared" ca="1" si="161"/>
        <v>3910.790544950034</v>
      </c>
      <c r="V186" s="231"/>
      <c r="W186" s="231">
        <f t="shared" ca="1" si="139"/>
        <v>10388.949416838203</v>
      </c>
      <c r="X186" s="231">
        <f t="shared" ca="1" si="140"/>
        <v>1298.6186771047753</v>
      </c>
      <c r="Y186" s="231"/>
      <c r="Z186" s="232">
        <f t="shared" ca="1" si="110"/>
        <v>59904.359699308145</v>
      </c>
      <c r="AA186" s="231">
        <f t="shared" ca="1" si="111"/>
        <v>135.44428533499874</v>
      </c>
      <c r="AB186" s="231">
        <f t="shared" ca="1" si="141"/>
        <v>11173.239174245216</v>
      </c>
      <c r="AC186" s="231">
        <f t="shared" ca="1" si="142"/>
        <v>59977.461845994272</v>
      </c>
      <c r="AD186" s="231">
        <f t="shared" ca="1" si="143"/>
        <v>2082.5507585414675</v>
      </c>
      <c r="AE186" s="231">
        <f t="shared" ca="1" si="112"/>
        <v>15602.675403586129</v>
      </c>
      <c r="AF186" s="231">
        <f t="shared" ca="1" si="113"/>
        <v>88971.371467702091</v>
      </c>
      <c r="AG186" s="232">
        <f t="shared" ca="1" si="114"/>
        <v>148875.73116701024</v>
      </c>
      <c r="AH186" s="244">
        <f t="shared" ca="1" si="144"/>
        <v>2.114840283905449</v>
      </c>
      <c r="AI186" s="243">
        <f t="shared" ca="1" si="145"/>
        <v>3.3914976852639245</v>
      </c>
      <c r="AJ186" s="242">
        <f t="shared" ca="1" si="146"/>
        <v>5.5063379691693735</v>
      </c>
      <c r="AK186" s="241">
        <f t="shared" ca="1" si="147"/>
        <v>1.5226850044119231</v>
      </c>
      <c r="AL186" s="243">
        <f t="shared" ca="1" si="148"/>
        <v>1.5024334745719186</v>
      </c>
      <c r="AM186" s="243"/>
      <c r="AN186" s="242">
        <f t="shared" ca="1" si="115"/>
        <v>3.0251184789838419</v>
      </c>
      <c r="AO186" s="224"/>
      <c r="AP186" s="235">
        <f t="shared" si="149"/>
        <v>13.846153846153847</v>
      </c>
      <c r="AQ186" s="235">
        <f t="shared" si="116"/>
        <v>0.66413109062968789</v>
      </c>
      <c r="AR186" s="235">
        <f t="shared" si="117"/>
        <v>0.81371099489876508</v>
      </c>
      <c r="AT186" s="230">
        <f t="shared" ca="1" si="118"/>
        <v>27700.745069915884</v>
      </c>
      <c r="AU186" s="231">
        <f t="shared" ca="1" si="119"/>
        <v>1724.2477357777341</v>
      </c>
      <c r="AV186" s="231">
        <f t="shared" ca="1" si="150"/>
        <v>2597.2775898419377</v>
      </c>
      <c r="AW186" s="231"/>
      <c r="AX186" s="231">
        <f t="shared" ca="1" si="151"/>
        <v>6899.6243067014157</v>
      </c>
      <c r="AY186" s="231">
        <f t="shared" ca="1" si="152"/>
        <v>862.45303833767696</v>
      </c>
      <c r="AZ186" s="231"/>
      <c r="BA186" s="232">
        <f t="shared" ca="1" si="120"/>
        <v>39784.347740574638</v>
      </c>
      <c r="BB186" s="231">
        <f t="shared" ca="1" si="121"/>
        <v>89.952760939091348</v>
      </c>
      <c r="BC186" s="231">
        <f t="shared" ca="1" si="153"/>
        <v>7420.4955186578291</v>
      </c>
      <c r="BD186" s="231">
        <f t="shared" ca="1" si="154"/>
        <v>39832.897148980672</v>
      </c>
      <c r="BE186" s="231">
        <f t="shared" ca="1" si="155"/>
        <v>1383.0867065618286</v>
      </c>
      <c r="BF186" s="231">
        <f t="shared" ca="1" si="122"/>
        <v>10362.221832524661</v>
      </c>
      <c r="BG186" s="231">
        <f t="shared" ca="1" si="123"/>
        <v>59088.653967664082</v>
      </c>
      <c r="BH186" s="232">
        <f t="shared" ca="1" si="124"/>
        <v>98873.00170823872</v>
      </c>
      <c r="BI186" s="244">
        <f t="shared" ca="1" si="156"/>
        <v>1.7208687914686898</v>
      </c>
      <c r="BJ186" s="243">
        <f t="shared" ca="1" si="157"/>
        <v>2.7596989556729667</v>
      </c>
      <c r="BK186" s="242">
        <f t="shared" ca="1" si="158"/>
        <v>4.4805677471416567</v>
      </c>
      <c r="BL186" s="241">
        <f t="shared" ca="1" si="159"/>
        <v>1.2390255298574564</v>
      </c>
      <c r="BM186" s="243">
        <f t="shared" ca="1" si="160"/>
        <v>1.2225466373631244</v>
      </c>
      <c r="BN186" s="243">
        <f t="shared" si="125"/>
        <v>0</v>
      </c>
      <c r="BO186" s="242">
        <f t="shared" ca="1" si="126"/>
        <v>2.4615721672205808</v>
      </c>
      <c r="BP186" s="67"/>
      <c r="BQ186" s="67"/>
      <c r="BR186" s="67"/>
      <c r="BS186" s="67"/>
      <c r="BT186" s="67"/>
      <c r="BU186" s="67"/>
    </row>
    <row r="187" spans="1:73" ht="12" customHeight="1" x14ac:dyDescent="0.15">
      <c r="A187" s="213">
        <f t="shared" si="127"/>
        <v>181</v>
      </c>
      <c r="B187" s="67">
        <f t="shared" si="128"/>
        <v>724</v>
      </c>
      <c r="C187" s="224">
        <f t="shared" si="129"/>
        <v>167.07692307692309</v>
      </c>
      <c r="D187" s="225">
        <f ca="1">IFERROR(OFFSET(extrapolation!V196,0,OS_dist_choice-1,1,1),0)</f>
        <v>7.1018117260982006E-2</v>
      </c>
      <c r="E187" s="225">
        <f ca="1">IFERROR(OFFSET(extrapolation!J196,0,PFS_dist_choice-1,1,1),0)</f>
        <v>2.7355227126222806E-2</v>
      </c>
      <c r="F187" s="214"/>
      <c r="G187" s="226">
        <f t="shared" ca="1" si="130"/>
        <v>27.355227126222807</v>
      </c>
      <c r="H187" s="224">
        <f t="shared" ca="1" si="131"/>
        <v>43.662890134759323</v>
      </c>
      <c r="I187" s="224">
        <f t="shared" ca="1" si="108"/>
        <v>928.98188273901792</v>
      </c>
      <c r="J187" s="227">
        <f t="shared" ca="1" si="109"/>
        <v>1000</v>
      </c>
      <c r="K187" s="238">
        <f t="shared" ca="1" si="132"/>
        <v>0.15416740220275216</v>
      </c>
      <c r="L187" s="239">
        <f t="shared" ca="1" si="133"/>
        <v>0.53780193868749393</v>
      </c>
      <c r="M187" s="238">
        <f t="shared" ca="1" si="134"/>
        <v>27.432310827324184</v>
      </c>
      <c r="N187" s="238">
        <f t="shared" ca="1" si="135"/>
        <v>43.854707403001669</v>
      </c>
      <c r="O187" s="239">
        <f t="shared" ca="1" si="136"/>
        <v>928.71298176967412</v>
      </c>
      <c r="P187" s="217"/>
      <c r="Q187" s="217"/>
      <c r="R187" s="224"/>
      <c r="S187" s="230">
        <f t="shared" ca="1" si="137"/>
        <v>41476.006310869867</v>
      </c>
      <c r="T187" s="231">
        <f t="shared" ca="1" si="138"/>
        <v>2581.6962608810272</v>
      </c>
      <c r="U187" s="231">
        <f t="shared" ca="1" si="161"/>
        <v>3888.8737987180862</v>
      </c>
      <c r="V187" s="231"/>
      <c r="W187" s="231">
        <f t="shared" ca="1" si="139"/>
        <v>10330.569340597051</v>
      </c>
      <c r="X187" s="231">
        <f t="shared" ca="1" si="140"/>
        <v>1291.3211675746313</v>
      </c>
      <c r="Y187" s="231"/>
      <c r="Z187" s="232">
        <f t="shared" ca="1" si="110"/>
        <v>59568.466878640662</v>
      </c>
      <c r="AA187" s="231">
        <f t="shared" ca="1" si="111"/>
        <v>133.95332861429333</v>
      </c>
      <c r="AB187" s="231">
        <f t="shared" ca="1" si="141"/>
        <v>11075.710483672796</v>
      </c>
      <c r="AC187" s="231">
        <f t="shared" ca="1" si="142"/>
        <v>59453.932077547135</v>
      </c>
      <c r="AD187" s="231">
        <f t="shared" ca="1" si="143"/>
        <v>2064.3726415814976</v>
      </c>
      <c r="AE187" s="231">
        <f t="shared" ca="1" si="112"/>
        <v>15408.305146624627</v>
      </c>
      <c r="AF187" s="231">
        <f t="shared" ca="1" si="113"/>
        <v>88136.27367804035</v>
      </c>
      <c r="AG187" s="232">
        <f t="shared" ca="1" si="114"/>
        <v>147704.740556681</v>
      </c>
      <c r="AH187" s="244">
        <f t="shared" ca="1" si="144"/>
        <v>2.1029560661603752</v>
      </c>
      <c r="AI187" s="243">
        <f t="shared" ca="1" si="145"/>
        <v>3.3618940651171711</v>
      </c>
      <c r="AJ187" s="242">
        <f t="shared" ca="1" si="146"/>
        <v>5.4648501312775464</v>
      </c>
      <c r="AK187" s="241">
        <f t="shared" ca="1" si="147"/>
        <v>1.5141283676354702</v>
      </c>
      <c r="AL187" s="243">
        <f t="shared" ca="1" si="148"/>
        <v>1.4893190708469068</v>
      </c>
      <c r="AM187" s="243"/>
      <c r="AN187" s="242">
        <f t="shared" ca="1" si="115"/>
        <v>3.0034474384823771</v>
      </c>
      <c r="AO187" s="224"/>
      <c r="AP187" s="235">
        <f t="shared" si="149"/>
        <v>13.923076923076923</v>
      </c>
      <c r="AQ187" s="235">
        <f t="shared" si="116"/>
        <v>0.66262273535777927</v>
      </c>
      <c r="AR187" s="235">
        <f t="shared" si="117"/>
        <v>0.81277960314522468</v>
      </c>
      <c r="AT187" s="230">
        <f t="shared" ca="1" si="118"/>
        <v>27482.944753425105</v>
      </c>
      <c r="AU187" s="231">
        <f t="shared" ca="1" si="119"/>
        <v>1710.6906382479372</v>
      </c>
      <c r="AV187" s="231">
        <f t="shared" ca="1" si="150"/>
        <v>2576.8561939677761</v>
      </c>
      <c r="AW187" s="231"/>
      <c r="AX187" s="231">
        <f t="shared" ca="1" si="151"/>
        <v>6845.2701142696278</v>
      </c>
      <c r="AY187" s="231">
        <f t="shared" ca="1" si="152"/>
        <v>855.65876428370348</v>
      </c>
      <c r="AZ187" s="231"/>
      <c r="BA187" s="232">
        <f t="shared" ca="1" si="120"/>
        <v>39471.420464194154</v>
      </c>
      <c r="BB187" s="231">
        <f t="shared" ca="1" si="121"/>
        <v>88.760521016682532</v>
      </c>
      <c r="BC187" s="231">
        <f t="shared" ca="1" si="153"/>
        <v>7339.0175767221008</v>
      </c>
      <c r="BD187" s="231">
        <f t="shared" ca="1" si="154"/>
        <v>39395.527100999898</v>
      </c>
      <c r="BE187" s="231">
        <f t="shared" ca="1" si="155"/>
        <v>1367.9002465624965</v>
      </c>
      <c r="BF187" s="231">
        <f t="shared" ca="1" si="122"/>
        <v>10209.893303483759</v>
      </c>
      <c r="BG187" s="231">
        <f t="shared" ca="1" si="123"/>
        <v>58401.098748784934</v>
      </c>
      <c r="BH187" s="232">
        <f t="shared" ca="1" si="124"/>
        <v>97872.519212979081</v>
      </c>
      <c r="BI187" s="244">
        <f t="shared" ca="1" si="156"/>
        <v>1.7092397968856727</v>
      </c>
      <c r="BJ187" s="243">
        <f t="shared" ca="1" si="157"/>
        <v>2.7324789240622205</v>
      </c>
      <c r="BK187" s="242">
        <f t="shared" ca="1" si="158"/>
        <v>4.4417187209478932</v>
      </c>
      <c r="BL187" s="241">
        <f t="shared" ca="1" si="159"/>
        <v>1.2306526537576843</v>
      </c>
      <c r="BM187" s="243">
        <f t="shared" ca="1" si="160"/>
        <v>1.2104881633595637</v>
      </c>
      <c r="BN187" s="243">
        <f t="shared" si="125"/>
        <v>0</v>
      </c>
      <c r="BO187" s="242">
        <f t="shared" ca="1" si="126"/>
        <v>2.441140817117248</v>
      </c>
      <c r="BP187" s="67"/>
      <c r="BQ187" s="67"/>
      <c r="BR187" s="67"/>
      <c r="BS187" s="67"/>
      <c r="BT187" s="67"/>
      <c r="BU187" s="67"/>
    </row>
    <row r="188" spans="1:73" ht="12" customHeight="1" x14ac:dyDescent="0.15">
      <c r="A188" s="213">
        <f t="shared" si="127"/>
        <v>182</v>
      </c>
      <c r="B188" s="67">
        <f t="shared" si="128"/>
        <v>728</v>
      </c>
      <c r="C188" s="224">
        <f t="shared" si="129"/>
        <v>168</v>
      </c>
      <c r="D188" s="225">
        <f ca="1">IFERROR(OFFSET(extrapolation!V197,0,OS_dist_choice-1,1,1),0)</f>
        <v>7.0486982830459247E-2</v>
      </c>
      <c r="E188" s="225">
        <f ca="1">IFERROR(OFFSET(extrapolation!J197,0,PFS_dist_choice-1,1,1),0)</f>
        <v>2.7202747651617377E-2</v>
      </c>
      <c r="F188" s="214"/>
      <c r="G188" s="226">
        <f t="shared" ca="1" si="130"/>
        <v>27.202747651617379</v>
      </c>
      <c r="H188" s="224">
        <f t="shared" ca="1" si="131"/>
        <v>43.284235178841868</v>
      </c>
      <c r="I188" s="224">
        <f t="shared" ca="1" si="108"/>
        <v>929.51301716954072</v>
      </c>
      <c r="J188" s="227">
        <f t="shared" ca="1" si="109"/>
        <v>1000</v>
      </c>
      <c r="K188" s="238">
        <f t="shared" ca="1" si="132"/>
        <v>0.15247947460542832</v>
      </c>
      <c r="L188" s="239">
        <f t="shared" ca="1" si="133"/>
        <v>0.53113443052279763</v>
      </c>
      <c r="M188" s="238">
        <f t="shared" ca="1" si="134"/>
        <v>27.278987388920093</v>
      </c>
      <c r="N188" s="238">
        <f t="shared" ca="1" si="135"/>
        <v>43.473562656800596</v>
      </c>
      <c r="O188" s="239">
        <f t="shared" ca="1" si="136"/>
        <v>929.24744995427932</v>
      </c>
      <c r="P188" s="217"/>
      <c r="Q188" s="217"/>
      <c r="R188" s="224"/>
      <c r="S188" s="230">
        <f t="shared" ca="1" si="137"/>
        <v>41244.816870481329</v>
      </c>
      <c r="T188" s="231">
        <f t="shared" ca="1" si="138"/>
        <v>2567.3057501521807</v>
      </c>
      <c r="U188" s="231">
        <f t="shared" ca="1" si="161"/>
        <v>3867.1970116492294</v>
      </c>
      <c r="V188" s="231"/>
      <c r="W188" s="231">
        <f t="shared" ca="1" si="139"/>
        <v>10272.830186869085</v>
      </c>
      <c r="X188" s="231">
        <f t="shared" ca="1" si="140"/>
        <v>1284.1037733586356</v>
      </c>
      <c r="Y188" s="231"/>
      <c r="Z188" s="232">
        <f t="shared" ca="1" si="110"/>
        <v>59236.25359251046</v>
      </c>
      <c r="AA188" s="231">
        <f t="shared" ca="1" si="111"/>
        <v>132.48671818374265</v>
      </c>
      <c r="AB188" s="231">
        <f t="shared" ca="1" si="141"/>
        <v>10979.450603917971</v>
      </c>
      <c r="AC188" s="231">
        <f t="shared" ca="1" si="142"/>
        <v>58937.213230374946</v>
      </c>
      <c r="AD188" s="231">
        <f t="shared" ca="1" si="143"/>
        <v>2046.4310149435744</v>
      </c>
      <c r="AE188" s="231">
        <f t="shared" ca="1" si="112"/>
        <v>15217.277571268582</v>
      </c>
      <c r="AF188" s="231">
        <f t="shared" ca="1" si="113"/>
        <v>87312.859138688815</v>
      </c>
      <c r="AG188" s="232">
        <f t="shared" ca="1" si="114"/>
        <v>146549.11273119928</v>
      </c>
      <c r="AH188" s="244">
        <f t="shared" ca="1" si="144"/>
        <v>2.0912023186578033</v>
      </c>
      <c r="AI188" s="243">
        <f t="shared" ca="1" si="145"/>
        <v>3.3326755767020306</v>
      </c>
      <c r="AJ188" s="242">
        <f t="shared" ca="1" si="146"/>
        <v>5.4238778953598334</v>
      </c>
      <c r="AK188" s="241">
        <f t="shared" ca="1" si="147"/>
        <v>1.5056656694336183</v>
      </c>
      <c r="AL188" s="243">
        <f t="shared" ca="1" si="148"/>
        <v>1.4763752804789996</v>
      </c>
      <c r="AM188" s="243"/>
      <c r="AN188" s="242">
        <f t="shared" ca="1" si="115"/>
        <v>2.9820409499126179</v>
      </c>
      <c r="AO188" s="224"/>
      <c r="AP188" s="235">
        <f t="shared" si="149"/>
        <v>14</v>
      </c>
      <c r="AQ188" s="235">
        <f t="shared" si="116"/>
        <v>0.66111780581861923</v>
      </c>
      <c r="AR188" s="235">
        <f t="shared" si="117"/>
        <v>0.81184927748345925</v>
      </c>
      <c r="AT188" s="230">
        <f t="shared" ca="1" si="118"/>
        <v>27267.682830803387</v>
      </c>
      <c r="AU188" s="231">
        <f t="shared" ca="1" si="119"/>
        <v>1697.2915444061341</v>
      </c>
      <c r="AV188" s="231">
        <f t="shared" ca="1" si="150"/>
        <v>2556.6728030098598</v>
      </c>
      <c r="AW188" s="231"/>
      <c r="AX188" s="231">
        <f t="shared" ca="1" si="151"/>
        <v>6791.550952690166</v>
      </c>
      <c r="AY188" s="231">
        <f t="shared" ca="1" si="152"/>
        <v>848.94386908627075</v>
      </c>
      <c r="AZ188" s="231"/>
      <c r="BA188" s="232">
        <f t="shared" ca="1" si="120"/>
        <v>39162.141999995816</v>
      </c>
      <c r="BB188" s="231">
        <f t="shared" ca="1" si="121"/>
        <v>87.589328425745705</v>
      </c>
      <c r="BC188" s="231">
        <f t="shared" ca="1" si="153"/>
        <v>7258.7102923561624</v>
      </c>
      <c r="BD188" s="231">
        <f t="shared" ca="1" si="154"/>
        <v>38964.441091929577</v>
      </c>
      <c r="BE188" s="231">
        <f t="shared" ca="1" si="155"/>
        <v>1352.9319823586659</v>
      </c>
      <c r="BF188" s="231">
        <f t="shared" ca="1" si="122"/>
        <v>10060.413158449972</v>
      </c>
      <c r="BG188" s="231">
        <f t="shared" ca="1" si="123"/>
        <v>57724.085853520126</v>
      </c>
      <c r="BH188" s="232">
        <f t="shared" ca="1" si="124"/>
        <v>96886.227853515942</v>
      </c>
      <c r="BI188" s="244">
        <f t="shared" ca="1" si="156"/>
        <v>1.6977410914740723</v>
      </c>
      <c r="BJ188" s="243">
        <f t="shared" ca="1" si="157"/>
        <v>2.7056302590323145</v>
      </c>
      <c r="BK188" s="242">
        <f t="shared" ca="1" si="158"/>
        <v>4.4033713505063865</v>
      </c>
      <c r="BL188" s="241">
        <f t="shared" ca="1" si="159"/>
        <v>1.222373585861332</v>
      </c>
      <c r="BM188" s="243">
        <f t="shared" ca="1" si="160"/>
        <v>1.1985942047513154</v>
      </c>
      <c r="BN188" s="243">
        <f t="shared" si="125"/>
        <v>0</v>
      </c>
      <c r="BO188" s="242">
        <f t="shared" ca="1" si="126"/>
        <v>2.4209677906126474</v>
      </c>
      <c r="BP188" s="67"/>
      <c r="BQ188" s="67"/>
      <c r="BR188" s="67"/>
      <c r="BS188" s="67"/>
      <c r="BT188" s="67"/>
      <c r="BU188" s="67"/>
    </row>
    <row r="189" spans="1:73" ht="12" customHeight="1" x14ac:dyDescent="0.15">
      <c r="A189" s="213">
        <f t="shared" si="127"/>
        <v>183</v>
      </c>
      <c r="B189" s="67">
        <f t="shared" si="128"/>
        <v>732</v>
      </c>
      <c r="C189" s="224">
        <f t="shared" si="129"/>
        <v>168.92307692307691</v>
      </c>
      <c r="D189" s="225">
        <f ca="1">IFERROR(OFFSET(extrapolation!V198,0,OS_dist_choice-1,1,1),0)</f>
        <v>6.9962401778736374E-2</v>
      </c>
      <c r="E189" s="225">
        <f ca="1">IFERROR(OFFSET(extrapolation!J198,0,PFS_dist_choice-1,1,1),0)</f>
        <v>2.7051928689523896E-2</v>
      </c>
      <c r="F189" s="214"/>
      <c r="G189" s="226">
        <f t="shared" ca="1" si="130"/>
        <v>27.051928689523894</v>
      </c>
      <c r="H189" s="224">
        <f t="shared" ca="1" si="131"/>
        <v>42.91047308921236</v>
      </c>
      <c r="I189" s="224">
        <f t="shared" ca="1" si="108"/>
        <v>930.03759822126369</v>
      </c>
      <c r="J189" s="227">
        <f t="shared" ca="1" si="109"/>
        <v>1000</v>
      </c>
      <c r="K189" s="238">
        <f t="shared" ca="1" si="132"/>
        <v>0.150818962093485</v>
      </c>
      <c r="L189" s="239">
        <f t="shared" ca="1" si="133"/>
        <v>0.52458105172297564</v>
      </c>
      <c r="M189" s="238">
        <f t="shared" ca="1" si="134"/>
        <v>27.127338170570638</v>
      </c>
      <c r="N189" s="238">
        <f t="shared" ca="1" si="135"/>
        <v>43.097354134027114</v>
      </c>
      <c r="O189" s="239">
        <f t="shared" ca="1" si="136"/>
        <v>929.77530769540226</v>
      </c>
      <c r="P189" s="217"/>
      <c r="Q189" s="217"/>
      <c r="R189" s="224"/>
      <c r="S189" s="230">
        <f t="shared" ca="1" si="137"/>
        <v>41016.145099827605</v>
      </c>
      <c r="T189" s="231">
        <f t="shared" ca="1" si="138"/>
        <v>2553.0719531264763</v>
      </c>
      <c r="U189" s="231">
        <f t="shared" ca="1" si="161"/>
        <v>3845.7562863600951</v>
      </c>
      <c r="V189" s="231"/>
      <c r="W189" s="231">
        <f t="shared" ca="1" si="139"/>
        <v>10215.721517626172</v>
      </c>
      <c r="X189" s="231">
        <f t="shared" ca="1" si="140"/>
        <v>1276.9651897032716</v>
      </c>
      <c r="Y189" s="231"/>
      <c r="Z189" s="232">
        <f t="shared" ca="1" si="110"/>
        <v>58907.660046643628</v>
      </c>
      <c r="AA189" s="231">
        <f t="shared" ca="1" si="111"/>
        <v>131.04392823591724</v>
      </c>
      <c r="AB189" s="231">
        <f t="shared" ca="1" si="141"/>
        <v>10884.437390366256</v>
      </c>
      <c r="AC189" s="231">
        <f t="shared" ca="1" si="142"/>
        <v>58427.186433150484</v>
      </c>
      <c r="AD189" s="231">
        <f t="shared" ca="1" si="143"/>
        <v>2028.7217511510582</v>
      </c>
      <c r="AE189" s="231">
        <f t="shared" ca="1" si="112"/>
        <v>15029.519861552044</v>
      </c>
      <c r="AF189" s="231">
        <f t="shared" ca="1" si="113"/>
        <v>86500.909364455758</v>
      </c>
      <c r="AG189" s="232">
        <f t="shared" ca="1" si="114"/>
        <v>145408.56941109939</v>
      </c>
      <c r="AH189" s="244">
        <f t="shared" ca="1" si="144"/>
        <v>2.0795769165666749</v>
      </c>
      <c r="AI189" s="243">
        <f t="shared" ca="1" si="145"/>
        <v>3.3038354982963973</v>
      </c>
      <c r="AJ189" s="242">
        <f t="shared" ca="1" si="146"/>
        <v>5.3834124148630718</v>
      </c>
      <c r="AK189" s="241">
        <f t="shared" ca="1" si="147"/>
        <v>1.4972953799280058</v>
      </c>
      <c r="AL189" s="243">
        <f t="shared" ca="1" si="148"/>
        <v>1.463599125745304</v>
      </c>
      <c r="AM189" s="243"/>
      <c r="AN189" s="242">
        <f t="shared" ca="1" si="115"/>
        <v>2.96089450567331</v>
      </c>
      <c r="AO189" s="224"/>
      <c r="AP189" s="235">
        <f t="shared" si="149"/>
        <v>14.076923076923077</v>
      </c>
      <c r="AQ189" s="235">
        <f t="shared" si="116"/>
        <v>0.65961629423178192</v>
      </c>
      <c r="AR189" s="235">
        <f t="shared" si="117"/>
        <v>0.81092001669319502</v>
      </c>
      <c r="AT189" s="230">
        <f t="shared" ca="1" si="118"/>
        <v>27054.917634421345</v>
      </c>
      <c r="AU189" s="231">
        <f t="shared" ca="1" si="119"/>
        <v>1684.0478606283839</v>
      </c>
      <c r="AV189" s="231">
        <f t="shared" ca="1" si="150"/>
        <v>2536.7235101274255</v>
      </c>
      <c r="AW189" s="231"/>
      <c r="AX189" s="231">
        <f t="shared" ca="1" si="151"/>
        <v>6738.4563703604508</v>
      </c>
      <c r="AY189" s="231">
        <f t="shared" ca="1" si="152"/>
        <v>842.30704629505635</v>
      </c>
      <c r="AZ189" s="231"/>
      <c r="BA189" s="232">
        <f t="shared" ca="1" si="120"/>
        <v>38856.45242183267</v>
      </c>
      <c r="BB189" s="231">
        <f t="shared" ca="1" si="121"/>
        <v>86.438710324551295</v>
      </c>
      <c r="BC189" s="231">
        <f t="shared" ca="1" si="153"/>
        <v>7179.5522562312372</v>
      </c>
      <c r="BD189" s="231">
        <f t="shared" ca="1" si="154"/>
        <v>38539.524197424165</v>
      </c>
      <c r="BE189" s="231">
        <f t="shared" ca="1" si="155"/>
        <v>1338.1779235216723</v>
      </c>
      <c r="BF189" s="231">
        <f t="shared" ca="1" si="122"/>
        <v>9913.7161951599228</v>
      </c>
      <c r="BG189" s="231">
        <f t="shared" ca="1" si="123"/>
        <v>57057.409282661552</v>
      </c>
      <c r="BH189" s="232">
        <f t="shared" ca="1" si="124"/>
        <v>95913.861704494222</v>
      </c>
      <c r="BI189" s="244">
        <f t="shared" ca="1" si="156"/>
        <v>1.686370547897031</v>
      </c>
      <c r="BJ189" s="243">
        <f t="shared" ca="1" si="157"/>
        <v>2.679146337430085</v>
      </c>
      <c r="BK189" s="242">
        <f t="shared" ca="1" si="158"/>
        <v>4.3655168853271151</v>
      </c>
      <c r="BL189" s="241">
        <f t="shared" ca="1" si="159"/>
        <v>1.2141867944858622</v>
      </c>
      <c r="BM189" s="243">
        <f t="shared" ca="1" si="160"/>
        <v>1.1868618274815277</v>
      </c>
      <c r="BN189" s="243">
        <f t="shared" si="125"/>
        <v>0</v>
      </c>
      <c r="BO189" s="242">
        <f t="shared" ca="1" si="126"/>
        <v>2.4010486219673899</v>
      </c>
      <c r="BP189" s="67"/>
      <c r="BQ189" s="67"/>
      <c r="BR189" s="67"/>
      <c r="BS189" s="67"/>
      <c r="BT189" s="67"/>
      <c r="BU189" s="67"/>
    </row>
    <row r="190" spans="1:73" ht="12" customHeight="1" x14ac:dyDescent="0.15">
      <c r="A190" s="213">
        <f t="shared" si="127"/>
        <v>184</v>
      </c>
      <c r="B190" s="67">
        <f t="shared" si="128"/>
        <v>736</v>
      </c>
      <c r="C190" s="224">
        <f t="shared" si="129"/>
        <v>169.84615384615384</v>
      </c>
      <c r="D190" s="225">
        <f ca="1">IFERROR(OFFSET(extrapolation!V199,0,OS_dist_choice-1,1,1),0)</f>
        <v>6.9444262451336447E-2</v>
      </c>
      <c r="E190" s="225">
        <f ca="1">IFERROR(OFFSET(extrapolation!J199,0,PFS_dist_choice-1,1,1),0)</f>
        <v>2.6902743413786238E-2</v>
      </c>
      <c r="F190" s="214"/>
      <c r="G190" s="226">
        <f t="shared" ca="1" si="130"/>
        <v>26.902743413786236</v>
      </c>
      <c r="H190" s="224">
        <f t="shared" ca="1" si="131"/>
        <v>42.541519037550302</v>
      </c>
      <c r="I190" s="224">
        <f t="shared" ca="1" si="108"/>
        <v>930.5557375486635</v>
      </c>
      <c r="J190" s="227">
        <f t="shared" ca="1" si="109"/>
        <v>1000</v>
      </c>
      <c r="K190" s="238">
        <f t="shared" ca="1" si="132"/>
        <v>0.14918527573765772</v>
      </c>
      <c r="L190" s="239">
        <f t="shared" ca="1" si="133"/>
        <v>0.51813932739980828</v>
      </c>
      <c r="M190" s="238">
        <f t="shared" ca="1" si="134"/>
        <v>26.977336051655065</v>
      </c>
      <c r="N190" s="238">
        <f t="shared" ca="1" si="135"/>
        <v>42.725996063381331</v>
      </c>
      <c r="O190" s="239">
        <f t="shared" ca="1" si="136"/>
        <v>930.29666788496365</v>
      </c>
      <c r="P190" s="217"/>
      <c r="Q190" s="217"/>
      <c r="R190" s="224"/>
      <c r="S190" s="230">
        <f t="shared" ca="1" si="137"/>
        <v>40789.950325080055</v>
      </c>
      <c r="T190" s="231">
        <f t="shared" ca="1" si="138"/>
        <v>2538.9923380396322</v>
      </c>
      <c r="U190" s="231">
        <f t="shared" ca="1" si="161"/>
        <v>3824.5478091906784</v>
      </c>
      <c r="V190" s="231"/>
      <c r="W190" s="231">
        <f t="shared" ca="1" si="139"/>
        <v>10159.233119676472</v>
      </c>
      <c r="X190" s="231">
        <f t="shared" ca="1" si="140"/>
        <v>1269.904139959559</v>
      </c>
      <c r="Y190" s="231"/>
      <c r="Z190" s="232">
        <f t="shared" ca="1" si="110"/>
        <v>58582.627731946392</v>
      </c>
      <c r="AA190" s="231">
        <f t="shared" ca="1" si="111"/>
        <v>129.62444706059708</v>
      </c>
      <c r="AB190" s="231">
        <f t="shared" ca="1" si="141"/>
        <v>10790.649181076631</v>
      </c>
      <c r="AC190" s="231">
        <f t="shared" ca="1" si="142"/>
        <v>57923.735405516629</v>
      </c>
      <c r="AD190" s="231">
        <f t="shared" ca="1" si="143"/>
        <v>2011.2408126915493</v>
      </c>
      <c r="AE190" s="231">
        <f t="shared" ca="1" si="112"/>
        <v>14844.961110640825</v>
      </c>
      <c r="AF190" s="231">
        <f t="shared" ca="1" si="113"/>
        <v>85700.210956986237</v>
      </c>
      <c r="AG190" s="232">
        <f t="shared" ca="1" si="114"/>
        <v>144282.83868893262</v>
      </c>
      <c r="AH190" s="244">
        <f t="shared" ca="1" si="144"/>
        <v>2.0680777808250288</v>
      </c>
      <c r="AI190" s="243">
        <f t="shared" ca="1" si="145"/>
        <v>3.2753672546876857</v>
      </c>
      <c r="AJ190" s="242">
        <f t="shared" ca="1" si="146"/>
        <v>5.3434450355127145</v>
      </c>
      <c r="AK190" s="241">
        <f t="shared" ca="1" si="147"/>
        <v>1.4890160021940206</v>
      </c>
      <c r="AL190" s="243">
        <f t="shared" ca="1" si="148"/>
        <v>1.4509876938266448</v>
      </c>
      <c r="AM190" s="243"/>
      <c r="AN190" s="242">
        <f t="shared" ca="1" si="115"/>
        <v>2.9400036960206655</v>
      </c>
      <c r="AO190" s="224"/>
      <c r="AP190" s="235">
        <f t="shared" si="149"/>
        <v>14.153846153846153</v>
      </c>
      <c r="AQ190" s="235">
        <f t="shared" si="116"/>
        <v>0.65811819283451412</v>
      </c>
      <c r="AR190" s="235">
        <f t="shared" si="117"/>
        <v>0.80999181955555777</v>
      </c>
      <c r="AT190" s="230">
        <f t="shared" ca="1" si="118"/>
        <v>26844.608393751289</v>
      </c>
      <c r="AU190" s="231">
        <f t="shared" ca="1" si="119"/>
        <v>1670.9570491313204</v>
      </c>
      <c r="AV190" s="231">
        <f t="shared" ca="1" si="150"/>
        <v>2517.0044925937696</v>
      </c>
      <c r="AW190" s="231"/>
      <c r="AX190" s="231">
        <f t="shared" ca="1" si="151"/>
        <v>6685.9761413060223</v>
      </c>
      <c r="AY190" s="231">
        <f t="shared" ca="1" si="152"/>
        <v>835.74701766325279</v>
      </c>
      <c r="AZ190" s="231"/>
      <c r="BA190" s="232">
        <f t="shared" ca="1" si="120"/>
        <v>38554.293094445653</v>
      </c>
      <c r="BB190" s="231">
        <f t="shared" ca="1" si="121"/>
        <v>85.308206846693295</v>
      </c>
      <c r="BC190" s="231">
        <f t="shared" ca="1" si="153"/>
        <v>7101.5225385613821</v>
      </c>
      <c r="BD190" s="231">
        <f t="shared" ca="1" si="154"/>
        <v>38120.664067303165</v>
      </c>
      <c r="BE190" s="231">
        <f t="shared" ca="1" si="155"/>
        <v>1323.634169003582</v>
      </c>
      <c r="BF190" s="231">
        <f t="shared" ca="1" si="122"/>
        <v>9769.7389788335804</v>
      </c>
      <c r="BG190" s="231">
        <f t="shared" ca="1" si="123"/>
        <v>56400.867960548407</v>
      </c>
      <c r="BH190" s="232">
        <f t="shared" ca="1" si="124"/>
        <v>94955.161054994052</v>
      </c>
      <c r="BI190" s="244">
        <f t="shared" ca="1" si="156"/>
        <v>1.675126084672885</v>
      </c>
      <c r="BJ190" s="243">
        <f t="shared" ca="1" si="157"/>
        <v>2.6530206823371705</v>
      </c>
      <c r="BK190" s="242">
        <f t="shared" ca="1" si="158"/>
        <v>4.3281467670100557</v>
      </c>
      <c r="BL190" s="241">
        <f t="shared" ca="1" si="159"/>
        <v>1.2060907809644772</v>
      </c>
      <c r="BM190" s="243">
        <f t="shared" ca="1" si="160"/>
        <v>1.1752881622753666</v>
      </c>
      <c r="BN190" s="243">
        <f t="shared" si="125"/>
        <v>0</v>
      </c>
      <c r="BO190" s="242">
        <f t="shared" ca="1" si="126"/>
        <v>2.3813789432398438</v>
      </c>
      <c r="BP190" s="67"/>
      <c r="BQ190" s="67"/>
      <c r="BR190" s="67"/>
      <c r="BS190" s="67"/>
      <c r="BT190" s="67"/>
      <c r="BU190" s="67"/>
    </row>
    <row r="191" spans="1:73" ht="12" customHeight="1" x14ac:dyDescent="0.15">
      <c r="A191" s="213">
        <f t="shared" si="127"/>
        <v>185</v>
      </c>
      <c r="B191" s="67">
        <f t="shared" si="128"/>
        <v>740</v>
      </c>
      <c r="C191" s="224">
        <f t="shared" si="129"/>
        <v>170.76923076923077</v>
      </c>
      <c r="D191" s="225">
        <f ca="1">IFERROR(OFFSET(extrapolation!V200,0,OS_dist_choice-1,1,1),0)</f>
        <v>6.8932455604067258E-2</v>
      </c>
      <c r="E191" s="225">
        <f ca="1">IFERROR(OFFSET(extrapolation!J200,0,PFS_dist_choice-1,1,1),0)</f>
        <v>2.67551655714716E-2</v>
      </c>
      <c r="F191" s="214"/>
      <c r="G191" s="226">
        <f t="shared" ca="1" si="130"/>
        <v>26.755165571471601</v>
      </c>
      <c r="H191" s="224">
        <f t="shared" ca="1" si="131"/>
        <v>42.177290032595693</v>
      </c>
      <c r="I191" s="224">
        <f t="shared" ca="1" si="108"/>
        <v>931.06754439593271</v>
      </c>
      <c r="J191" s="227">
        <f t="shared" ca="1" si="109"/>
        <v>1000</v>
      </c>
      <c r="K191" s="238">
        <f t="shared" ca="1" si="132"/>
        <v>0.14757784231463589</v>
      </c>
      <c r="L191" s="239">
        <f t="shared" ca="1" si="133"/>
        <v>0.51180684726921299</v>
      </c>
      <c r="M191" s="238">
        <f t="shared" ca="1" si="134"/>
        <v>26.828954492628917</v>
      </c>
      <c r="N191" s="238">
        <f t="shared" ca="1" si="135"/>
        <v>42.359404535072997</v>
      </c>
      <c r="O191" s="239">
        <f t="shared" ca="1" si="136"/>
        <v>930.81164097229816</v>
      </c>
      <c r="P191" s="217"/>
      <c r="Q191" s="217"/>
      <c r="R191" s="224"/>
      <c r="S191" s="230">
        <f t="shared" ca="1" si="137"/>
        <v>40566.192741531471</v>
      </c>
      <c r="T191" s="231">
        <f t="shared" ca="1" si="138"/>
        <v>2525.0644272262957</v>
      </c>
      <c r="U191" s="231">
        <f t="shared" ca="1" si="161"/>
        <v>3803.5678479715452</v>
      </c>
      <c r="V191" s="231"/>
      <c r="W191" s="231">
        <f t="shared" ca="1" si="139"/>
        <v>10103.354998652168</v>
      </c>
      <c r="X191" s="231">
        <f t="shared" ca="1" si="140"/>
        <v>1262.9193748315211</v>
      </c>
      <c r="Y191" s="231"/>
      <c r="Z191" s="232">
        <f t="shared" ca="1" si="110"/>
        <v>58261.099390212999</v>
      </c>
      <c r="AA191" s="231">
        <f t="shared" ca="1" si="111"/>
        <v>128.22777659418767</v>
      </c>
      <c r="AB191" s="231">
        <f t="shared" ca="1" si="141"/>
        <v>10698.064784240994</v>
      </c>
      <c r="AC191" s="231">
        <f t="shared" ca="1" si="142"/>
        <v>57426.746390769353</v>
      </c>
      <c r="AD191" s="231">
        <f t="shared" ca="1" si="143"/>
        <v>1993.9842496794913</v>
      </c>
      <c r="AE191" s="231">
        <f t="shared" ca="1" si="112"/>
        <v>14663.53226264285</v>
      </c>
      <c r="AF191" s="231">
        <f t="shared" ca="1" si="113"/>
        <v>84910.555463926881</v>
      </c>
      <c r="AG191" s="232">
        <f t="shared" ca="1" si="114"/>
        <v>143171.6548541399</v>
      </c>
      <c r="AH191" s="244">
        <f t="shared" ca="1" si="144"/>
        <v>2.0567028769161113</v>
      </c>
      <c r="AI191" s="243">
        <f t="shared" ca="1" si="145"/>
        <v>3.2472644133663078</v>
      </c>
      <c r="AJ191" s="242">
        <f t="shared" ca="1" si="146"/>
        <v>5.3039672902824186</v>
      </c>
      <c r="AK191" s="241">
        <f t="shared" ca="1" si="147"/>
        <v>1.4808260713796</v>
      </c>
      <c r="AL191" s="243">
        <f t="shared" ca="1" si="148"/>
        <v>1.4385381351212743</v>
      </c>
      <c r="AM191" s="243"/>
      <c r="AN191" s="242">
        <f t="shared" ca="1" si="115"/>
        <v>2.919364206500874</v>
      </c>
      <c r="AO191" s="224"/>
      <c r="AP191" s="235">
        <f t="shared" si="149"/>
        <v>14.23076923076923</v>
      </c>
      <c r="AQ191" s="235">
        <f t="shared" si="116"/>
        <v>0.65662349388169183</v>
      </c>
      <c r="AR191" s="235">
        <f t="shared" si="117"/>
        <v>0.8090646848530666</v>
      </c>
      <c r="AT191" s="230">
        <f t="shared" ca="1" si="118"/>
        <v>26636.715211422521</v>
      </c>
      <c r="AU191" s="231">
        <f t="shared" ca="1" si="119"/>
        <v>1658.0166264817033</v>
      </c>
      <c r="AV191" s="231">
        <f t="shared" ca="1" si="150"/>
        <v>2497.5120095511438</v>
      </c>
      <c r="AW191" s="231"/>
      <c r="AX191" s="231">
        <f t="shared" ca="1" si="151"/>
        <v>6634.1002591420429</v>
      </c>
      <c r="AY191" s="231">
        <f t="shared" ca="1" si="152"/>
        <v>829.26253239275536</v>
      </c>
      <c r="AZ191" s="231"/>
      <c r="BA191" s="232">
        <f t="shared" ca="1" si="120"/>
        <v>38255.606638990168</v>
      </c>
      <c r="BB191" s="231">
        <f t="shared" ca="1" si="121"/>
        <v>84.197370679956535</v>
      </c>
      <c r="BC191" s="231">
        <f t="shared" ca="1" si="153"/>
        <v>7024.6006764010099</v>
      </c>
      <c r="BD191" s="231">
        <f t="shared" ca="1" si="154"/>
        <v>37707.750857364808</v>
      </c>
      <c r="BE191" s="231">
        <f t="shared" ca="1" si="155"/>
        <v>1309.2969047696113</v>
      </c>
      <c r="BF191" s="231">
        <f t="shared" ca="1" si="122"/>
        <v>9628.4197869434574</v>
      </c>
      <c r="BG191" s="231">
        <f t="shared" ca="1" si="123"/>
        <v>55754.265596158846</v>
      </c>
      <c r="BH191" s="232">
        <f t="shared" ca="1" si="124"/>
        <v>94009.872235149029</v>
      </c>
      <c r="BI191" s="244">
        <f t="shared" ca="1" si="156"/>
        <v>1.6640056649485291</v>
      </c>
      <c r="BJ191" s="243">
        <f t="shared" ca="1" si="157"/>
        <v>2.6272469592347898</v>
      </c>
      <c r="BK191" s="242">
        <f t="shared" ca="1" si="158"/>
        <v>4.2912526241833184</v>
      </c>
      <c r="BL191" s="241">
        <f t="shared" ca="1" si="159"/>
        <v>1.1980840787629408</v>
      </c>
      <c r="BM191" s="243">
        <f t="shared" ca="1" si="160"/>
        <v>1.1638704029410119</v>
      </c>
      <c r="BN191" s="243">
        <f t="shared" si="125"/>
        <v>0</v>
      </c>
      <c r="BO191" s="242">
        <f t="shared" ca="1" si="126"/>
        <v>2.3619544817039526</v>
      </c>
      <c r="BP191" s="67"/>
      <c r="BQ191" s="67"/>
      <c r="BR191" s="67"/>
      <c r="BS191" s="67"/>
      <c r="BT191" s="67"/>
      <c r="BU191" s="67"/>
    </row>
    <row r="192" spans="1:73" ht="12" customHeight="1" x14ac:dyDescent="0.15">
      <c r="A192" s="213">
        <f t="shared" si="127"/>
        <v>186</v>
      </c>
      <c r="B192" s="67">
        <f t="shared" si="128"/>
        <v>744</v>
      </c>
      <c r="C192" s="224">
        <f t="shared" si="129"/>
        <v>171.69230769230771</v>
      </c>
      <c r="D192" s="225">
        <f ca="1">IFERROR(OFFSET(extrapolation!V201,0,OS_dist_choice-1,1,1),0)</f>
        <v>6.8426874340380306E-2</v>
      </c>
      <c r="E192" s="225">
        <f ca="1">IFERROR(OFFSET(extrapolation!J201,0,PFS_dist_choice-1,1,1),0)</f>
        <v>2.6609169467664038E-2</v>
      </c>
      <c r="F192" s="214"/>
      <c r="G192" s="226">
        <f t="shared" ca="1" si="130"/>
        <v>26.609169467664039</v>
      </c>
      <c r="H192" s="224">
        <f t="shared" ca="1" si="131"/>
        <v>41.817704872716263</v>
      </c>
      <c r="I192" s="224">
        <f t="shared" ca="1" si="108"/>
        <v>931.57312565961968</v>
      </c>
      <c r="J192" s="227">
        <f t="shared" ca="1" si="109"/>
        <v>1000</v>
      </c>
      <c r="K192" s="238">
        <f t="shared" ca="1" si="132"/>
        <v>0.14599610380756189</v>
      </c>
      <c r="L192" s="239">
        <f t="shared" ca="1" si="133"/>
        <v>0.50558126368696321</v>
      </c>
      <c r="M192" s="238">
        <f t="shared" ca="1" si="134"/>
        <v>26.68216751956782</v>
      </c>
      <c r="N192" s="238">
        <f t="shared" ca="1" si="135"/>
        <v>41.997497452655978</v>
      </c>
      <c r="O192" s="239">
        <f t="shared" ca="1" si="136"/>
        <v>931.3203350277762</v>
      </c>
      <c r="P192" s="217"/>
      <c r="Q192" s="217"/>
      <c r="R192" s="224"/>
      <c r="S192" s="230">
        <f t="shared" ca="1" si="137"/>
        <v>40344.83339054</v>
      </c>
      <c r="T192" s="231">
        <f t="shared" ca="1" si="138"/>
        <v>2511.2857956849089</v>
      </c>
      <c r="U192" s="231">
        <f t="shared" ca="1" si="161"/>
        <v>3782.8127498620543</v>
      </c>
      <c r="V192" s="231"/>
      <c r="W192" s="231">
        <f t="shared" ca="1" si="139"/>
        <v>10048.077373188928</v>
      </c>
      <c r="X192" s="231">
        <f t="shared" ca="1" si="140"/>
        <v>1256.0096716486159</v>
      </c>
      <c r="Y192" s="231"/>
      <c r="Z192" s="232">
        <f t="shared" ca="1" si="110"/>
        <v>57943.018980924506</v>
      </c>
      <c r="AA192" s="231">
        <f t="shared" ca="1" si="111"/>
        <v>126.85343198571259</v>
      </c>
      <c r="AB192" s="231">
        <f t="shared" ca="1" si="141"/>
        <v>10606.663466019743</v>
      </c>
      <c r="AC192" s="231">
        <f t="shared" ca="1" si="142"/>
        <v>56936.108090559603</v>
      </c>
      <c r="AD192" s="231">
        <f t="shared" ca="1" si="143"/>
        <v>1976.9481975888748</v>
      </c>
      <c r="AE192" s="231">
        <f t="shared" ca="1" si="112"/>
        <v>14485.166056330489</v>
      </c>
      <c r="AF192" s="231">
        <f t="shared" ca="1" si="113"/>
        <v>84131.739242484429</v>
      </c>
      <c r="AG192" s="232">
        <f t="shared" ca="1" si="114"/>
        <v>142074.75822340895</v>
      </c>
      <c r="AH192" s="244">
        <f t="shared" ca="1" si="144"/>
        <v>2.0454502136835013</v>
      </c>
      <c r="AI192" s="243">
        <f t="shared" ca="1" si="145"/>
        <v>3.2195206808333126</v>
      </c>
      <c r="AJ192" s="242">
        <f t="shared" ca="1" si="146"/>
        <v>5.2649708945168143</v>
      </c>
      <c r="AK192" s="241">
        <f t="shared" ca="1" si="147"/>
        <v>1.472724153852121</v>
      </c>
      <c r="AL192" s="243">
        <f t="shared" ca="1" si="148"/>
        <v>1.4262476616091575</v>
      </c>
      <c r="AM192" s="243"/>
      <c r="AN192" s="242">
        <f t="shared" ca="1" si="115"/>
        <v>2.8989718154612785</v>
      </c>
      <c r="AO192" s="224"/>
      <c r="AP192" s="235">
        <f t="shared" si="149"/>
        <v>14.307692307692308</v>
      </c>
      <c r="AQ192" s="235">
        <f t="shared" si="116"/>
        <v>0.65513218964578201</v>
      </c>
      <c r="AR192" s="235">
        <f t="shared" si="117"/>
        <v>0.80813861136963439</v>
      </c>
      <c r="AT192" s="230">
        <f t="shared" ca="1" si="118"/>
        <v>26431.199040038729</v>
      </c>
      <c r="AU192" s="231">
        <f t="shared" ca="1" si="119"/>
        <v>1645.2241621534042</v>
      </c>
      <c r="AV192" s="231">
        <f t="shared" ca="1" si="150"/>
        <v>2478.2423998371096</v>
      </c>
      <c r="AW192" s="231"/>
      <c r="AX192" s="231">
        <f t="shared" ca="1" si="151"/>
        <v>6582.8189312274999</v>
      </c>
      <c r="AY192" s="231">
        <f t="shared" ca="1" si="152"/>
        <v>822.85236640343749</v>
      </c>
      <c r="AZ192" s="231"/>
      <c r="BA192" s="232">
        <f t="shared" ca="1" si="120"/>
        <v>37960.336899660178</v>
      </c>
      <c r="BB192" s="231">
        <f t="shared" ca="1" si="121"/>
        <v>83.105766660882168</v>
      </c>
      <c r="BC192" s="231">
        <f t="shared" ca="1" si="153"/>
        <v>6948.7666613294341</v>
      </c>
      <c r="BD192" s="231">
        <f t="shared" ca="1" si="154"/>
        <v>37300.677163277236</v>
      </c>
      <c r="BE192" s="231">
        <f t="shared" ca="1" si="155"/>
        <v>1295.1624015026816</v>
      </c>
      <c r="BF192" s="231">
        <f t="shared" ca="1" si="122"/>
        <v>9489.6985558665492</v>
      </c>
      <c r="BG192" s="231">
        <f t="shared" ca="1" si="123"/>
        <v>55117.410548636792</v>
      </c>
      <c r="BH192" s="232">
        <f t="shared" ca="1" si="124"/>
        <v>93077.747448296985</v>
      </c>
      <c r="BI192" s="244">
        <f t="shared" ca="1" si="156"/>
        <v>1.6530072953119066</v>
      </c>
      <c r="BJ192" s="243">
        <f t="shared" ca="1" si="157"/>
        <v>2.6018189722844531</v>
      </c>
      <c r="BK192" s="242">
        <f t="shared" ca="1" si="158"/>
        <v>4.2548262675963597</v>
      </c>
      <c r="BL192" s="241">
        <f t="shared" ca="1" si="159"/>
        <v>1.1901652526245727</v>
      </c>
      <c r="BM192" s="243">
        <f t="shared" ca="1" si="160"/>
        <v>1.1526058047220127</v>
      </c>
      <c r="BN192" s="243">
        <f t="shared" si="125"/>
        <v>0</v>
      </c>
      <c r="BO192" s="242">
        <f t="shared" ca="1" si="126"/>
        <v>2.3427710573465856</v>
      </c>
      <c r="BP192" s="67"/>
      <c r="BQ192" s="67"/>
      <c r="BR192" s="67"/>
      <c r="BS192" s="67"/>
      <c r="BT192" s="67"/>
      <c r="BU192" s="67"/>
    </row>
    <row r="193" spans="1:73" ht="12" customHeight="1" x14ac:dyDescent="0.15">
      <c r="A193" s="213">
        <f t="shared" si="127"/>
        <v>187</v>
      </c>
      <c r="B193" s="67">
        <f t="shared" si="128"/>
        <v>748</v>
      </c>
      <c r="C193" s="224">
        <f t="shared" si="129"/>
        <v>172.61538461538461</v>
      </c>
      <c r="D193" s="225">
        <f ca="1">IFERROR(OFFSET(extrapolation!V202,0,OS_dist_choice-1,1,1),0)</f>
        <v>6.7927414050624205E-2</v>
      </c>
      <c r="E193" s="225">
        <f ca="1">IFERROR(OFFSET(extrapolation!J202,0,PFS_dist_choice-1,1,1),0)</f>
        <v>2.646472995073932E-2</v>
      </c>
      <c r="F193" s="214"/>
      <c r="G193" s="226">
        <f t="shared" ca="1" si="130"/>
        <v>26.464729950739319</v>
      </c>
      <c r="H193" s="224">
        <f t="shared" ca="1" si="131"/>
        <v>41.462684099884882</v>
      </c>
      <c r="I193" s="224">
        <f t="shared" ca="1" si="108"/>
        <v>932.07258594937582</v>
      </c>
      <c r="J193" s="227">
        <f t="shared" ca="1" si="109"/>
        <v>1000</v>
      </c>
      <c r="K193" s="238">
        <f t="shared" ca="1" si="132"/>
        <v>0.14443951692472012</v>
      </c>
      <c r="L193" s="239">
        <f t="shared" ca="1" si="133"/>
        <v>0.49946028975614354</v>
      </c>
      <c r="M193" s="238">
        <f t="shared" ca="1" si="134"/>
        <v>26.536949709201679</v>
      </c>
      <c r="N193" s="238">
        <f t="shared" ca="1" si="135"/>
        <v>41.640194486300572</v>
      </c>
      <c r="O193" s="239">
        <f t="shared" ca="1" si="136"/>
        <v>931.82285580449775</v>
      </c>
      <c r="P193" s="217"/>
      <c r="Q193" s="217"/>
      <c r="R193" s="224"/>
      <c r="S193" s="230">
        <f t="shared" ca="1" si="137"/>
        <v>40125.834137202932</v>
      </c>
      <c r="T193" s="231">
        <f t="shared" ca="1" si="138"/>
        <v>2497.6540696879952</v>
      </c>
      <c r="U193" s="231">
        <f t="shared" ca="1" si="161"/>
        <v>3762.2789392570025</v>
      </c>
      <c r="V193" s="231"/>
      <c r="W193" s="231">
        <f t="shared" ca="1" si="139"/>
        <v>9993.3906692900055</v>
      </c>
      <c r="X193" s="231">
        <f t="shared" ca="1" si="140"/>
        <v>1249.1738336612507</v>
      </c>
      <c r="Y193" s="231"/>
      <c r="Z193" s="232">
        <f t="shared" ca="1" si="110"/>
        <v>57628.331649099186</v>
      </c>
      <c r="AA193" s="231">
        <f t="shared" ca="1" si="111"/>
        <v>125.5009411786107</v>
      </c>
      <c r="AB193" s="231">
        <f t="shared" ca="1" si="141"/>
        <v>10516.424938740478</v>
      </c>
      <c r="AC193" s="231">
        <f t="shared" ca="1" si="142"/>
        <v>56451.711601544455</v>
      </c>
      <c r="AD193" s="231">
        <f t="shared" ca="1" si="143"/>
        <v>1960.1288750536269</v>
      </c>
      <c r="AE193" s="231">
        <f t="shared" ca="1" si="112"/>
        <v>14309.796970918158</v>
      </c>
      <c r="AF193" s="231">
        <f t="shared" ca="1" si="113"/>
        <v>83363.563327435346</v>
      </c>
      <c r="AG193" s="232">
        <f t="shared" ca="1" si="114"/>
        <v>140991.89497653453</v>
      </c>
      <c r="AH193" s="244">
        <f t="shared" ca="1" si="144"/>
        <v>2.0343178421838384</v>
      </c>
      <c r="AI193" s="243">
        <f t="shared" ca="1" si="145"/>
        <v>3.1921298990182505</v>
      </c>
      <c r="AJ193" s="242">
        <f t="shared" ca="1" si="146"/>
        <v>5.2264477412020884</v>
      </c>
      <c r="AK193" s="241">
        <f t="shared" ca="1" si="147"/>
        <v>1.4647088463723636</v>
      </c>
      <c r="AL193" s="243">
        <f t="shared" ca="1" si="148"/>
        <v>1.414113545265085</v>
      </c>
      <c r="AM193" s="243"/>
      <c r="AN193" s="242">
        <f t="shared" ca="1" si="115"/>
        <v>2.8788223916374487</v>
      </c>
      <c r="AO193" s="224"/>
      <c r="AP193" s="235">
        <f t="shared" si="149"/>
        <v>14.384615384615385</v>
      </c>
      <c r="AQ193" s="235">
        <f t="shared" si="116"/>
        <v>0.6536442724168019</v>
      </c>
      <c r="AR193" s="235">
        <f t="shared" si="117"/>
        <v>0.80721359789056624</v>
      </c>
      <c r="AT193" s="230">
        <f t="shared" ca="1" si="118"/>
        <v>26228.021659729282</v>
      </c>
      <c r="AU193" s="231">
        <f t="shared" ca="1" si="119"/>
        <v>1632.5772771300738</v>
      </c>
      <c r="AV193" s="231">
        <f t="shared" ca="1" si="150"/>
        <v>2459.1920798797005</v>
      </c>
      <c r="AW193" s="231"/>
      <c r="AX193" s="231">
        <f t="shared" ca="1" si="151"/>
        <v>6532.1225730049227</v>
      </c>
      <c r="AY193" s="231">
        <f t="shared" ca="1" si="152"/>
        <v>816.51532162561534</v>
      </c>
      <c r="AZ193" s="231"/>
      <c r="BA193" s="232">
        <f t="shared" ca="1" si="120"/>
        <v>37668.428911369592</v>
      </c>
      <c r="BB193" s="231">
        <f t="shared" ca="1" si="121"/>
        <v>82.032971384316838</v>
      </c>
      <c r="BC193" s="231">
        <f t="shared" ca="1" si="153"/>
        <v>6874.0009275089305</v>
      </c>
      <c r="BD193" s="231">
        <f t="shared" ca="1" si="154"/>
        <v>36899.337956474657</v>
      </c>
      <c r="BE193" s="231">
        <f t="shared" ca="1" si="155"/>
        <v>1281.2270123775922</v>
      </c>
      <c r="BF193" s="231">
        <f t="shared" ca="1" si="122"/>
        <v>9353.516829487955</v>
      </c>
      <c r="BG193" s="231">
        <f t="shared" ca="1" si="123"/>
        <v>54490.115697233465</v>
      </c>
      <c r="BH193" s="232">
        <f t="shared" ca="1" si="124"/>
        <v>92158.544608603057</v>
      </c>
      <c r="BI193" s="244">
        <f t="shared" ca="1" si="156"/>
        <v>1.6421290246421893</v>
      </c>
      <c r="BJ193" s="243">
        <f t="shared" ca="1" si="157"/>
        <v>2.576730660720572</v>
      </c>
      <c r="BK193" s="242">
        <f t="shared" ca="1" si="158"/>
        <v>4.2188596853627605</v>
      </c>
      <c r="BL193" s="241">
        <f t="shared" ca="1" si="159"/>
        <v>1.1823328977423764</v>
      </c>
      <c r="BM193" s="243">
        <f t="shared" ca="1" si="160"/>
        <v>1.1414916826992134</v>
      </c>
      <c r="BN193" s="243">
        <f t="shared" si="125"/>
        <v>0</v>
      </c>
      <c r="BO193" s="242">
        <f t="shared" ca="1" si="126"/>
        <v>2.3238245804415896</v>
      </c>
      <c r="BP193" s="67"/>
      <c r="BQ193" s="67"/>
      <c r="BR193" s="67"/>
      <c r="BS193" s="67"/>
      <c r="BT193" s="67"/>
      <c r="BU193" s="67"/>
    </row>
    <row r="194" spans="1:73" ht="12" customHeight="1" x14ac:dyDescent="0.15">
      <c r="A194" s="213">
        <f t="shared" si="127"/>
        <v>188</v>
      </c>
      <c r="B194" s="67">
        <f t="shared" si="128"/>
        <v>752</v>
      </c>
      <c r="C194" s="224">
        <f t="shared" si="129"/>
        <v>173.53846153846155</v>
      </c>
      <c r="D194" s="225">
        <f ca="1">IFERROR(OFFSET(extrapolation!V203,0,OS_dist_choice-1,1,1),0)</f>
        <v>6.7433972353127439E-2</v>
      </c>
      <c r="E194" s="225">
        <f ca="1">IFERROR(OFFSET(extrapolation!J203,0,PFS_dist_choice-1,1,1),0)</f>
        <v>2.6321822398102841E-2</v>
      </c>
      <c r="F194" s="214"/>
      <c r="G194" s="226">
        <f t="shared" ca="1" si="130"/>
        <v>26.321822398102842</v>
      </c>
      <c r="H194" s="224">
        <f t="shared" ca="1" si="131"/>
        <v>41.112149955024506</v>
      </c>
      <c r="I194" s="224">
        <f t="shared" ca="1" si="108"/>
        <v>932.56602764687261</v>
      </c>
      <c r="J194" s="227">
        <f t="shared" ca="1" si="109"/>
        <v>1000</v>
      </c>
      <c r="K194" s="238">
        <f t="shared" ca="1" si="132"/>
        <v>0.14290755263647625</v>
      </c>
      <c r="L194" s="239">
        <f t="shared" ca="1" si="133"/>
        <v>0.49344169749679168</v>
      </c>
      <c r="M194" s="238">
        <f t="shared" ca="1" si="134"/>
        <v>26.393276174421082</v>
      </c>
      <c r="N194" s="238">
        <f t="shared" ca="1" si="135"/>
        <v>41.287417027454694</v>
      </c>
      <c r="O194" s="239">
        <f t="shared" ca="1" si="136"/>
        <v>932.31930679812422</v>
      </c>
      <c r="P194" s="217"/>
      <c r="Q194" s="217"/>
      <c r="R194" s="224"/>
      <c r="S194" s="230">
        <f t="shared" ca="1" si="137"/>
        <v>39909.157648732486</v>
      </c>
      <c r="T194" s="231">
        <f t="shared" ca="1" si="138"/>
        <v>2484.1669254361536</v>
      </c>
      <c r="U194" s="231">
        <f t="shared" ca="1" si="161"/>
        <v>3741.9629157590957</v>
      </c>
      <c r="V194" s="231"/>
      <c r="W194" s="231">
        <f t="shared" ca="1" si="139"/>
        <v>9939.2855148681883</v>
      </c>
      <c r="X194" s="231">
        <f t="shared" ca="1" si="140"/>
        <v>1242.4106893585235</v>
      </c>
      <c r="Y194" s="231"/>
      <c r="Z194" s="232">
        <f t="shared" ca="1" si="110"/>
        <v>57316.983694154449</v>
      </c>
      <c r="AA194" s="231">
        <f t="shared" ca="1" si="111"/>
        <v>124.16984450839108</v>
      </c>
      <c r="AB194" s="231">
        <f t="shared" ca="1" si="141"/>
        <v>10427.329349447473</v>
      </c>
      <c r="AC194" s="231">
        <f t="shared" ca="1" si="142"/>
        <v>55973.450353921202</v>
      </c>
      <c r="AD194" s="231">
        <f t="shared" ca="1" si="143"/>
        <v>1943.5225817333749</v>
      </c>
      <c r="AE194" s="231">
        <f t="shared" ca="1" si="112"/>
        <v>14137.361173621612</v>
      </c>
      <c r="AF194" s="231">
        <f t="shared" ca="1" si="113"/>
        <v>82605.833303232052</v>
      </c>
      <c r="AG194" s="232">
        <f t="shared" ca="1" si="114"/>
        <v>139922.81699738652</v>
      </c>
      <c r="AH194" s="244">
        <f t="shared" ca="1" si="144"/>
        <v>2.0233038545757434</v>
      </c>
      <c r="AI194" s="243">
        <f t="shared" ca="1" si="145"/>
        <v>3.1650860418035083</v>
      </c>
      <c r="AJ194" s="242">
        <f t="shared" ca="1" si="146"/>
        <v>5.1883898963792516</v>
      </c>
      <c r="AK194" s="241">
        <f t="shared" ca="1" si="147"/>
        <v>1.4567787752945351</v>
      </c>
      <c r="AL194" s="243">
        <f t="shared" ca="1" si="148"/>
        <v>1.4021331165189541</v>
      </c>
      <c r="AM194" s="243"/>
      <c r="AN194" s="242">
        <f t="shared" ca="1" si="115"/>
        <v>2.8589118918134893</v>
      </c>
      <c r="AO194" s="224"/>
      <c r="AP194" s="235">
        <f t="shared" si="149"/>
        <v>14.461538461538462</v>
      </c>
      <c r="AQ194" s="235">
        <f t="shared" si="116"/>
        <v>0.6521597345022796</v>
      </c>
      <c r="AR194" s="235">
        <f t="shared" si="117"/>
        <v>0.80628964320255747</v>
      </c>
      <c r="AT194" s="230">
        <f t="shared" ca="1" si="118"/>
        <v>26027.145656406999</v>
      </c>
      <c r="AU194" s="231">
        <f t="shared" ca="1" si="119"/>
        <v>1620.0736425517862</v>
      </c>
      <c r="AV194" s="231">
        <f t="shared" ca="1" si="150"/>
        <v>2440.3575416588278</v>
      </c>
      <c r="AW194" s="231"/>
      <c r="AX194" s="231">
        <f t="shared" ca="1" si="151"/>
        <v>6482.001802518791</v>
      </c>
      <c r="AY194" s="231">
        <f t="shared" ca="1" si="152"/>
        <v>810.25022531484888</v>
      </c>
      <c r="AZ194" s="231"/>
      <c r="BA194" s="232">
        <f t="shared" ca="1" si="120"/>
        <v>37379.828868451252</v>
      </c>
      <c r="BB194" s="231">
        <f t="shared" ca="1" si="121"/>
        <v>80.978572827781662</v>
      </c>
      <c r="BC194" s="231">
        <f t="shared" ca="1" si="153"/>
        <v>6800.2843401034916</v>
      </c>
      <c r="BD194" s="231">
        <f t="shared" ca="1" si="154"/>
        <v>36503.630521989777</v>
      </c>
      <c r="BE194" s="231">
        <f t="shared" ca="1" si="155"/>
        <v>1267.4871709024228</v>
      </c>
      <c r="BF194" s="231">
        <f t="shared" ca="1" si="122"/>
        <v>9219.8177095519059</v>
      </c>
      <c r="BG194" s="231">
        <f t="shared" ca="1" si="123"/>
        <v>53872.198315375383</v>
      </c>
      <c r="BH194" s="232">
        <f t="shared" ca="1" si="124"/>
        <v>91252.027183826649</v>
      </c>
      <c r="BI194" s="244">
        <f t="shared" ca="1" si="156"/>
        <v>1.6313689429962352</v>
      </c>
      <c r="BJ194" s="243">
        <f t="shared" ca="1" si="157"/>
        <v>2.5519760953511454</v>
      </c>
      <c r="BK194" s="242">
        <f t="shared" ca="1" si="158"/>
        <v>4.1833450383473814</v>
      </c>
      <c r="BL194" s="241">
        <f t="shared" ca="1" si="159"/>
        <v>1.1745856389572893</v>
      </c>
      <c r="BM194" s="243">
        <f t="shared" ca="1" si="160"/>
        <v>1.1305254102405575</v>
      </c>
      <c r="BN194" s="243">
        <f t="shared" si="125"/>
        <v>0</v>
      </c>
      <c r="BO194" s="242">
        <f t="shared" ca="1" si="126"/>
        <v>2.3051110491978468</v>
      </c>
      <c r="BP194" s="67"/>
      <c r="BQ194" s="67"/>
      <c r="BR194" s="67"/>
      <c r="BS194" s="67"/>
      <c r="BT194" s="67"/>
      <c r="BU194" s="67"/>
    </row>
    <row r="195" spans="1:73" ht="12" customHeight="1" x14ac:dyDescent="0.15">
      <c r="A195" s="213">
        <f t="shared" si="127"/>
        <v>189</v>
      </c>
      <c r="B195" s="67">
        <f t="shared" si="128"/>
        <v>756</v>
      </c>
      <c r="C195" s="224">
        <f t="shared" si="129"/>
        <v>174.46153846153845</v>
      </c>
      <c r="D195" s="225">
        <f ca="1">IFERROR(OFFSET(extrapolation!V204,0,OS_dist_choice-1,1,1),0)</f>
        <v>6.6946449037047176E-2</v>
      </c>
      <c r="E195" s="225">
        <f ca="1">IFERROR(OFFSET(extrapolation!J204,0,PFS_dist_choice-1,1,1),0)</f>
        <v>2.6180422702374195E-2</v>
      </c>
      <c r="F195" s="214"/>
      <c r="G195" s="226">
        <f t="shared" ca="1" si="130"/>
        <v>26.180422702374194</v>
      </c>
      <c r="H195" s="224">
        <f t="shared" ca="1" si="131"/>
        <v>40.766026334672915</v>
      </c>
      <c r="I195" s="224">
        <f t="shared" ca="1" si="108"/>
        <v>933.05355096295284</v>
      </c>
      <c r="J195" s="227">
        <f t="shared" ca="1" si="109"/>
        <v>1000</v>
      </c>
      <c r="K195" s="238">
        <f t="shared" ca="1" si="132"/>
        <v>0.14139969572864786</v>
      </c>
      <c r="L195" s="239">
        <f t="shared" ca="1" si="133"/>
        <v>0.48752331608022814</v>
      </c>
      <c r="M195" s="238">
        <f t="shared" ca="1" si="134"/>
        <v>26.25112255023852</v>
      </c>
      <c r="N195" s="238">
        <f t="shared" ca="1" si="135"/>
        <v>40.939088144848711</v>
      </c>
      <c r="O195" s="239">
        <f t="shared" ca="1" si="136"/>
        <v>932.80978930491278</v>
      </c>
      <c r="P195" s="217"/>
      <c r="Q195" s="217"/>
      <c r="R195" s="224"/>
      <c r="S195" s="230">
        <f t="shared" ca="1" si="137"/>
        <v>39694.767373508832</v>
      </c>
      <c r="T195" s="231">
        <f t="shared" ca="1" si="138"/>
        <v>2470.8220877542021</v>
      </c>
      <c r="U195" s="231">
        <f t="shared" ca="1" si="161"/>
        <v>3721.8612522149197</v>
      </c>
      <c r="V195" s="231"/>
      <c r="W195" s="231">
        <f t="shared" ca="1" si="139"/>
        <v>9885.7527344590235</v>
      </c>
      <c r="X195" s="231">
        <f t="shared" ca="1" si="140"/>
        <v>1235.7190918073779</v>
      </c>
      <c r="Y195" s="231"/>
      <c r="Z195" s="232">
        <f t="shared" ca="1" si="110"/>
        <v>57008.922539744352</v>
      </c>
      <c r="AA195" s="231">
        <f t="shared" ca="1" si="111"/>
        <v>122.85969431456454</v>
      </c>
      <c r="AB195" s="231">
        <f t="shared" ca="1" si="141"/>
        <v>10339.357268790493</v>
      </c>
      <c r="AC195" s="231">
        <f t="shared" ca="1" si="142"/>
        <v>55501.220051782948</v>
      </c>
      <c r="AD195" s="231">
        <f t="shared" ca="1" si="143"/>
        <v>1927.1256962424634</v>
      </c>
      <c r="AE195" s="231">
        <f t="shared" ca="1" si="112"/>
        <v>13967.796469070568</v>
      </c>
      <c r="AF195" s="231">
        <f t="shared" ca="1" si="113"/>
        <v>81858.359180201049</v>
      </c>
      <c r="AG195" s="232">
        <f t="shared" ca="1" si="114"/>
        <v>138867.2817199454</v>
      </c>
      <c r="AH195" s="244">
        <f t="shared" ca="1" si="144"/>
        <v>2.0124063830436101</v>
      </c>
      <c r="AI195" s="243">
        <f t="shared" ca="1" si="145"/>
        <v>3.1383832116516466</v>
      </c>
      <c r="AJ195" s="242">
        <f t="shared" ca="1" si="146"/>
        <v>5.1507895946952562</v>
      </c>
      <c r="AK195" s="241">
        <f t="shared" ca="1" si="147"/>
        <v>1.4489325957913992</v>
      </c>
      <c r="AL195" s="243">
        <f t="shared" ca="1" si="148"/>
        <v>1.3903037627616794</v>
      </c>
      <c r="AM195" s="243"/>
      <c r="AN195" s="242">
        <f t="shared" ca="1" si="115"/>
        <v>2.8392363585530784</v>
      </c>
      <c r="AO195" s="224"/>
      <c r="AP195" s="235">
        <f t="shared" si="149"/>
        <v>14.538461538461538</v>
      </c>
      <c r="AQ195" s="235">
        <f t="shared" si="116"/>
        <v>0.65067856822721437</v>
      </c>
      <c r="AR195" s="235">
        <f t="shared" si="117"/>
        <v>0.80536674609369219</v>
      </c>
      <c r="AT195" s="230">
        <f t="shared" ca="1" si="118"/>
        <v>25828.534400707071</v>
      </c>
      <c r="AU195" s="231">
        <f t="shared" ca="1" si="119"/>
        <v>1607.7109784040808</v>
      </c>
      <c r="AV195" s="231">
        <f t="shared" ca="1" si="150"/>
        <v>2421.7353507315511</v>
      </c>
      <c r="AW195" s="231"/>
      <c r="AX195" s="231">
        <f t="shared" ca="1" si="151"/>
        <v>6432.4474351060671</v>
      </c>
      <c r="AY195" s="231">
        <f t="shared" ca="1" si="152"/>
        <v>804.05592938825839</v>
      </c>
      <c r="AZ195" s="231"/>
      <c r="BA195" s="232">
        <f t="shared" ca="1" si="120"/>
        <v>37094.484094337022</v>
      </c>
      <c r="BB195" s="231">
        <f t="shared" ca="1" si="121"/>
        <v>79.942169989434078</v>
      </c>
      <c r="BC195" s="231">
        <f t="shared" ca="1" si="153"/>
        <v>6727.5981840462391</v>
      </c>
      <c r="BD195" s="231">
        <f t="shared" ca="1" si="154"/>
        <v>36113.454398157686</v>
      </c>
      <c r="BE195" s="231">
        <f t="shared" ca="1" si="155"/>
        <v>1253.9393888249197</v>
      </c>
      <c r="BF195" s="231">
        <f t="shared" ca="1" si="122"/>
        <v>9088.5458077839776</v>
      </c>
      <c r="BG195" s="231">
        <f t="shared" ca="1" si="123"/>
        <v>53263.479948802269</v>
      </c>
      <c r="BH195" s="232">
        <f t="shared" ca="1" si="124"/>
        <v>90357.964043139291</v>
      </c>
      <c r="BI195" s="244">
        <f t="shared" ca="1" si="156"/>
        <v>1.6207251805300087</v>
      </c>
      <c r="BJ195" s="243">
        <f t="shared" ca="1" si="157"/>
        <v>2.5275494751629579</v>
      </c>
      <c r="BK195" s="242">
        <f t="shared" ca="1" si="158"/>
        <v>4.1482746556929664</v>
      </c>
      <c r="BL195" s="241">
        <f t="shared" ca="1" si="159"/>
        <v>1.1669221299816062</v>
      </c>
      <c r="BM195" s="243">
        <f t="shared" ca="1" si="160"/>
        <v>1.1197044174971904</v>
      </c>
      <c r="BN195" s="243">
        <f t="shared" si="125"/>
        <v>0</v>
      </c>
      <c r="BO195" s="242">
        <f t="shared" ca="1" si="126"/>
        <v>2.2866265474787961</v>
      </c>
      <c r="BP195" s="67"/>
      <c r="BQ195" s="67"/>
      <c r="BR195" s="67"/>
      <c r="BS195" s="67"/>
      <c r="BT195" s="67"/>
      <c r="BU195" s="67"/>
    </row>
    <row r="196" spans="1:73" ht="12" customHeight="1" x14ac:dyDescent="0.15">
      <c r="A196" s="213">
        <f t="shared" si="127"/>
        <v>190</v>
      </c>
      <c r="B196" s="67">
        <f t="shared" si="128"/>
        <v>760</v>
      </c>
      <c r="C196" s="224">
        <f t="shared" si="129"/>
        <v>175.38461538461539</v>
      </c>
      <c r="D196" s="225">
        <f ca="1">IFERROR(OFFSET(extrapolation!V205,0,OS_dist_choice-1,1,1),0)</f>
        <v>6.6464746006925743E-2</v>
      </c>
      <c r="E196" s="225">
        <f ca="1">IFERROR(OFFSET(extrapolation!J205,0,PFS_dist_choice-1,1,1),0)</f>
        <v>2.6040507258002041E-2</v>
      </c>
      <c r="F196" s="214"/>
      <c r="G196" s="226">
        <f t="shared" ca="1" si="130"/>
        <v>26.040507258002041</v>
      </c>
      <c r="H196" s="224">
        <f t="shared" ca="1" si="131"/>
        <v>40.424238748923699</v>
      </c>
      <c r="I196" s="224">
        <f t="shared" ca="1" si="108"/>
        <v>933.53525399307421</v>
      </c>
      <c r="J196" s="227">
        <f t="shared" ca="1" si="109"/>
        <v>1000</v>
      </c>
      <c r="K196" s="238">
        <f t="shared" ca="1" si="132"/>
        <v>0.13991544437215353</v>
      </c>
      <c r="L196" s="239">
        <f t="shared" ca="1" si="133"/>
        <v>0.48170303012136628</v>
      </c>
      <c r="M196" s="238">
        <f t="shared" ca="1" si="134"/>
        <v>26.110464980188119</v>
      </c>
      <c r="N196" s="238">
        <f t="shared" ca="1" si="135"/>
        <v>40.595132541798307</v>
      </c>
      <c r="O196" s="239">
        <f t="shared" ca="1" si="136"/>
        <v>933.29440247801358</v>
      </c>
      <c r="P196" s="217"/>
      <c r="Q196" s="217"/>
      <c r="R196" s="224"/>
      <c r="S196" s="230">
        <f t="shared" ca="1" si="137"/>
        <v>39482.627520785594</v>
      </c>
      <c r="T196" s="231">
        <f t="shared" ca="1" si="138"/>
        <v>2457.6173288279333</v>
      </c>
      <c r="U196" s="231">
        <f t="shared" ca="1" si="161"/>
        <v>3701.9705928120857</v>
      </c>
      <c r="V196" s="231"/>
      <c r="W196" s="231">
        <f t="shared" ca="1" si="139"/>
        <v>9832.7833440991635</v>
      </c>
      <c r="X196" s="231">
        <f t="shared" ca="1" si="140"/>
        <v>1229.0979180123954</v>
      </c>
      <c r="Y196" s="231"/>
      <c r="Z196" s="232">
        <f t="shared" ca="1" si="110"/>
        <v>56704.09670453718</v>
      </c>
      <c r="AA196" s="231">
        <f t="shared" ca="1" si="111"/>
        <v>121.57005456671941</v>
      </c>
      <c r="AB196" s="231">
        <f t="shared" ca="1" si="141"/>
        <v>10252.489680241433</v>
      </c>
      <c r="AC196" s="231">
        <f t="shared" ca="1" si="142"/>
        <v>55034.91861523407</v>
      </c>
      <c r="AD196" s="231">
        <f t="shared" ca="1" si="143"/>
        <v>1910.9346741400718</v>
      </c>
      <c r="AE196" s="231">
        <f t="shared" ca="1" si="112"/>
        <v>13801.042250382505</v>
      </c>
      <c r="AF196" s="231">
        <f t="shared" ca="1" si="113"/>
        <v>81120.955274564796</v>
      </c>
      <c r="AG196" s="232">
        <f t="shared" ca="1" si="114"/>
        <v>137825.05197910196</v>
      </c>
      <c r="AH196" s="244">
        <f t="shared" ca="1" si="144"/>
        <v>2.0016235987550099</v>
      </c>
      <c r="AI196" s="243">
        <f t="shared" ca="1" si="145"/>
        <v>3.1120156363322451</v>
      </c>
      <c r="AJ196" s="242">
        <f t="shared" ca="1" si="146"/>
        <v>5.1136392350872555</v>
      </c>
      <c r="AK196" s="241">
        <f t="shared" ca="1" si="147"/>
        <v>1.4411689911036072</v>
      </c>
      <c r="AL196" s="243">
        <f t="shared" ca="1" si="148"/>
        <v>1.3786229268951846</v>
      </c>
      <c r="AM196" s="243"/>
      <c r="AN196" s="242">
        <f t="shared" ca="1" si="115"/>
        <v>2.819791917998792</v>
      </c>
      <c r="AO196" s="224"/>
      <c r="AP196" s="235">
        <f t="shared" si="149"/>
        <v>14.615384615384615</v>
      </c>
      <c r="AQ196" s="235">
        <f t="shared" si="116"/>
        <v>0.64920076593403619</v>
      </c>
      <c r="AR196" s="235">
        <f t="shared" si="117"/>
        <v>0.80444490535344171</v>
      </c>
      <c r="AT196" s="230">
        <f t="shared" ca="1" si="118"/>
        <v>25632.152027582266</v>
      </c>
      <c r="AU196" s="231">
        <f t="shared" ca="1" si="119"/>
        <v>1595.4870522478543</v>
      </c>
      <c r="AV196" s="231">
        <f t="shared" ca="1" si="150"/>
        <v>2403.3221443188841</v>
      </c>
      <c r="AW196" s="231"/>
      <c r="AX196" s="231">
        <f t="shared" ca="1" si="151"/>
        <v>6383.450478252611</v>
      </c>
      <c r="AY196" s="231">
        <f t="shared" ca="1" si="152"/>
        <v>797.93130978157637</v>
      </c>
      <c r="AZ196" s="231"/>
      <c r="BA196" s="232">
        <f t="shared" ca="1" si="120"/>
        <v>36812.343012183192</v>
      </c>
      <c r="BB196" s="231">
        <f t="shared" ca="1" si="121"/>
        <v>78.923372539356819</v>
      </c>
      <c r="BC196" s="231">
        <f t="shared" ca="1" si="153"/>
        <v>6655.92415314354</v>
      </c>
      <c r="BD196" s="231">
        <f t="shared" ca="1" si="154"/>
        <v>35728.711318127302</v>
      </c>
      <c r="BE196" s="231">
        <f t="shared" ca="1" si="155"/>
        <v>1240.5802541016426</v>
      </c>
      <c r="BF196" s="231">
        <f t="shared" ca="1" si="122"/>
        <v>8959.6471996363161</v>
      </c>
      <c r="BG196" s="231">
        <f t="shared" ca="1" si="123"/>
        <v>52663.786297548162</v>
      </c>
      <c r="BH196" s="232">
        <f t="shared" ca="1" si="124"/>
        <v>89476.129309731346</v>
      </c>
      <c r="BI196" s="244">
        <f t="shared" ca="1" si="156"/>
        <v>1.6101959064536893</v>
      </c>
      <c r="BJ196" s="243">
        <f t="shared" ca="1" si="157"/>
        <v>2.5034451240277238</v>
      </c>
      <c r="BK196" s="242">
        <f t="shared" ca="1" si="158"/>
        <v>4.1136410304814133</v>
      </c>
      <c r="BL196" s="241">
        <f t="shared" ca="1" si="159"/>
        <v>1.1593410526466563</v>
      </c>
      <c r="BM196" s="243">
        <f t="shared" ca="1" si="160"/>
        <v>1.1090261899442815</v>
      </c>
      <c r="BN196" s="243">
        <f t="shared" si="125"/>
        <v>0</v>
      </c>
      <c r="BO196" s="242">
        <f t="shared" ca="1" si="126"/>
        <v>2.268367242590938</v>
      </c>
      <c r="BP196" s="67"/>
      <c r="BQ196" s="67"/>
      <c r="BR196" s="67"/>
      <c r="BS196" s="67"/>
      <c r="BT196" s="67"/>
      <c r="BU196" s="67"/>
    </row>
    <row r="197" spans="1:73" ht="12" customHeight="1" x14ac:dyDescent="0.15">
      <c r="A197" s="213">
        <f t="shared" si="127"/>
        <v>191</v>
      </c>
      <c r="B197" s="67">
        <f t="shared" si="128"/>
        <v>764</v>
      </c>
      <c r="C197" s="224">
        <f t="shared" si="129"/>
        <v>176.30769230769229</v>
      </c>
      <c r="D197" s="225">
        <f ca="1">IFERROR(OFFSET(extrapolation!V206,0,OS_dist_choice-1,1,1),0)</f>
        <v>6.5988767228894782E-2</v>
      </c>
      <c r="E197" s="225">
        <f ca="1">IFERROR(OFFSET(extrapolation!J206,0,PFS_dist_choice-1,1,1),0)</f>
        <v>2.5902052948293595E-2</v>
      </c>
      <c r="F197" s="214"/>
      <c r="G197" s="226">
        <f t="shared" ca="1" si="130"/>
        <v>25.902052948293594</v>
      </c>
      <c r="H197" s="224">
        <f t="shared" ca="1" si="131"/>
        <v>40.0867142806012</v>
      </c>
      <c r="I197" s="224">
        <f t="shared" ca="1" si="108"/>
        <v>934.01123277110526</v>
      </c>
      <c r="J197" s="227">
        <f t="shared" ca="1" si="109"/>
        <v>1000</v>
      </c>
      <c r="K197" s="238">
        <f t="shared" ca="1" si="132"/>
        <v>0.13845430970844674</v>
      </c>
      <c r="L197" s="239">
        <f t="shared" ca="1" si="133"/>
        <v>0.47597877803104893</v>
      </c>
      <c r="M197" s="238">
        <f t="shared" ca="1" si="134"/>
        <v>25.971280103147819</v>
      </c>
      <c r="N197" s="238">
        <f t="shared" ca="1" si="135"/>
        <v>40.255476514762449</v>
      </c>
      <c r="O197" s="239">
        <f t="shared" ca="1" si="136"/>
        <v>933.77324338208973</v>
      </c>
      <c r="P197" s="217"/>
      <c r="Q197" s="217"/>
      <c r="R197" s="224"/>
      <c r="S197" s="230">
        <f t="shared" ca="1" si="137"/>
        <v>39272.703041023924</v>
      </c>
      <c r="T197" s="231">
        <f t="shared" ca="1" si="138"/>
        <v>2444.5504669800011</v>
      </c>
      <c r="U197" s="231">
        <f t="shared" ca="1" si="161"/>
        <v>3682.2876512353132</v>
      </c>
      <c r="V197" s="231"/>
      <c r="W197" s="231">
        <f t="shared" ca="1" si="139"/>
        <v>9780.3685463638176</v>
      </c>
      <c r="X197" s="231">
        <f t="shared" ca="1" si="140"/>
        <v>1222.5460682954772</v>
      </c>
      <c r="Y197" s="231"/>
      <c r="Z197" s="232">
        <f t="shared" ca="1" si="110"/>
        <v>56402.455773898531</v>
      </c>
      <c r="AA197" s="231">
        <f t="shared" ca="1" si="111"/>
        <v>120.30050050431234</v>
      </c>
      <c r="AB197" s="231">
        <f t="shared" ca="1" si="141"/>
        <v>10166.70796962794</v>
      </c>
      <c r="AC197" s="231">
        <f t="shared" ca="1" si="142"/>
        <v>54574.44612420709</v>
      </c>
      <c r="AD197" s="231">
        <f t="shared" ca="1" si="143"/>
        <v>1894.9460459794127</v>
      </c>
      <c r="AE197" s="231">
        <f t="shared" ca="1" si="112"/>
        <v>13637.039451956252</v>
      </c>
      <c r="AF197" s="231">
        <f t="shared" ca="1" si="113"/>
        <v>80393.440092275006</v>
      </c>
      <c r="AG197" s="232">
        <f t="shared" ca="1" si="114"/>
        <v>136795.89586617355</v>
      </c>
      <c r="AH197" s="244">
        <f t="shared" ca="1" si="144"/>
        <v>1.9909537108504831</v>
      </c>
      <c r="AI197" s="243">
        <f t="shared" ca="1" si="145"/>
        <v>3.0859776657449651</v>
      </c>
      <c r="AJ197" s="242">
        <f t="shared" ca="1" si="146"/>
        <v>5.0769313765954482</v>
      </c>
      <c r="AK197" s="241">
        <f t="shared" ca="1" si="147"/>
        <v>1.4334866718123478</v>
      </c>
      <c r="AL197" s="243">
        <f t="shared" ca="1" si="148"/>
        <v>1.3670881059250195</v>
      </c>
      <c r="AM197" s="243"/>
      <c r="AN197" s="242">
        <f t="shared" ca="1" si="115"/>
        <v>2.8005747777373671</v>
      </c>
      <c r="AO197" s="224"/>
      <c r="AP197" s="235">
        <f t="shared" si="149"/>
        <v>14.692307692307692</v>
      </c>
      <c r="AQ197" s="235">
        <f t="shared" si="116"/>
        <v>0.64772631998256702</v>
      </c>
      <c r="AR197" s="235">
        <f t="shared" si="117"/>
        <v>0.80352411977266303</v>
      </c>
      <c r="AT197" s="230">
        <f t="shared" ca="1" si="118"/>
        <v>25437.963416530594</v>
      </c>
      <c r="AU197" s="231">
        <f t="shared" ca="1" si="119"/>
        <v>1583.3996779886218</v>
      </c>
      <c r="AV197" s="231">
        <f t="shared" ca="1" si="150"/>
        <v>2385.1146294518994</v>
      </c>
      <c r="AW197" s="231"/>
      <c r="AX197" s="231">
        <f t="shared" ca="1" si="151"/>
        <v>6335.0021266094836</v>
      </c>
      <c r="AY197" s="231">
        <f t="shared" ca="1" si="152"/>
        <v>791.87526582618545</v>
      </c>
      <c r="AZ197" s="231"/>
      <c r="BA197" s="232">
        <f t="shared" ca="1" si="120"/>
        <v>36533.355116406783</v>
      </c>
      <c r="BB197" s="231">
        <f t="shared" ca="1" si="121"/>
        <v>77.921800483719181</v>
      </c>
      <c r="BC197" s="231">
        <f t="shared" ca="1" si="153"/>
        <v>6585.2443395045411</v>
      </c>
      <c r="BD197" s="231">
        <f t="shared" ca="1" si="154"/>
        <v>35349.305153119523</v>
      </c>
      <c r="BE197" s="231">
        <f t="shared" ca="1" si="155"/>
        <v>1227.4064289277612</v>
      </c>
      <c r="BF197" s="231">
        <f t="shared" ca="1" si="122"/>
        <v>8833.0693796727064</v>
      </c>
      <c r="BG197" s="231">
        <f t="shared" ca="1" si="123"/>
        <v>52072.947101708254</v>
      </c>
      <c r="BH197" s="232">
        <f t="shared" ca="1" si="124"/>
        <v>88606.302218115045</v>
      </c>
      <c r="BI197" s="244">
        <f t="shared" ca="1" si="156"/>
        <v>1.5997793280192516</v>
      </c>
      <c r="BJ197" s="243">
        <f t="shared" ca="1" si="157"/>
        <v>2.4796574875058206</v>
      </c>
      <c r="BK197" s="242">
        <f t="shared" ca="1" si="158"/>
        <v>4.0794368155250718</v>
      </c>
      <c r="BL197" s="241">
        <f t="shared" ca="1" si="159"/>
        <v>1.1518411161738611</v>
      </c>
      <c r="BM197" s="243">
        <f t="shared" ca="1" si="160"/>
        <v>1.0984882669650784</v>
      </c>
      <c r="BN197" s="243">
        <f t="shared" si="125"/>
        <v>0</v>
      </c>
      <c r="BO197" s="242">
        <f t="shared" ca="1" si="126"/>
        <v>2.2503293831389395</v>
      </c>
      <c r="BP197" s="67"/>
      <c r="BQ197" s="67"/>
      <c r="BR197" s="67"/>
      <c r="BS197" s="67"/>
      <c r="BT197" s="67"/>
      <c r="BU197" s="67"/>
    </row>
    <row r="198" spans="1:73" ht="12" customHeight="1" x14ac:dyDescent="0.15">
      <c r="A198" s="213">
        <f t="shared" si="127"/>
        <v>192</v>
      </c>
      <c r="B198" s="67">
        <f t="shared" si="128"/>
        <v>768</v>
      </c>
      <c r="C198" s="224">
        <f t="shared" si="129"/>
        <v>177.23076923076923</v>
      </c>
      <c r="D198" s="225">
        <f ca="1">IFERROR(OFFSET(extrapolation!V207,0,OS_dist_choice-1,1,1),0)</f>
        <v>6.5518418678472995E-2</v>
      </c>
      <c r="E198" s="225">
        <f ca="1">IFERROR(OFFSET(extrapolation!J207,0,PFS_dist_choice-1,1,1),0)</f>
        <v>2.5765037132844122E-2</v>
      </c>
      <c r="F198" s="214"/>
      <c r="G198" s="226">
        <f t="shared" ca="1" si="130"/>
        <v>25.765037132844121</v>
      </c>
      <c r="H198" s="224">
        <f t="shared" ca="1" si="131"/>
        <v>39.753381545628827</v>
      </c>
      <c r="I198" s="224">
        <f t="shared" ref="I198:I266" ca="1" si="162">cohort_size*(1-D198)</f>
        <v>934.48158132152707</v>
      </c>
      <c r="J198" s="227">
        <f t="shared" ref="J198:J261" ca="1" si="163">G198+H198+I198</f>
        <v>1000</v>
      </c>
      <c r="K198" s="238">
        <f t="shared" ca="1" si="132"/>
        <v>0.13701581544947317</v>
      </c>
      <c r="L198" s="239">
        <f t="shared" ca="1" si="133"/>
        <v>0.47034855042181789</v>
      </c>
      <c r="M198" s="238">
        <f t="shared" ca="1" si="134"/>
        <v>25.833545040568858</v>
      </c>
      <c r="N198" s="238">
        <f t="shared" ca="1" si="135"/>
        <v>39.920047913115013</v>
      </c>
      <c r="O198" s="239">
        <f t="shared" ca="1" si="136"/>
        <v>934.24640704631611</v>
      </c>
      <c r="P198" s="217"/>
      <c r="Q198" s="217"/>
      <c r="R198" s="224"/>
      <c r="S198" s="230">
        <f t="shared" ca="1" si="137"/>
        <v>39064.959606833108</v>
      </c>
      <c r="T198" s="231">
        <f t="shared" ca="1" si="138"/>
        <v>2431.619365483557</v>
      </c>
      <c r="U198" s="231">
        <f t="shared" ca="1" si="161"/>
        <v>3662.8092088793856</v>
      </c>
      <c r="V198" s="231"/>
      <c r="W198" s="231">
        <f t="shared" ca="1" si="139"/>
        <v>9728.4997255575836</v>
      </c>
      <c r="X198" s="231">
        <f t="shared" ca="1" si="140"/>
        <v>1216.0624656946979</v>
      </c>
      <c r="Y198" s="231"/>
      <c r="Z198" s="232">
        <f t="shared" ref="Z198:Z261" ca="1" si="164">SUM(S198:Y198)</f>
        <v>56103.950372448329</v>
      </c>
      <c r="AA198" s="231">
        <f t="shared" ref="AA198:AA266" ca="1" si="165">PD_lumpsum_placebo*K198</f>
        <v>119.05061828907823</v>
      </c>
      <c r="AB198" s="231">
        <f t="shared" ca="1" si="141"/>
        <v>10081.993914973549</v>
      </c>
      <c r="AC198" s="231">
        <f t="shared" ca="1" si="142"/>
        <v>54119.704763925023</v>
      </c>
      <c r="AD198" s="231">
        <f t="shared" ca="1" si="143"/>
        <v>1879.1564154140631</v>
      </c>
      <c r="AE198" s="231">
        <f t="shared" ref="AE198:AE266" ca="1" si="166">End_of_life_costs_per_patient*L198</f>
        <v>13475.730503796449</v>
      </c>
      <c r="AF198" s="231">
        <f t="shared" ref="AF198:AF261" ca="1" si="167">SUM(AA198:AE198)</f>
        <v>79675.636216398168</v>
      </c>
      <c r="AG198" s="232">
        <f t="shared" ref="AG198:AG261" ca="1" si="168">Z198+AF198</f>
        <v>135779.58658884649</v>
      </c>
      <c r="AH198" s="244">
        <f t="shared" ca="1" si="144"/>
        <v>1.9803949654645532</v>
      </c>
      <c r="AI198" s="243">
        <f t="shared" ca="1" si="145"/>
        <v>3.060263768835648</v>
      </c>
      <c r="AJ198" s="242">
        <f t="shared" ca="1" si="146"/>
        <v>5.0406587343002016</v>
      </c>
      <c r="AK198" s="241">
        <f t="shared" ca="1" si="147"/>
        <v>1.4258843751344783</v>
      </c>
      <c r="AL198" s="243">
        <f t="shared" ca="1" si="148"/>
        <v>1.3556968495941921</v>
      </c>
      <c r="AM198" s="243"/>
      <c r="AN198" s="242">
        <f t="shared" ref="AN198:AN261" ca="1" si="169">AK198+AL198-AM198</f>
        <v>2.7815812247286704</v>
      </c>
      <c r="AO198" s="224"/>
      <c r="AP198" s="235">
        <f t="shared" si="149"/>
        <v>14.76923076923077</v>
      </c>
      <c r="AQ198" s="235">
        <f t="shared" ref="AQ198:AQ261" si="170">1/(1+cDR)^AP198</f>
        <v>0.64625522274998104</v>
      </c>
      <c r="AR198" s="235">
        <f t="shared" ref="AR198:AR266" si="171">1/(1+oDR)^AP198</f>
        <v>0.80260438814359714</v>
      </c>
      <c r="AT198" s="230">
        <f t="shared" ref="AT198:AT266" ca="1" si="172">S198*AQ198</f>
        <v>25245.934172432942</v>
      </c>
      <c r="AU198" s="231">
        <f t="shared" ref="AU198:AU266" ca="1" si="173">T198*AQ198</f>
        <v>1571.4467146837437</v>
      </c>
      <c r="AV198" s="231">
        <f t="shared" ca="1" si="150"/>
        <v>2367.1095811750292</v>
      </c>
      <c r="AW198" s="231"/>
      <c r="AX198" s="231">
        <f t="shared" ca="1" si="151"/>
        <v>6287.0937571633458</v>
      </c>
      <c r="AY198" s="231">
        <f t="shared" ca="1" si="152"/>
        <v>785.88671964541822</v>
      </c>
      <c r="AZ198" s="231"/>
      <c r="BA198" s="232">
        <f t="shared" ref="BA198:BA266" ca="1" si="174">Z198*AQ198</f>
        <v>36257.470945100475</v>
      </c>
      <c r="BB198" s="231">
        <f t="shared" ref="BB198:BB266" ca="1" si="175">AA198*AQ198</f>
        <v>76.937083840931223</v>
      </c>
      <c r="BC198" s="231">
        <f t="shared" ca="1" si="153"/>
        <v>6515.5412232851841</v>
      </c>
      <c r="BD198" s="231">
        <f t="shared" ca="1" si="154"/>
        <v>34975.141857373579</v>
      </c>
      <c r="BE198" s="231">
        <f t="shared" ca="1" si="155"/>
        <v>1214.4146478254713</v>
      </c>
      <c r="BF198" s="231">
        <f t="shared" ref="BF198:BF266" ca="1" si="176">AE198*AQ198</f>
        <v>8708.7612184496884</v>
      </c>
      <c r="BG198" s="231">
        <f t="shared" ref="BG198:BG266" ca="1" si="177">AF198*AQ198</f>
        <v>51490.796030774858</v>
      </c>
      <c r="BH198" s="232">
        <f t="shared" ref="BH198:BH266" ca="1" si="178">AG198*AQ198</f>
        <v>87748.266975875333</v>
      </c>
      <c r="BI198" s="244">
        <f t="shared" ca="1" si="156"/>
        <v>1.589473689539338</v>
      </c>
      <c r="BJ198" s="243">
        <f t="shared" ca="1" si="157"/>
        <v>2.4561811297443539</v>
      </c>
      <c r="BK198" s="242">
        <f t="shared" ca="1" si="158"/>
        <v>4.0456548192836923</v>
      </c>
      <c r="BL198" s="241">
        <f t="shared" ca="1" si="159"/>
        <v>1.1444210564683233</v>
      </c>
      <c r="BM198" s="243">
        <f t="shared" ca="1" si="160"/>
        <v>1.0880882404767489</v>
      </c>
      <c r="BN198" s="243">
        <f t="shared" ref="BN198:BN266" si="179">AM198*AR198</f>
        <v>0</v>
      </c>
      <c r="BO198" s="242">
        <f t="shared" ref="BO198:BO266" ca="1" si="180">AN198*AR198</f>
        <v>2.2325092969450719</v>
      </c>
      <c r="BP198" s="67"/>
      <c r="BQ198" s="67"/>
      <c r="BR198" s="67"/>
      <c r="BS198" s="67"/>
      <c r="BT198" s="67"/>
      <c r="BU198" s="67"/>
    </row>
    <row r="199" spans="1:73" ht="12" customHeight="1" x14ac:dyDescent="0.15">
      <c r="A199" s="213">
        <f t="shared" ref="A199:A266" si="181">A198+1</f>
        <v>193</v>
      </c>
      <c r="B199" s="67">
        <f t="shared" ref="B199:B262" si="182">A199*cycle_length_days/7</f>
        <v>772</v>
      </c>
      <c r="C199" s="224">
        <f t="shared" ref="C199:C262" si="183">B199/52*12</f>
        <v>178.15384615384616</v>
      </c>
      <c r="D199" s="225">
        <f ca="1">IFERROR(OFFSET(extrapolation!V208,0,OS_dist_choice-1,1,1),0)</f>
        <v>6.5053608289903045E-2</v>
      </c>
      <c r="E199" s="225">
        <f ca="1">IFERROR(OFFSET(extrapolation!J208,0,PFS_dist_choice-1,1,1),0)</f>
        <v>2.5629437635351787E-2</v>
      </c>
      <c r="F199" s="214"/>
      <c r="G199" s="226">
        <f t="shared" ref="G199:G266" ca="1" si="184">cohort_size*IF(E199&gt;D199,D199,E199)</f>
        <v>25.629437635351785</v>
      </c>
      <c r="H199" s="224">
        <f t="shared" ref="H199:H262" ca="1" si="185">cohort_size-G199-I199</f>
        <v>39.42417065455129</v>
      </c>
      <c r="I199" s="224">
        <f t="shared" ca="1" si="162"/>
        <v>934.94639171009692</v>
      </c>
      <c r="J199" s="227">
        <f t="shared" ca="1" si="163"/>
        <v>1000</v>
      </c>
      <c r="K199" s="238">
        <f t="shared" ref="K199:K266" ca="1" si="186">MAX(0,G198-G199)</f>
        <v>0.13559949749233624</v>
      </c>
      <c r="L199" s="239">
        <f t="shared" ref="L199:L266" ca="1" si="187">I199-I198</f>
        <v>0.46481038856984469</v>
      </c>
      <c r="M199" s="238">
        <f t="shared" ref="M199:M266" ca="1" si="188">(G199+G198)/2</f>
        <v>25.697237384097953</v>
      </c>
      <c r="N199" s="238">
        <f t="shared" ref="N199:N266" ca="1" si="189">(H199+H198)/2</f>
        <v>39.588776100090058</v>
      </c>
      <c r="O199" s="239">
        <f t="shared" ref="O199:O266" ca="1" si="190">(I199+I198)/2</f>
        <v>934.71398651581194</v>
      </c>
      <c r="P199" s="217"/>
      <c r="Q199" s="217"/>
      <c r="R199" s="224"/>
      <c r="S199" s="230">
        <f t="shared" ref="S199:S266" ca="1" si="191">SD_drugacq_c2_placebo*G199</f>
        <v>38859.363594495429</v>
      </c>
      <c r="T199" s="231">
        <f t="shared" ref="T199:T266" ca="1" si="192">SD_admin_c2_placebo*G199</f>
        <v>2418.8219314122557</v>
      </c>
      <c r="U199" s="231">
        <f t="shared" ca="1" si="161"/>
        <v>3643.5321131168798</v>
      </c>
      <c r="V199" s="231"/>
      <c r="W199" s="231">
        <f t="shared" ref="W199:W266" ca="1" si="193">Societal_informal_PFS_per_cycle*M199</f>
        <v>9677.1684430531441</v>
      </c>
      <c r="X199" s="231">
        <f t="shared" ref="X199:X266" ca="1" si="194">Patient_time_c2plus*M199</f>
        <v>1209.646055381643</v>
      </c>
      <c r="Y199" s="231"/>
      <c r="Z199" s="232">
        <f t="shared" ca="1" si="164"/>
        <v>55808.532137459355</v>
      </c>
      <c r="AA199" s="231">
        <f t="shared" ca="1" si="165"/>
        <v>117.8200046702201</v>
      </c>
      <c r="AB199" s="231">
        <f t="shared" ref="AB199:AB266" ca="1" si="195">PD_ongoing_placebo*N199</f>
        <v>9998.3296766342319</v>
      </c>
      <c r="AC199" s="231">
        <f t="shared" ref="AC199:AC266" ca="1" si="196">Societal_informal_PD_per_cycle*N199</f>
        <v>53670.598771954734</v>
      </c>
      <c r="AD199" s="231">
        <f t="shared" ref="AD199:AD266" ca="1" si="197">Patient_time_PD_per_cycle*N199</f>
        <v>1863.5624573595394</v>
      </c>
      <c r="AE199" s="231">
        <f t="shared" ca="1" si="166"/>
        <v>13317.059287447069</v>
      </c>
      <c r="AF199" s="231">
        <f t="shared" ca="1" si="167"/>
        <v>78967.370198065793</v>
      </c>
      <c r="AG199" s="232">
        <f t="shared" ca="1" si="168"/>
        <v>134775.90233552514</v>
      </c>
      <c r="AH199" s="244">
        <f t="shared" ref="AH199:AH266" ca="1" si="198">M199*cycle_length_days/365.25</f>
        <v>1.9699456447768453</v>
      </c>
      <c r="AI199" s="243">
        <f t="shared" ref="AI199:AI266" ca="1" si="199">N199*cycle_length_days/365.25</f>
        <v>3.0348685306023864</v>
      </c>
      <c r="AJ199" s="242">
        <f t="shared" ref="AJ199:AJ262" ca="1" si="200">AH199+AI199</f>
        <v>5.0048141753792317</v>
      </c>
      <c r="AK199" s="241">
        <f t="shared" ref="AK199:AK266" ca="1" si="201">AH199*utility_pfs</f>
        <v>1.4183608642393286</v>
      </c>
      <c r="AL199" s="243">
        <f t="shared" ref="AL199:AL266" ca="1" si="202">AI199*utility_pd</f>
        <v>1.3444467590568572</v>
      </c>
      <c r="AM199" s="243"/>
      <c r="AN199" s="242">
        <f t="shared" ca="1" si="169"/>
        <v>2.7628076232961858</v>
      </c>
      <c r="AO199" s="224"/>
      <c r="AP199" s="235">
        <f t="shared" ref="AP199:AP266" si="203">B199/52</f>
        <v>14.846153846153847</v>
      </c>
      <c r="AQ199" s="235">
        <f t="shared" si="170"/>
        <v>0.64478746663076492</v>
      </c>
      <c r="AR199" s="235">
        <f t="shared" si="171"/>
        <v>0.80168570925986715</v>
      </c>
      <c r="AT199" s="230">
        <f t="shared" ca="1" si="172"/>
        <v>25056.030606978482</v>
      </c>
      <c r="AU199" s="231">
        <f t="shared" ca="1" si="173"/>
        <v>1559.6260653862421</v>
      </c>
      <c r="AV199" s="231">
        <f t="shared" ref="AV199:AV266" ca="1" si="204">U199*AQ199</f>
        <v>2349.3038408044704</v>
      </c>
      <c r="AW199" s="231"/>
      <c r="AX199" s="231">
        <f t="shared" ref="AX199:AX266" ca="1" si="205">W199*AQ199</f>
        <v>6239.7169245554205</v>
      </c>
      <c r="AY199" s="231">
        <f t="shared" ref="AY199:AY266" ca="1" si="206">X199*AQ199</f>
        <v>779.96461556942756</v>
      </c>
      <c r="AZ199" s="231"/>
      <c r="BA199" s="232">
        <f t="shared" ca="1" si="174"/>
        <v>35984.642053294046</v>
      </c>
      <c r="BB199" s="231">
        <f t="shared" ca="1" si="175"/>
        <v>75.968862329736112</v>
      </c>
      <c r="BC199" s="231">
        <f t="shared" ref="BC199:BC266" ca="1" si="207">AB199*AQ199</f>
        <v>6446.7976627361813</v>
      </c>
      <c r="BD199" s="231">
        <f t="shared" ref="BD199:BD266" ca="1" si="208">AC199*AQ199</f>
        <v>34606.129414724935</v>
      </c>
      <c r="BE199" s="231">
        <f t="shared" ref="BE199:BE266" ca="1" si="209">AD199*AQ199</f>
        <v>1201.6017157890603</v>
      </c>
      <c r="BF199" s="231">
        <f t="shared" ca="1" si="176"/>
        <v>8586.6729209246951</v>
      </c>
      <c r="BG199" s="231">
        <f t="shared" ca="1" si="177"/>
        <v>50917.170576504606</v>
      </c>
      <c r="BH199" s="232">
        <f t="shared" ca="1" si="178"/>
        <v>86901.812629798646</v>
      </c>
      <c r="BI199" s="244">
        <f t="shared" ref="BI199:BI266" ca="1" si="210">AH199*AR199</f>
        <v>1.5792772714363115</v>
      </c>
      <c r="BJ199" s="243">
        <f t="shared" ref="BJ199:BJ266" ca="1" si="211">AI199*AR199</f>
        <v>2.433010730466425</v>
      </c>
      <c r="BK199" s="242">
        <f t="shared" ref="BK199:BK266" ca="1" si="212">AJ199*AR199</f>
        <v>4.0122880019027365</v>
      </c>
      <c r="BL199" s="241">
        <f t="shared" ref="BL199:BL266" ca="1" si="213">AK199*AR199</f>
        <v>1.1370796354341444</v>
      </c>
      <c r="BM199" s="243">
        <f t="shared" ref="BM199:BM266" ca="1" si="214">AL199*AR199</f>
        <v>1.0778237535966262</v>
      </c>
      <c r="BN199" s="243">
        <f t="shared" si="179"/>
        <v>0</v>
      </c>
      <c r="BO199" s="242">
        <f t="shared" ca="1" si="180"/>
        <v>2.2149033890307708</v>
      </c>
      <c r="BP199" s="67"/>
      <c r="BQ199" s="67"/>
      <c r="BR199" s="67"/>
      <c r="BS199" s="67"/>
      <c r="BT199" s="67"/>
      <c r="BU199" s="67"/>
    </row>
    <row r="200" spans="1:73" ht="12" customHeight="1" x14ac:dyDescent="0.15">
      <c r="A200" s="213">
        <f t="shared" si="181"/>
        <v>194</v>
      </c>
      <c r="B200" s="67">
        <f t="shared" si="182"/>
        <v>776</v>
      </c>
      <c r="C200" s="224">
        <f t="shared" si="183"/>
        <v>179.07692307692309</v>
      </c>
      <c r="D200" s="225">
        <f ca="1">IFERROR(OFFSET(extrapolation!V209,0,OS_dist_choice-1,1,1),0)</f>
        <v>6.4594245906976266E-2</v>
      </c>
      <c r="E200" s="225">
        <f ca="1">IFERROR(OFFSET(extrapolation!J209,0,PFS_dist_choice-1,1,1),0)</f>
        <v>2.5495232731804311E-2</v>
      </c>
      <c r="F200" s="214"/>
      <c r="G200" s="226">
        <f t="shared" ca="1" si="184"/>
        <v>25.495232731804311</v>
      </c>
      <c r="H200" s="224">
        <f t="shared" ca="1" si="185"/>
        <v>39.09901317517199</v>
      </c>
      <c r="I200" s="224">
        <f t="shared" ca="1" si="162"/>
        <v>935.40575409302369</v>
      </c>
      <c r="J200" s="227">
        <f t="shared" ca="1" si="163"/>
        <v>1000</v>
      </c>
      <c r="K200" s="238">
        <f t="shared" ca="1" si="186"/>
        <v>0.13420490354747372</v>
      </c>
      <c r="L200" s="239">
        <f t="shared" ca="1" si="187"/>
        <v>0.4593623829267699</v>
      </c>
      <c r="M200" s="238">
        <f t="shared" ca="1" si="188"/>
        <v>25.56233518357805</v>
      </c>
      <c r="N200" s="238">
        <f t="shared" ca="1" si="189"/>
        <v>39.26159191486164</v>
      </c>
      <c r="O200" s="239">
        <f t="shared" ca="1" si="190"/>
        <v>935.17607290156025</v>
      </c>
      <c r="P200" s="217"/>
      <c r="Q200" s="217"/>
      <c r="R200" s="224"/>
      <c r="S200" s="230">
        <f t="shared" ca="1" si="191"/>
        <v>38655.882066054786</v>
      </c>
      <c r="T200" s="231">
        <f t="shared" ca="1" si="192"/>
        <v>2406.1561145253518</v>
      </c>
      <c r="U200" s="231">
        <f t="shared" ref="U200:U266" ca="1" si="215">SD_hcru_c3plus_placebo*G200</f>
        <v>3624.4532756187641</v>
      </c>
      <c r="V200" s="231"/>
      <c r="W200" s="231">
        <f t="shared" ca="1" si="193"/>
        <v>9626.3664327725564</v>
      </c>
      <c r="X200" s="231">
        <f t="shared" ca="1" si="194"/>
        <v>1203.2958040965696</v>
      </c>
      <c r="Y200" s="231"/>
      <c r="Z200" s="232">
        <f t="shared" ca="1" si="164"/>
        <v>55516.153693068023</v>
      </c>
      <c r="AA200" s="231">
        <f t="shared" ca="1" si="165"/>
        <v>116.60826666133809</v>
      </c>
      <c r="AB200" s="231">
        <f t="shared" ca="1" si="195"/>
        <v>9915.697787721474</v>
      </c>
      <c r="AC200" s="231">
        <f t="shared" ca="1" si="196"/>
        <v>53227.034386798528</v>
      </c>
      <c r="AD200" s="231">
        <f t="shared" ca="1" si="197"/>
        <v>1848.1609162082821</v>
      </c>
      <c r="AE200" s="231">
        <f t="shared" ca="1" si="166"/>
        <v>13160.971093354843</v>
      </c>
      <c r="AF200" s="231">
        <f t="shared" ca="1" si="167"/>
        <v>78268.472450744463</v>
      </c>
      <c r="AG200" s="232">
        <f t="shared" ca="1" si="168"/>
        <v>133784.62614381249</v>
      </c>
      <c r="AH200" s="244">
        <f t="shared" ca="1" si="198"/>
        <v>1.9596040660922256</v>
      </c>
      <c r="AI200" s="243">
        <f t="shared" ca="1" si="199"/>
        <v>3.0097866491885719</v>
      </c>
      <c r="AJ200" s="242">
        <f t="shared" ca="1" si="200"/>
        <v>4.969390715280797</v>
      </c>
      <c r="AK200" s="241">
        <f t="shared" ca="1" si="201"/>
        <v>1.4109149275864024</v>
      </c>
      <c r="AL200" s="243">
        <f t="shared" ca="1" si="202"/>
        <v>1.3333354855905373</v>
      </c>
      <c r="AM200" s="243"/>
      <c r="AN200" s="242">
        <f t="shared" ca="1" si="169"/>
        <v>2.7442504131769399</v>
      </c>
      <c r="AO200" s="224"/>
      <c r="AP200" s="235">
        <f t="shared" si="203"/>
        <v>14.923076923076923</v>
      </c>
      <c r="AQ200" s="235">
        <f t="shared" si="170"/>
        <v>0.64332304403667895</v>
      </c>
      <c r="AR200" s="235">
        <f t="shared" si="171"/>
        <v>0.80076808191647753</v>
      </c>
      <c r="AT200" s="230">
        <f t="shared" ca="1" si="172"/>
        <v>24868.219720657231</v>
      </c>
      <c r="AU200" s="231">
        <f t="shared" ca="1" si="173"/>
        <v>1547.9356760239173</v>
      </c>
      <c r="AV200" s="231">
        <f t="shared" ca="1" si="204"/>
        <v>2331.6943142397754</v>
      </c>
      <c r="AW200" s="231"/>
      <c r="AX200" s="231">
        <f t="shared" ca="1" si="205"/>
        <v>6192.8633565437476</v>
      </c>
      <c r="AY200" s="231">
        <f t="shared" ca="1" si="206"/>
        <v>774.10791956796845</v>
      </c>
      <c r="AZ200" s="231"/>
      <c r="BA200" s="232">
        <f t="shared" ca="1" si="174"/>
        <v>35714.820987032639</v>
      </c>
      <c r="BB200" s="231">
        <f t="shared" ca="1" si="175"/>
        <v>75.016785068412801</v>
      </c>
      <c r="BC200" s="231">
        <f t="shared" ca="1" si="207"/>
        <v>6378.996884544742</v>
      </c>
      <c r="BD200" s="231">
        <f t="shared" ca="1" si="208"/>
        <v>34242.177786760214</v>
      </c>
      <c r="BE200" s="231">
        <f t="shared" ca="1" si="209"/>
        <v>1188.9645064847296</v>
      </c>
      <c r="BF200" s="231">
        <f t="shared" ca="1" si="176"/>
        <v>8466.7559862557773</v>
      </c>
      <c r="BG200" s="231">
        <f t="shared" ca="1" si="177"/>
        <v>50351.91194911387</v>
      </c>
      <c r="BH200" s="232">
        <f t="shared" ca="1" si="178"/>
        <v>86066.732936146509</v>
      </c>
      <c r="BI200" s="244">
        <f t="shared" ca="1" si="210"/>
        <v>1.5691883893204017</v>
      </c>
      <c r="BJ200" s="243">
        <f t="shared" ca="1" si="211"/>
        <v>2.4101410820485549</v>
      </c>
      <c r="BK200" s="242">
        <f t="shared" ca="1" si="212"/>
        <v>3.9793294713689562</v>
      </c>
      <c r="BL200" s="241">
        <f t="shared" ca="1" si="213"/>
        <v>1.1298156403106892</v>
      </c>
      <c r="BM200" s="243">
        <f t="shared" ca="1" si="214"/>
        <v>1.0676924993475096</v>
      </c>
      <c r="BN200" s="243">
        <f t="shared" si="179"/>
        <v>0</v>
      </c>
      <c r="BO200" s="242">
        <f t="shared" ca="1" si="180"/>
        <v>2.1975081396581992</v>
      </c>
      <c r="BP200" s="67"/>
      <c r="BQ200" s="67"/>
      <c r="BR200" s="67"/>
      <c r="BS200" s="67"/>
      <c r="BT200" s="67"/>
      <c r="BU200" s="67"/>
    </row>
    <row r="201" spans="1:73" ht="12" customHeight="1" x14ac:dyDescent="0.15">
      <c r="A201" s="213">
        <f t="shared" si="181"/>
        <v>195</v>
      </c>
      <c r="B201" s="67">
        <f t="shared" si="182"/>
        <v>780</v>
      </c>
      <c r="C201" s="224">
        <f t="shared" si="183"/>
        <v>180</v>
      </c>
      <c r="D201" s="225">
        <f ca="1">IFERROR(OFFSET(extrapolation!V210,0,OS_dist_choice-1,1,1),0)</f>
        <v>6.4140243235295546E-2</v>
      </c>
      <c r="E201" s="225">
        <f ca="1">IFERROR(OFFSET(extrapolation!J210,0,PFS_dist_choice-1,1,1),0)</f>
        <v>2.5362401139024625E-2</v>
      </c>
      <c r="F201" s="214"/>
      <c r="G201" s="226">
        <f t="shared" ca="1" si="184"/>
        <v>25.362401139024623</v>
      </c>
      <c r="H201" s="224">
        <f t="shared" ca="1" si="185"/>
        <v>38.777842096270888</v>
      </c>
      <c r="I201" s="224">
        <f t="shared" ca="1" si="162"/>
        <v>935.85975676470446</v>
      </c>
      <c r="J201" s="227">
        <f t="shared" ca="1" si="163"/>
        <v>1000</v>
      </c>
      <c r="K201" s="238">
        <f t="shared" ca="1" si="186"/>
        <v>0.13283159277968792</v>
      </c>
      <c r="L201" s="239">
        <f t="shared" ca="1" si="187"/>
        <v>0.4540026716807688</v>
      </c>
      <c r="M201" s="238">
        <f t="shared" ca="1" si="188"/>
        <v>25.428816935414467</v>
      </c>
      <c r="N201" s="238">
        <f t="shared" ca="1" si="189"/>
        <v>38.938427635721439</v>
      </c>
      <c r="O201" s="239">
        <f t="shared" ca="1" si="190"/>
        <v>935.63275542886413</v>
      </c>
      <c r="P201" s="217"/>
      <c r="Q201" s="217"/>
      <c r="R201" s="224"/>
      <c r="S201" s="230">
        <f t="shared" ca="1" si="191"/>
        <v>38454.482751949588</v>
      </c>
      <c r="T201" s="231">
        <f t="shared" ca="1" si="192"/>
        <v>2393.6199061866732</v>
      </c>
      <c r="U201" s="231">
        <f t="shared" ca="1" si="215"/>
        <v>3605.5696707260181</v>
      </c>
      <c r="V201" s="231"/>
      <c r="W201" s="231">
        <f t="shared" ca="1" si="193"/>
        <v>9576.0855968061223</v>
      </c>
      <c r="X201" s="231">
        <f t="shared" ca="1" si="194"/>
        <v>1197.0106996007653</v>
      </c>
      <c r="Y201" s="231"/>
      <c r="Z201" s="232">
        <f t="shared" ca="1" si="164"/>
        <v>55226.768625269171</v>
      </c>
      <c r="AA201" s="231">
        <f t="shared" ca="1" si="165"/>
        <v>115.41502122852718</v>
      </c>
      <c r="AB201" s="231">
        <f t="shared" ca="1" si="195"/>
        <v>9834.0811448026179</v>
      </c>
      <c r="AC201" s="231">
        <f t="shared" ca="1" si="196"/>
        <v>52788.919797973882</v>
      </c>
      <c r="AD201" s="231">
        <f t="shared" ca="1" si="197"/>
        <v>1832.9486040963154</v>
      </c>
      <c r="AE201" s="231">
        <f t="shared" ca="1" si="166"/>
        <v>13007.412579643034</v>
      </c>
      <c r="AF201" s="231">
        <f t="shared" ca="1" si="167"/>
        <v>77578.777147744375</v>
      </c>
      <c r="AG201" s="232">
        <f t="shared" ca="1" si="168"/>
        <v>132805.54577301355</v>
      </c>
      <c r="AH201" s="244">
        <f t="shared" ca="1" si="198"/>
        <v>1.9493685809489532</v>
      </c>
      <c r="AI201" s="243">
        <f t="shared" ca="1" si="199"/>
        <v>2.9850129330600965</v>
      </c>
      <c r="AJ201" s="242">
        <f t="shared" ca="1" si="200"/>
        <v>4.9343815140090497</v>
      </c>
      <c r="AK201" s="241">
        <f t="shared" ca="1" si="201"/>
        <v>1.4035453782832463</v>
      </c>
      <c r="AL201" s="243">
        <f t="shared" ca="1" si="202"/>
        <v>1.3223607293456228</v>
      </c>
      <c r="AM201" s="243"/>
      <c r="AN201" s="242">
        <f t="shared" ca="1" si="169"/>
        <v>2.7259061076288691</v>
      </c>
      <c r="AO201" s="224"/>
      <c r="AP201" s="235">
        <f t="shared" si="203"/>
        <v>15</v>
      </c>
      <c r="AQ201" s="235">
        <f t="shared" si="170"/>
        <v>0.64186194739671765</v>
      </c>
      <c r="AR201" s="235">
        <f t="shared" si="171"/>
        <v>0.79985150490981216</v>
      </c>
      <c r="AT201" s="230">
        <f t="shared" ca="1" si="172"/>
        <v>24682.469185299851</v>
      </c>
      <c r="AU201" s="231">
        <f t="shared" ca="1" si="173"/>
        <v>1536.3735343125268</v>
      </c>
      <c r="AV201" s="231">
        <f t="shared" ca="1" si="204"/>
        <v>2314.2779703267438</v>
      </c>
      <c r="AW201" s="231"/>
      <c r="AX201" s="231">
        <f t="shared" ca="1" si="205"/>
        <v>6146.5249496036367</v>
      </c>
      <c r="AY201" s="231">
        <f t="shared" ca="1" si="206"/>
        <v>768.31561870045459</v>
      </c>
      <c r="AZ201" s="231"/>
      <c r="BA201" s="232">
        <f t="shared" ca="1" si="174"/>
        <v>35447.961258243216</v>
      </c>
      <c r="BB201" s="231">
        <f t="shared" ca="1" si="175"/>
        <v>74.080510284575965</v>
      </c>
      <c r="BC201" s="231">
        <f t="shared" ca="1" si="207"/>
        <v>6312.1224744603505</v>
      </c>
      <c r="BD201" s="231">
        <f t="shared" ca="1" si="208"/>
        <v>33883.198862496662</v>
      </c>
      <c r="BE201" s="231">
        <f t="shared" ca="1" si="209"/>
        <v>1176.4999605033563</v>
      </c>
      <c r="BF201" s="231">
        <f t="shared" ca="1" si="176"/>
        <v>8348.9631689622402</v>
      </c>
      <c r="BG201" s="231">
        <f t="shared" ca="1" si="177"/>
        <v>49794.864976707184</v>
      </c>
      <c r="BH201" s="232">
        <f t="shared" ca="1" si="178"/>
        <v>85242.826234950408</v>
      </c>
      <c r="BI201" s="244">
        <f t="shared" ca="1" si="210"/>
        <v>1.5592053930959251</v>
      </c>
      <c r="BJ201" s="243">
        <f t="shared" ca="1" si="211"/>
        <v>2.3875670866833705</v>
      </c>
      <c r="BK201" s="242">
        <f t="shared" ca="1" si="212"/>
        <v>3.9467724797792956</v>
      </c>
      <c r="BL201" s="241">
        <f t="shared" ca="1" si="213"/>
        <v>1.1226278830290661</v>
      </c>
      <c r="BM201" s="243">
        <f t="shared" ca="1" si="214"/>
        <v>1.0576922194007332</v>
      </c>
      <c r="BN201" s="243">
        <f t="shared" si="179"/>
        <v>0</v>
      </c>
      <c r="BO201" s="242">
        <f t="shared" ca="1" si="180"/>
        <v>2.1803201024297993</v>
      </c>
      <c r="BP201" s="67"/>
      <c r="BQ201" s="67"/>
      <c r="BR201" s="67"/>
      <c r="BS201" s="67"/>
      <c r="BT201" s="67"/>
      <c r="BU201" s="67"/>
    </row>
    <row r="202" spans="1:73" ht="12" customHeight="1" x14ac:dyDescent="0.15">
      <c r="A202" s="213">
        <f t="shared" si="181"/>
        <v>196</v>
      </c>
      <c r="B202" s="67">
        <f t="shared" si="182"/>
        <v>784</v>
      </c>
      <c r="C202" s="224">
        <f t="shared" si="183"/>
        <v>180.92307692307691</v>
      </c>
      <c r="D202" s="225">
        <f ca="1">IFERROR(OFFSET(extrapolation!V211,0,OS_dist_choice-1,1,1),0)</f>
        <v>6.3691513795928564E-2</v>
      </c>
      <c r="E202" s="225">
        <f ca="1">IFERROR(OFFSET(extrapolation!J211,0,PFS_dist_choice-1,1,1),0)</f>
        <v>2.5230922003561966E-2</v>
      </c>
      <c r="F202" s="214"/>
      <c r="G202" s="226">
        <f t="shared" ca="1" si="184"/>
        <v>25.230922003561965</v>
      </c>
      <c r="H202" s="224">
        <f t="shared" ca="1" si="185"/>
        <v>38.460591792366472</v>
      </c>
      <c r="I202" s="224">
        <f t="shared" ca="1" si="162"/>
        <v>936.30848620407153</v>
      </c>
      <c r="J202" s="227">
        <f t="shared" ca="1" si="163"/>
        <v>1000</v>
      </c>
      <c r="K202" s="238">
        <f t="shared" ca="1" si="186"/>
        <v>0.13147913546265855</v>
      </c>
      <c r="L202" s="239">
        <f t="shared" ca="1" si="187"/>
        <v>0.44872943936707088</v>
      </c>
      <c r="M202" s="238">
        <f t="shared" ca="1" si="188"/>
        <v>25.296661571293292</v>
      </c>
      <c r="N202" s="238">
        <f t="shared" ca="1" si="189"/>
        <v>38.61921694431868</v>
      </c>
      <c r="O202" s="239">
        <f t="shared" ca="1" si="190"/>
        <v>936.08412148438799</v>
      </c>
      <c r="P202" s="217"/>
      <c r="Q202" s="217"/>
      <c r="R202" s="224"/>
      <c r="S202" s="230">
        <f t="shared" ca="1" si="191"/>
        <v>38255.134034169452</v>
      </c>
      <c r="T202" s="231">
        <f t="shared" ca="1" si="192"/>
        <v>2381.211338316205</v>
      </c>
      <c r="U202" s="231">
        <f t="shared" ca="1" si="215"/>
        <v>3586.8783338703756</v>
      </c>
      <c r="V202" s="231"/>
      <c r="W202" s="231">
        <f t="shared" ca="1" si="193"/>
        <v>9526.3180011639124</v>
      </c>
      <c r="X202" s="231">
        <f t="shared" ca="1" si="194"/>
        <v>1190.7897501454891</v>
      </c>
      <c r="Y202" s="231"/>
      <c r="Z202" s="232">
        <f t="shared" ca="1" si="164"/>
        <v>54940.33145766543</v>
      </c>
      <c r="AA202" s="231">
        <f t="shared" ca="1" si="165"/>
        <v>114.23989499018931</v>
      </c>
      <c r="AB202" s="231">
        <f t="shared" ca="1" si="195"/>
        <v>9753.4629988694869</v>
      </c>
      <c r="AC202" s="231">
        <f t="shared" ca="1" si="196"/>
        <v>52356.165097533507</v>
      </c>
      <c r="AD202" s="231">
        <f t="shared" ca="1" si="197"/>
        <v>1817.9223992199131</v>
      </c>
      <c r="AE202" s="231">
        <f t="shared" ca="1" si="166"/>
        <v>12856.331732302109</v>
      </c>
      <c r="AF202" s="231">
        <f t="shared" ca="1" si="167"/>
        <v>76898.1221229152</v>
      </c>
      <c r="AG202" s="232">
        <f t="shared" ca="1" si="168"/>
        <v>131838.45358058062</v>
      </c>
      <c r="AH202" s="244">
        <f t="shared" ca="1" si="198"/>
        <v>1.9392375742538321</v>
      </c>
      <c r="AI202" s="243">
        <f t="shared" ca="1" si="199"/>
        <v>2.960542298263992</v>
      </c>
      <c r="AJ202" s="242">
        <f t="shared" ca="1" si="200"/>
        <v>4.8997798725178239</v>
      </c>
      <c r="AK202" s="241">
        <f t="shared" ca="1" si="201"/>
        <v>1.396251053462759</v>
      </c>
      <c r="AL202" s="243">
        <f t="shared" ca="1" si="202"/>
        <v>1.3115202381309485</v>
      </c>
      <c r="AM202" s="243"/>
      <c r="AN202" s="242">
        <f t="shared" ca="1" si="169"/>
        <v>2.7077712915937076</v>
      </c>
      <c r="AO202" s="224"/>
      <c r="AP202" s="235">
        <f t="shared" si="203"/>
        <v>15.076923076923077</v>
      </c>
      <c r="AQ202" s="235">
        <f t="shared" si="170"/>
        <v>0.64040416915706977</v>
      </c>
      <c r="AR202" s="235">
        <f t="shared" si="171"/>
        <v>0.79893597703763075</v>
      </c>
      <c r="AT202" s="230">
        <f t="shared" ca="1" si="172"/>
        <v>24498.747327144632</v>
      </c>
      <c r="AU202" s="231">
        <f t="shared" ca="1" si="173"/>
        <v>1524.9376687017834</v>
      </c>
      <c r="AV202" s="231">
        <f t="shared" ca="1" si="204"/>
        <v>2297.0518392697527</v>
      </c>
      <c r="AW202" s="231"/>
      <c r="AX202" s="231">
        <f t="shared" ca="1" si="205"/>
        <v>6100.6937646614133</v>
      </c>
      <c r="AY202" s="231">
        <f t="shared" ca="1" si="206"/>
        <v>762.58672058267666</v>
      </c>
      <c r="AZ202" s="231"/>
      <c r="BA202" s="232">
        <f t="shared" ca="1" si="174"/>
        <v>35184.017320360254</v>
      </c>
      <c r="BB202" s="231">
        <f t="shared" ca="1" si="175"/>
        <v>73.159705035783091</v>
      </c>
      <c r="BC202" s="231">
        <f t="shared" ca="1" si="207"/>
        <v>6246.1583681952361</v>
      </c>
      <c r="BD202" s="231">
        <f t="shared" ca="1" si="208"/>
        <v>33529.106409536318</v>
      </c>
      <c r="BE202" s="231">
        <f t="shared" ca="1" si="209"/>
        <v>1164.2050836644553</v>
      </c>
      <c r="BF202" s="231">
        <f t="shared" ca="1" si="176"/>
        <v>8233.2484414326045</v>
      </c>
      <c r="BG202" s="231">
        <f t="shared" ca="1" si="177"/>
        <v>49245.878007864398</v>
      </c>
      <c r="BH202" s="232">
        <f t="shared" ca="1" si="178"/>
        <v>84429.895328224637</v>
      </c>
      <c r="BI202" s="244">
        <f t="shared" ca="1" si="210"/>
        <v>1.5493266660945704</v>
      </c>
      <c r="BJ202" s="243">
        <f t="shared" ca="1" si="211"/>
        <v>2.3652837536247753</v>
      </c>
      <c r="BK202" s="242">
        <f t="shared" ca="1" si="212"/>
        <v>3.9146104197193456</v>
      </c>
      <c r="BL202" s="241">
        <f t="shared" ca="1" si="213"/>
        <v>1.1155151995880905</v>
      </c>
      <c r="BM202" s="243">
        <f t="shared" ca="1" si="214"/>
        <v>1.0478207028557756</v>
      </c>
      <c r="BN202" s="243">
        <f t="shared" si="179"/>
        <v>0</v>
      </c>
      <c r="BO202" s="242">
        <f t="shared" ca="1" si="180"/>
        <v>2.1633359024438663</v>
      </c>
      <c r="BP202" s="67"/>
      <c r="BQ202" s="67"/>
      <c r="BR202" s="67"/>
      <c r="BS202" s="67"/>
      <c r="BT202" s="67"/>
      <c r="BU202" s="67"/>
    </row>
    <row r="203" spans="1:73" ht="12" customHeight="1" x14ac:dyDescent="0.15">
      <c r="A203" s="213">
        <f t="shared" si="181"/>
        <v>197</v>
      </c>
      <c r="B203" s="67">
        <f t="shared" si="182"/>
        <v>788</v>
      </c>
      <c r="C203" s="224">
        <f t="shared" si="183"/>
        <v>181.84615384615384</v>
      </c>
      <c r="D203" s="225">
        <f ca="1">IFERROR(OFFSET(extrapolation!V212,0,OS_dist_choice-1,1,1),0)</f>
        <v>6.3247972880405096E-2</v>
      </c>
      <c r="E203" s="225">
        <f ca="1">IFERROR(OFFSET(extrapolation!J212,0,PFS_dist_choice-1,1,1),0)</f>
        <v>2.5100774890917422E-2</v>
      </c>
      <c r="F203" s="214"/>
      <c r="G203" s="226">
        <f t="shared" ca="1" si="184"/>
        <v>25.100774890917421</v>
      </c>
      <c r="H203" s="224">
        <f t="shared" ca="1" si="185"/>
        <v>38.147197989487722</v>
      </c>
      <c r="I203" s="224">
        <f t="shared" ca="1" si="162"/>
        <v>936.75202711959491</v>
      </c>
      <c r="J203" s="227">
        <f t="shared" ca="1" si="163"/>
        <v>1000</v>
      </c>
      <c r="K203" s="238">
        <f t="shared" ca="1" si="186"/>
        <v>0.13014711264454348</v>
      </c>
      <c r="L203" s="239">
        <f t="shared" ca="1" si="187"/>
        <v>0.44354091552338559</v>
      </c>
      <c r="M203" s="238">
        <f t="shared" ca="1" si="188"/>
        <v>25.165848447239693</v>
      </c>
      <c r="N203" s="238">
        <f t="shared" ca="1" si="189"/>
        <v>38.303894890927097</v>
      </c>
      <c r="O203" s="239">
        <f t="shared" ca="1" si="190"/>
        <v>936.53025666183316</v>
      </c>
      <c r="P203" s="217"/>
      <c r="Q203" s="217"/>
      <c r="R203" s="224"/>
      <c r="S203" s="230">
        <f t="shared" ca="1" si="191"/>
        <v>38057.804929918952</v>
      </c>
      <c r="T203" s="231">
        <f t="shared" ca="1" si="192"/>
        <v>2368.9284823732255</v>
      </c>
      <c r="U203" s="231">
        <f t="shared" ca="1" si="215"/>
        <v>3568.3763600426018</v>
      </c>
      <c r="V203" s="231"/>
      <c r="W203" s="231">
        <f t="shared" ca="1" si="193"/>
        <v>9477.0558716553132</v>
      </c>
      <c r="X203" s="231">
        <f t="shared" ca="1" si="194"/>
        <v>1184.6319839569142</v>
      </c>
      <c r="Y203" s="231"/>
      <c r="Z203" s="232">
        <f t="shared" ca="1" si="164"/>
        <v>54656.797627947002</v>
      </c>
      <c r="AA203" s="231">
        <f t="shared" ca="1" si="165"/>
        <v>113.08252392647998</v>
      </c>
      <c r="AB203" s="231">
        <f t="shared" ca="1" si="195"/>
        <v>9673.8269465663907</v>
      </c>
      <c r="AC203" s="231">
        <f t="shared" ca="1" si="196"/>
        <v>51928.682232977611</v>
      </c>
      <c r="AD203" s="231">
        <f t="shared" ca="1" si="197"/>
        <v>1803.0792442006114</v>
      </c>
      <c r="AE203" s="231">
        <f t="shared" ca="1" si="166"/>
        <v>12707.677826666979</v>
      </c>
      <c r="AF203" s="231">
        <f t="shared" ca="1" si="167"/>
        <v>76226.348774338083</v>
      </c>
      <c r="AG203" s="232">
        <f t="shared" ca="1" si="168"/>
        <v>130883.14640228509</v>
      </c>
      <c r="AH203" s="244">
        <f t="shared" ca="1" si="198"/>
        <v>1.9292094634434263</v>
      </c>
      <c r="AI203" s="243">
        <f t="shared" ca="1" si="199"/>
        <v>2.9363697657658006</v>
      </c>
      <c r="AJ203" s="242">
        <f t="shared" ca="1" si="200"/>
        <v>4.865579229209227</v>
      </c>
      <c r="AK203" s="241">
        <f t="shared" ca="1" si="201"/>
        <v>1.3890308136792668</v>
      </c>
      <c r="AL203" s="243">
        <f t="shared" ca="1" si="202"/>
        <v>1.3008118062342497</v>
      </c>
      <c r="AM203" s="243"/>
      <c r="AN203" s="242">
        <f t="shared" ca="1" si="169"/>
        <v>2.6898426199135166</v>
      </c>
      <c r="AO203" s="224"/>
      <c r="AP203" s="235">
        <f t="shared" si="203"/>
        <v>15.153846153846153</v>
      </c>
      <c r="AQ203" s="235">
        <f t="shared" si="170"/>
        <v>0.63894970178108168</v>
      </c>
      <c r="AR203" s="235">
        <f t="shared" si="171"/>
        <v>0.79802149709907177</v>
      </c>
      <c r="AT203" s="230">
        <f t="shared" ca="1" si="172"/>
        <v>24317.023110414295</v>
      </c>
      <c r="AU203" s="231">
        <f t="shared" ca="1" si="173"/>
        <v>1513.6261473530828</v>
      </c>
      <c r="AV203" s="231">
        <f t="shared" ca="1" si="204"/>
        <v>2280.0130110918822</v>
      </c>
      <c r="AW203" s="231"/>
      <c r="AX203" s="231">
        <f t="shared" ca="1" si="205"/>
        <v>6055.3620229568114</v>
      </c>
      <c r="AY203" s="231">
        <f t="shared" ca="1" si="206"/>
        <v>756.92025286960143</v>
      </c>
      <c r="AZ203" s="231"/>
      <c r="BA203" s="232">
        <f t="shared" ca="1" si="174"/>
        <v>34922.94454468567</v>
      </c>
      <c r="BB203" s="231">
        <f t="shared" ca="1" si="175"/>
        <v>72.254044939476415</v>
      </c>
      <c r="BC203" s="231">
        <f t="shared" ca="1" si="207"/>
        <v>6181.0888425903877</v>
      </c>
      <c r="BD203" s="231">
        <f t="shared" ca="1" si="208"/>
        <v>33179.816026645596</v>
      </c>
      <c r="BE203" s="231">
        <f t="shared" ca="1" si="209"/>
        <v>1152.0769453696387</v>
      </c>
      <c r="BF203" s="231">
        <f t="shared" ca="1" si="176"/>
        <v>8119.5669576789305</v>
      </c>
      <c r="BG203" s="231">
        <f t="shared" ca="1" si="177"/>
        <v>48704.802817224037</v>
      </c>
      <c r="BH203" s="232">
        <f t="shared" ca="1" si="178"/>
        <v>83627.747361909715</v>
      </c>
      <c r="BI203" s="244">
        <f t="shared" ca="1" si="210"/>
        <v>1.53955062423482</v>
      </c>
      <c r="BJ203" s="243">
        <f t="shared" ca="1" si="211"/>
        <v>2.3432861965128748</v>
      </c>
      <c r="BK203" s="242">
        <f t="shared" ca="1" si="212"/>
        <v>3.8828368207476949</v>
      </c>
      <c r="BL203" s="241">
        <f t="shared" ca="1" si="213"/>
        <v>1.1084764494490704</v>
      </c>
      <c r="BM203" s="243">
        <f t="shared" ca="1" si="214"/>
        <v>1.0380757850552036</v>
      </c>
      <c r="BN203" s="243">
        <f t="shared" si="179"/>
        <v>0</v>
      </c>
      <c r="BO203" s="242">
        <f t="shared" ca="1" si="180"/>
        <v>2.146552234504274</v>
      </c>
      <c r="BP203" s="67"/>
      <c r="BQ203" s="67"/>
      <c r="BR203" s="67"/>
      <c r="BS203" s="67"/>
      <c r="BT203" s="67"/>
      <c r="BU203" s="67"/>
    </row>
    <row r="204" spans="1:73" ht="12" customHeight="1" x14ac:dyDescent="0.15">
      <c r="A204" s="213">
        <f t="shared" si="181"/>
        <v>198</v>
      </c>
      <c r="B204" s="67">
        <f t="shared" si="182"/>
        <v>792</v>
      </c>
      <c r="C204" s="224">
        <f t="shared" si="183"/>
        <v>182.76923076923077</v>
      </c>
      <c r="D204" s="225">
        <f ca="1">IFERROR(OFFSET(extrapolation!V213,0,OS_dist_choice-1,1,1),0)</f>
        <v>6.2809537507014901E-2</v>
      </c>
      <c r="E204" s="225">
        <f ca="1">IFERROR(OFFSET(extrapolation!J213,0,PFS_dist_choice-1,1,1),0)</f>
        <v>2.4971939775091441E-2</v>
      </c>
      <c r="F204" s="214"/>
      <c r="G204" s="226">
        <f t="shared" ca="1" si="184"/>
        <v>24.971939775091442</v>
      </c>
      <c r="H204" s="224">
        <f t="shared" ca="1" si="185"/>
        <v>37.837597731923438</v>
      </c>
      <c r="I204" s="224">
        <f t="shared" ca="1" si="162"/>
        <v>937.19046249298515</v>
      </c>
      <c r="J204" s="227">
        <f t="shared" ca="1" si="163"/>
        <v>1000</v>
      </c>
      <c r="K204" s="238">
        <f t="shared" ca="1" si="186"/>
        <v>0.12883511582597862</v>
      </c>
      <c r="L204" s="239">
        <f t="shared" ca="1" si="187"/>
        <v>0.43843537339023442</v>
      </c>
      <c r="M204" s="238">
        <f t="shared" ca="1" si="188"/>
        <v>25.036357333004432</v>
      </c>
      <c r="N204" s="238">
        <f t="shared" ca="1" si="189"/>
        <v>37.99239786070558</v>
      </c>
      <c r="O204" s="239">
        <f t="shared" ca="1" si="190"/>
        <v>936.97124480629009</v>
      </c>
      <c r="P204" s="217"/>
      <c r="Q204" s="217"/>
      <c r="R204" s="224"/>
      <c r="S204" s="230">
        <f t="shared" ca="1" si="191"/>
        <v>37862.465075769556</v>
      </c>
      <c r="T204" s="231">
        <f t="shared" ca="1" si="192"/>
        <v>2356.7694483698388</v>
      </c>
      <c r="U204" s="231">
        <f t="shared" ca="1" si="215"/>
        <v>3550.060902306549</v>
      </c>
      <c r="V204" s="231"/>
      <c r="W204" s="231">
        <f t="shared" ca="1" si="193"/>
        <v>9428.2915898921401</v>
      </c>
      <c r="X204" s="231">
        <f t="shared" ca="1" si="194"/>
        <v>1178.5364487365175</v>
      </c>
      <c r="Y204" s="231"/>
      <c r="Z204" s="232">
        <f t="shared" ca="1" si="164"/>
        <v>54376.123465074597</v>
      </c>
      <c r="AA204" s="231">
        <f t="shared" ca="1" si="165"/>
        <v>111.94255309952788</v>
      </c>
      <c r="AB204" s="231">
        <f t="shared" ca="1" si="195"/>
        <v>9595.1569216691023</v>
      </c>
      <c r="AC204" s="231">
        <f t="shared" ca="1" si="196"/>
        <v>51506.384961513424</v>
      </c>
      <c r="AD204" s="231">
        <f t="shared" ca="1" si="197"/>
        <v>1788.4161444969939</v>
      </c>
      <c r="AE204" s="231">
        <f t="shared" ca="1" si="166"/>
        <v>12561.401390180843</v>
      </c>
      <c r="AF204" s="231">
        <f t="shared" ca="1" si="167"/>
        <v>75563.301970959903</v>
      </c>
      <c r="AG204" s="232">
        <f t="shared" ca="1" si="168"/>
        <v>129939.42543603451</v>
      </c>
      <c r="AH204" s="244">
        <f t="shared" ca="1" si="198"/>
        <v>1.9192826976704285</v>
      </c>
      <c r="AI204" s="243">
        <f t="shared" ca="1" si="199"/>
        <v>2.9124904588631244</v>
      </c>
      <c r="AJ204" s="242">
        <f t="shared" ca="1" si="200"/>
        <v>4.8317731565335524</v>
      </c>
      <c r="AK204" s="241">
        <f t="shared" ca="1" si="201"/>
        <v>1.3818835423227085</v>
      </c>
      <c r="AL204" s="243">
        <f t="shared" ca="1" si="202"/>
        <v>1.2902332732763642</v>
      </c>
      <c r="AM204" s="243"/>
      <c r="AN204" s="242">
        <f t="shared" ca="1" si="169"/>
        <v>2.6721168155990727</v>
      </c>
      <c r="AO204" s="224"/>
      <c r="AP204" s="235">
        <f t="shared" si="203"/>
        <v>15.23076923076923</v>
      </c>
      <c r="AQ204" s="235">
        <f t="shared" si="170"/>
        <v>0.63749853774921539</v>
      </c>
      <c r="AR204" s="235">
        <f t="shared" si="171"/>
        <v>0.79710806389464695</v>
      </c>
      <c r="AT204" s="230">
        <f t="shared" ca="1" si="172"/>
        <v>24137.266121383829</v>
      </c>
      <c r="AU204" s="231">
        <f t="shared" ca="1" si="173"/>
        <v>1502.4370771477973</v>
      </c>
      <c r="AV204" s="231">
        <f t="shared" ca="1" si="204"/>
        <v>2263.1586341410853</v>
      </c>
      <c r="AW204" s="231"/>
      <c r="AX204" s="231">
        <f t="shared" ca="1" si="205"/>
        <v>6010.5221020294648</v>
      </c>
      <c r="AY204" s="231">
        <f t="shared" ca="1" si="206"/>
        <v>751.3152627536831</v>
      </c>
      <c r="AZ204" s="231"/>
      <c r="BA204" s="232">
        <f t="shared" ca="1" si="174"/>
        <v>34664.699197455855</v>
      </c>
      <c r="BB204" s="231">
        <f t="shared" ca="1" si="175"/>
        <v>71.363213912862932</v>
      </c>
      <c r="BC204" s="231">
        <f t="shared" ca="1" si="207"/>
        <v>6116.898507038316</v>
      </c>
      <c r="BD204" s="231">
        <f t="shared" ca="1" si="208"/>
        <v>32835.245097712985</v>
      </c>
      <c r="BE204" s="231">
        <f t="shared" ca="1" si="209"/>
        <v>1140.1126770039232</v>
      </c>
      <c r="BF204" s="231">
        <f t="shared" ca="1" si="176"/>
        <v>8007.8750183212487</v>
      </c>
      <c r="BG204" s="231">
        <f t="shared" ca="1" si="177"/>
        <v>48171.494513989346</v>
      </c>
      <c r="BH204" s="232">
        <f t="shared" ca="1" si="178"/>
        <v>82836.193711445201</v>
      </c>
      <c r="BI204" s="244">
        <f t="shared" ca="1" si="210"/>
        <v>1.5298757152065703</v>
      </c>
      <c r="BJ204" s="243">
        <f t="shared" ca="1" si="211"/>
        <v>2.321569630776017</v>
      </c>
      <c r="BK204" s="242">
        <f t="shared" ca="1" si="212"/>
        <v>3.851445345982587</v>
      </c>
      <c r="BL204" s="241">
        <f t="shared" ca="1" si="213"/>
        <v>1.1015105149487305</v>
      </c>
      <c r="BM204" s="243">
        <f t="shared" ca="1" si="214"/>
        <v>1.0284553464337756</v>
      </c>
      <c r="BN204" s="243">
        <f t="shared" si="179"/>
        <v>0</v>
      </c>
      <c r="BO204" s="242">
        <f t="shared" ca="1" si="180"/>
        <v>2.1299658613825061</v>
      </c>
      <c r="BP204" s="67"/>
      <c r="BQ204" s="67"/>
      <c r="BR204" s="67"/>
      <c r="BS204" s="67"/>
      <c r="BT204" s="67"/>
      <c r="BU204" s="67"/>
    </row>
    <row r="205" spans="1:73" ht="12" customHeight="1" x14ac:dyDescent="0.15">
      <c r="A205" s="213">
        <f t="shared" si="181"/>
        <v>199</v>
      </c>
      <c r="B205" s="67">
        <f t="shared" si="182"/>
        <v>796</v>
      </c>
      <c r="C205" s="224">
        <f t="shared" si="183"/>
        <v>183.69230769230771</v>
      </c>
      <c r="D205" s="225">
        <f ca="1">IFERROR(OFFSET(extrapolation!V214,0,OS_dist_choice-1,1,1),0)</f>
        <v>6.2376126378361922E-2</v>
      </c>
      <c r="E205" s="225">
        <f ca="1">IFERROR(OFFSET(extrapolation!J214,0,PFS_dist_choice-1,1,1),0)</f>
        <v>2.4844397028442412E-2</v>
      </c>
      <c r="F205" s="214"/>
      <c r="G205" s="226">
        <f t="shared" ca="1" si="184"/>
        <v>24.844397028442412</v>
      </c>
      <c r="H205" s="224">
        <f t="shared" ca="1" si="185"/>
        <v>37.531729349919488</v>
      </c>
      <c r="I205" s="224">
        <f t="shared" ca="1" si="162"/>
        <v>937.62387362163815</v>
      </c>
      <c r="J205" s="227">
        <f t="shared" ca="1" si="163"/>
        <v>1000</v>
      </c>
      <c r="K205" s="238">
        <f t="shared" ca="1" si="186"/>
        <v>0.12754274664903065</v>
      </c>
      <c r="L205" s="239">
        <f t="shared" ca="1" si="187"/>
        <v>0.43341112865300602</v>
      </c>
      <c r="M205" s="238">
        <f t="shared" ca="1" si="188"/>
        <v>24.908168401766929</v>
      </c>
      <c r="N205" s="238">
        <f t="shared" ca="1" si="189"/>
        <v>37.684663540921463</v>
      </c>
      <c r="O205" s="239">
        <f t="shared" ca="1" si="190"/>
        <v>937.40716805731165</v>
      </c>
      <c r="P205" s="217"/>
      <c r="Q205" s="217"/>
      <c r="R205" s="224"/>
      <c r="S205" s="230">
        <f t="shared" ca="1" si="191"/>
        <v>37669.084712283198</v>
      </c>
      <c r="T205" s="231">
        <f t="shared" ca="1" si="192"/>
        <v>2344.7323839138594</v>
      </c>
      <c r="U205" s="231">
        <f t="shared" ca="1" si="215"/>
        <v>3531.9291703574295</v>
      </c>
      <c r="V205" s="231"/>
      <c r="W205" s="231">
        <f t="shared" ca="1" si="193"/>
        <v>9380.0176894109973</v>
      </c>
      <c r="X205" s="231">
        <f t="shared" ca="1" si="194"/>
        <v>1172.5022111763747</v>
      </c>
      <c r="Y205" s="231"/>
      <c r="Z205" s="232">
        <f t="shared" ca="1" si="164"/>
        <v>54098.266167141861</v>
      </c>
      <c r="AA205" s="231">
        <f t="shared" ca="1" si="165"/>
        <v>110.81963638317158</v>
      </c>
      <c r="AB205" s="231">
        <f t="shared" ca="1" si="195"/>
        <v>9517.4371868069429</v>
      </c>
      <c r="AC205" s="231">
        <f t="shared" ca="1" si="196"/>
        <v>51089.188805619728</v>
      </c>
      <c r="AD205" s="231">
        <f t="shared" ca="1" si="197"/>
        <v>1773.9301668617961</v>
      </c>
      <c r="AE205" s="231">
        <f t="shared" ca="1" si="166"/>
        <v>12417.45416635441</v>
      </c>
      <c r="AF205" s="231">
        <f t="shared" ca="1" si="167"/>
        <v>74908.829962026051</v>
      </c>
      <c r="AG205" s="232">
        <f t="shared" ca="1" si="168"/>
        <v>129007.09612916791</v>
      </c>
      <c r="AH205" s="244">
        <f t="shared" ca="1" si="198"/>
        <v>1.9094557570143025</v>
      </c>
      <c r="AI205" s="243">
        <f t="shared" ca="1" si="199"/>
        <v>2.8888996006729664</v>
      </c>
      <c r="AJ205" s="242">
        <f t="shared" ca="1" si="200"/>
        <v>4.7983553576872691</v>
      </c>
      <c r="AK205" s="241">
        <f t="shared" ca="1" si="201"/>
        <v>1.3748081450502978</v>
      </c>
      <c r="AL205" s="243">
        <f t="shared" ca="1" si="202"/>
        <v>1.2797825230981241</v>
      </c>
      <c r="AM205" s="243"/>
      <c r="AN205" s="242">
        <f t="shared" ca="1" si="169"/>
        <v>2.6545906681484217</v>
      </c>
      <c r="AO205" s="224"/>
      <c r="AP205" s="235">
        <f t="shared" si="203"/>
        <v>15.307692307692308</v>
      </c>
      <c r="AQ205" s="235">
        <f t="shared" si="170"/>
        <v>0.63605066955901157</v>
      </c>
      <c r="AR205" s="235">
        <f t="shared" si="171"/>
        <v>0.79619567622624099</v>
      </c>
      <c r="AT205" s="230">
        <f t="shared" ca="1" si="172"/>
        <v>23959.446552922855</v>
      </c>
      <c r="AU205" s="231">
        <f t="shared" ca="1" si="173"/>
        <v>1491.3686027251076</v>
      </c>
      <c r="AV205" s="231">
        <f t="shared" ca="1" si="204"/>
        <v>2246.4859136408472</v>
      </c>
      <c r="AW205" s="231"/>
      <c r="AX205" s="231">
        <f t="shared" ca="1" si="205"/>
        <v>5966.1665318252371</v>
      </c>
      <c r="AY205" s="231">
        <f t="shared" ca="1" si="206"/>
        <v>745.77081647815464</v>
      </c>
      <c r="AZ205" s="231"/>
      <c r="BA205" s="232">
        <f t="shared" ca="1" si="174"/>
        <v>34409.238417592205</v>
      </c>
      <c r="BB205" s="231">
        <f t="shared" ca="1" si="175"/>
        <v>70.48690392180248</v>
      </c>
      <c r="BC205" s="231">
        <f t="shared" ca="1" si="207"/>
        <v>6053.5722951543912</v>
      </c>
      <c r="BD205" s="231">
        <f t="shared" ca="1" si="208"/>
        <v>32495.312747041186</v>
      </c>
      <c r="BE205" s="231">
        <f t="shared" ca="1" si="209"/>
        <v>1128.3094703833744</v>
      </c>
      <c r="BF205" s="231">
        <f t="shared" ca="1" si="176"/>
        <v>7898.1300367280601</v>
      </c>
      <c r="BG205" s="231">
        <f t="shared" ca="1" si="177"/>
        <v>47645.811453228816</v>
      </c>
      <c r="BH205" s="232">
        <f t="shared" ca="1" si="178"/>
        <v>82055.049870821022</v>
      </c>
      <c r="BI205" s="244">
        <f t="shared" ca="1" si="210"/>
        <v>1.5203004176800914</v>
      </c>
      <c r="BJ205" s="243">
        <f t="shared" ca="1" si="211"/>
        <v>2.3001293711075301</v>
      </c>
      <c r="BK205" s="242">
        <f t="shared" ca="1" si="212"/>
        <v>3.8204297887876217</v>
      </c>
      <c r="BL205" s="241">
        <f t="shared" ca="1" si="213"/>
        <v>1.0946163007296659</v>
      </c>
      <c r="BM205" s="243">
        <f t="shared" ca="1" si="214"/>
        <v>1.0189573114006358</v>
      </c>
      <c r="BN205" s="243">
        <f t="shared" si="179"/>
        <v>0</v>
      </c>
      <c r="BO205" s="242">
        <f t="shared" ca="1" si="180"/>
        <v>2.1135736121303017</v>
      </c>
      <c r="BP205" s="67"/>
      <c r="BQ205" s="67"/>
      <c r="BR205" s="67"/>
      <c r="BS205" s="67"/>
      <c r="BT205" s="67"/>
      <c r="BU205" s="67"/>
    </row>
    <row r="206" spans="1:73" ht="12" customHeight="1" x14ac:dyDescent="0.15">
      <c r="A206" s="213">
        <f t="shared" si="181"/>
        <v>200</v>
      </c>
      <c r="B206" s="67">
        <f t="shared" si="182"/>
        <v>800</v>
      </c>
      <c r="C206" s="224">
        <f t="shared" si="183"/>
        <v>184.61538461538461</v>
      </c>
      <c r="D206" s="225">
        <f ca="1">IFERROR(OFFSET(extrapolation!V215,0,OS_dist_choice-1,1,1),0)</f>
        <v>6.1947659840135366E-2</v>
      </c>
      <c r="E206" s="225">
        <f ca="1">IFERROR(OFFSET(extrapolation!J215,0,PFS_dist_choice-1,1,1),0)</f>
        <v>2.4718127411845824E-2</v>
      </c>
      <c r="F206" s="214"/>
      <c r="G206" s="226">
        <f t="shared" ca="1" si="184"/>
        <v>24.718127411845824</v>
      </c>
      <c r="H206" s="224">
        <f t="shared" ca="1" si="185"/>
        <v>37.229532428289644</v>
      </c>
      <c r="I206" s="224">
        <f t="shared" ca="1" si="162"/>
        <v>938.05234015986457</v>
      </c>
      <c r="J206" s="227">
        <f t="shared" ca="1" si="163"/>
        <v>1000</v>
      </c>
      <c r="K206" s="238">
        <f t="shared" ca="1" si="186"/>
        <v>0.12626961659658775</v>
      </c>
      <c r="L206" s="239">
        <f t="shared" ca="1" si="187"/>
        <v>0.42846653822641656</v>
      </c>
      <c r="M206" s="238">
        <f t="shared" ca="1" si="188"/>
        <v>24.781262220144118</v>
      </c>
      <c r="N206" s="238">
        <f t="shared" ca="1" si="189"/>
        <v>37.380630889104566</v>
      </c>
      <c r="O206" s="239">
        <f t="shared" ca="1" si="190"/>
        <v>937.83810689075131</v>
      </c>
      <c r="P206" s="217"/>
      <c r="Q206" s="217"/>
      <c r="R206" s="224"/>
      <c r="S206" s="230">
        <f t="shared" ca="1" si="191"/>
        <v>37477.634669091603</v>
      </c>
      <c r="T206" s="231">
        <f t="shared" ca="1" si="192"/>
        <v>2332.8154732800672</v>
      </c>
      <c r="U206" s="231">
        <f t="shared" ca="1" si="215"/>
        <v>3513.9784291228257</v>
      </c>
      <c r="V206" s="231"/>
      <c r="W206" s="231">
        <f t="shared" ca="1" si="193"/>
        <v>9332.2268519107529</v>
      </c>
      <c r="X206" s="231">
        <f t="shared" ca="1" si="194"/>
        <v>1166.5283564888441</v>
      </c>
      <c r="Y206" s="231"/>
      <c r="Z206" s="232">
        <f t="shared" ca="1" si="164"/>
        <v>53823.183779894098</v>
      </c>
      <c r="AA206" s="231">
        <f t="shared" ca="1" si="165"/>
        <v>109.71343620176533</v>
      </c>
      <c r="AB206" s="231">
        <f t="shared" ca="1" si="195"/>
        <v>9440.6523254199365</v>
      </c>
      <c r="AC206" s="231">
        <f t="shared" ca="1" si="196"/>
        <v>50677.011009873197</v>
      </c>
      <c r="AD206" s="231">
        <f t="shared" ca="1" si="197"/>
        <v>1759.6184378428193</v>
      </c>
      <c r="AE206" s="231">
        <f t="shared" ca="1" si="166"/>
        <v>12275.789079940059</v>
      </c>
      <c r="AF206" s="231">
        <f t="shared" ca="1" si="167"/>
        <v>74262.784289277784</v>
      </c>
      <c r="AG206" s="232">
        <f t="shared" ca="1" si="168"/>
        <v>128085.96806917188</v>
      </c>
      <c r="AH206" s="244">
        <f t="shared" ca="1" si="198"/>
        <v>1.89972715171536</v>
      </c>
      <c r="AI206" s="243">
        <f t="shared" ca="1" si="199"/>
        <v>2.8655925116904255</v>
      </c>
      <c r="AJ206" s="242">
        <f t="shared" ca="1" si="200"/>
        <v>4.7653196634057853</v>
      </c>
      <c r="AK206" s="241">
        <f t="shared" ca="1" si="201"/>
        <v>1.3678035492350591</v>
      </c>
      <c r="AL206" s="243">
        <f t="shared" ca="1" si="202"/>
        <v>1.2694574826788585</v>
      </c>
      <c r="AM206" s="243"/>
      <c r="AN206" s="242">
        <f t="shared" ca="1" si="169"/>
        <v>2.6372610319139174</v>
      </c>
      <c r="AO206" s="224"/>
      <c r="AP206" s="235">
        <f t="shared" si="203"/>
        <v>15.384615384615385</v>
      </c>
      <c r="AQ206" s="235">
        <f t="shared" si="170"/>
        <v>0.63460608972505039</v>
      </c>
      <c r="AR206" s="235">
        <f t="shared" si="171"/>
        <v>0.79528433289710965</v>
      </c>
      <c r="AT206" s="230">
        <f t="shared" ca="1" si="172"/>
        <v>23783.535189496204</v>
      </c>
      <c r="AU206" s="231">
        <f t="shared" ca="1" si="173"/>
        <v>1480.4189055483562</v>
      </c>
      <c r="AV206" s="231">
        <f t="shared" ca="1" si="204"/>
        <v>2229.9921102838116</v>
      </c>
      <c r="AW206" s="231"/>
      <c r="AX206" s="231">
        <f t="shared" ca="1" si="205"/>
        <v>5922.2879909182002</v>
      </c>
      <c r="AY206" s="231">
        <f t="shared" ca="1" si="206"/>
        <v>740.28599886477502</v>
      </c>
      <c r="AZ206" s="231"/>
      <c r="BA206" s="232">
        <f t="shared" ca="1" si="174"/>
        <v>34156.520195111349</v>
      </c>
      <c r="BB206" s="231">
        <f t="shared" ca="1" si="175"/>
        <v>69.624814738301083</v>
      </c>
      <c r="BC206" s="231">
        <f t="shared" ca="1" si="207"/>
        <v>5991.0954566884502</v>
      </c>
      <c r="BD206" s="231">
        <f t="shared" ca="1" si="208"/>
        <v>32159.939795928956</v>
      </c>
      <c r="BE206" s="231">
        <f t="shared" ca="1" si="209"/>
        <v>1116.6645762475332</v>
      </c>
      <c r="BF206" s="231">
        <f t="shared" ca="1" si="176"/>
        <v>7790.2905063102353</v>
      </c>
      <c r="BG206" s="231">
        <f t="shared" ca="1" si="177"/>
        <v>47127.615149913479</v>
      </c>
      <c r="BH206" s="232">
        <f t="shared" ca="1" si="178"/>
        <v>81284.135345024828</v>
      </c>
      <c r="BI206" s="244">
        <f t="shared" ca="1" si="210"/>
        <v>1.5108232405384763</v>
      </c>
      <c r="BJ206" s="243">
        <f t="shared" ca="1" si="211"/>
        <v>2.278960829014673</v>
      </c>
      <c r="BK206" s="242">
        <f t="shared" ca="1" si="212"/>
        <v>3.7897840695531491</v>
      </c>
      <c r="BL206" s="241">
        <f t="shared" ca="1" si="213"/>
        <v>1.0877927331877029</v>
      </c>
      <c r="BM206" s="243">
        <f t="shared" ca="1" si="214"/>
        <v>1.0095796472535001</v>
      </c>
      <c r="BN206" s="243">
        <f t="shared" si="179"/>
        <v>0</v>
      </c>
      <c r="BO206" s="242">
        <f t="shared" ca="1" si="180"/>
        <v>2.0973723804412026</v>
      </c>
      <c r="BP206" s="67"/>
      <c r="BQ206" s="67"/>
      <c r="BR206" s="67"/>
      <c r="BS206" s="67"/>
      <c r="BT206" s="67"/>
      <c r="BU206" s="67"/>
    </row>
    <row r="207" spans="1:73" ht="12" customHeight="1" x14ac:dyDescent="0.15">
      <c r="A207" s="213">
        <f t="shared" si="181"/>
        <v>201</v>
      </c>
      <c r="B207" s="67">
        <f t="shared" si="182"/>
        <v>804</v>
      </c>
      <c r="C207" s="224">
        <f t="shared" si="183"/>
        <v>185.53846153846155</v>
      </c>
      <c r="D207" s="225">
        <f ca="1">IFERROR(OFFSET(extrapolation!V216,0,OS_dist_choice-1,1,1),0)</f>
        <v>6.1524059841056862E-2</v>
      </c>
      <c r="E207" s="225">
        <f ca="1">IFERROR(OFFSET(extrapolation!J216,0,PFS_dist_choice-1,1,1),0)</f>
        <v>2.4593112065142957E-2</v>
      </c>
      <c r="F207" s="214"/>
      <c r="G207" s="226">
        <f t="shared" ca="1" si="184"/>
        <v>24.593112065142957</v>
      </c>
      <c r="H207" s="224">
        <f t="shared" ca="1" si="185"/>
        <v>36.930947775913978</v>
      </c>
      <c r="I207" s="224">
        <f t="shared" ca="1" si="162"/>
        <v>938.4759401589431</v>
      </c>
      <c r="J207" s="227">
        <f t="shared" ca="1" si="163"/>
        <v>1000</v>
      </c>
      <c r="K207" s="238">
        <f t="shared" ca="1" si="186"/>
        <v>0.12501534670286674</v>
      </c>
      <c r="L207" s="239">
        <f t="shared" ca="1" si="187"/>
        <v>0.42359999907853307</v>
      </c>
      <c r="M207" s="238">
        <f t="shared" ca="1" si="188"/>
        <v>24.655619738494391</v>
      </c>
      <c r="N207" s="238">
        <f t="shared" ca="1" si="189"/>
        <v>37.080240102101811</v>
      </c>
      <c r="O207" s="239">
        <f t="shared" ca="1" si="190"/>
        <v>938.26414015940384</v>
      </c>
      <c r="P207" s="217"/>
      <c r="Q207" s="217"/>
      <c r="R207" s="224"/>
      <c r="S207" s="230">
        <f t="shared" ca="1" si="191"/>
        <v>37288.086350414575</v>
      </c>
      <c r="T207" s="231">
        <f t="shared" ca="1" si="192"/>
        <v>2321.0169365087841</v>
      </c>
      <c r="U207" s="231">
        <f t="shared" ca="1" si="215"/>
        <v>3496.2059974048525</v>
      </c>
      <c r="V207" s="231"/>
      <c r="W207" s="231">
        <f t="shared" ca="1" si="193"/>
        <v>9284.9119036011725</v>
      </c>
      <c r="X207" s="231">
        <f t="shared" ca="1" si="194"/>
        <v>1160.6139879501466</v>
      </c>
      <c r="Y207" s="231"/>
      <c r="Z207" s="232">
        <f t="shared" ca="1" si="164"/>
        <v>53550.83517587954</v>
      </c>
      <c r="AA207" s="231">
        <f t="shared" ca="1" si="165"/>
        <v>108.62362327864385</v>
      </c>
      <c r="AB207" s="231">
        <f t="shared" ca="1" si="195"/>
        <v>9364.787233943407</v>
      </c>
      <c r="AC207" s="231">
        <f t="shared" ca="1" si="196"/>
        <v>50269.770498995676</v>
      </c>
      <c r="AD207" s="231">
        <f t="shared" ca="1" si="197"/>
        <v>1745.4781423262386</v>
      </c>
      <c r="AE207" s="231">
        <f t="shared" ca="1" si="166"/>
        <v>12136.360203239496</v>
      </c>
      <c r="AF207" s="231">
        <f t="shared" ca="1" si="167"/>
        <v>73625.019701783458</v>
      </c>
      <c r="AG207" s="232">
        <f t="shared" ca="1" si="168"/>
        <v>127175.85487766299</v>
      </c>
      <c r="AH207" s="244">
        <f t="shared" ca="1" si="198"/>
        <v>1.890095421431466</v>
      </c>
      <c r="AI207" s="243">
        <f t="shared" ca="1" si="199"/>
        <v>2.842564607416429</v>
      </c>
      <c r="AJ207" s="242">
        <f t="shared" ca="1" si="200"/>
        <v>4.7326600288478948</v>
      </c>
      <c r="AK207" s="241">
        <f t="shared" ca="1" si="201"/>
        <v>1.3608687034306555</v>
      </c>
      <c r="AL207" s="243">
        <f t="shared" ca="1" si="202"/>
        <v>1.259256121085478</v>
      </c>
      <c r="AM207" s="243"/>
      <c r="AN207" s="242">
        <f t="shared" ca="1" si="169"/>
        <v>2.6201248245161333</v>
      </c>
      <c r="AO207" s="224"/>
      <c r="AP207" s="235">
        <f t="shared" si="203"/>
        <v>15.461538461538462</v>
      </c>
      <c r="AQ207" s="235">
        <f t="shared" si="170"/>
        <v>0.6331647907789123</v>
      </c>
      <c r="AR207" s="235">
        <f t="shared" si="171"/>
        <v>0.79437403271187934</v>
      </c>
      <c r="AT207" s="230">
        <f t="shared" ca="1" si="172"/>
        <v>23609.503392606261</v>
      </c>
      <c r="AU207" s="231">
        <f t="shared" ca="1" si="173"/>
        <v>1469.5862029988962</v>
      </c>
      <c r="AV207" s="231">
        <f t="shared" ca="1" si="204"/>
        <v>2213.6745388668219</v>
      </c>
      <c r="AW207" s="231"/>
      <c r="AX207" s="231">
        <f t="shared" ca="1" si="205"/>
        <v>5878.8793028442688</v>
      </c>
      <c r="AY207" s="231">
        <f t="shared" ca="1" si="206"/>
        <v>734.85991285553359</v>
      </c>
      <c r="AZ207" s="231"/>
      <c r="BA207" s="232">
        <f t="shared" ca="1" si="174"/>
        <v>33906.503350171784</v>
      </c>
      <c r="BB207" s="231">
        <f t="shared" ca="1" si="175"/>
        <v>68.776653706869922</v>
      </c>
      <c r="BC207" s="231">
        <f t="shared" ca="1" si="207"/>
        <v>5929.4535496688059</v>
      </c>
      <c r="BD207" s="231">
        <f t="shared" ca="1" si="208"/>
        <v>31829.048720500534</v>
      </c>
      <c r="BE207" s="231">
        <f t="shared" ca="1" si="209"/>
        <v>1105.1753027951574</v>
      </c>
      <c r="BF207" s="231">
        <f t="shared" ca="1" si="176"/>
        <v>7684.3159689016529</v>
      </c>
      <c r="BG207" s="231">
        <f t="shared" ca="1" si="177"/>
        <v>46616.770195573023</v>
      </c>
      <c r="BH207" s="232">
        <f t="shared" ca="1" si="178"/>
        <v>80523.2735457448</v>
      </c>
      <c r="BI207" s="244">
        <f t="shared" ca="1" si="210"/>
        <v>1.5014427221327729</v>
      </c>
      <c r="BJ207" s="243">
        <f t="shared" ca="1" si="211"/>
        <v>2.258059510437449</v>
      </c>
      <c r="BK207" s="242">
        <f t="shared" ca="1" si="212"/>
        <v>3.7595022325702216</v>
      </c>
      <c r="BL207" s="241">
        <f t="shared" ca="1" si="213"/>
        <v>1.0810387599355964</v>
      </c>
      <c r="BM207" s="243">
        <f t="shared" ca="1" si="214"/>
        <v>1.0003203631237898</v>
      </c>
      <c r="BN207" s="243">
        <f t="shared" si="179"/>
        <v>0</v>
      </c>
      <c r="BO207" s="242">
        <f t="shared" ca="1" si="180"/>
        <v>2.0813591230593858</v>
      </c>
      <c r="BP207" s="67"/>
      <c r="BQ207" s="67"/>
      <c r="BR207" s="67"/>
      <c r="BS207" s="67"/>
      <c r="BT207" s="67"/>
      <c r="BU207" s="67"/>
    </row>
    <row r="208" spans="1:73" ht="12" customHeight="1" x14ac:dyDescent="0.15">
      <c r="A208" s="213">
        <f t="shared" si="181"/>
        <v>202</v>
      </c>
      <c r="B208" s="67">
        <f t="shared" si="182"/>
        <v>808</v>
      </c>
      <c r="C208" s="224">
        <f t="shared" si="183"/>
        <v>186.46153846153845</v>
      </c>
      <c r="D208" s="225">
        <f ca="1">IFERROR(OFFSET(extrapolation!V217,0,OS_dist_choice-1,1,1),0)</f>
        <v>6.1105249893966353E-2</v>
      </c>
      <c r="E208" s="225">
        <f ca="1">IFERROR(OFFSET(extrapolation!J217,0,PFS_dist_choice-1,1,1),0)</f>
        <v>2.4469332497870363E-2</v>
      </c>
      <c r="F208" s="214"/>
      <c r="G208" s="226">
        <f t="shared" ca="1" si="184"/>
        <v>24.469332497870361</v>
      </c>
      <c r="H208" s="224">
        <f t="shared" ca="1" si="185"/>
        <v>36.635917396096033</v>
      </c>
      <c r="I208" s="224">
        <f t="shared" ca="1" si="162"/>
        <v>938.8947501060336</v>
      </c>
      <c r="J208" s="227">
        <f t="shared" ca="1" si="163"/>
        <v>1000</v>
      </c>
      <c r="K208" s="238">
        <f t="shared" ca="1" si="186"/>
        <v>0.12377956727259587</v>
      </c>
      <c r="L208" s="239">
        <f t="shared" ca="1" si="187"/>
        <v>0.41880994709049446</v>
      </c>
      <c r="M208" s="238">
        <f t="shared" ca="1" si="188"/>
        <v>24.531222281506658</v>
      </c>
      <c r="N208" s="238">
        <f t="shared" ca="1" si="189"/>
        <v>36.783432586005006</v>
      </c>
      <c r="O208" s="239">
        <f t="shared" ca="1" si="190"/>
        <v>938.68534513248835</v>
      </c>
      <c r="P208" s="217"/>
      <c r="Q208" s="217"/>
      <c r="R208" s="224"/>
      <c r="S208" s="230">
        <f t="shared" ca="1" si="191"/>
        <v>37100.411721004042</v>
      </c>
      <c r="T208" s="231">
        <f t="shared" ca="1" si="192"/>
        <v>2309.3350285309557</v>
      </c>
      <c r="U208" s="231">
        <f t="shared" ca="1" si="215"/>
        <v>3478.609246562246</v>
      </c>
      <c r="V208" s="231"/>
      <c r="W208" s="231">
        <f t="shared" ca="1" si="193"/>
        <v>9238.0658116589038</v>
      </c>
      <c r="X208" s="231">
        <f t="shared" ca="1" si="194"/>
        <v>1154.758226457363</v>
      </c>
      <c r="Y208" s="231"/>
      <c r="Z208" s="232">
        <f t="shared" ca="1" si="164"/>
        <v>53281.180034213518</v>
      </c>
      <c r="AA208" s="231">
        <f t="shared" ca="1" si="165"/>
        <v>107.5498763921253</v>
      </c>
      <c r="AB208" s="231">
        <f t="shared" ca="1" si="195"/>
        <v>9289.8271142131071</v>
      </c>
      <c r="AC208" s="231">
        <f t="shared" ca="1" si="196"/>
        <v>49867.387837085196</v>
      </c>
      <c r="AD208" s="231">
        <f t="shared" ca="1" si="197"/>
        <v>1731.5065221210136</v>
      </c>
      <c r="AE208" s="231">
        <f t="shared" ca="1" si="166"/>
        <v>11999.12272343416</v>
      </c>
      <c r="AF208" s="231">
        <f t="shared" ca="1" si="167"/>
        <v>72995.39407324561</v>
      </c>
      <c r="AG208" s="232">
        <f t="shared" ca="1" si="168"/>
        <v>126276.57410745914</v>
      </c>
      <c r="AH208" s="244">
        <f t="shared" ca="1" si="198"/>
        <v>1.8805591345165955</v>
      </c>
      <c r="AI208" s="243">
        <f t="shared" ca="1" si="199"/>
        <v>2.8198113960524029</v>
      </c>
      <c r="AJ208" s="242">
        <f t="shared" ca="1" si="200"/>
        <v>4.700370530568998</v>
      </c>
      <c r="AK208" s="241">
        <f t="shared" ca="1" si="201"/>
        <v>1.3540025768519488</v>
      </c>
      <c r="AL208" s="243">
        <f t="shared" ca="1" si="202"/>
        <v>1.2491764484512144</v>
      </c>
      <c r="AM208" s="243"/>
      <c r="AN208" s="242">
        <f t="shared" ca="1" si="169"/>
        <v>2.603179025303163</v>
      </c>
      <c r="AO208" s="224"/>
      <c r="AP208" s="235">
        <f t="shared" si="203"/>
        <v>15.538461538461538</v>
      </c>
      <c r="AQ208" s="235">
        <f t="shared" si="170"/>
        <v>0.63172676526914018</v>
      </c>
      <c r="AR208" s="235">
        <f t="shared" si="171"/>
        <v>0.79346477447654407</v>
      </c>
      <c r="AT208" s="230">
        <f t="shared" ca="1" si="172"/>
        <v>23437.323086663178</v>
      </c>
      <c r="AU208" s="231">
        <f t="shared" ca="1" si="173"/>
        <v>1458.8687474965782</v>
      </c>
      <c r="AV208" s="231">
        <f t="shared" ca="1" si="204"/>
        <v>2197.5305669660884</v>
      </c>
      <c r="AW208" s="231"/>
      <c r="AX208" s="231">
        <f t="shared" ca="1" si="205"/>
        <v>5835.9334325427135</v>
      </c>
      <c r="AY208" s="231">
        <f t="shared" ca="1" si="206"/>
        <v>729.49167906783919</v>
      </c>
      <c r="AZ208" s="231"/>
      <c r="BA208" s="232">
        <f t="shared" ca="1" si="174"/>
        <v>33659.147512736403</v>
      </c>
      <c r="BB208" s="231">
        <f t="shared" ca="1" si="175"/>
        <v>67.942135518293185</v>
      </c>
      <c r="BC208" s="231">
        <f t="shared" ca="1" si="207"/>
        <v>5868.6324327713974</v>
      </c>
      <c r="BD208" s="231">
        <f t="shared" ca="1" si="208"/>
        <v>31502.563610743495</v>
      </c>
      <c r="BE208" s="231">
        <f t="shared" ca="1" si="209"/>
        <v>1093.8390142619269</v>
      </c>
      <c r="BF208" s="231">
        <f t="shared" ca="1" si="176"/>
        <v>7580.1669841424982</v>
      </c>
      <c r="BG208" s="231">
        <f t="shared" ca="1" si="177"/>
        <v>46113.144177437614</v>
      </c>
      <c r="BH208" s="232">
        <f t="shared" ca="1" si="178"/>
        <v>79772.291690174025</v>
      </c>
      <c r="BI208" s="244">
        <f t="shared" ca="1" si="210"/>
        <v>1.4921574295590154</v>
      </c>
      <c r="BJ208" s="243">
        <f t="shared" ca="1" si="211"/>
        <v>2.2374210134351089</v>
      </c>
      <c r="BK208" s="242">
        <f t="shared" ca="1" si="212"/>
        <v>3.7295784429941237</v>
      </c>
      <c r="BL208" s="241">
        <f t="shared" ca="1" si="213"/>
        <v>1.074353349282491</v>
      </c>
      <c r="BM208" s="243">
        <f t="shared" ca="1" si="214"/>
        <v>0.99117750895175316</v>
      </c>
      <c r="BN208" s="243">
        <f t="shared" si="179"/>
        <v>0</v>
      </c>
      <c r="BO208" s="242">
        <f t="shared" ca="1" si="180"/>
        <v>2.065530858234244</v>
      </c>
      <c r="BP208" s="67"/>
      <c r="BQ208" s="67"/>
      <c r="BR208" s="67"/>
      <c r="BS208" s="67"/>
      <c r="BT208" s="67"/>
      <c r="BU208" s="67"/>
    </row>
    <row r="209" spans="1:73" ht="12" customHeight="1" x14ac:dyDescent="0.15">
      <c r="A209" s="213">
        <f t="shared" si="181"/>
        <v>203</v>
      </c>
      <c r="B209" s="67">
        <f t="shared" si="182"/>
        <v>812</v>
      </c>
      <c r="C209" s="224">
        <f t="shared" si="183"/>
        <v>187.38461538461539</v>
      </c>
      <c r="D209" s="225">
        <f ca="1">IFERROR(OFFSET(extrapolation!V218,0,OS_dist_choice-1,1,1),0)</f>
        <v>6.0691155038008843E-2</v>
      </c>
      <c r="E209" s="225">
        <f ca="1">IFERROR(OFFSET(extrapolation!J218,0,PFS_dist_choice-1,1,1),0)</f>
        <v>2.434677058025923E-2</v>
      </c>
      <c r="F209" s="214"/>
      <c r="G209" s="226">
        <f t="shared" ca="1" si="184"/>
        <v>24.346770580259228</v>
      </c>
      <c r="H209" s="224">
        <f t="shared" ca="1" si="185"/>
        <v>36.344384457749584</v>
      </c>
      <c r="I209" s="224">
        <f t="shared" ca="1" si="162"/>
        <v>939.30884496199121</v>
      </c>
      <c r="J209" s="227">
        <f t="shared" ca="1" si="163"/>
        <v>1000</v>
      </c>
      <c r="K209" s="238">
        <f t="shared" ca="1" si="186"/>
        <v>0.122561917611133</v>
      </c>
      <c r="L209" s="239">
        <f t="shared" ca="1" si="187"/>
        <v>0.41409485595761453</v>
      </c>
      <c r="M209" s="238">
        <f t="shared" ca="1" si="188"/>
        <v>24.408051539064793</v>
      </c>
      <c r="N209" s="238">
        <f t="shared" ca="1" si="189"/>
        <v>36.490150926922809</v>
      </c>
      <c r="O209" s="239">
        <f t="shared" ca="1" si="190"/>
        <v>939.10179753401235</v>
      </c>
      <c r="P209" s="217"/>
      <c r="Q209" s="217"/>
      <c r="R209" s="224"/>
      <c r="S209" s="230">
        <f t="shared" ca="1" si="191"/>
        <v>36914.583292497271</v>
      </c>
      <c r="T209" s="231">
        <f t="shared" ca="1" si="192"/>
        <v>2297.7680383186994</v>
      </c>
      <c r="U209" s="231">
        <f t="shared" ca="1" si="215"/>
        <v>3461.1855992308119</v>
      </c>
      <c r="V209" s="231"/>
      <c r="W209" s="231">
        <f t="shared" ca="1" si="193"/>
        <v>9191.6816807871764</v>
      </c>
      <c r="X209" s="231">
        <f t="shared" ca="1" si="194"/>
        <v>1148.9602100983971</v>
      </c>
      <c r="Y209" s="231"/>
      <c r="Z209" s="232">
        <f t="shared" ca="1" si="164"/>
        <v>53014.178820932349</v>
      </c>
      <c r="AA209" s="231">
        <f t="shared" ca="1" si="165"/>
        <v>106.49188214101567</v>
      </c>
      <c r="AB209" s="231">
        <f t="shared" ca="1" si="195"/>
        <v>9215.7574660835362</v>
      </c>
      <c r="AC209" s="231">
        <f t="shared" ca="1" si="196"/>
        <v>49469.785187991482</v>
      </c>
      <c r="AD209" s="231">
        <f t="shared" ca="1" si="197"/>
        <v>1717.7008745830374</v>
      </c>
      <c r="AE209" s="231">
        <f t="shared" ca="1" si="166"/>
        <v>11864.032911101271</v>
      </c>
      <c r="AF209" s="231">
        <f t="shared" ca="1" si="167"/>
        <v>72373.768321900337</v>
      </c>
      <c r="AG209" s="232">
        <f t="shared" ca="1" si="168"/>
        <v>125387.94714283268</v>
      </c>
      <c r="AH209" s="244">
        <f t="shared" ca="1" si="198"/>
        <v>1.8711168873205044</v>
      </c>
      <c r="AI209" s="243">
        <f t="shared" ca="1" si="199"/>
        <v>2.7973284762596542</v>
      </c>
      <c r="AJ209" s="242">
        <f t="shared" ca="1" si="200"/>
        <v>4.6684453635801582</v>
      </c>
      <c r="AK209" s="241">
        <f t="shared" ca="1" si="201"/>
        <v>1.3472041588707631</v>
      </c>
      <c r="AL209" s="243">
        <f t="shared" ca="1" si="202"/>
        <v>1.2392165149830268</v>
      </c>
      <c r="AM209" s="243"/>
      <c r="AN209" s="242">
        <f t="shared" ca="1" si="169"/>
        <v>2.58642067385379</v>
      </c>
      <c r="AO209" s="224"/>
      <c r="AP209" s="235">
        <f t="shared" si="203"/>
        <v>15.615384615384615</v>
      </c>
      <c r="AQ209" s="235">
        <f t="shared" si="170"/>
        <v>0.63029200576120026</v>
      </c>
      <c r="AR209" s="235">
        <f t="shared" si="171"/>
        <v>0.79255655699846483</v>
      </c>
      <c r="AT209" s="230">
        <f t="shared" ca="1" si="172"/>
        <v>23266.966745266996</v>
      </c>
      <c r="AU209" s="231">
        <f t="shared" ca="1" si="173"/>
        <v>1448.2648256458715</v>
      </c>
      <c r="AV209" s="231">
        <f t="shared" ca="1" si="204"/>
        <v>2181.5576136509703</v>
      </c>
      <c r="AW209" s="231"/>
      <c r="AX209" s="231">
        <f t="shared" ca="1" si="205"/>
        <v>5793.4434829018301</v>
      </c>
      <c r="AY209" s="231">
        <f t="shared" ca="1" si="206"/>
        <v>724.18043536272876</v>
      </c>
      <c r="AZ209" s="231"/>
      <c r="BA209" s="232">
        <f t="shared" ca="1" si="174"/>
        <v>33414.413102828395</v>
      </c>
      <c r="BB209" s="231">
        <f t="shared" ca="1" si="175"/>
        <v>67.12098199194611</v>
      </c>
      <c r="BC209" s="231">
        <f t="shared" ca="1" si="207"/>
        <v>5808.6182579065489</v>
      </c>
      <c r="BD209" s="231">
        <f t="shared" ca="1" si="208"/>
        <v>31180.410130714867</v>
      </c>
      <c r="BE209" s="231">
        <f t="shared" ca="1" si="209"/>
        <v>1082.6531295387106</v>
      </c>
      <c r="BF209" s="231">
        <f t="shared" ca="1" si="176"/>
        <v>7477.8050999549114</v>
      </c>
      <c r="BG209" s="231">
        <f t="shared" ca="1" si="177"/>
        <v>45616.607600106981</v>
      </c>
      <c r="BH209" s="232">
        <f t="shared" ca="1" si="178"/>
        <v>79031.020702935362</v>
      </c>
      <c r="BI209" s="244">
        <f t="shared" ca="1" si="210"/>
        <v>1.4829659579564234</v>
      </c>
      <c r="BJ209" s="243">
        <f t="shared" ca="1" si="211"/>
        <v>2.2170410259381135</v>
      </c>
      <c r="BK209" s="242">
        <f t="shared" ca="1" si="212"/>
        <v>3.7000069838945366</v>
      </c>
      <c r="BL209" s="241">
        <f t="shared" ca="1" si="213"/>
        <v>1.0677354897286249</v>
      </c>
      <c r="BM209" s="243">
        <f t="shared" ca="1" si="214"/>
        <v>0.98214917449058425</v>
      </c>
      <c r="BN209" s="243">
        <f t="shared" si="179"/>
        <v>0</v>
      </c>
      <c r="BO209" s="242">
        <f t="shared" ca="1" si="180"/>
        <v>2.049884664219209</v>
      </c>
      <c r="BP209" s="67"/>
      <c r="BQ209" s="67"/>
      <c r="BR209" s="67"/>
      <c r="BS209" s="67"/>
      <c r="BT209" s="67"/>
      <c r="BU209" s="67"/>
    </row>
    <row r="210" spans="1:73" ht="12" customHeight="1" x14ac:dyDescent="0.15">
      <c r="A210" s="213">
        <f t="shared" si="181"/>
        <v>204</v>
      </c>
      <c r="B210" s="67">
        <f t="shared" si="182"/>
        <v>816</v>
      </c>
      <c r="C210" s="224">
        <f t="shared" si="183"/>
        <v>188.30769230769229</v>
      </c>
      <c r="D210" s="225">
        <f ca="1">IFERROR(OFFSET(extrapolation!V219,0,OS_dist_choice-1,1,1),0)</f>
        <v>6.0281701801887431E-2</v>
      </c>
      <c r="E210" s="225">
        <f ca="1">IFERROR(OFFSET(extrapolation!J219,0,PFS_dist_choice-1,1,1),0)</f>
        <v>2.4225408534496607E-2</v>
      </c>
      <c r="F210" s="214"/>
      <c r="G210" s="226">
        <f t="shared" ca="1" si="184"/>
        <v>24.225408534496609</v>
      </c>
      <c r="H210" s="224">
        <f t="shared" ca="1" si="185"/>
        <v>36.056293267390743</v>
      </c>
      <c r="I210" s="224">
        <f t="shared" ca="1" si="162"/>
        <v>939.71829819811262</v>
      </c>
      <c r="J210" s="227">
        <f t="shared" ca="1" si="163"/>
        <v>1000</v>
      </c>
      <c r="K210" s="238">
        <f t="shared" ca="1" si="186"/>
        <v>0.12136204576261989</v>
      </c>
      <c r="L210" s="239">
        <f t="shared" ca="1" si="187"/>
        <v>0.40945323612140783</v>
      </c>
      <c r="M210" s="238">
        <f t="shared" ca="1" si="188"/>
        <v>24.28608955737792</v>
      </c>
      <c r="N210" s="238">
        <f t="shared" ca="1" si="189"/>
        <v>36.200338862570163</v>
      </c>
      <c r="O210" s="239">
        <f t="shared" ca="1" si="190"/>
        <v>939.51357158005192</v>
      </c>
      <c r="P210" s="217"/>
      <c r="Q210" s="217"/>
      <c r="R210" s="224"/>
      <c r="S210" s="230">
        <f t="shared" ca="1" si="191"/>
        <v>36730.574110167174</v>
      </c>
      <c r="T210" s="231">
        <f t="shared" ca="1" si="192"/>
        <v>2286.3142880605674</v>
      </c>
      <c r="U210" s="231">
        <f t="shared" ca="1" si="215"/>
        <v>3443.9325280811063</v>
      </c>
      <c r="V210" s="231"/>
      <c r="W210" s="231">
        <f t="shared" ca="1" si="193"/>
        <v>9145.7527498756062</v>
      </c>
      <c r="X210" s="231">
        <f t="shared" ca="1" si="194"/>
        <v>1143.2190937344508</v>
      </c>
      <c r="Y210" s="231"/>
      <c r="Z210" s="232">
        <f t="shared" ca="1" si="164"/>
        <v>52749.792769918909</v>
      </c>
      <c r="AA210" s="231">
        <f t="shared" ca="1" si="165"/>
        <v>105.44933471709568</v>
      </c>
      <c r="AB210" s="231">
        <f t="shared" ca="1" si="195"/>
        <v>9142.5640802527196</v>
      </c>
      <c r="AC210" s="231">
        <f t="shared" ca="1" si="196"/>
        <v>49076.886276799647</v>
      </c>
      <c r="AD210" s="231">
        <f t="shared" ca="1" si="197"/>
        <v>1704.0585512777652</v>
      </c>
      <c r="AE210" s="231">
        <f t="shared" ca="1" si="166"/>
        <v>11731.048089615795</v>
      </c>
      <c r="AF210" s="231">
        <f t="shared" ca="1" si="167"/>
        <v>71760.006332663019</v>
      </c>
      <c r="AG210" s="232">
        <f t="shared" ca="1" si="168"/>
        <v>124509.79910258192</v>
      </c>
      <c r="AH210" s="244">
        <f t="shared" ca="1" si="198"/>
        <v>1.8617673035087796</v>
      </c>
      <c r="AI210" s="243">
        <f t="shared" ca="1" si="199"/>
        <v>2.7751115349814226</v>
      </c>
      <c r="AJ210" s="242">
        <f t="shared" ca="1" si="200"/>
        <v>4.636878838490202</v>
      </c>
      <c r="AK210" s="241">
        <f t="shared" ca="1" si="201"/>
        <v>1.3404724585263212</v>
      </c>
      <c r="AL210" s="243">
        <f t="shared" ca="1" si="202"/>
        <v>1.2293744099967703</v>
      </c>
      <c r="AM210" s="243"/>
      <c r="AN210" s="242">
        <f t="shared" ca="1" si="169"/>
        <v>2.5698468685230917</v>
      </c>
      <c r="AO210" s="224"/>
      <c r="AP210" s="235">
        <f t="shared" si="203"/>
        <v>15.692307692307692</v>
      </c>
      <c r="AQ210" s="235">
        <f t="shared" si="170"/>
        <v>0.62886050483744382</v>
      </c>
      <c r="AR210" s="235">
        <f t="shared" si="171"/>
        <v>0.79164937908636768</v>
      </c>
      <c r="AT210" s="230">
        <f t="shared" ca="1" si="172"/>
        <v>23098.407377888874</v>
      </c>
      <c r="AU210" s="231">
        <f t="shared" ca="1" si="173"/>
        <v>1437.7727574068294</v>
      </c>
      <c r="AV210" s="231">
        <f t="shared" ca="1" si="204"/>
        <v>2165.7531482351787</v>
      </c>
      <c r="AW210" s="231"/>
      <c r="AX210" s="231">
        <f t="shared" ca="1" si="205"/>
        <v>5751.4026914052138</v>
      </c>
      <c r="AY210" s="231">
        <f t="shared" ca="1" si="206"/>
        <v>718.92533642565172</v>
      </c>
      <c r="AZ210" s="231"/>
      <c r="BA210" s="232">
        <f t="shared" ca="1" si="174"/>
        <v>33172.261311361748</v>
      </c>
      <c r="BB210" s="231">
        <f t="shared" ca="1" si="175"/>
        <v>66.312921864965375</v>
      </c>
      <c r="BC210" s="231">
        <f t="shared" ca="1" si="207"/>
        <v>5749.3974630164057</v>
      </c>
      <c r="BD210" s="231">
        <f t="shared" ca="1" si="208"/>
        <v>30862.515479878046</v>
      </c>
      <c r="BE210" s="231">
        <f t="shared" ca="1" si="209"/>
        <v>1071.6151208290985</v>
      </c>
      <c r="BF210" s="231">
        <f t="shared" ca="1" si="176"/>
        <v>7377.1928239081199</v>
      </c>
      <c r="BG210" s="231">
        <f t="shared" ca="1" si="177"/>
        <v>45127.033809496628</v>
      </c>
      <c r="BH210" s="232">
        <f t="shared" ca="1" si="178"/>
        <v>78299.295120858384</v>
      </c>
      <c r="BI210" s="244">
        <f t="shared" ca="1" si="210"/>
        <v>1.4738669298260265</v>
      </c>
      <c r="BJ210" s="243">
        <f t="shared" ca="1" si="211"/>
        <v>2.1969153235634598</v>
      </c>
      <c r="BK210" s="242">
        <f t="shared" ca="1" si="212"/>
        <v>3.6707822533894863</v>
      </c>
      <c r="BL210" s="241">
        <f t="shared" ca="1" si="213"/>
        <v>1.0611841894747389</v>
      </c>
      <c r="BM210" s="243">
        <f t="shared" ca="1" si="214"/>
        <v>0.97323348833861278</v>
      </c>
      <c r="BN210" s="243">
        <f t="shared" si="179"/>
        <v>0</v>
      </c>
      <c r="BO210" s="242">
        <f t="shared" ca="1" si="180"/>
        <v>2.034417677813352</v>
      </c>
      <c r="BP210" s="67"/>
      <c r="BQ210" s="67"/>
      <c r="BR210" s="67"/>
      <c r="BS210" s="67"/>
      <c r="BT210" s="67"/>
      <c r="BU210" s="67"/>
    </row>
    <row r="211" spans="1:73" ht="12" customHeight="1" x14ac:dyDescent="0.15">
      <c r="A211" s="213">
        <f t="shared" si="181"/>
        <v>205</v>
      </c>
      <c r="B211" s="67">
        <f t="shared" si="182"/>
        <v>820</v>
      </c>
      <c r="C211" s="224">
        <f t="shared" si="183"/>
        <v>189.23076923076923</v>
      </c>
      <c r="D211" s="225">
        <f ca="1">IFERROR(OFFSET(extrapolation!V220,0,OS_dist_choice-1,1,1),0)</f>
        <v>5.9876818168148396E-2</v>
      </c>
      <c r="E211" s="225">
        <f ca="1">IFERROR(OFFSET(extrapolation!J220,0,PFS_dist_choice-1,1,1),0)</f>
        <v>2.4105228926238956E-2</v>
      </c>
      <c r="F211" s="214"/>
      <c r="G211" s="226">
        <f t="shared" ca="1" si="184"/>
        <v>24.105228926238958</v>
      </c>
      <c r="H211" s="224">
        <f t="shared" ca="1" si="185"/>
        <v>35.771589241909396</v>
      </c>
      <c r="I211" s="224">
        <f t="shared" ca="1" si="162"/>
        <v>940.12318183185164</v>
      </c>
      <c r="J211" s="227">
        <f t="shared" ca="1" si="163"/>
        <v>1000</v>
      </c>
      <c r="K211" s="238">
        <f t="shared" ca="1" si="186"/>
        <v>0.12017960825765073</v>
      </c>
      <c r="L211" s="239">
        <f t="shared" ca="1" si="187"/>
        <v>0.40488363373901848</v>
      </c>
      <c r="M211" s="238">
        <f t="shared" ca="1" si="188"/>
        <v>24.165318730367783</v>
      </c>
      <c r="N211" s="238">
        <f t="shared" ca="1" si="189"/>
        <v>35.913941254650069</v>
      </c>
      <c r="O211" s="239">
        <f t="shared" ca="1" si="190"/>
        <v>939.92074001498213</v>
      </c>
      <c r="P211" s="217"/>
      <c r="Q211" s="217"/>
      <c r="R211" s="224"/>
      <c r="S211" s="230">
        <f t="shared" ca="1" si="191"/>
        <v>36548.357740055078</v>
      </c>
      <c r="T211" s="231">
        <f t="shared" ca="1" si="192"/>
        <v>2274.9721323606245</v>
      </c>
      <c r="U211" s="231">
        <f t="shared" ca="1" si="215"/>
        <v>3426.8475546119821</v>
      </c>
      <c r="V211" s="231"/>
      <c r="W211" s="231">
        <f t="shared" ca="1" si="193"/>
        <v>9100.2723887568209</v>
      </c>
      <c r="X211" s="231">
        <f t="shared" ca="1" si="194"/>
        <v>1137.5340485946026</v>
      </c>
      <c r="Y211" s="231"/>
      <c r="Z211" s="232">
        <f t="shared" ca="1" si="164"/>
        <v>52487.983864379108</v>
      </c>
      <c r="AA211" s="231">
        <f t="shared" ca="1" si="165"/>
        <v>104.42193568587446</v>
      </c>
      <c r="AB211" s="231">
        <f t="shared" ca="1" si="195"/>
        <v>9070.2330312871018</v>
      </c>
      <c r="AC211" s="231">
        <f t="shared" ca="1" si="196"/>
        <v>48688.616352388111</v>
      </c>
      <c r="AD211" s="231">
        <f t="shared" ca="1" si="197"/>
        <v>1690.5769566801428</v>
      </c>
      <c r="AE211" s="231">
        <f t="shared" ca="1" si="166"/>
        <v>11600.126605624062</v>
      </c>
      <c r="AF211" s="231">
        <f t="shared" ca="1" si="167"/>
        <v>71153.974881665286</v>
      </c>
      <c r="AG211" s="232">
        <f t="shared" ca="1" si="168"/>
        <v>123641.9587460444</v>
      </c>
      <c r="AH211" s="244">
        <f t="shared" ca="1" si="198"/>
        <v>1.8525090334025953</v>
      </c>
      <c r="AI211" s="243">
        <f t="shared" ca="1" si="199"/>
        <v>2.7531563453256727</v>
      </c>
      <c r="AJ211" s="242">
        <f t="shared" ca="1" si="200"/>
        <v>4.6056653787282684</v>
      </c>
      <c r="AK211" s="241">
        <f t="shared" ca="1" si="201"/>
        <v>1.3338065040498686</v>
      </c>
      <c r="AL211" s="243">
        <f t="shared" ca="1" si="202"/>
        <v>1.2196482609792729</v>
      </c>
      <c r="AM211" s="243"/>
      <c r="AN211" s="242">
        <f t="shared" ca="1" si="169"/>
        <v>2.5534547650291417</v>
      </c>
      <c r="AO211" s="224"/>
      <c r="AP211" s="235">
        <f t="shared" si="203"/>
        <v>15.76923076923077</v>
      </c>
      <c r="AQ211" s="235">
        <f t="shared" si="170"/>
        <v>0.62743225509706901</v>
      </c>
      <c r="AR211" s="235">
        <f t="shared" si="171"/>
        <v>0.79074323955034209</v>
      </c>
      <c r="AT211" s="230">
        <f t="shared" ca="1" si="172"/>
        <v>22931.618516937175</v>
      </c>
      <c r="AU211" s="231">
        <f t="shared" ca="1" si="173"/>
        <v>1427.3908952900144</v>
      </c>
      <c r="AV211" s="231">
        <f t="shared" ca="1" si="204"/>
        <v>2150.1146890640721</v>
      </c>
      <c r="AW211" s="231"/>
      <c r="AX211" s="231">
        <f t="shared" ca="1" si="205"/>
        <v>5709.8044268752828</v>
      </c>
      <c r="AY211" s="231">
        <f t="shared" ca="1" si="206"/>
        <v>713.72555335941036</v>
      </c>
      <c r="AZ211" s="231"/>
      <c r="BA211" s="232">
        <f t="shared" ca="1" si="174"/>
        <v>32932.654081525958</v>
      </c>
      <c r="BB211" s="231">
        <f t="shared" ca="1" si="175"/>
        <v>65.517690588989311</v>
      </c>
      <c r="BC211" s="231">
        <f t="shared" ca="1" si="207"/>
        <v>5690.9567650763902</v>
      </c>
      <c r="BD211" s="231">
        <f t="shared" ca="1" si="208"/>
        <v>30548.808355534904</v>
      </c>
      <c r="BE211" s="231">
        <f t="shared" ca="1" si="209"/>
        <v>1060.7225123449618</v>
      </c>
      <c r="BF211" s="231">
        <f t="shared" ca="1" si="176"/>
        <v>7278.2935955782141</v>
      </c>
      <c r="BG211" s="231">
        <f t="shared" ca="1" si="177"/>
        <v>44644.298919123452</v>
      </c>
      <c r="BH211" s="232">
        <f t="shared" ca="1" si="178"/>
        <v>77576.953000649417</v>
      </c>
      <c r="BI211" s="244">
        <f t="shared" ca="1" si="210"/>
        <v>1.4648589943690411</v>
      </c>
      <c r="BJ211" s="243">
        <f t="shared" ca="1" si="211"/>
        <v>2.1770397674914026</v>
      </c>
      <c r="BK211" s="242">
        <f t="shared" ca="1" si="212"/>
        <v>3.6418987618604444</v>
      </c>
      <c r="BL211" s="241">
        <f t="shared" ca="1" si="213"/>
        <v>1.0546984759457096</v>
      </c>
      <c r="BM211" s="243">
        <f t="shared" ca="1" si="214"/>
        <v>0.96442861699869131</v>
      </c>
      <c r="BN211" s="243">
        <f t="shared" si="179"/>
        <v>0</v>
      </c>
      <c r="BO211" s="242">
        <f t="shared" ca="1" si="180"/>
        <v>2.0191270929444012</v>
      </c>
      <c r="BP211" s="67"/>
      <c r="BQ211" s="67"/>
      <c r="BR211" s="67"/>
      <c r="BS211" s="67"/>
      <c r="BT211" s="67"/>
      <c r="BU211" s="67"/>
    </row>
    <row r="212" spans="1:73" ht="12" customHeight="1" x14ac:dyDescent="0.15">
      <c r="A212" s="213">
        <f t="shared" si="181"/>
        <v>206</v>
      </c>
      <c r="B212" s="67">
        <f t="shared" si="182"/>
        <v>824</v>
      </c>
      <c r="C212" s="224">
        <f t="shared" si="183"/>
        <v>190.15384615384616</v>
      </c>
      <c r="D212" s="225">
        <f ca="1">IFERROR(OFFSET(extrapolation!V221,0,OS_dist_choice-1,1,1),0)</f>
        <v>5.9476433538464879E-2</v>
      </c>
      <c r="E212" s="225">
        <f ca="1">IFERROR(OFFSET(extrapolation!J221,0,PFS_dist_choice-1,1,1),0)</f>
        <v>2.3986214656370165E-2</v>
      </c>
      <c r="F212" s="214"/>
      <c r="G212" s="226">
        <f t="shared" ca="1" si="184"/>
        <v>23.986214656370166</v>
      </c>
      <c r="H212" s="224">
        <f t="shared" ca="1" si="185"/>
        <v>35.490218882094723</v>
      </c>
      <c r="I212" s="224">
        <f t="shared" ca="1" si="162"/>
        <v>940.5235664615351</v>
      </c>
      <c r="J212" s="227">
        <f t="shared" ca="1" si="163"/>
        <v>1000</v>
      </c>
      <c r="K212" s="238">
        <f t="shared" ca="1" si="186"/>
        <v>0.11901426986879216</v>
      </c>
      <c r="L212" s="239">
        <f t="shared" ca="1" si="187"/>
        <v>0.40038462968345812</v>
      </c>
      <c r="M212" s="238">
        <f t="shared" ca="1" si="188"/>
        <v>24.045721791304562</v>
      </c>
      <c r="N212" s="238">
        <f t="shared" ca="1" si="189"/>
        <v>35.63090406200206</v>
      </c>
      <c r="O212" s="239">
        <f t="shared" ca="1" si="190"/>
        <v>940.32337414669337</v>
      </c>
      <c r="P212" s="217"/>
      <c r="Q212" s="217"/>
      <c r="R212" s="224"/>
      <c r="S212" s="230">
        <f t="shared" ca="1" si="191"/>
        <v>36367.908256474308</v>
      </c>
      <c r="T212" s="231">
        <f t="shared" ca="1" si="192"/>
        <v>2263.7399574605956</v>
      </c>
      <c r="U212" s="231">
        <f t="shared" ca="1" si="215"/>
        <v>3409.9282479788949</v>
      </c>
      <c r="V212" s="231"/>
      <c r="W212" s="231">
        <f t="shared" ca="1" si="193"/>
        <v>9055.2340950566377</v>
      </c>
      <c r="X212" s="231">
        <f t="shared" ca="1" si="194"/>
        <v>1131.9042618820797</v>
      </c>
      <c r="Y212" s="231"/>
      <c r="Z212" s="232">
        <f t="shared" ca="1" si="164"/>
        <v>52228.714818852517</v>
      </c>
      <c r="AA212" s="231">
        <f t="shared" ca="1" si="165"/>
        <v>103.40939377416521</v>
      </c>
      <c r="AB212" s="231">
        <f t="shared" ca="1" si="195"/>
        <v>8998.7506708400615</v>
      </c>
      <c r="AC212" s="231">
        <f t="shared" ca="1" si="196"/>
        <v>48304.902151025948</v>
      </c>
      <c r="AD212" s="231">
        <f t="shared" ca="1" si="197"/>
        <v>1677.2535469106231</v>
      </c>
      <c r="AE212" s="231">
        <f t="shared" ca="1" si="166"/>
        <v>11471.227800400049</v>
      </c>
      <c r="AF212" s="231">
        <f t="shared" ca="1" si="167"/>
        <v>70555.543562950843</v>
      </c>
      <c r="AG212" s="232">
        <f t="shared" ca="1" si="168"/>
        <v>122784.25838180336</v>
      </c>
      <c r="AH212" s="244">
        <f t="shared" ca="1" si="198"/>
        <v>1.8433407533375159</v>
      </c>
      <c r="AI212" s="243">
        <f t="shared" ca="1" si="199"/>
        <v>2.7314587645066601</v>
      </c>
      <c r="AJ212" s="242">
        <f t="shared" ca="1" si="200"/>
        <v>4.574799517844176</v>
      </c>
      <c r="AK212" s="241">
        <f t="shared" ca="1" si="201"/>
        <v>1.3272053424030115</v>
      </c>
      <c r="AL212" s="243">
        <f t="shared" ca="1" si="202"/>
        <v>1.2100362326764504</v>
      </c>
      <c r="AM212" s="243"/>
      <c r="AN212" s="242">
        <f t="shared" ca="1" si="169"/>
        <v>2.5372415750794621</v>
      </c>
      <c r="AO212" s="224"/>
      <c r="AP212" s="235">
        <f t="shared" si="203"/>
        <v>15.846153846153847</v>
      </c>
      <c r="AQ212" s="235">
        <f t="shared" si="170"/>
        <v>0.62600724915608241</v>
      </c>
      <c r="AR212" s="235">
        <f t="shared" si="171"/>
        <v>0.7898381372018396</v>
      </c>
      <c r="AT212" s="230">
        <f t="shared" ca="1" si="172"/>
        <v>22766.574205196259</v>
      </c>
      <c r="AU212" s="231">
        <f t="shared" ca="1" si="173"/>
        <v>1417.1176235746145</v>
      </c>
      <c r="AV212" s="231">
        <f t="shared" ca="1" si="204"/>
        <v>2134.6398023368874</v>
      </c>
      <c r="AW212" s="231"/>
      <c r="AX212" s="231">
        <f t="shared" ca="1" si="205"/>
        <v>5668.6421863107735</v>
      </c>
      <c r="AY212" s="231">
        <f t="shared" ca="1" si="206"/>
        <v>708.58027328884668</v>
      </c>
      <c r="AZ212" s="231"/>
      <c r="BA212" s="232">
        <f t="shared" ca="1" si="174"/>
        <v>32695.554090707381</v>
      </c>
      <c r="BB212" s="231">
        <f t="shared" ca="1" si="175"/>
        <v>64.735030133463283</v>
      </c>
      <c r="BC212" s="231">
        <f t="shared" ca="1" si="207"/>
        <v>5633.2831532940381</v>
      </c>
      <c r="BD212" s="231">
        <f t="shared" ca="1" si="208"/>
        <v>30239.218916317481</v>
      </c>
      <c r="BE212" s="231">
        <f t="shared" ca="1" si="209"/>
        <v>1049.9728790388015</v>
      </c>
      <c r="BF212" s="231">
        <f t="shared" ca="1" si="176"/>
        <v>7181.0717597712128</v>
      </c>
      <c r="BG212" s="231">
        <f t="shared" ca="1" si="177"/>
        <v>44168.281738554993</v>
      </c>
      <c r="BH212" s="232">
        <f t="shared" ca="1" si="178"/>
        <v>76863.835829262374</v>
      </c>
      <c r="BI212" s="244">
        <f t="shared" ca="1" si="210"/>
        <v>1.4559408268443392</v>
      </c>
      <c r="BJ212" s="243">
        <f t="shared" ca="1" si="211"/>
        <v>2.1574103024015785</v>
      </c>
      <c r="BK212" s="242">
        <f t="shared" ca="1" si="212"/>
        <v>3.6133511292459182</v>
      </c>
      <c r="BL212" s="241">
        <f t="shared" ca="1" si="213"/>
        <v>1.0482773953279243</v>
      </c>
      <c r="BM212" s="243">
        <f t="shared" ca="1" si="214"/>
        <v>0.95573276396389939</v>
      </c>
      <c r="BN212" s="243">
        <f t="shared" si="179"/>
        <v>0</v>
      </c>
      <c r="BO212" s="242">
        <f t="shared" ca="1" si="180"/>
        <v>2.0040101592918238</v>
      </c>
      <c r="BP212" s="67"/>
      <c r="BQ212" s="67"/>
      <c r="BR212" s="67"/>
      <c r="BS212" s="67"/>
      <c r="BT212" s="67"/>
      <c r="BU212" s="67"/>
    </row>
    <row r="213" spans="1:73" ht="12" customHeight="1" x14ac:dyDescent="0.15">
      <c r="A213" s="213">
        <f t="shared" si="181"/>
        <v>207</v>
      </c>
      <c r="B213" s="67">
        <f t="shared" si="182"/>
        <v>828</v>
      </c>
      <c r="C213" s="224">
        <f t="shared" si="183"/>
        <v>191.07692307692309</v>
      </c>
      <c r="D213" s="225">
        <f ca="1">IFERROR(OFFSET(extrapolation!V222,0,OS_dist_choice-1,1,1),0)</f>
        <v>5.9080478699887425E-2</v>
      </c>
      <c r="E213" s="225">
        <f ca="1">IFERROR(OFFSET(extrapolation!J222,0,PFS_dist_choice-1,1,1),0)</f>
        <v>2.3868348952995111E-2</v>
      </c>
      <c r="F213" s="214"/>
      <c r="G213" s="226">
        <f t="shared" ca="1" si="184"/>
        <v>23.86834895299511</v>
      </c>
      <c r="H213" s="224">
        <f t="shared" ca="1" si="185"/>
        <v>35.212129746892288</v>
      </c>
      <c r="I213" s="224">
        <f t="shared" ca="1" si="162"/>
        <v>940.91952130011259</v>
      </c>
      <c r="J213" s="227">
        <f t="shared" ca="1" si="163"/>
        <v>1000</v>
      </c>
      <c r="K213" s="238">
        <f t="shared" ca="1" si="186"/>
        <v>0.11786570337505609</v>
      </c>
      <c r="L213" s="239">
        <f t="shared" ca="1" si="187"/>
        <v>0.39595483857749514</v>
      </c>
      <c r="M213" s="238">
        <f t="shared" ca="1" si="188"/>
        <v>23.927281804682636</v>
      </c>
      <c r="N213" s="238">
        <f t="shared" ca="1" si="189"/>
        <v>35.351174314493505</v>
      </c>
      <c r="O213" s="239">
        <f t="shared" ca="1" si="190"/>
        <v>940.7215438808239</v>
      </c>
      <c r="P213" s="217"/>
      <c r="Q213" s="217"/>
      <c r="R213" s="224"/>
      <c r="S213" s="230">
        <f t="shared" ca="1" si="191"/>
        <v>36189.200229870767</v>
      </c>
      <c r="T213" s="231">
        <f t="shared" ca="1" si="192"/>
        <v>2252.6161804842459</v>
      </c>
      <c r="U213" s="231">
        <f t="shared" ca="1" si="215"/>
        <v>3393.1722238556904</v>
      </c>
      <c r="V213" s="231"/>
      <c r="W213" s="231">
        <f t="shared" ca="1" si="193"/>
        <v>9010.6314911346053</v>
      </c>
      <c r="X213" s="231">
        <f t="shared" ca="1" si="194"/>
        <v>1126.3289363918257</v>
      </c>
      <c r="Y213" s="231"/>
      <c r="Z213" s="232">
        <f t="shared" ca="1" si="164"/>
        <v>51971.949061737134</v>
      </c>
      <c r="AA213" s="231">
        <f t="shared" ca="1" si="165"/>
        <v>102.41142466543978</v>
      </c>
      <c r="AB213" s="231">
        <f t="shared" ca="1" si="195"/>
        <v>8928.1036210580442</v>
      </c>
      <c r="AC213" s="231">
        <f t="shared" ca="1" si="196"/>
        <v>47925.671860977207</v>
      </c>
      <c r="AD213" s="231">
        <f t="shared" ca="1" si="197"/>
        <v>1664.0858285061529</v>
      </c>
      <c r="AE213" s="231">
        <f t="shared" ca="1" si="166"/>
        <v>11344.311982165813</v>
      </c>
      <c r="AF213" s="231">
        <f t="shared" ca="1" si="167"/>
        <v>69964.584717372665</v>
      </c>
      <c r="AG213" s="232">
        <f t="shared" ca="1" si="168"/>
        <v>121936.5337791098</v>
      </c>
      <c r="AH213" s="244">
        <f t="shared" ca="1" si="198"/>
        <v>1.8342611650406948</v>
      </c>
      <c r="AI213" s="243">
        <f t="shared" ca="1" si="199"/>
        <v>2.7100147318434447</v>
      </c>
      <c r="AJ213" s="242">
        <f t="shared" ca="1" si="200"/>
        <v>4.5442758968841392</v>
      </c>
      <c r="AK213" s="241">
        <f t="shared" ca="1" si="201"/>
        <v>1.3206680388293002</v>
      </c>
      <c r="AL213" s="243">
        <f t="shared" ca="1" si="202"/>
        <v>1.2005365262066461</v>
      </c>
      <c r="AM213" s="243"/>
      <c r="AN213" s="242">
        <f t="shared" ca="1" si="169"/>
        <v>2.521204565035946</v>
      </c>
      <c r="AO213" s="224"/>
      <c r="AP213" s="235">
        <f t="shared" si="203"/>
        <v>15.923076923076923</v>
      </c>
      <c r="AQ213" s="235">
        <f t="shared" si="170"/>
        <v>0.62458547964726108</v>
      </c>
      <c r="AR213" s="235">
        <f t="shared" si="171"/>
        <v>0.78893407085367262</v>
      </c>
      <c r="AT213" s="230">
        <f t="shared" ca="1" si="172"/>
        <v>22603.248983624602</v>
      </c>
      <c r="AU213" s="231">
        <f t="shared" ca="1" si="173"/>
        <v>1406.9513575489339</v>
      </c>
      <c r="AV213" s="231">
        <f t="shared" ca="1" si="204"/>
        <v>2119.3261009626699</v>
      </c>
      <c r="AW213" s="231"/>
      <c r="AX213" s="231">
        <f t="shared" ca="1" si="205"/>
        <v>5627.9095918150224</v>
      </c>
      <c r="AY213" s="231">
        <f t="shared" ca="1" si="206"/>
        <v>703.4886989768778</v>
      </c>
      <c r="AZ213" s="231"/>
      <c r="BA213" s="232">
        <f t="shared" ca="1" si="174"/>
        <v>32460.92473292811</v>
      </c>
      <c r="BB213" s="231">
        <f t="shared" ca="1" si="175"/>
        <v>63.964688796023047</v>
      </c>
      <c r="BC213" s="231">
        <f t="shared" ca="1" si="207"/>
        <v>5576.3638824989866</v>
      </c>
      <c r="BD213" s="231">
        <f t="shared" ca="1" si="208"/>
        <v>29933.678746705693</v>
      </c>
      <c r="BE213" s="231">
        <f t="shared" ca="1" si="209"/>
        <v>1039.3638453717253</v>
      </c>
      <c r="BF213" s="231">
        <f t="shared" ca="1" si="176"/>
        <v>7085.4925406492057</v>
      </c>
      <c r="BG213" s="231">
        <f t="shared" ca="1" si="177"/>
        <v>43698.863704021642</v>
      </c>
      <c r="BH213" s="232">
        <f t="shared" ca="1" si="178"/>
        <v>76159.788436949748</v>
      </c>
      <c r="BI213" s="244">
        <f t="shared" ca="1" si="210"/>
        <v>1.4471111279443556</v>
      </c>
      <c r="BJ213" s="243">
        <f t="shared" ca="1" si="211"/>
        <v>2.1380229544666727</v>
      </c>
      <c r="BK213" s="242">
        <f t="shared" ca="1" si="212"/>
        <v>3.5851340824110283</v>
      </c>
      <c r="BL213" s="241">
        <f t="shared" ca="1" si="213"/>
        <v>1.0419200121199359</v>
      </c>
      <c r="BM213" s="243">
        <f t="shared" ca="1" si="214"/>
        <v>0.94714416882873609</v>
      </c>
      <c r="BN213" s="243">
        <f t="shared" si="179"/>
        <v>0</v>
      </c>
      <c r="BO213" s="242">
        <f t="shared" ca="1" si="180"/>
        <v>1.989064180948672</v>
      </c>
      <c r="BP213" s="67"/>
      <c r="BQ213" s="67"/>
      <c r="BR213" s="67"/>
      <c r="BS213" s="67"/>
      <c r="BT213" s="67"/>
      <c r="BU213" s="67"/>
    </row>
    <row r="214" spans="1:73" ht="12" customHeight="1" x14ac:dyDescent="0.15">
      <c r="A214" s="213">
        <f t="shared" si="181"/>
        <v>208</v>
      </c>
      <c r="B214" s="67">
        <f t="shared" si="182"/>
        <v>832</v>
      </c>
      <c r="C214" s="224">
        <f t="shared" si="183"/>
        <v>192</v>
      </c>
      <c r="D214" s="225">
        <f ca="1">IFERROR(OFFSET(extrapolation!V223,0,OS_dist_choice-1,1,1),0)</f>
        <v>5.8688885792031055E-2</v>
      </c>
      <c r="E214" s="225">
        <f ca="1">IFERROR(OFFSET(extrapolation!J223,0,PFS_dist_choice-1,1,1),0)</f>
        <v>2.3751615363661632E-2</v>
      </c>
      <c r="F214" s="214"/>
      <c r="G214" s="226">
        <f t="shared" ca="1" si="184"/>
        <v>23.751615363661632</v>
      </c>
      <c r="H214" s="224">
        <f t="shared" ca="1" si="185"/>
        <v>34.937270428369402</v>
      </c>
      <c r="I214" s="224">
        <f t="shared" ca="1" si="162"/>
        <v>941.31111420796901</v>
      </c>
      <c r="J214" s="227">
        <f t="shared" ca="1" si="163"/>
        <v>1000</v>
      </c>
      <c r="K214" s="238">
        <f t="shared" ca="1" si="186"/>
        <v>0.11673358933347799</v>
      </c>
      <c r="L214" s="239">
        <f t="shared" ca="1" si="187"/>
        <v>0.39159290785642042</v>
      </c>
      <c r="M214" s="238">
        <f t="shared" ca="1" si="188"/>
        <v>23.809982158328371</v>
      </c>
      <c r="N214" s="238">
        <f t="shared" ca="1" si="189"/>
        <v>35.074700087630845</v>
      </c>
      <c r="O214" s="239">
        <f t="shared" ca="1" si="190"/>
        <v>941.1153177540408</v>
      </c>
      <c r="P214" s="217"/>
      <c r="Q214" s="217"/>
      <c r="R214" s="224"/>
      <c r="S214" s="230">
        <f t="shared" ca="1" si="191"/>
        <v>36012.208715029912</v>
      </c>
      <c r="T214" s="231">
        <f t="shared" ca="1" si="192"/>
        <v>2241.5992487033154</v>
      </c>
      <c r="U214" s="231">
        <f t="shared" ca="1" si="215"/>
        <v>3376.5771433288642</v>
      </c>
      <c r="V214" s="231"/>
      <c r="W214" s="231">
        <f t="shared" ca="1" si="193"/>
        <v>8966.4583211119316</v>
      </c>
      <c r="X214" s="231">
        <f t="shared" ca="1" si="194"/>
        <v>1120.8072901389914</v>
      </c>
      <c r="Y214" s="231"/>
      <c r="Z214" s="232">
        <f t="shared" ca="1" si="164"/>
        <v>51717.650718313009</v>
      </c>
      <c r="AA214" s="231">
        <f t="shared" ca="1" si="165"/>
        <v>101.42775080135713</v>
      </c>
      <c r="AB214" s="231">
        <f t="shared" ca="1" si="195"/>
        <v>8858.2787681685113</v>
      </c>
      <c r="AC214" s="231">
        <f t="shared" ca="1" si="196"/>
        <v>47550.855088081349</v>
      </c>
      <c r="AD214" s="231">
        <f t="shared" ca="1" si="197"/>
        <v>1651.0713572250468</v>
      </c>
      <c r="AE214" s="231">
        <f t="shared" ca="1" si="166"/>
        <v>11219.340399239241</v>
      </c>
      <c r="AF214" s="231">
        <f t="shared" ca="1" si="167"/>
        <v>69380.973363515513</v>
      </c>
      <c r="AG214" s="232">
        <f t="shared" ca="1" si="168"/>
        <v>121098.62408182852</v>
      </c>
      <c r="AH214" s="244">
        <f t="shared" ca="1" si="198"/>
        <v>1.8252689950258572</v>
      </c>
      <c r="AI214" s="243">
        <f t="shared" ca="1" si="199"/>
        <v>2.6888202668135897</v>
      </c>
      <c r="AJ214" s="242">
        <f t="shared" ca="1" si="200"/>
        <v>4.5140892618394464</v>
      </c>
      <c r="AK214" s="241">
        <f t="shared" ca="1" si="201"/>
        <v>1.3141936764186171</v>
      </c>
      <c r="AL214" s="243">
        <f t="shared" ca="1" si="202"/>
        <v>1.1911473781984203</v>
      </c>
      <c r="AM214" s="243"/>
      <c r="AN214" s="242">
        <f t="shared" ca="1" si="169"/>
        <v>2.5053410546170376</v>
      </c>
      <c r="AO214" s="224"/>
      <c r="AP214" s="235">
        <f t="shared" si="203"/>
        <v>16</v>
      </c>
      <c r="AQ214" s="235">
        <f t="shared" si="170"/>
        <v>0.62316693922011435</v>
      </c>
      <c r="AR214" s="235">
        <f t="shared" si="171"/>
        <v>0.78803103932001206</v>
      </c>
      <c r="AT214" s="230">
        <f t="shared" ca="1" si="172"/>
        <v>22441.617879501118</v>
      </c>
      <c r="AU214" s="231">
        <f t="shared" ca="1" si="173"/>
        <v>1396.8905427725529</v>
      </c>
      <c r="AV214" s="231">
        <f t="shared" ca="1" si="204"/>
        <v>2104.1712434488454</v>
      </c>
      <c r="AW214" s="231"/>
      <c r="AX214" s="231">
        <f t="shared" ca="1" si="205"/>
        <v>5587.6003876120476</v>
      </c>
      <c r="AY214" s="231">
        <f t="shared" ca="1" si="206"/>
        <v>698.45004845150595</v>
      </c>
      <c r="AZ214" s="231"/>
      <c r="BA214" s="232">
        <f t="shared" ca="1" si="174"/>
        <v>32228.730101786066</v>
      </c>
      <c r="BB214" s="231">
        <f t="shared" ca="1" si="175"/>
        <v>63.206421018862223</v>
      </c>
      <c r="BC214" s="231">
        <f t="shared" ca="1" si="207"/>
        <v>5520.1864667180962</v>
      </c>
      <c r="BD214" s="231">
        <f t="shared" ca="1" si="208"/>
        <v>29632.120822538855</v>
      </c>
      <c r="BE214" s="231">
        <f t="shared" ca="1" si="209"/>
        <v>1028.8930841159324</v>
      </c>
      <c r="BF214" s="231">
        <f t="shared" ca="1" si="176"/>
        <v>6991.522016662494</v>
      </c>
      <c r="BG214" s="231">
        <f t="shared" ca="1" si="177"/>
        <v>43235.928811054247</v>
      </c>
      <c r="BH214" s="232">
        <f t="shared" ca="1" si="178"/>
        <v>75464.658912840299</v>
      </c>
      <c r="BI214" s="244">
        <f t="shared" ca="1" si="210"/>
        <v>1.4383686231888202</v>
      </c>
      <c r="BJ214" s="243">
        <f t="shared" ca="1" si="211"/>
        <v>2.1188738294018252</v>
      </c>
      <c r="BK214" s="242">
        <f t="shared" ca="1" si="212"/>
        <v>3.557242452590645</v>
      </c>
      <c r="BL214" s="241">
        <f t="shared" ca="1" si="213"/>
        <v>1.0356254086959504</v>
      </c>
      <c r="BM214" s="243">
        <f t="shared" ca="1" si="214"/>
        <v>0.93866110642500866</v>
      </c>
      <c r="BN214" s="243">
        <f t="shared" si="179"/>
        <v>0</v>
      </c>
      <c r="BO214" s="242">
        <f t="shared" ca="1" si="180"/>
        <v>1.9742865151209592</v>
      </c>
      <c r="BP214" s="67"/>
      <c r="BQ214" s="67"/>
      <c r="BR214" s="67"/>
      <c r="BS214" s="67"/>
      <c r="BT214" s="67"/>
      <c r="BU214" s="67"/>
    </row>
    <row r="215" spans="1:73" ht="12" customHeight="1" x14ac:dyDescent="0.15">
      <c r="A215" s="213">
        <f t="shared" si="181"/>
        <v>209</v>
      </c>
      <c r="B215" s="67">
        <f t="shared" si="182"/>
        <v>836</v>
      </c>
      <c r="C215" s="224">
        <f t="shared" si="183"/>
        <v>192.92307692307691</v>
      </c>
      <c r="D215" s="225">
        <f ca="1">IFERROR(OFFSET(extrapolation!V224,0,OS_dist_choice-1,1,1),0)</f>
        <v>5.8301588275169521E-2</v>
      </c>
      <c r="E215" s="225">
        <f ca="1">IFERROR(OFFSET(extrapolation!J224,0,PFS_dist_choice-1,1,1),0)</f>
        <v>2.36359977478031E-2</v>
      </c>
      <c r="F215" s="214"/>
      <c r="G215" s="226">
        <f t="shared" ca="1" si="184"/>
        <v>23.635997747803099</v>
      </c>
      <c r="H215" s="224">
        <f t="shared" ca="1" si="185"/>
        <v>34.665590527366362</v>
      </c>
      <c r="I215" s="224">
        <f t="shared" ca="1" si="162"/>
        <v>941.69841172483052</v>
      </c>
      <c r="J215" s="227">
        <f t="shared" ca="1" si="163"/>
        <v>1000</v>
      </c>
      <c r="K215" s="238">
        <f t="shared" ca="1" si="186"/>
        <v>0.11561761585853247</v>
      </c>
      <c r="L215" s="239">
        <f t="shared" ca="1" si="187"/>
        <v>0.38729751686150848</v>
      </c>
      <c r="M215" s="238">
        <f t="shared" ca="1" si="188"/>
        <v>23.693806555732365</v>
      </c>
      <c r="N215" s="238">
        <f t="shared" ca="1" si="189"/>
        <v>34.801430477867882</v>
      </c>
      <c r="O215" s="239">
        <f t="shared" ca="1" si="190"/>
        <v>941.50476296639977</v>
      </c>
      <c r="P215" s="217"/>
      <c r="Q215" s="217"/>
      <c r="R215" s="224"/>
      <c r="S215" s="230">
        <f t="shared" ca="1" si="191"/>
        <v>35836.909239618159</v>
      </c>
      <c r="T215" s="231">
        <f t="shared" ca="1" si="192"/>
        <v>2230.6876388242727</v>
      </c>
      <c r="U215" s="231">
        <f t="shared" ca="1" si="215"/>
        <v>3360.1407118231837</v>
      </c>
      <c r="V215" s="231"/>
      <c r="W215" s="231">
        <f t="shared" ca="1" si="193"/>
        <v>8922.7084479839177</v>
      </c>
      <c r="X215" s="231">
        <f t="shared" ca="1" si="194"/>
        <v>1115.3385559979897</v>
      </c>
      <c r="Y215" s="231"/>
      <c r="Z215" s="232">
        <f t="shared" ca="1" si="164"/>
        <v>51465.784594247525</v>
      </c>
      <c r="AA215" s="231">
        <f t="shared" ca="1" si="165"/>
        <v>100.45810119010136</v>
      </c>
      <c r="AB215" s="231">
        <f t="shared" ca="1" si="195"/>
        <v>8789.2632562439303</v>
      </c>
      <c r="AC215" s="231">
        <f t="shared" ca="1" si="196"/>
        <v>47180.38282227864</v>
      </c>
      <c r="AD215" s="231">
        <f t="shared" ca="1" si="197"/>
        <v>1638.2077368846749</v>
      </c>
      <c r="AE215" s="231">
        <f t="shared" ca="1" si="166"/>
        <v>11096.275214061236</v>
      </c>
      <c r="AF215" s="231">
        <f t="shared" ca="1" si="167"/>
        <v>68804.587130658576</v>
      </c>
      <c r="AG215" s="232">
        <f t="shared" ca="1" si="168"/>
        <v>120270.3717249061</v>
      </c>
      <c r="AH215" s="244">
        <f t="shared" ca="1" si="198"/>
        <v>1.8163629940054928</v>
      </c>
      <c r="AI215" s="243">
        <f t="shared" ca="1" si="199"/>
        <v>2.6678714671603032</v>
      </c>
      <c r="AJ215" s="242">
        <f t="shared" ca="1" si="200"/>
        <v>4.484234461165796</v>
      </c>
      <c r="AK215" s="241">
        <f t="shared" ca="1" si="201"/>
        <v>1.3077813556839548</v>
      </c>
      <c r="AL215" s="243">
        <f t="shared" ca="1" si="202"/>
        <v>1.1818670599520142</v>
      </c>
      <c r="AM215" s="243"/>
      <c r="AN215" s="242">
        <f t="shared" ca="1" si="169"/>
        <v>2.4896484156359691</v>
      </c>
      <c r="AO215" s="224"/>
      <c r="AP215" s="235">
        <f t="shared" si="203"/>
        <v>16.076923076923077</v>
      </c>
      <c r="AQ215" s="235">
        <f t="shared" si="170"/>
        <v>0.62175162054084443</v>
      </c>
      <c r="AR215" s="235">
        <f t="shared" si="171"/>
        <v>0.78712904141638496</v>
      </c>
      <c r="AT215" s="230">
        <f t="shared" ca="1" si="172"/>
        <v>22281.65639490775</v>
      </c>
      <c r="AU215" s="231">
        <f t="shared" ca="1" si="173"/>
        <v>1386.9336543594213</v>
      </c>
      <c r="AV215" s="231">
        <f t="shared" ca="1" si="204"/>
        <v>2089.172932821331</v>
      </c>
      <c r="AW215" s="231"/>
      <c r="AX215" s="231">
        <f t="shared" ca="1" si="205"/>
        <v>5547.7084371474839</v>
      </c>
      <c r="AY215" s="231">
        <f t="shared" ca="1" si="206"/>
        <v>693.46355464343549</v>
      </c>
      <c r="AZ215" s="231"/>
      <c r="BA215" s="232">
        <f t="shared" ca="1" si="174"/>
        <v>31998.934973879423</v>
      </c>
      <c r="BB215" s="231">
        <f t="shared" ca="1" si="175"/>
        <v>62.459987211401653</v>
      </c>
      <c r="BC215" s="231">
        <f t="shared" ca="1" si="207"/>
        <v>5464.7386729297632</v>
      </c>
      <c r="BD215" s="231">
        <f t="shared" ca="1" si="208"/>
        <v>29334.479477489163</v>
      </c>
      <c r="BE215" s="231">
        <f t="shared" ca="1" si="209"/>
        <v>1018.5583151905959</v>
      </c>
      <c r="BF215" s="231">
        <f t="shared" ca="1" si="176"/>
        <v>6899.1270963097786</v>
      </c>
      <c r="BG215" s="231">
        <f t="shared" ca="1" si="177"/>
        <v>42779.3635491307</v>
      </c>
      <c r="BH215" s="232">
        <f t="shared" ca="1" si="178"/>
        <v>74778.298523010119</v>
      </c>
      <c r="BI215" s="244">
        <f t="shared" ca="1" si="210"/>
        <v>1.4297120623357384</v>
      </c>
      <c r="BJ215" s="243">
        <f t="shared" ca="1" si="211"/>
        <v>2.099959110568014</v>
      </c>
      <c r="BK215" s="242">
        <f t="shared" ca="1" si="212"/>
        <v>3.5296711729037527</v>
      </c>
      <c r="BL215" s="241">
        <f t="shared" ca="1" si="213"/>
        <v>1.0293926848817316</v>
      </c>
      <c r="BM215" s="243">
        <f t="shared" ca="1" si="214"/>
        <v>0.93028188598163009</v>
      </c>
      <c r="BN215" s="243">
        <f t="shared" si="179"/>
        <v>0</v>
      </c>
      <c r="BO215" s="242">
        <f t="shared" ca="1" si="180"/>
        <v>1.9596745708633618</v>
      </c>
      <c r="BP215" s="67"/>
      <c r="BQ215" s="67"/>
      <c r="BR215" s="67"/>
      <c r="BS215" s="67"/>
      <c r="BT215" s="67"/>
      <c r="BU215" s="67"/>
    </row>
    <row r="216" spans="1:73" ht="12" customHeight="1" x14ac:dyDescent="0.15">
      <c r="A216" s="213">
        <f t="shared" si="181"/>
        <v>210</v>
      </c>
      <c r="B216" s="67">
        <f t="shared" si="182"/>
        <v>840</v>
      </c>
      <c r="C216" s="224">
        <f t="shared" si="183"/>
        <v>193.84615384615384</v>
      </c>
      <c r="D216" s="225">
        <f ca="1">IFERROR(OFFSET(extrapolation!V225,0,OS_dist_choice-1,1,1),0)</f>
        <v>5.7918520899206703E-2</v>
      </c>
      <c r="E216" s="225">
        <f ca="1">IFERROR(OFFSET(extrapolation!J225,0,PFS_dist_choice-1,1,1),0)</f>
        <v>2.3521480269394272E-2</v>
      </c>
      <c r="F216" s="214"/>
      <c r="G216" s="226">
        <f t="shared" ca="1" si="184"/>
        <v>23.521480269394271</v>
      </c>
      <c r="H216" s="224">
        <f t="shared" ca="1" si="185"/>
        <v>34.397040629812409</v>
      </c>
      <c r="I216" s="224">
        <f t="shared" ca="1" si="162"/>
        <v>942.08147910079333</v>
      </c>
      <c r="J216" s="227">
        <f t="shared" ca="1" si="163"/>
        <v>1000</v>
      </c>
      <c r="K216" s="238">
        <f t="shared" ca="1" si="186"/>
        <v>0.11451747840882831</v>
      </c>
      <c r="L216" s="239">
        <f t="shared" ca="1" si="187"/>
        <v>0.38306737596280982</v>
      </c>
      <c r="M216" s="238">
        <f t="shared" ca="1" si="188"/>
        <v>23.578739008598685</v>
      </c>
      <c r="N216" s="238">
        <f t="shared" ca="1" si="189"/>
        <v>34.531315578589385</v>
      </c>
      <c r="O216" s="239">
        <f t="shared" ca="1" si="190"/>
        <v>941.88994541281193</v>
      </c>
      <c r="P216" s="217"/>
      <c r="Q216" s="217"/>
      <c r="R216" s="224"/>
      <c r="S216" s="230">
        <f t="shared" ca="1" si="191"/>
        <v>35663.277793047702</v>
      </c>
      <c r="T216" s="231">
        <f t="shared" ca="1" si="192"/>
        <v>2219.8798562952002</v>
      </c>
      <c r="U216" s="231">
        <f t="shared" ca="1" si="215"/>
        <v>3343.8606780576279</v>
      </c>
      <c r="V216" s="231"/>
      <c r="W216" s="231">
        <f t="shared" ca="1" si="193"/>
        <v>8879.3758508141273</v>
      </c>
      <c r="X216" s="231">
        <f t="shared" ca="1" si="194"/>
        <v>1109.9219813517659</v>
      </c>
      <c r="Y216" s="231"/>
      <c r="Z216" s="232">
        <f t="shared" ca="1" si="164"/>
        <v>51216.316159566421</v>
      </c>
      <c r="AA216" s="231">
        <f t="shared" ca="1" si="165"/>
        <v>99.502211221044831</v>
      </c>
      <c r="AB216" s="231">
        <f t="shared" ca="1" si="195"/>
        <v>8721.0444811363286</v>
      </c>
      <c r="AC216" s="231">
        <f t="shared" ca="1" si="196"/>
        <v>46814.187405051023</v>
      </c>
      <c r="AD216" s="231">
        <f t="shared" ca="1" si="197"/>
        <v>1625.4926182309382</v>
      </c>
      <c r="AE216" s="231">
        <f t="shared" ca="1" si="166"/>
        <v>10975.079478063266</v>
      </c>
      <c r="AF216" s="231">
        <f t="shared" ca="1" si="167"/>
        <v>68235.306193702592</v>
      </c>
      <c r="AG216" s="232">
        <f t="shared" ca="1" si="168"/>
        <v>119451.62235326902</v>
      </c>
      <c r="AH216" s="244">
        <f t="shared" ca="1" si="198"/>
        <v>1.8075419363196801</v>
      </c>
      <c r="AI216" s="243">
        <f t="shared" ca="1" si="199"/>
        <v>2.6471645070513423</v>
      </c>
      <c r="AJ216" s="242">
        <f t="shared" ca="1" si="200"/>
        <v>4.4547064433710224</v>
      </c>
      <c r="AK216" s="241">
        <f t="shared" ca="1" si="201"/>
        <v>1.3014301941501696</v>
      </c>
      <c r="AL216" s="243">
        <f t="shared" ca="1" si="202"/>
        <v>1.1726938766237447</v>
      </c>
      <c r="AM216" s="243"/>
      <c r="AN216" s="242">
        <f t="shared" ca="1" si="169"/>
        <v>2.4741240707739145</v>
      </c>
      <c r="AO216" s="224"/>
      <c r="AP216" s="235">
        <f t="shared" si="203"/>
        <v>16.153846153846153</v>
      </c>
      <c r="AQ216" s="235">
        <f t="shared" si="170"/>
        <v>0.62033951629231232</v>
      </c>
      <c r="AR216" s="235">
        <f t="shared" si="171"/>
        <v>0.78622807595967681</v>
      </c>
      <c r="AT216" s="230">
        <f t="shared" ca="1" si="172"/>
        <v>22123.340495537574</v>
      </c>
      <c r="AU216" s="231">
        <f t="shared" ca="1" si="173"/>
        <v>1377.0791962812123</v>
      </c>
      <c r="AV216" s="231">
        <f t="shared" ca="1" si="204"/>
        <v>2074.3289155751522</v>
      </c>
      <c r="AW216" s="231"/>
      <c r="AX216" s="231">
        <f t="shared" ca="1" si="205"/>
        <v>5508.227720271675</v>
      </c>
      <c r="AY216" s="231">
        <f t="shared" ca="1" si="206"/>
        <v>688.52846503395938</v>
      </c>
      <c r="AZ216" s="231"/>
      <c r="BA216" s="232">
        <f t="shared" ca="1" si="174"/>
        <v>31771.504792699572</v>
      </c>
      <c r="BB216" s="231">
        <f t="shared" ca="1" si="175"/>
        <v>61.725153578878441</v>
      </c>
      <c r="BC216" s="231">
        <f t="shared" ca="1" si="207"/>
        <v>5410.0085149918496</v>
      </c>
      <c r="BD216" s="231">
        <f t="shared" ca="1" si="208"/>
        <v>29040.690370467011</v>
      </c>
      <c r="BE216" s="231">
        <f t="shared" ca="1" si="209"/>
        <v>1008.3573045301046</v>
      </c>
      <c r="BF216" s="231">
        <f t="shared" ca="1" si="176"/>
        <v>6808.2754946914501</v>
      </c>
      <c r="BG216" s="231">
        <f t="shared" ca="1" si="177"/>
        <v>42329.05683825929</v>
      </c>
      <c r="BH216" s="232">
        <f t="shared" ca="1" si="178"/>
        <v>74100.561630958866</v>
      </c>
      <c r="BI216" s="244">
        <f t="shared" ca="1" si="210"/>
        <v>1.4211402188090507</v>
      </c>
      <c r="BJ216" s="243">
        <f t="shared" ca="1" si="211"/>
        <v>2.0812750571277232</v>
      </c>
      <c r="BK216" s="242">
        <f t="shared" ca="1" si="212"/>
        <v>3.5024152759367739</v>
      </c>
      <c r="BL216" s="241">
        <f t="shared" ca="1" si="213"/>
        <v>1.0232209575425164</v>
      </c>
      <c r="BM216" s="243">
        <f t="shared" ca="1" si="214"/>
        <v>0.92200485030758139</v>
      </c>
      <c r="BN216" s="243">
        <f t="shared" si="179"/>
        <v>0</v>
      </c>
      <c r="BO216" s="242">
        <f t="shared" ca="1" si="180"/>
        <v>1.9452258078500981</v>
      </c>
      <c r="BP216" s="67"/>
      <c r="BQ216" s="67"/>
      <c r="BR216" s="67"/>
      <c r="BS216" s="67"/>
      <c r="BT216" s="67"/>
      <c r="BU216" s="67"/>
    </row>
    <row r="217" spans="1:73" ht="12" customHeight="1" x14ac:dyDescent="0.15">
      <c r="A217" s="213">
        <f t="shared" si="181"/>
        <v>211</v>
      </c>
      <c r="B217" s="67">
        <f t="shared" si="182"/>
        <v>844</v>
      </c>
      <c r="C217" s="224">
        <f t="shared" si="183"/>
        <v>194.76923076923077</v>
      </c>
      <c r="D217" s="225">
        <f ca="1">IFERROR(OFFSET(extrapolation!V226,0,OS_dist_choice-1,1,1),0)</f>
        <v>5.7539619673500138E-2</v>
      </c>
      <c r="E217" s="225">
        <f ca="1">IFERROR(OFFSET(extrapolation!J226,0,PFS_dist_choice-1,1,1),0)</f>
        <v>2.3408047389813339E-2</v>
      </c>
      <c r="F217" s="214"/>
      <c r="G217" s="226">
        <f t="shared" ca="1" si="184"/>
        <v>23.408047389813341</v>
      </c>
      <c r="H217" s="224">
        <f t="shared" ca="1" si="185"/>
        <v>34.131572283686864</v>
      </c>
      <c r="I217" s="224">
        <f t="shared" ca="1" si="162"/>
        <v>942.46038032649983</v>
      </c>
      <c r="J217" s="227">
        <f t="shared" ca="1" si="163"/>
        <v>1000</v>
      </c>
      <c r="K217" s="238">
        <f t="shared" ca="1" si="186"/>
        <v>0.11343287958093029</v>
      </c>
      <c r="L217" s="239">
        <f t="shared" ca="1" si="187"/>
        <v>0.37890122570649964</v>
      </c>
      <c r="M217" s="238">
        <f t="shared" ca="1" si="188"/>
        <v>23.464763829603804</v>
      </c>
      <c r="N217" s="238">
        <f t="shared" ca="1" si="189"/>
        <v>34.264306456749637</v>
      </c>
      <c r="O217" s="239">
        <f t="shared" ca="1" si="190"/>
        <v>942.27092971364664</v>
      </c>
      <c r="P217" s="217"/>
      <c r="Q217" s="217"/>
      <c r="R217" s="224"/>
      <c r="S217" s="230">
        <f t="shared" ca="1" si="191"/>
        <v>35491.290815653942</v>
      </c>
      <c r="T217" s="231">
        <f t="shared" ca="1" si="192"/>
        <v>2209.1744346321379</v>
      </c>
      <c r="U217" s="231">
        <f t="shared" ca="1" si="215"/>
        <v>3327.7348330306436</v>
      </c>
      <c r="V217" s="231"/>
      <c r="W217" s="231">
        <f t="shared" ca="1" si="193"/>
        <v>8836.454622007519</v>
      </c>
      <c r="X217" s="231">
        <f t="shared" ca="1" si="194"/>
        <v>1104.5568277509399</v>
      </c>
      <c r="Y217" s="231"/>
      <c r="Z217" s="232">
        <f t="shared" ca="1" si="164"/>
        <v>50969.211533075177</v>
      </c>
      <c r="AA217" s="231">
        <f t="shared" ca="1" si="165"/>
        <v>98.559822485603675</v>
      </c>
      <c r="AB217" s="231">
        <f t="shared" ca="1" si="195"/>
        <v>8653.6100845772417</v>
      </c>
      <c r="AC217" s="231">
        <f t="shared" ca="1" si="196"/>
        <v>46452.202497750986</v>
      </c>
      <c r="AD217" s="231">
        <f t="shared" ca="1" si="197"/>
        <v>1612.9236978385757</v>
      </c>
      <c r="AE217" s="231">
        <f t="shared" ca="1" si="166"/>
        <v>10855.717107238461</v>
      </c>
      <c r="AF217" s="231">
        <f t="shared" ca="1" si="167"/>
        <v>67673.013209890865</v>
      </c>
      <c r="AG217" s="232">
        <f t="shared" ca="1" si="168"/>
        <v>118642.22474296603</v>
      </c>
      <c r="AH217" s="244">
        <f t="shared" ca="1" si="198"/>
        <v>1.7988046193809897</v>
      </c>
      <c r="AI217" s="243">
        <f t="shared" ca="1" si="199"/>
        <v>2.6266956352881308</v>
      </c>
      <c r="AJ217" s="242">
        <f t="shared" ca="1" si="200"/>
        <v>4.4255002546691209</v>
      </c>
      <c r="AK217" s="241">
        <f t="shared" ca="1" si="201"/>
        <v>1.2951393259543125</v>
      </c>
      <c r="AL217" s="243">
        <f t="shared" ca="1" si="202"/>
        <v>1.1636261664326419</v>
      </c>
      <c r="AM217" s="243"/>
      <c r="AN217" s="242">
        <f t="shared" ca="1" si="169"/>
        <v>2.4587654923869544</v>
      </c>
      <c r="AO217" s="224"/>
      <c r="AP217" s="235">
        <f t="shared" si="203"/>
        <v>16.23076923076923</v>
      </c>
      <c r="AQ217" s="235">
        <f t="shared" si="170"/>
        <v>0.6189306191739955</v>
      </c>
      <c r="AR217" s="235">
        <f t="shared" si="171"/>
        <v>0.78532814176812527</v>
      </c>
      <c r="AT217" s="230">
        <f t="shared" ca="1" si="172"/>
        <v>21966.646599817035</v>
      </c>
      <c r="AU217" s="231">
        <f t="shared" ca="1" si="173"/>
        <v>1367.3257006902306</v>
      </c>
      <c r="AV217" s="231">
        <f t="shared" ca="1" si="204"/>
        <v>2059.6369806545285</v>
      </c>
      <c r="AW217" s="231"/>
      <c r="AX217" s="231">
        <f t="shared" ca="1" si="205"/>
        <v>5469.1523305020282</v>
      </c>
      <c r="AY217" s="231">
        <f t="shared" ca="1" si="206"/>
        <v>683.64404131275353</v>
      </c>
      <c r="AZ217" s="231"/>
      <c r="BA217" s="232">
        <f t="shared" ca="1" si="174"/>
        <v>31546.405652976573</v>
      </c>
      <c r="BB217" s="231">
        <f t="shared" ca="1" si="175"/>
        <v>61.001691956693769</v>
      </c>
      <c r="BC217" s="231">
        <f t="shared" ca="1" si="207"/>
        <v>5355.9842477377233</v>
      </c>
      <c r="BD217" s="231">
        <f t="shared" ca="1" si="208"/>
        <v>28750.690453928837</v>
      </c>
      <c r="BE217" s="231">
        <f t="shared" ca="1" si="209"/>
        <v>998.28786298364003</v>
      </c>
      <c r="BF217" s="231">
        <f t="shared" ca="1" si="176"/>
        <v>6718.9357107608357</v>
      </c>
      <c r="BG217" s="231">
        <f t="shared" ca="1" si="177"/>
        <v>41884.899967367732</v>
      </c>
      <c r="BH217" s="232">
        <f t="shared" ca="1" si="178"/>
        <v>73431.305620344297</v>
      </c>
      <c r="BI217" s="244">
        <f t="shared" ca="1" si="210"/>
        <v>1.4126518891423925</v>
      </c>
      <c r="BJ217" s="243">
        <f t="shared" ca="1" si="211"/>
        <v>2.062818002251273</v>
      </c>
      <c r="BK217" s="242">
        <f t="shared" ca="1" si="212"/>
        <v>3.4754698913936659</v>
      </c>
      <c r="BL217" s="241">
        <f t="shared" ca="1" si="213"/>
        <v>1.0171093601825225</v>
      </c>
      <c r="BM217" s="243">
        <f t="shared" ca="1" si="214"/>
        <v>0.91382837499731395</v>
      </c>
      <c r="BN217" s="243">
        <f t="shared" si="179"/>
        <v>0</v>
      </c>
      <c r="BO217" s="242">
        <f t="shared" ca="1" si="180"/>
        <v>1.9309377351798365</v>
      </c>
      <c r="BP217" s="67"/>
      <c r="BQ217" s="67"/>
      <c r="BR217" s="67"/>
      <c r="BS217" s="67"/>
      <c r="BT217" s="67"/>
      <c r="BU217" s="67"/>
    </row>
    <row r="218" spans="1:73" ht="12" customHeight="1" x14ac:dyDescent="0.15">
      <c r="A218" s="213">
        <f t="shared" si="181"/>
        <v>212</v>
      </c>
      <c r="B218" s="67">
        <f t="shared" si="182"/>
        <v>848</v>
      </c>
      <c r="C218" s="224">
        <f t="shared" si="183"/>
        <v>195.69230769230768</v>
      </c>
      <c r="D218" s="225">
        <f ca="1">IFERROR(OFFSET(extrapolation!V227,0,OS_dist_choice-1,1,1),0)</f>
        <v>5.7164821837507519E-2</v>
      </c>
      <c r="E218" s="225">
        <f ca="1">IFERROR(OFFSET(extrapolation!J227,0,PFS_dist_choice-1,1,1),0)</f>
        <v>2.329568386090395E-2</v>
      </c>
      <c r="F218" s="214"/>
      <c r="G218" s="226">
        <f t="shared" ca="1" si="184"/>
        <v>23.295683860903949</v>
      </c>
      <c r="H218" s="224">
        <f t="shared" ca="1" si="185"/>
        <v>33.869137976603497</v>
      </c>
      <c r="I218" s="224">
        <f t="shared" ca="1" si="162"/>
        <v>942.83517816249253</v>
      </c>
      <c r="J218" s="227">
        <f t="shared" ca="1" si="163"/>
        <v>1000</v>
      </c>
      <c r="K218" s="238">
        <f t="shared" ca="1" si="186"/>
        <v>0.11236352890939116</v>
      </c>
      <c r="L218" s="239">
        <f t="shared" ca="1" si="187"/>
        <v>0.37479783599269467</v>
      </c>
      <c r="M218" s="238">
        <f t="shared" ca="1" si="188"/>
        <v>23.351865625358645</v>
      </c>
      <c r="N218" s="238">
        <f t="shared" ca="1" si="189"/>
        <v>34.000355130145181</v>
      </c>
      <c r="O218" s="239">
        <f t="shared" ca="1" si="190"/>
        <v>942.64777924449618</v>
      </c>
      <c r="P218" s="217"/>
      <c r="Q218" s="217"/>
      <c r="R218" s="224"/>
      <c r="S218" s="230">
        <f t="shared" ca="1" si="191"/>
        <v>35320.925188176108</v>
      </c>
      <c r="T218" s="231">
        <f t="shared" ca="1" si="192"/>
        <v>2198.5699347642976</v>
      </c>
      <c r="U218" s="231">
        <f t="shared" ca="1" si="215"/>
        <v>3311.7610090338267</v>
      </c>
      <c r="V218" s="231"/>
      <c r="W218" s="231">
        <f t="shared" ca="1" si="193"/>
        <v>8793.9389646600594</v>
      </c>
      <c r="X218" s="231">
        <f t="shared" ca="1" si="194"/>
        <v>1099.2423705825074</v>
      </c>
      <c r="Y218" s="231"/>
      <c r="Z218" s="232">
        <f t="shared" ca="1" si="164"/>
        <v>50724.437467216798</v>
      </c>
      <c r="AA218" s="231">
        <f t="shared" ca="1" si="165"/>
        <v>97.630682603488964</v>
      </c>
      <c r="AB218" s="231">
        <f t="shared" ca="1" si="195"/>
        <v>8586.9479484378444</v>
      </c>
      <c r="AC218" s="231">
        <f t="shared" ca="1" si="196"/>
        <v>46094.36305079014</v>
      </c>
      <c r="AD218" s="231">
        <f t="shared" ca="1" si="197"/>
        <v>1600.4987170413242</v>
      </c>
      <c r="AE218" s="231">
        <f t="shared" ca="1" si="166"/>
        <v>10738.152858585636</v>
      </c>
      <c r="AF218" s="231">
        <f t="shared" ca="1" si="167"/>
        <v>67117.593257458429</v>
      </c>
      <c r="AG218" s="232">
        <f t="shared" ca="1" si="168"/>
        <v>117842.03072467522</v>
      </c>
      <c r="AH218" s="244">
        <f t="shared" ca="1" si="198"/>
        <v>1.7901498631349544</v>
      </c>
      <c r="AI218" s="243">
        <f t="shared" ca="1" si="199"/>
        <v>2.6064611735634911</v>
      </c>
      <c r="AJ218" s="242">
        <f t="shared" ca="1" si="200"/>
        <v>4.3966110366984452</v>
      </c>
      <c r="AK218" s="241">
        <f t="shared" ca="1" si="201"/>
        <v>1.2889079014571672</v>
      </c>
      <c r="AL218" s="243">
        <f t="shared" ca="1" si="202"/>
        <v>1.1546622998886265</v>
      </c>
      <c r="AM218" s="243"/>
      <c r="AN218" s="242">
        <f t="shared" ca="1" si="169"/>
        <v>2.4435702013457936</v>
      </c>
      <c r="AO218" s="224"/>
      <c r="AP218" s="235">
        <f t="shared" si="203"/>
        <v>16.307692307692307</v>
      </c>
      <c r="AQ218" s="235">
        <f t="shared" si="170"/>
        <v>0.61752492190195296</v>
      </c>
      <c r="AR218" s="235">
        <f t="shared" si="171"/>
        <v>0.78442923766132122</v>
      </c>
      <c r="AT218" s="230">
        <f t="shared" ca="1" si="172"/>
        <v>21811.551568333176</v>
      </c>
      <c r="AU218" s="231">
        <f t="shared" ca="1" si="173"/>
        <v>1357.6717272613048</v>
      </c>
      <c r="AV218" s="231">
        <f t="shared" ca="1" si="204"/>
        <v>2045.0949584615466</v>
      </c>
      <c r="AW218" s="231"/>
      <c r="AX218" s="231">
        <f t="shared" ca="1" si="205"/>
        <v>5430.4764723622438</v>
      </c>
      <c r="AY218" s="231">
        <f t="shared" ca="1" si="206"/>
        <v>678.80955904528048</v>
      </c>
      <c r="AZ218" s="231"/>
      <c r="BA218" s="232">
        <f t="shared" ca="1" si="174"/>
        <v>31323.604285463549</v>
      </c>
      <c r="BB218" s="231">
        <f t="shared" ca="1" si="175"/>
        <v>60.289379649953879</v>
      </c>
      <c r="BC218" s="231">
        <f t="shared" ca="1" si="207"/>
        <v>5302.6543612352152</v>
      </c>
      <c r="BD218" s="231">
        <f t="shared" ca="1" si="208"/>
        <v>28464.417943059449</v>
      </c>
      <c r="BE218" s="231">
        <f t="shared" ca="1" si="209"/>
        <v>988.34784524511963</v>
      </c>
      <c r="BF218" s="231">
        <f t="shared" ca="1" si="176"/>
        <v>6631.0770053693277</v>
      </c>
      <c r="BG218" s="231">
        <f t="shared" ca="1" si="177"/>
        <v>41446.786534559062</v>
      </c>
      <c r="BH218" s="232">
        <f t="shared" ca="1" si="178"/>
        <v>72770.3908200226</v>
      </c>
      <c r="BI218" s="244">
        <f t="shared" ca="1" si="210"/>
        <v>1.4042458924384709</v>
      </c>
      <c r="BJ218" s="243">
        <f t="shared" ca="1" si="211"/>
        <v>2.0445843513722419</v>
      </c>
      <c r="BK218" s="242">
        <f t="shared" ca="1" si="212"/>
        <v>3.4488302438107126</v>
      </c>
      <c r="BL218" s="241">
        <f t="shared" ca="1" si="213"/>
        <v>1.0110570425556991</v>
      </c>
      <c r="BM218" s="243">
        <f t="shared" ca="1" si="214"/>
        <v>0.90575086765790314</v>
      </c>
      <c r="BN218" s="243">
        <f t="shared" si="179"/>
        <v>0</v>
      </c>
      <c r="BO218" s="242">
        <f t="shared" ca="1" si="180"/>
        <v>1.9168079102136022</v>
      </c>
      <c r="BP218" s="67"/>
      <c r="BQ218" s="67"/>
      <c r="BR218" s="67"/>
      <c r="BS218" s="67"/>
      <c r="BT218" s="67"/>
      <c r="BU218" s="67"/>
    </row>
    <row r="219" spans="1:73" ht="12" customHeight="1" x14ac:dyDescent="0.15">
      <c r="A219" s="213">
        <f t="shared" si="181"/>
        <v>213</v>
      </c>
      <c r="B219" s="67">
        <f t="shared" si="182"/>
        <v>852</v>
      </c>
      <c r="C219" s="224">
        <f t="shared" si="183"/>
        <v>196.61538461538458</v>
      </c>
      <c r="D219" s="225">
        <f ca="1">IFERROR(OFFSET(extrapolation!V228,0,OS_dist_choice-1,1,1),0)</f>
        <v>5.6794065832232142E-2</v>
      </c>
      <c r="E219" s="225">
        <f ca="1">IFERROR(OFFSET(extrapolation!J228,0,PFS_dist_choice-1,1,1),0)</f>
        <v>2.3184374718229976E-2</v>
      </c>
      <c r="F219" s="214"/>
      <c r="G219" s="226">
        <f t="shared" ca="1" si="184"/>
        <v>23.184374718229975</v>
      </c>
      <c r="H219" s="224">
        <f t="shared" ca="1" si="185"/>
        <v>33.609691114002203</v>
      </c>
      <c r="I219" s="224">
        <f t="shared" ca="1" si="162"/>
        <v>943.20593416776785</v>
      </c>
      <c r="J219" s="227">
        <f t="shared" ca="1" si="163"/>
        <v>1000</v>
      </c>
      <c r="K219" s="238">
        <f t="shared" ca="1" si="186"/>
        <v>0.11130914267397429</v>
      </c>
      <c r="L219" s="239">
        <f t="shared" ca="1" si="187"/>
        <v>0.37075600527532515</v>
      </c>
      <c r="M219" s="238">
        <f t="shared" ca="1" si="188"/>
        <v>23.240029289566962</v>
      </c>
      <c r="N219" s="238">
        <f t="shared" ca="1" si="189"/>
        <v>33.73941454530285</v>
      </c>
      <c r="O219" s="239">
        <f t="shared" ca="1" si="190"/>
        <v>943.02055616513019</v>
      </c>
      <c r="P219" s="217"/>
      <c r="Q219" s="217"/>
      <c r="R219" s="224"/>
      <c r="S219" s="230">
        <f t="shared" ca="1" si="191"/>
        <v>35152.158221530175</v>
      </c>
      <c r="T219" s="231">
        <f t="shared" ca="1" si="192"/>
        <v>2188.064944397473</v>
      </c>
      <c r="U219" s="231">
        <f t="shared" ca="1" si="215"/>
        <v>3295.9370786930094</v>
      </c>
      <c r="V219" s="231"/>
      <c r="W219" s="231">
        <f t="shared" ca="1" si="193"/>
        <v>8751.8231899822858</v>
      </c>
      <c r="X219" s="231">
        <f t="shared" ca="1" si="194"/>
        <v>1093.9778987477857</v>
      </c>
      <c r="Y219" s="231"/>
      <c r="Z219" s="232">
        <f t="shared" ca="1" si="164"/>
        <v>50481.96133335073</v>
      </c>
      <c r="AA219" s="231">
        <f t="shared" ca="1" si="165"/>
        <v>96.714545055206003</v>
      </c>
      <c r="AB219" s="231">
        <f t="shared" ca="1" si="195"/>
        <v>8521.046189144472</v>
      </c>
      <c r="AC219" s="231">
        <f t="shared" ca="1" si="196"/>
        <v>45740.605273661989</v>
      </c>
      <c r="AD219" s="231">
        <f t="shared" ca="1" si="197"/>
        <v>1588.2154608910412</v>
      </c>
      <c r="AE219" s="231">
        <f t="shared" ca="1" si="166"/>
        <v>10622.352307185209</v>
      </c>
      <c r="AF219" s="231">
        <f t="shared" ca="1" si="167"/>
        <v>66568.933775937912</v>
      </c>
      <c r="AG219" s="232">
        <f t="shared" ca="1" si="168"/>
        <v>117050.89510928864</v>
      </c>
      <c r="AH219" s="244">
        <f t="shared" ca="1" si="198"/>
        <v>1.781576509535592</v>
      </c>
      <c r="AI219" s="243">
        <f t="shared" ca="1" si="199"/>
        <v>2.586457514766543</v>
      </c>
      <c r="AJ219" s="242">
        <f t="shared" ca="1" si="200"/>
        <v>4.3680340243021352</v>
      </c>
      <c r="AK219" s="241">
        <f t="shared" ca="1" si="201"/>
        <v>1.2827350868656262</v>
      </c>
      <c r="AL219" s="243">
        <f t="shared" ca="1" si="202"/>
        <v>1.1458006790415785</v>
      </c>
      <c r="AM219" s="243"/>
      <c r="AN219" s="242">
        <f t="shared" ca="1" si="169"/>
        <v>2.4285357659072044</v>
      </c>
      <c r="AO219" s="224"/>
      <c r="AP219" s="235">
        <f t="shared" si="203"/>
        <v>16.384615384615383</v>
      </c>
      <c r="AQ219" s="235">
        <f t="shared" si="170"/>
        <v>0.61612241720878669</v>
      </c>
      <c r="AR219" s="235">
        <f t="shared" si="171"/>
        <v>0.78353136246020672</v>
      </c>
      <c r="AT219" s="230">
        <f t="shared" ca="1" si="172"/>
        <v>21658.032693554895</v>
      </c>
      <c r="AU219" s="231">
        <f t="shared" ca="1" si="173"/>
        <v>1348.1158625519806</v>
      </c>
      <c r="AV219" s="231">
        <f t="shared" ca="1" si="204"/>
        <v>2030.7007198924039</v>
      </c>
      <c r="AW219" s="231"/>
      <c r="AX219" s="231">
        <f t="shared" ca="1" si="205"/>
        <v>5392.1944587958005</v>
      </c>
      <c r="AY219" s="231">
        <f t="shared" ca="1" si="206"/>
        <v>674.02430734947507</v>
      </c>
      <c r="AZ219" s="231"/>
      <c r="BA219" s="232">
        <f t="shared" ca="1" si="174"/>
        <v>31103.068042144554</v>
      </c>
      <c r="BB219" s="231">
        <f t="shared" ca="1" si="175"/>
        <v>59.587999278661627</v>
      </c>
      <c r="BC219" s="231">
        <f t="shared" ca="1" si="207"/>
        <v>5250.0075752034127</v>
      </c>
      <c r="BD219" s="231">
        <f t="shared" ca="1" si="208"/>
        <v>28181.8122858016</v>
      </c>
      <c r="BE219" s="231">
        <f t="shared" ca="1" si="209"/>
        <v>978.53514881255546</v>
      </c>
      <c r="BF219" s="231">
        <f t="shared" ca="1" si="176"/>
        <v>6544.6693799462828</v>
      </c>
      <c r="BG219" s="231">
        <f t="shared" ca="1" si="177"/>
        <v>41014.612389042508</v>
      </c>
      <c r="BH219" s="232">
        <f t="shared" ca="1" si="178"/>
        <v>72117.680431187066</v>
      </c>
      <c r="BI219" s="244">
        <f t="shared" ca="1" si="210"/>
        <v>1.3959210698435218</v>
      </c>
      <c r="BJ219" s="243">
        <f t="shared" ca="1" si="211"/>
        <v>2.0265705804904695</v>
      </c>
      <c r="BK219" s="242">
        <f t="shared" ca="1" si="212"/>
        <v>3.4224916503339915</v>
      </c>
      <c r="BL219" s="241">
        <f t="shared" ca="1" si="213"/>
        <v>1.0050631702873356</v>
      </c>
      <c r="BM219" s="243">
        <f t="shared" ca="1" si="214"/>
        <v>0.89777076715727799</v>
      </c>
      <c r="BN219" s="243">
        <f t="shared" si="179"/>
        <v>0</v>
      </c>
      <c r="BO219" s="242">
        <f t="shared" ca="1" si="180"/>
        <v>1.9028339374446135</v>
      </c>
      <c r="BP219" s="67"/>
      <c r="BQ219" s="67"/>
      <c r="BR219" s="67"/>
      <c r="BS219" s="67"/>
      <c r="BT219" s="67"/>
      <c r="BU219" s="67"/>
    </row>
    <row r="220" spans="1:73" ht="12" customHeight="1" x14ac:dyDescent="0.15">
      <c r="A220" s="213">
        <f t="shared" si="181"/>
        <v>214</v>
      </c>
      <c r="B220" s="67">
        <f t="shared" si="182"/>
        <v>856</v>
      </c>
      <c r="C220" s="224">
        <f t="shared" si="183"/>
        <v>197.53846153846152</v>
      </c>
      <c r="D220" s="225">
        <f ca="1">IFERROR(OFFSET(extrapolation!V229,0,OS_dist_choice-1,1,1),0)</f>
        <v>5.6427291272442628E-2</v>
      </c>
      <c r="E220" s="225">
        <f ca="1">IFERROR(OFFSET(extrapolation!J229,0,PFS_dist_choice-1,1,1),0)</f>
        <v>2.3074105274517531E-2</v>
      </c>
      <c r="F220" s="214"/>
      <c r="G220" s="226">
        <f t="shared" ca="1" si="184"/>
        <v>23.074105274517532</v>
      </c>
      <c r="H220" s="224">
        <f t="shared" ca="1" si="185"/>
        <v>33.353185997925152</v>
      </c>
      <c r="I220" s="224">
        <f t="shared" ca="1" si="162"/>
        <v>943.57270872755737</v>
      </c>
      <c r="J220" s="227">
        <f t="shared" ca="1" si="163"/>
        <v>1000</v>
      </c>
      <c r="K220" s="238">
        <f t="shared" ca="1" si="186"/>
        <v>0.1102694437124434</v>
      </c>
      <c r="L220" s="239">
        <f t="shared" ca="1" si="187"/>
        <v>0.36677455978951912</v>
      </c>
      <c r="M220" s="238">
        <f t="shared" ca="1" si="188"/>
        <v>23.129239996373755</v>
      </c>
      <c r="N220" s="238">
        <f t="shared" ca="1" si="189"/>
        <v>33.481438555963678</v>
      </c>
      <c r="O220" s="239">
        <f t="shared" ca="1" si="190"/>
        <v>943.38932144766261</v>
      </c>
      <c r="P220" s="217"/>
      <c r="Q220" s="217"/>
      <c r="R220" s="224"/>
      <c r="S220" s="230">
        <f t="shared" ca="1" si="191"/>
        <v>34984.967646865589</v>
      </c>
      <c r="T220" s="231">
        <f t="shared" ca="1" si="192"/>
        <v>2177.6580773951168</v>
      </c>
      <c r="U220" s="231">
        <f t="shared" ca="1" si="215"/>
        <v>3280.2609540359608</v>
      </c>
      <c r="V220" s="231"/>
      <c r="W220" s="231">
        <f t="shared" ca="1" si="193"/>
        <v>8710.1017147944149</v>
      </c>
      <c r="X220" s="231">
        <f t="shared" ca="1" si="194"/>
        <v>1088.7627143493019</v>
      </c>
      <c r="Y220" s="231"/>
      <c r="Z220" s="232">
        <f t="shared" ca="1" si="164"/>
        <v>50241.751107440381</v>
      </c>
      <c r="AA220" s="231">
        <f t="shared" ca="1" si="165"/>
        <v>95.811169019390562</v>
      </c>
      <c r="AB220" s="231">
        <f t="shared" ca="1" si="195"/>
        <v>8455.8931522446255</v>
      </c>
      <c r="AC220" s="231">
        <f t="shared" ca="1" si="196"/>
        <v>45390.866605772499</v>
      </c>
      <c r="AD220" s="231">
        <f t="shared" ca="1" si="197"/>
        <v>1576.0717571448781</v>
      </c>
      <c r="AE220" s="231">
        <f t="shared" ca="1" si="166"/>
        <v>10508.281824063359</v>
      </c>
      <c r="AF220" s="231">
        <f t="shared" ca="1" si="167"/>
        <v>66026.92450824476</v>
      </c>
      <c r="AG220" s="232">
        <f t="shared" ca="1" si="168"/>
        <v>116268.67561568515</v>
      </c>
      <c r="AH220" s="244">
        <f t="shared" ca="1" si="198"/>
        <v>1.7730834220354965</v>
      </c>
      <c r="AI220" s="243">
        <f t="shared" ca="1" si="199"/>
        <v>2.5666811213332865</v>
      </c>
      <c r="AJ220" s="242">
        <f t="shared" ca="1" si="200"/>
        <v>4.3397645433687835</v>
      </c>
      <c r="AK220" s="241">
        <f t="shared" ca="1" si="201"/>
        <v>1.2766200638655574</v>
      </c>
      <c r="AL220" s="243">
        <f t="shared" ca="1" si="202"/>
        <v>1.137039736750646</v>
      </c>
      <c r="AM220" s="243"/>
      <c r="AN220" s="242">
        <f t="shared" ca="1" si="169"/>
        <v>2.4136598006162036</v>
      </c>
      <c r="AO220" s="224"/>
      <c r="AP220" s="235">
        <f t="shared" si="203"/>
        <v>16.46153846153846</v>
      </c>
      <c r="AQ220" s="235">
        <f t="shared" si="170"/>
        <v>0.61472309784360413</v>
      </c>
      <c r="AR220" s="235">
        <f t="shared" si="171"/>
        <v>0.78263451498707326</v>
      </c>
      <c r="AT220" s="230">
        <f t="shared" ca="1" si="172"/>
        <v>21506.067689839481</v>
      </c>
      <c r="AU220" s="231">
        <f t="shared" ca="1" si="173"/>
        <v>1338.6567193804733</v>
      </c>
      <c r="AV220" s="231">
        <f t="shared" ca="1" si="204"/>
        <v>2016.4521754004022</v>
      </c>
      <c r="AW220" s="231"/>
      <c r="AX220" s="231">
        <f t="shared" ca="1" si="205"/>
        <v>5354.3007086513107</v>
      </c>
      <c r="AY220" s="231">
        <f t="shared" ca="1" si="206"/>
        <v>669.28758858141384</v>
      </c>
      <c r="AZ220" s="231"/>
      <c r="BA220" s="232">
        <f t="shared" ca="1" si="174"/>
        <v>30884.76488185308</v>
      </c>
      <c r="BB220" s="231">
        <f t="shared" ca="1" si="175"/>
        <v>58.897338627616918</v>
      </c>
      <c r="BC220" s="231">
        <f t="shared" ca="1" si="207"/>
        <v>5198.0328335823351</v>
      </c>
      <c r="BD220" s="231">
        <f t="shared" ca="1" si="208"/>
        <v>27902.81413370627</v>
      </c>
      <c r="BE220" s="231">
        <f t="shared" ca="1" si="209"/>
        <v>968.84771297591203</v>
      </c>
      <c r="BF220" s="231">
        <f t="shared" ca="1" si="176"/>
        <v>6459.6835559018673</v>
      </c>
      <c r="BG220" s="231">
        <f t="shared" ca="1" si="177"/>
        <v>40588.27557479401</v>
      </c>
      <c r="BH220" s="232">
        <f t="shared" ca="1" si="178"/>
        <v>71473.040456647097</v>
      </c>
      <c r="BI220" s="244">
        <f t="shared" ca="1" si="210"/>
        <v>1.387676284036371</v>
      </c>
      <c r="BJ220" s="243">
        <f t="shared" ca="1" si="211"/>
        <v>2.0087732345211542</v>
      </c>
      <c r="BK220" s="242">
        <f t="shared" ca="1" si="212"/>
        <v>3.3964495185575254</v>
      </c>
      <c r="BL220" s="241">
        <f t="shared" ca="1" si="213"/>
        <v>0.99912692450618701</v>
      </c>
      <c r="BM220" s="243">
        <f t="shared" ca="1" si="214"/>
        <v>0.88988654289287128</v>
      </c>
      <c r="BN220" s="243">
        <f t="shared" si="179"/>
        <v>0</v>
      </c>
      <c r="BO220" s="242">
        <f t="shared" ca="1" si="180"/>
        <v>1.8890134673990584</v>
      </c>
      <c r="BP220" s="67"/>
      <c r="BQ220" s="67"/>
      <c r="BR220" s="67"/>
      <c r="BS220" s="67"/>
      <c r="BT220" s="67"/>
      <c r="BU220" s="67"/>
    </row>
    <row r="221" spans="1:73" ht="12" customHeight="1" x14ac:dyDescent="0.15">
      <c r="A221" s="213">
        <f t="shared" si="181"/>
        <v>215</v>
      </c>
      <c r="B221" s="67">
        <f t="shared" si="182"/>
        <v>860</v>
      </c>
      <c r="C221" s="224">
        <f t="shared" si="183"/>
        <v>198.46153846153848</v>
      </c>
      <c r="D221" s="225">
        <f ca="1">IFERROR(OFFSET(extrapolation!V230,0,OS_dist_choice-1,1,1),0)</f>
        <v>5.6064438919641316E-2</v>
      </c>
      <c r="E221" s="225">
        <f ca="1">IFERROR(OFFSET(extrapolation!J230,0,PFS_dist_choice-1,1,1),0)</f>
        <v>2.2964861113277536E-2</v>
      </c>
      <c r="F221" s="214"/>
      <c r="G221" s="226">
        <f t="shared" ca="1" si="184"/>
        <v>22.964861113277536</v>
      </c>
      <c r="H221" s="224">
        <f t="shared" ca="1" si="185"/>
        <v>33.099577806363754</v>
      </c>
      <c r="I221" s="224">
        <f t="shared" ca="1" si="162"/>
        <v>943.93556108035875</v>
      </c>
      <c r="J221" s="227">
        <f t="shared" ca="1" si="163"/>
        <v>1000</v>
      </c>
      <c r="K221" s="238">
        <f t="shared" ca="1" si="186"/>
        <v>0.10924416123999592</v>
      </c>
      <c r="L221" s="239">
        <f t="shared" ca="1" si="187"/>
        <v>0.36285235280138295</v>
      </c>
      <c r="M221" s="238">
        <f t="shared" ca="1" si="188"/>
        <v>23.019483193897536</v>
      </c>
      <c r="N221" s="238">
        <f t="shared" ca="1" si="189"/>
        <v>33.226381902144453</v>
      </c>
      <c r="O221" s="239">
        <f t="shared" ca="1" si="190"/>
        <v>943.75413490395806</v>
      </c>
      <c r="P221" s="217"/>
      <c r="Q221" s="217"/>
      <c r="R221" s="224"/>
      <c r="S221" s="230">
        <f t="shared" ca="1" si="191"/>
        <v>34819.331605895844</v>
      </c>
      <c r="T221" s="231">
        <f t="shared" ca="1" si="192"/>
        <v>2167.3479731764601</v>
      </c>
      <c r="U221" s="231">
        <f t="shared" ca="1" si="215"/>
        <v>3264.7305855857603</v>
      </c>
      <c r="V221" s="231"/>
      <c r="W221" s="231">
        <f t="shared" ca="1" si="193"/>
        <v>8668.7690590907096</v>
      </c>
      <c r="X221" s="231">
        <f t="shared" ca="1" si="194"/>
        <v>1083.5961323863387</v>
      </c>
      <c r="Y221" s="231"/>
      <c r="Z221" s="232">
        <f t="shared" ca="1" si="164"/>
        <v>50003.775356135113</v>
      </c>
      <c r="AA221" s="231">
        <f t="shared" ca="1" si="165"/>
        <v>94.920319215917758</v>
      </c>
      <c r="AB221" s="231">
        <f t="shared" ca="1" si="195"/>
        <v>8391.4774071188749</v>
      </c>
      <c r="AC221" s="231">
        <f t="shared" ca="1" si="196"/>
        <v>45045.085688053805</v>
      </c>
      <c r="AD221" s="231">
        <f t="shared" ca="1" si="197"/>
        <v>1564.0654752796459</v>
      </c>
      <c r="AE221" s="231">
        <f t="shared" ca="1" si="166"/>
        <v>10395.908554697844</v>
      </c>
      <c r="AF221" s="231">
        <f t="shared" ca="1" si="167"/>
        <v>65491.457444366089</v>
      </c>
      <c r="AG221" s="232">
        <f t="shared" ca="1" si="168"/>
        <v>115495.2328005012</v>
      </c>
      <c r="AH221" s="244">
        <f t="shared" ca="1" si="198"/>
        <v>1.7646694850900231</v>
      </c>
      <c r="AI221" s="243">
        <f t="shared" ca="1" si="199"/>
        <v>2.5471285236414638</v>
      </c>
      <c r="AJ221" s="242">
        <f t="shared" ca="1" si="200"/>
        <v>4.3117980087314871</v>
      </c>
      <c r="AK221" s="241">
        <f t="shared" ca="1" si="201"/>
        <v>1.2705620292648165</v>
      </c>
      <c r="AL221" s="243">
        <f t="shared" ca="1" si="202"/>
        <v>1.1283779359731685</v>
      </c>
      <c r="AM221" s="243"/>
      <c r="AN221" s="242">
        <f t="shared" ca="1" si="169"/>
        <v>2.398939965237985</v>
      </c>
      <c r="AO221" s="224"/>
      <c r="AP221" s="235">
        <f t="shared" si="203"/>
        <v>16.53846153846154</v>
      </c>
      <c r="AQ221" s="235">
        <f t="shared" si="170"/>
        <v>0.61332695657198066</v>
      </c>
      <c r="AR221" s="235">
        <f t="shared" si="171"/>
        <v>0.78173869406556074</v>
      </c>
      <c r="AT221" s="230">
        <f t="shared" ca="1" si="172"/>
        <v>21355.634683714674</v>
      </c>
      <c r="AU221" s="231">
        <f t="shared" ca="1" si="173"/>
        <v>1329.292936220769</v>
      </c>
      <c r="AV221" s="231">
        <f t="shared" ca="1" si="204"/>
        <v>2002.3472740847747</v>
      </c>
      <c r="AW221" s="231"/>
      <c r="AX221" s="231">
        <f t="shared" ca="1" si="205"/>
        <v>5316.7897442374569</v>
      </c>
      <c r="AY221" s="231">
        <f t="shared" ca="1" si="206"/>
        <v>664.59871802968212</v>
      </c>
      <c r="AZ221" s="231"/>
      <c r="BA221" s="232">
        <f t="shared" ca="1" si="174"/>
        <v>30668.663356287358</v>
      </c>
      <c r="BB221" s="231">
        <f t="shared" ca="1" si="175"/>
        <v>58.217190501539733</v>
      </c>
      <c r="BC221" s="231">
        <f t="shared" ca="1" si="207"/>
        <v>5146.7192992507553</v>
      </c>
      <c r="BD221" s="231">
        <f t="shared" ca="1" si="208"/>
        <v>27627.365313578124</v>
      </c>
      <c r="BE221" s="231">
        <f t="shared" ca="1" si="209"/>
        <v>959.28351783257369</v>
      </c>
      <c r="BF221" s="231">
        <f t="shared" ca="1" si="176"/>
        <v>6376.0909546534467</v>
      </c>
      <c r="BG221" s="231">
        <f t="shared" ca="1" si="177"/>
        <v>40167.67627581644</v>
      </c>
      <c r="BH221" s="232">
        <f t="shared" ca="1" si="178"/>
        <v>70836.339632103787</v>
      </c>
      <c r="BI221" s="244">
        <f t="shared" ca="1" si="210"/>
        <v>1.3795104187316201</v>
      </c>
      <c r="BJ221" s="243">
        <f t="shared" ca="1" si="211"/>
        <v>1.9911889256886177</v>
      </c>
      <c r="BK221" s="242">
        <f t="shared" ca="1" si="212"/>
        <v>3.3706993444202378</v>
      </c>
      <c r="BL221" s="241">
        <f t="shared" ca="1" si="213"/>
        <v>0.99324750148676644</v>
      </c>
      <c r="BM221" s="243">
        <f t="shared" ca="1" si="214"/>
        <v>0.88209669408005764</v>
      </c>
      <c r="BN221" s="243">
        <f t="shared" si="179"/>
        <v>0</v>
      </c>
      <c r="BO221" s="242">
        <f t="shared" ca="1" si="180"/>
        <v>1.8753441955668242</v>
      </c>
      <c r="BP221" s="67"/>
      <c r="BQ221" s="67"/>
      <c r="BR221" s="67"/>
      <c r="BS221" s="67"/>
      <c r="BT221" s="67"/>
      <c r="BU221" s="67"/>
    </row>
    <row r="222" spans="1:73" ht="12" customHeight="1" x14ac:dyDescent="0.15">
      <c r="A222" s="213">
        <f t="shared" si="181"/>
        <v>216</v>
      </c>
      <c r="B222" s="67">
        <f t="shared" si="182"/>
        <v>864</v>
      </c>
      <c r="C222" s="224">
        <f t="shared" si="183"/>
        <v>199.38461538461542</v>
      </c>
      <c r="D222" s="225">
        <f ca="1">IFERROR(OFFSET(extrapolation!V231,0,OS_dist_choice-1,1,1),0)</f>
        <v>5.5705450655760547E-2</v>
      </c>
      <c r="E222" s="225">
        <f ca="1">IFERROR(OFFSET(extrapolation!J231,0,PFS_dist_choice-1,1,1),0)</f>
        <v>2.2856628082603702E-2</v>
      </c>
      <c r="F222" s="214"/>
      <c r="G222" s="226">
        <f t="shared" ca="1" si="184"/>
        <v>22.856628082603702</v>
      </c>
      <c r="H222" s="224">
        <f t="shared" ca="1" si="185"/>
        <v>32.848822573156895</v>
      </c>
      <c r="I222" s="224">
        <f t="shared" ca="1" si="162"/>
        <v>944.29454934423939</v>
      </c>
      <c r="J222" s="227">
        <f t="shared" ca="1" si="163"/>
        <v>1000</v>
      </c>
      <c r="K222" s="238">
        <f t="shared" ca="1" si="186"/>
        <v>0.1082330306738335</v>
      </c>
      <c r="L222" s="239">
        <f t="shared" ca="1" si="187"/>
        <v>0.35898826388063299</v>
      </c>
      <c r="M222" s="238">
        <f t="shared" ca="1" si="188"/>
        <v>22.910744597940621</v>
      </c>
      <c r="N222" s="238">
        <f t="shared" ca="1" si="189"/>
        <v>32.974200189760325</v>
      </c>
      <c r="O222" s="239">
        <f t="shared" ca="1" si="190"/>
        <v>944.11505521229901</v>
      </c>
      <c r="P222" s="217"/>
      <c r="Q222" s="217"/>
      <c r="R222" s="224"/>
      <c r="S222" s="230">
        <f t="shared" ca="1" si="191"/>
        <v>34655.228641494963</v>
      </c>
      <c r="T222" s="231">
        <f t="shared" ca="1" si="192"/>
        <v>2157.1332961311869</v>
      </c>
      <c r="U222" s="231">
        <f t="shared" ca="1" si="215"/>
        <v>3249.3439614791068</v>
      </c>
      <c r="V222" s="231"/>
      <c r="W222" s="231">
        <f t="shared" ca="1" si="193"/>
        <v>8627.8198436708717</v>
      </c>
      <c r="X222" s="231">
        <f t="shared" ca="1" si="194"/>
        <v>1078.477480458859</v>
      </c>
      <c r="Y222" s="231"/>
      <c r="Z222" s="232">
        <f t="shared" ca="1" si="164"/>
        <v>49768.003223234984</v>
      </c>
      <c r="AA222" s="231">
        <f t="shared" ca="1" si="165"/>
        <v>94.041765753474493</v>
      </c>
      <c r="AB222" s="231">
        <f t="shared" ca="1" si="195"/>
        <v>8327.7877418344524</v>
      </c>
      <c r="AC222" s="231">
        <f t="shared" ca="1" si="196"/>
        <v>44703.20233533853</v>
      </c>
      <c r="AD222" s="231">
        <f t="shared" ca="1" si="197"/>
        <v>1552.1945255325877</v>
      </c>
      <c r="AE222" s="231">
        <f t="shared" ca="1" si="166"/>
        <v>10285.200398178527</v>
      </c>
      <c r="AF222" s="231">
        <f t="shared" ca="1" si="167"/>
        <v>64962.426766637567</v>
      </c>
      <c r="AG222" s="232">
        <f t="shared" ca="1" si="168"/>
        <v>114730.42998987256</v>
      </c>
      <c r="AH222" s="244">
        <f t="shared" ca="1" si="198"/>
        <v>1.7563336036751196</v>
      </c>
      <c r="AI222" s="243">
        <f t="shared" ca="1" si="199"/>
        <v>2.5277963184484302</v>
      </c>
      <c r="AJ222" s="242">
        <f t="shared" ca="1" si="200"/>
        <v>4.28412992212355</v>
      </c>
      <c r="AK222" s="241">
        <f t="shared" ca="1" si="201"/>
        <v>1.264560194646086</v>
      </c>
      <c r="AL222" s="243">
        <f t="shared" ca="1" si="202"/>
        <v>1.1198137690726546</v>
      </c>
      <c r="AM222" s="243"/>
      <c r="AN222" s="242">
        <f t="shared" ca="1" si="169"/>
        <v>2.3843739637187404</v>
      </c>
      <c r="AO222" s="224"/>
      <c r="AP222" s="235">
        <f t="shared" si="203"/>
        <v>16.615384615384617</v>
      </c>
      <c r="AQ222" s="235">
        <f t="shared" si="170"/>
        <v>0.61193398617592243</v>
      </c>
      <c r="AR222" s="235">
        <f t="shared" si="171"/>
        <v>0.78084389852065517</v>
      </c>
      <c r="AT222" s="230">
        <f t="shared" ca="1" si="172"/>
        <v>21206.712204428011</v>
      </c>
      <c r="AU222" s="231">
        <f t="shared" ca="1" si="173"/>
        <v>1320.0231766143636</v>
      </c>
      <c r="AV222" s="231">
        <f t="shared" ca="1" si="204"/>
        <v>1988.3840028045727</v>
      </c>
      <c r="AW222" s="231"/>
      <c r="AX222" s="231">
        <f t="shared" ca="1" si="205"/>
        <v>5279.6561889452405</v>
      </c>
      <c r="AY222" s="231">
        <f t="shared" ca="1" si="206"/>
        <v>659.95702361815506</v>
      </c>
      <c r="AZ222" s="231"/>
      <c r="BA222" s="232">
        <f t="shared" ca="1" si="174"/>
        <v>30454.73259641034</v>
      </c>
      <c r="BB222" s="231">
        <f t="shared" ca="1" si="175"/>
        <v>57.547352584545997</v>
      </c>
      <c r="BC222" s="231">
        <f t="shared" ca="1" si="207"/>
        <v>5096.0563488877397</v>
      </c>
      <c r="BD222" s="231">
        <f t="shared" ca="1" si="208"/>
        <v>27355.40879989251</v>
      </c>
      <c r="BE222" s="231">
        <f t="shared" ca="1" si="209"/>
        <v>949.84058332960103</v>
      </c>
      <c r="BF222" s="231">
        <f t="shared" ca="1" si="176"/>
        <v>6293.8636782755711</v>
      </c>
      <c r="BG222" s="231">
        <f t="shared" ca="1" si="177"/>
        <v>39752.716762969969</v>
      </c>
      <c r="BH222" s="232">
        <f t="shared" ca="1" si="178"/>
        <v>70207.449359380305</v>
      </c>
      <c r="BI222" s="244">
        <f t="shared" ca="1" si="210"/>
        <v>1.3714223781965116</v>
      </c>
      <c r="BJ222" s="243">
        <f t="shared" ca="1" si="211"/>
        <v>1.9738143319634318</v>
      </c>
      <c r="BK222" s="242">
        <f t="shared" ca="1" si="212"/>
        <v>3.3452367101599436</v>
      </c>
      <c r="BL222" s="241">
        <f t="shared" ca="1" si="213"/>
        <v>0.98742411230148841</v>
      </c>
      <c r="BM222" s="243">
        <f t="shared" ca="1" si="214"/>
        <v>0.87439974905980034</v>
      </c>
      <c r="BN222" s="243">
        <f t="shared" si="179"/>
        <v>0</v>
      </c>
      <c r="BO222" s="242">
        <f t="shared" ca="1" si="180"/>
        <v>1.8618238613612885</v>
      </c>
      <c r="BP222" s="67"/>
      <c r="BQ222" s="67"/>
      <c r="BR222" s="67"/>
      <c r="BS222" s="67"/>
      <c r="BT222" s="67"/>
      <c r="BU222" s="67"/>
    </row>
    <row r="223" spans="1:73" ht="12" customHeight="1" x14ac:dyDescent="0.15">
      <c r="A223" s="213">
        <f t="shared" si="181"/>
        <v>217</v>
      </c>
      <c r="B223" s="67">
        <f t="shared" si="182"/>
        <v>868</v>
      </c>
      <c r="C223" s="224">
        <f t="shared" si="183"/>
        <v>200.30769230769232</v>
      </c>
      <c r="D223" s="225">
        <f ca="1">IFERROR(OFFSET(extrapolation!V232,0,OS_dist_choice-1,1,1),0)</f>
        <v>5.5350269457563391E-2</v>
      </c>
      <c r="E223" s="225">
        <f ca="1">IFERROR(OFFSET(extrapolation!J232,0,PFS_dist_choice-1,1,1),0)</f>
        <v>2.2749392289139924E-2</v>
      </c>
      <c r="F223" s="214"/>
      <c r="G223" s="226">
        <f t="shared" ca="1" si="184"/>
        <v>22.749392289139923</v>
      </c>
      <c r="H223" s="224">
        <f t="shared" ca="1" si="185"/>
        <v>32.600877168423494</v>
      </c>
      <c r="I223" s="224">
        <f t="shared" ca="1" si="162"/>
        <v>944.6497305424366</v>
      </c>
      <c r="J223" s="227">
        <f t="shared" ca="1" si="163"/>
        <v>1000</v>
      </c>
      <c r="K223" s="238">
        <f t="shared" ca="1" si="186"/>
        <v>0.10723579346377932</v>
      </c>
      <c r="L223" s="239">
        <f t="shared" ca="1" si="187"/>
        <v>0.35518119819721505</v>
      </c>
      <c r="M223" s="238">
        <f t="shared" ca="1" si="188"/>
        <v>22.803010185871813</v>
      </c>
      <c r="N223" s="238">
        <f t="shared" ca="1" si="189"/>
        <v>32.724849870790194</v>
      </c>
      <c r="O223" s="239">
        <f t="shared" ca="1" si="190"/>
        <v>944.47213994333799</v>
      </c>
      <c r="P223" s="217"/>
      <c r="Q223" s="217"/>
      <c r="R223" s="224"/>
      <c r="S223" s="230">
        <f t="shared" ca="1" si="191"/>
        <v>34492.637688550865</v>
      </c>
      <c r="T223" s="231">
        <f t="shared" ca="1" si="192"/>
        <v>2147.0127350500961</v>
      </c>
      <c r="U223" s="231">
        <f t="shared" ca="1" si="215"/>
        <v>3234.099106608709</v>
      </c>
      <c r="V223" s="231"/>
      <c r="W223" s="231">
        <f t="shared" ca="1" si="193"/>
        <v>8587.2487878363499</v>
      </c>
      <c r="X223" s="231">
        <f t="shared" ca="1" si="194"/>
        <v>1073.4060984795437</v>
      </c>
      <c r="Y223" s="231"/>
      <c r="Z223" s="232">
        <f t="shared" ca="1" si="164"/>
        <v>49534.404416525569</v>
      </c>
      <c r="AA223" s="231">
        <f t="shared" ca="1" si="165"/>
        <v>93.175283982385778</v>
      </c>
      <c r="AB223" s="231">
        <f t="shared" ca="1" si="195"/>
        <v>8264.8131581359285</v>
      </c>
      <c r="AC223" s="231">
        <f t="shared" ca="1" si="196"/>
        <v>44365.157509469958</v>
      </c>
      <c r="AD223" s="231">
        <f t="shared" ca="1" si="197"/>
        <v>1540.4568579677068</v>
      </c>
      <c r="AE223" s="231">
        <f t="shared" ca="1" si="166"/>
        <v>10176.125987055155</v>
      </c>
      <c r="AF223" s="231">
        <f t="shared" ca="1" si="167"/>
        <v>64439.728796611133</v>
      </c>
      <c r="AG223" s="232">
        <f t="shared" ca="1" si="168"/>
        <v>113974.13321313669</v>
      </c>
      <c r="AH223" s="244">
        <f t="shared" ca="1" si="198"/>
        <v>1.748074702818373</v>
      </c>
      <c r="AI223" s="243">
        <f t="shared" ca="1" si="199"/>
        <v>2.508681167370638</v>
      </c>
      <c r="AJ223" s="242">
        <f t="shared" ca="1" si="200"/>
        <v>4.2567558701890107</v>
      </c>
      <c r="AK223" s="241">
        <f t="shared" ca="1" si="201"/>
        <v>1.2586137860292286</v>
      </c>
      <c r="AL223" s="243">
        <f t="shared" ca="1" si="202"/>
        <v>1.1113457571451926</v>
      </c>
      <c r="AM223" s="243"/>
      <c r="AN223" s="242">
        <f t="shared" ca="1" si="169"/>
        <v>2.3699595431744211</v>
      </c>
      <c r="AO223" s="224"/>
      <c r="AP223" s="235">
        <f t="shared" si="203"/>
        <v>16.692307692307693</v>
      </c>
      <c r="AQ223" s="235">
        <f t="shared" si="170"/>
        <v>0.61054417945382888</v>
      </c>
      <c r="AR223" s="235">
        <f t="shared" si="171"/>
        <v>0.77995012717868739</v>
      </c>
      <c r="AT223" s="230">
        <f t="shared" ca="1" si="172"/>
        <v>21059.279174754502</v>
      </c>
      <c r="AU223" s="231">
        <f t="shared" ca="1" si="173"/>
        <v>1310.8461285980818</v>
      </c>
      <c r="AV223" s="231">
        <f t="shared" ca="1" si="204"/>
        <v>1974.5603853167754</v>
      </c>
      <c r="AW223" s="231"/>
      <c r="AX223" s="231">
        <f t="shared" ca="1" si="205"/>
        <v>5242.8947649354313</v>
      </c>
      <c r="AY223" s="231">
        <f t="shared" ca="1" si="206"/>
        <v>655.36184561692892</v>
      </c>
      <c r="AZ223" s="231"/>
      <c r="BA223" s="232">
        <f t="shared" ca="1" si="174"/>
        <v>30242.942299221722</v>
      </c>
      <c r="BB223" s="231">
        <f t="shared" ca="1" si="175"/>
        <v>56.88762730440321</v>
      </c>
      <c r="BC223" s="231">
        <f t="shared" ca="1" si="207"/>
        <v>5046.0335679733089</v>
      </c>
      <c r="BD223" s="231">
        <f t="shared" ca="1" si="208"/>
        <v>27086.88868795921</v>
      </c>
      <c r="BE223" s="231">
        <f t="shared" ca="1" si="209"/>
        <v>940.51696833191693</v>
      </c>
      <c r="BF223" s="231">
        <f t="shared" ca="1" si="176"/>
        <v>6212.9744907853737</v>
      </c>
      <c r="BG223" s="231">
        <f t="shared" ca="1" si="177"/>
        <v>39343.301342354214</v>
      </c>
      <c r="BH223" s="232">
        <f t="shared" ca="1" si="178"/>
        <v>69586.243641575929</v>
      </c>
      <c r="BI223" s="244">
        <f t="shared" ca="1" si="210"/>
        <v>1.3634110867810361</v>
      </c>
      <c r="BJ223" s="243">
        <f t="shared" ca="1" si="211"/>
        <v>1.9566461955415071</v>
      </c>
      <c r="BK223" s="242">
        <f t="shared" ca="1" si="212"/>
        <v>3.3200572823225429</v>
      </c>
      <c r="BL223" s="241">
        <f t="shared" ca="1" si="213"/>
        <v>0.98165598248234609</v>
      </c>
      <c r="BM223" s="243">
        <f t="shared" ca="1" si="214"/>
        <v>0.86679426462488762</v>
      </c>
      <c r="BN223" s="243">
        <f t="shared" si="179"/>
        <v>0</v>
      </c>
      <c r="BO223" s="242">
        <f t="shared" ca="1" si="180"/>
        <v>1.8484502471072337</v>
      </c>
      <c r="BP223" s="67"/>
      <c r="BQ223" s="67"/>
      <c r="BR223" s="67"/>
      <c r="BS223" s="67"/>
      <c r="BT223" s="67"/>
      <c r="BU223" s="67"/>
    </row>
    <row r="224" spans="1:73" ht="12" customHeight="1" x14ac:dyDescent="0.15">
      <c r="A224" s="213">
        <f t="shared" si="181"/>
        <v>218</v>
      </c>
      <c r="B224" s="67">
        <f t="shared" si="182"/>
        <v>872</v>
      </c>
      <c r="C224" s="224">
        <f t="shared" si="183"/>
        <v>201.23076923076923</v>
      </c>
      <c r="D224" s="225">
        <f ca="1">IFERROR(OFFSET(extrapolation!V233,0,OS_dist_choice-1,1,1),0)</f>
        <v>5.4998839371726421E-2</v>
      </c>
      <c r="E224" s="225">
        <f ca="1">IFERROR(OFFSET(extrapolation!J233,0,PFS_dist_choice-1,1,1),0)</f>
        <v>2.2643140092211692E-2</v>
      </c>
      <c r="F224" s="214"/>
      <c r="G224" s="226">
        <f t="shared" ca="1" si="184"/>
        <v>22.643140092211691</v>
      </c>
      <c r="H224" s="224">
        <f t="shared" ca="1" si="185"/>
        <v>32.355699279514852</v>
      </c>
      <c r="I224" s="224">
        <f t="shared" ca="1" si="162"/>
        <v>945.00116062827351</v>
      </c>
      <c r="J224" s="227">
        <f t="shared" ca="1" si="163"/>
        <v>1000</v>
      </c>
      <c r="K224" s="238">
        <f t="shared" ca="1" si="186"/>
        <v>0.10625219692823151</v>
      </c>
      <c r="L224" s="239">
        <f t="shared" ca="1" si="187"/>
        <v>0.35143008583690971</v>
      </c>
      <c r="M224" s="238">
        <f t="shared" ca="1" si="188"/>
        <v>22.696266190675807</v>
      </c>
      <c r="N224" s="238">
        <f t="shared" ca="1" si="189"/>
        <v>32.478288223969173</v>
      </c>
      <c r="O224" s="239">
        <f t="shared" ca="1" si="190"/>
        <v>944.82544558535506</v>
      </c>
      <c r="P224" s="217"/>
      <c r="Q224" s="217"/>
      <c r="R224" s="224"/>
      <c r="S224" s="230">
        <f t="shared" ca="1" si="191"/>
        <v>34331.538065067405</v>
      </c>
      <c r="T224" s="231">
        <f t="shared" ca="1" si="192"/>
        <v>2136.985002571244</v>
      </c>
      <c r="U224" s="231">
        <f t="shared" ca="1" si="215"/>
        <v>3218.9940817889978</v>
      </c>
      <c r="V224" s="231"/>
      <c r="W224" s="231">
        <f t="shared" ca="1" si="193"/>
        <v>8547.0507071494576</v>
      </c>
      <c r="X224" s="231">
        <f t="shared" ca="1" si="194"/>
        <v>1068.3813383936822</v>
      </c>
      <c r="Y224" s="231"/>
      <c r="Z224" s="232">
        <f t="shared" ca="1" si="164"/>
        <v>49302.949194970781</v>
      </c>
      <c r="AA224" s="231">
        <f t="shared" ca="1" si="165"/>
        <v>92.320654352077554</v>
      </c>
      <c r="AB224" s="231">
        <f t="shared" ca="1" si="195"/>
        <v>8202.5428665690015</v>
      </c>
      <c r="AC224" s="231">
        <f t="shared" ca="1" si="196"/>
        <v>44030.893293126748</v>
      </c>
      <c r="AD224" s="231">
        <f t="shared" ca="1" si="197"/>
        <v>1528.850461566901</v>
      </c>
      <c r="AE224" s="231">
        <f t="shared" ca="1" si="166"/>
        <v>10068.654667729092</v>
      </c>
      <c r="AF224" s="231">
        <f t="shared" ca="1" si="167"/>
        <v>63923.261943343816</v>
      </c>
      <c r="AG224" s="232">
        <f t="shared" ca="1" si="168"/>
        <v>113226.2111383146</v>
      </c>
      <c r="AH224" s="244">
        <f t="shared" ca="1" si="198"/>
        <v>1.7398917271428409</v>
      </c>
      <c r="AI224" s="243">
        <f t="shared" ca="1" si="199"/>
        <v>2.489779795403523</v>
      </c>
      <c r="AJ224" s="242">
        <f t="shared" ca="1" si="200"/>
        <v>4.2296715225463641</v>
      </c>
      <c r="AK224" s="241">
        <f t="shared" ca="1" si="201"/>
        <v>1.2527220435428454</v>
      </c>
      <c r="AL224" s="243">
        <f t="shared" ca="1" si="202"/>
        <v>1.1029724493637607</v>
      </c>
      <c r="AM224" s="243"/>
      <c r="AN224" s="242">
        <f t="shared" ca="1" si="169"/>
        <v>2.3556944929066059</v>
      </c>
      <c r="AO224" s="224"/>
      <c r="AP224" s="235">
        <f t="shared" si="203"/>
        <v>16.76923076923077</v>
      </c>
      <c r="AQ224" s="235">
        <f t="shared" si="170"/>
        <v>0.6091575292204553</v>
      </c>
      <c r="AR224" s="235">
        <f t="shared" si="171"/>
        <v>0.77905737886733206</v>
      </c>
      <c r="AT224" s="230">
        <f t="shared" ca="1" si="172"/>
        <v>20913.31490205447</v>
      </c>
      <c r="AU224" s="231">
        <f t="shared" ca="1" si="173"/>
        <v>1301.7605041474674</v>
      </c>
      <c r="AV224" s="231">
        <f t="shared" ca="1" si="204"/>
        <v>1960.8744814378542</v>
      </c>
      <c r="AW224" s="231"/>
      <c r="AX224" s="231">
        <f t="shared" ca="1" si="205"/>
        <v>5206.5002908891092</v>
      </c>
      <c r="AY224" s="231">
        <f t="shared" ca="1" si="206"/>
        <v>650.81253636113865</v>
      </c>
      <c r="AZ224" s="231"/>
      <c r="BA224" s="232">
        <f t="shared" ca="1" si="174"/>
        <v>30033.262714890036</v>
      </c>
      <c r="BB224" s="231">
        <f t="shared" ca="1" si="175"/>
        <v>56.237821701127238</v>
      </c>
      <c r="BC224" s="231">
        <f t="shared" ca="1" si="207"/>
        <v>4996.6407459240436</v>
      </c>
      <c r="BD224" s="231">
        <f t="shared" ca="1" si="208"/>
        <v>26821.750167810605</v>
      </c>
      <c r="BE224" s="231">
        <f t="shared" ca="1" si="209"/>
        <v>931.31076971564607</v>
      </c>
      <c r="BF224" s="231">
        <f t="shared" ca="1" si="176"/>
        <v>6133.396799967858</v>
      </c>
      <c r="BG224" s="231">
        <f t="shared" ca="1" si="177"/>
        <v>38939.336305119279</v>
      </c>
      <c r="BH224" s="232">
        <f t="shared" ca="1" si="178"/>
        <v>68972.599020009322</v>
      </c>
      <c r="BI224" s="244">
        <f t="shared" ca="1" si="210"/>
        <v>1.3554754884608569</v>
      </c>
      <c r="BJ224" s="243">
        <f t="shared" ca="1" si="211"/>
        <v>1.939681321363911</v>
      </c>
      <c r="BK224" s="242">
        <f t="shared" ca="1" si="212"/>
        <v>3.2951568098247681</v>
      </c>
      <c r="BL224" s="241">
        <f t="shared" ca="1" si="213"/>
        <v>0.97594235169181698</v>
      </c>
      <c r="BM224" s="243">
        <f t="shared" ca="1" si="214"/>
        <v>0.85927882536421252</v>
      </c>
      <c r="BN224" s="243">
        <f t="shared" si="179"/>
        <v>0</v>
      </c>
      <c r="BO224" s="242">
        <f t="shared" ca="1" si="180"/>
        <v>1.8352211770560294</v>
      </c>
      <c r="BP224" s="67"/>
      <c r="BQ224" s="67"/>
      <c r="BR224" s="67"/>
      <c r="BS224" s="67"/>
      <c r="BT224" s="67"/>
      <c r="BU224" s="67"/>
    </row>
    <row r="225" spans="1:73" ht="12" customHeight="1" x14ac:dyDescent="0.15">
      <c r="A225" s="213">
        <f t="shared" si="181"/>
        <v>219</v>
      </c>
      <c r="B225" s="67">
        <f t="shared" si="182"/>
        <v>876</v>
      </c>
      <c r="C225" s="224">
        <f t="shared" si="183"/>
        <v>202.15384615384616</v>
      </c>
      <c r="D225" s="225">
        <f ca="1">IFERROR(OFFSET(extrapolation!V234,0,OS_dist_choice-1,1,1),0)</f>
        <v>5.4651105490585911E-2</v>
      </c>
      <c r="E225" s="225">
        <f ca="1">IFERROR(OFFSET(extrapolation!J234,0,PFS_dist_choice-1,1,1),0)</f>
        <v>2.2537858098116592E-2</v>
      </c>
      <c r="F225" s="214"/>
      <c r="G225" s="226">
        <f t="shared" ca="1" si="184"/>
        <v>22.537858098116594</v>
      </c>
      <c r="H225" s="224">
        <f t="shared" ca="1" si="185"/>
        <v>32.113247392469361</v>
      </c>
      <c r="I225" s="224">
        <f t="shared" ca="1" si="162"/>
        <v>945.34889450941409</v>
      </c>
      <c r="J225" s="227">
        <f t="shared" ca="1" si="163"/>
        <v>1000</v>
      </c>
      <c r="K225" s="238">
        <f t="shared" ca="1" si="186"/>
        <v>0.10528199409509753</v>
      </c>
      <c r="L225" s="239">
        <f t="shared" ca="1" si="187"/>
        <v>0.34773388114058434</v>
      </c>
      <c r="M225" s="238">
        <f t="shared" ca="1" si="188"/>
        <v>22.590499095164141</v>
      </c>
      <c r="N225" s="238">
        <f t="shared" ca="1" si="189"/>
        <v>32.234473335992107</v>
      </c>
      <c r="O225" s="239">
        <f t="shared" ca="1" si="190"/>
        <v>945.1750275688438</v>
      </c>
      <c r="P225" s="217"/>
      <c r="Q225" s="217"/>
      <c r="R225" s="224"/>
      <c r="S225" s="230">
        <f t="shared" ca="1" si="191"/>
        <v>34171.909463507618</v>
      </c>
      <c r="T225" s="231">
        <f t="shared" ca="1" si="192"/>
        <v>2127.0488346410984</v>
      </c>
      <c r="U225" s="231">
        <f t="shared" ca="1" si="215"/>
        <v>3204.0269829444505</v>
      </c>
      <c r="V225" s="231"/>
      <c r="W225" s="231">
        <f t="shared" ca="1" si="193"/>
        <v>8507.2205112532938</v>
      </c>
      <c r="X225" s="231">
        <f t="shared" ca="1" si="194"/>
        <v>1063.4025639066617</v>
      </c>
      <c r="Y225" s="231"/>
      <c r="Z225" s="232">
        <f t="shared" ca="1" si="164"/>
        <v>49073.60835625312</v>
      </c>
      <c r="AA225" s="231">
        <f t="shared" ca="1" si="165"/>
        <v>91.477662272867477</v>
      </c>
      <c r="AB225" s="231">
        <f t="shared" ca="1" si="195"/>
        <v>8140.966281733361</v>
      </c>
      <c r="AC225" s="231">
        <f t="shared" ca="1" si="196"/>
        <v>43700.352864340508</v>
      </c>
      <c r="AD225" s="231">
        <f t="shared" ca="1" si="197"/>
        <v>1517.3733633451563</v>
      </c>
      <c r="AE225" s="231">
        <f t="shared" ca="1" si="166"/>
        <v>9962.7564815225469</v>
      </c>
      <c r="AF225" s="231">
        <f t="shared" ca="1" si="167"/>
        <v>63412.926653214439</v>
      </c>
      <c r="AG225" s="232">
        <f t="shared" ca="1" si="168"/>
        <v>112486.53500946757</v>
      </c>
      <c r="AH225" s="244">
        <f t="shared" ca="1" si="198"/>
        <v>1.7317836404232605</v>
      </c>
      <c r="AI225" s="243">
        <f t="shared" ca="1" si="199"/>
        <v>2.4710889894805721</v>
      </c>
      <c r="AJ225" s="242">
        <f t="shared" ca="1" si="200"/>
        <v>4.2028726299038324</v>
      </c>
      <c r="AK225" s="241">
        <f t="shared" ca="1" si="201"/>
        <v>1.2468842211047475</v>
      </c>
      <c r="AL225" s="243">
        <f t="shared" ca="1" si="202"/>
        <v>1.0946924223398935</v>
      </c>
      <c r="AM225" s="243"/>
      <c r="AN225" s="242">
        <f t="shared" ca="1" si="169"/>
        <v>2.341576643444641</v>
      </c>
      <c r="AO225" s="224"/>
      <c r="AP225" s="235">
        <f t="shared" si="203"/>
        <v>16.846153846153847</v>
      </c>
      <c r="AQ225" s="235">
        <f t="shared" si="170"/>
        <v>0.6077740283068761</v>
      </c>
      <c r="AR225" s="235">
        <f t="shared" si="171"/>
        <v>0.77816565241560565</v>
      </c>
      <c r="AT225" s="230">
        <f t="shared" ca="1" si="172"/>
        <v>20768.799069573888</v>
      </c>
      <c r="AU225" s="231">
        <f t="shared" ca="1" si="173"/>
        <v>1292.7650386352668</v>
      </c>
      <c r="AV225" s="231">
        <f t="shared" ca="1" si="204"/>
        <v>1947.3243862280754</v>
      </c>
      <c r="AW225" s="231"/>
      <c r="AX225" s="231">
        <f t="shared" ca="1" si="205"/>
        <v>5170.4676798192968</v>
      </c>
      <c r="AY225" s="231">
        <f t="shared" ca="1" si="206"/>
        <v>646.3084599774121</v>
      </c>
      <c r="AZ225" s="231"/>
      <c r="BA225" s="232">
        <f t="shared" ca="1" si="174"/>
        <v>29825.664634233937</v>
      </c>
      <c r="BB225" s="231">
        <f t="shared" ca="1" si="175"/>
        <v>55.597747299676612</v>
      </c>
      <c r="BC225" s="231">
        <f t="shared" ca="1" si="207"/>
        <v>4947.8678713595355</v>
      </c>
      <c r="BD225" s="231">
        <f t="shared" ca="1" si="208"/>
        <v>26559.939498792162</v>
      </c>
      <c r="BE225" s="231">
        <f t="shared" ca="1" si="209"/>
        <v>922.22012148583883</v>
      </c>
      <c r="BF225" s="231">
        <f t="shared" ca="1" si="176"/>
        <v>6055.1046398153976</v>
      </c>
      <c r="BG225" s="231">
        <f t="shared" ca="1" si="177"/>
        <v>38540.729878752609</v>
      </c>
      <c r="BH225" s="232">
        <f t="shared" ca="1" si="178"/>
        <v>68366.394512986546</v>
      </c>
      <c r="BI225" s="244">
        <f t="shared" ca="1" si="210"/>
        <v>1.3476145463926392</v>
      </c>
      <c r="BJ225" s="243">
        <f t="shared" ca="1" si="211"/>
        <v>1.922916575676169</v>
      </c>
      <c r="BK225" s="242">
        <f t="shared" ca="1" si="212"/>
        <v>3.270531122068808</v>
      </c>
      <c r="BL225" s="241">
        <f t="shared" ca="1" si="213"/>
        <v>0.97028247340270013</v>
      </c>
      <c r="BM225" s="243">
        <f t="shared" ca="1" si="214"/>
        <v>0.85185204302454298</v>
      </c>
      <c r="BN225" s="243">
        <f t="shared" si="179"/>
        <v>0</v>
      </c>
      <c r="BO225" s="242">
        <f t="shared" ca="1" si="180"/>
        <v>1.8221345164272431</v>
      </c>
      <c r="BP225" s="67"/>
      <c r="BQ225" s="67"/>
      <c r="BR225" s="67"/>
      <c r="BS225" s="67"/>
      <c r="BT225" s="67"/>
      <c r="BU225" s="67"/>
    </row>
    <row r="226" spans="1:73" ht="12" customHeight="1" x14ac:dyDescent="0.15">
      <c r="A226" s="213">
        <f t="shared" si="181"/>
        <v>220</v>
      </c>
      <c r="B226" s="67">
        <f t="shared" si="182"/>
        <v>880</v>
      </c>
      <c r="C226" s="224">
        <f t="shared" si="183"/>
        <v>203.07692307692309</v>
      </c>
      <c r="D226" s="225">
        <f ca="1">IFERROR(OFFSET(extrapolation!V235,0,OS_dist_choice-1,1,1),0)</f>
        <v>5.4307013928525757E-2</v>
      </c>
      <c r="E226" s="225">
        <f ca="1">IFERROR(OFFSET(extrapolation!J235,0,PFS_dist_choice-1,1,1),0)</f>
        <v>2.243353315456878E-2</v>
      </c>
      <c r="F226" s="214"/>
      <c r="G226" s="226">
        <f t="shared" ca="1" si="184"/>
        <v>22.433533154568781</v>
      </c>
      <c r="H226" s="224">
        <f t="shared" ca="1" si="185"/>
        <v>31.873480773956999</v>
      </c>
      <c r="I226" s="224">
        <f t="shared" ca="1" si="162"/>
        <v>945.69298607147425</v>
      </c>
      <c r="J226" s="227">
        <f t="shared" ca="1" si="163"/>
        <v>1000</v>
      </c>
      <c r="K226" s="238">
        <f t="shared" ca="1" si="186"/>
        <v>0.10432494354781241</v>
      </c>
      <c r="L226" s="239">
        <f t="shared" ca="1" si="187"/>
        <v>0.34409156206015723</v>
      </c>
      <c r="M226" s="238">
        <f t="shared" ca="1" si="188"/>
        <v>22.485695626342689</v>
      </c>
      <c r="N226" s="238">
        <f t="shared" ca="1" si="189"/>
        <v>31.99336408321318</v>
      </c>
      <c r="O226" s="239">
        <f t="shared" ca="1" si="190"/>
        <v>945.52094029044417</v>
      </c>
      <c r="P226" s="217"/>
      <c r="Q226" s="217"/>
      <c r="R226" s="224"/>
      <c r="S226" s="230">
        <f t="shared" ca="1" si="191"/>
        <v>34013.731942370447</v>
      </c>
      <c r="T226" s="231">
        <f t="shared" ca="1" si="192"/>
        <v>2117.20298999023</v>
      </c>
      <c r="U226" s="231">
        <f t="shared" ca="1" si="215"/>
        <v>3189.1959403198066</v>
      </c>
      <c r="V226" s="231"/>
      <c r="W226" s="231">
        <f t="shared" ca="1" si="193"/>
        <v>8467.7532017506346</v>
      </c>
      <c r="X226" s="231">
        <f t="shared" ca="1" si="194"/>
        <v>1058.4691502188293</v>
      </c>
      <c r="Y226" s="231"/>
      <c r="Z226" s="232">
        <f t="shared" ca="1" si="164"/>
        <v>48846.353224649945</v>
      </c>
      <c r="AA226" s="231">
        <f t="shared" ca="1" si="165"/>
        <v>90.646097982172805</v>
      </c>
      <c r="AB226" s="231">
        <f t="shared" ca="1" si="195"/>
        <v>8080.0730176608413</v>
      </c>
      <c r="AC226" s="231">
        <f t="shared" ca="1" si="196"/>
        <v>43373.480471685914</v>
      </c>
      <c r="AD226" s="231">
        <f t="shared" ca="1" si="197"/>
        <v>1506.023627489094</v>
      </c>
      <c r="AE226" s="231">
        <f t="shared" ca="1" si="166"/>
        <v>9858.402146226621</v>
      </c>
      <c r="AF226" s="231">
        <f t="shared" ca="1" si="167"/>
        <v>62908.625361044644</v>
      </c>
      <c r="AG226" s="232">
        <f t="shared" ca="1" si="168"/>
        <v>111754.9785856946</v>
      </c>
      <c r="AH226" s="244">
        <f t="shared" ca="1" si="198"/>
        <v>1.7237494251542649</v>
      </c>
      <c r="AI226" s="243">
        <f t="shared" ca="1" si="199"/>
        <v>2.452605597070415</v>
      </c>
      <c r="AJ226" s="242">
        <f t="shared" ca="1" si="200"/>
        <v>4.1763550222246799</v>
      </c>
      <c r="AK226" s="241">
        <f t="shared" ca="1" si="201"/>
        <v>1.2410995861110707</v>
      </c>
      <c r="AL226" s="243">
        <f t="shared" ca="1" si="202"/>
        <v>1.086504279502194</v>
      </c>
      <c r="AM226" s="243"/>
      <c r="AN226" s="242">
        <f t="shared" ca="1" si="169"/>
        <v>2.3276038656132645</v>
      </c>
      <c r="AO226" s="224"/>
      <c r="AP226" s="235">
        <f t="shared" si="203"/>
        <v>16.923076923076923</v>
      </c>
      <c r="AQ226" s="235">
        <f t="shared" si="170"/>
        <v>0.6063936695604476</v>
      </c>
      <c r="AR226" s="235">
        <f t="shared" si="171"/>
        <v>0.77727494665386465</v>
      </c>
      <c r="AT226" s="230">
        <f t="shared" ca="1" si="172"/>
        <v>20625.711727979426</v>
      </c>
      <c r="AU226" s="231">
        <f t="shared" ca="1" si="173"/>
        <v>1283.8584903045271</v>
      </c>
      <c r="AV226" s="231">
        <f t="shared" ca="1" si="204"/>
        <v>1933.9082291978098</v>
      </c>
      <c r="AW226" s="231"/>
      <c r="AX226" s="231">
        <f t="shared" ca="1" si="205"/>
        <v>5134.7919369417968</v>
      </c>
      <c r="AY226" s="231">
        <f t="shared" ca="1" si="206"/>
        <v>641.84899211772461</v>
      </c>
      <c r="AZ226" s="231"/>
      <c r="BA226" s="232">
        <f t="shared" ca="1" si="174"/>
        <v>29620.119376541283</v>
      </c>
      <c r="BB226" s="231">
        <f t="shared" ca="1" si="175"/>
        <v>54.967219986745654</v>
      </c>
      <c r="BC226" s="231">
        <f t="shared" ca="1" si="207"/>
        <v>4899.7051274957166</v>
      </c>
      <c r="BD226" s="231">
        <f t="shared" ca="1" si="208"/>
        <v>26301.403984834036</v>
      </c>
      <c r="BE226" s="231">
        <f t="shared" ca="1" si="209"/>
        <v>913.24319391784832</v>
      </c>
      <c r="BF226" s="231">
        <f t="shared" ca="1" si="176"/>
        <v>5978.0726534529531</v>
      </c>
      <c r="BG226" s="231">
        <f t="shared" ca="1" si="177"/>
        <v>38147.392179687296</v>
      </c>
      <c r="BH226" s="232">
        <f t="shared" ca="1" si="178"/>
        <v>67767.511556228594</v>
      </c>
      <c r="BI226" s="244">
        <f t="shared" ca="1" si="210"/>
        <v>1.3398272424814111</v>
      </c>
      <c r="BJ226" s="243">
        <f t="shared" ca="1" si="211"/>
        <v>1.9063488846258767</v>
      </c>
      <c r="BK226" s="242">
        <f t="shared" ca="1" si="212"/>
        <v>3.246176127107288</v>
      </c>
      <c r="BL226" s="241">
        <f t="shared" ca="1" si="213"/>
        <v>0.96467561458661599</v>
      </c>
      <c r="BM226" s="243">
        <f t="shared" ca="1" si="214"/>
        <v>0.84451255588926344</v>
      </c>
      <c r="BN226" s="243">
        <f t="shared" si="179"/>
        <v>0</v>
      </c>
      <c r="BO226" s="242">
        <f t="shared" ca="1" si="180"/>
        <v>1.8091881704758792</v>
      </c>
      <c r="BP226" s="67"/>
      <c r="BQ226" s="67"/>
      <c r="BR226" s="67"/>
      <c r="BS226" s="67"/>
      <c r="BT226" s="67"/>
      <c r="BU226" s="67"/>
    </row>
    <row r="227" spans="1:73" ht="12" customHeight="1" x14ac:dyDescent="0.15">
      <c r="A227" s="213">
        <f t="shared" si="181"/>
        <v>221</v>
      </c>
      <c r="B227" s="67">
        <f t="shared" si="182"/>
        <v>884</v>
      </c>
      <c r="C227" s="224">
        <f t="shared" si="183"/>
        <v>204</v>
      </c>
      <c r="D227" s="225">
        <f ca="1">IFERROR(OFFSET(extrapolation!V236,0,OS_dist_choice-1,1,1),0)</f>
        <v>5.3966511798987905E-2</v>
      </c>
      <c r="E227" s="225">
        <f ca="1">IFERROR(OFFSET(extrapolation!J236,0,PFS_dist_choice-1,1,1),0)</f>
        <v>2.2330152345292512E-2</v>
      </c>
      <c r="F227" s="214"/>
      <c r="G227" s="226">
        <f t="shared" ca="1" si="184"/>
        <v>22.330152345292511</v>
      </c>
      <c r="H227" s="224">
        <f t="shared" ca="1" si="185"/>
        <v>31.636359453695377</v>
      </c>
      <c r="I227" s="224">
        <f t="shared" ca="1" si="162"/>
        <v>946.03348820101212</v>
      </c>
      <c r="J227" s="227">
        <f t="shared" ca="1" si="163"/>
        <v>1000</v>
      </c>
      <c r="K227" s="238">
        <f t="shared" ca="1" si="186"/>
        <v>0.10338080927627047</v>
      </c>
      <c r="L227" s="239">
        <f t="shared" ca="1" si="187"/>
        <v>0.3405021295378674</v>
      </c>
      <c r="M227" s="238">
        <f t="shared" ca="1" si="188"/>
        <v>22.381842749930648</v>
      </c>
      <c r="N227" s="238">
        <f t="shared" ca="1" si="189"/>
        <v>31.754920113826188</v>
      </c>
      <c r="O227" s="239">
        <f t="shared" ca="1" si="190"/>
        <v>945.86323713624324</v>
      </c>
      <c r="P227" s="217"/>
      <c r="Q227" s="217"/>
      <c r="R227" s="224"/>
      <c r="S227" s="230">
        <f t="shared" ca="1" si="191"/>
        <v>33856.985917993443</v>
      </c>
      <c r="T227" s="231">
        <f t="shared" ca="1" si="192"/>
        <v>2107.4462496230644</v>
      </c>
      <c r="U227" s="231">
        <f t="shared" ca="1" si="215"/>
        <v>3174.4991177114734</v>
      </c>
      <c r="V227" s="231"/>
      <c r="W227" s="231">
        <f t="shared" ca="1" si="193"/>
        <v>8428.6438701398838</v>
      </c>
      <c r="X227" s="231">
        <f t="shared" ca="1" si="194"/>
        <v>1053.5804837674855</v>
      </c>
      <c r="Y227" s="231"/>
      <c r="Z227" s="232">
        <f t="shared" ca="1" si="164"/>
        <v>48621.155639235345</v>
      </c>
      <c r="AA227" s="231">
        <f t="shared" ca="1" si="165"/>
        <v>89.825756414987623</v>
      </c>
      <c r="AB227" s="231">
        <f t="shared" ca="1" si="195"/>
        <v>8019.8528833149603</v>
      </c>
      <c r="AC227" s="231">
        <f t="shared" ca="1" si="196"/>
        <v>43050.221410122438</v>
      </c>
      <c r="AD227" s="231">
        <f t="shared" ca="1" si="197"/>
        <v>1494.7993545181403</v>
      </c>
      <c r="AE227" s="231">
        <f t="shared" ca="1" si="166"/>
        <v>9755.5630383170483</v>
      </c>
      <c r="AF227" s="231">
        <f t="shared" ca="1" si="167"/>
        <v>62410.262442687577</v>
      </c>
      <c r="AG227" s="232">
        <f t="shared" ca="1" si="168"/>
        <v>111031.41808192292</v>
      </c>
      <c r="AH227" s="244">
        <f t="shared" ca="1" si="198"/>
        <v>1.7157880821302069</v>
      </c>
      <c r="AI227" s="243">
        <f t="shared" ca="1" si="199"/>
        <v>2.4343265248107686</v>
      </c>
      <c r="AJ227" s="242">
        <f t="shared" ca="1" si="200"/>
        <v>4.150114606940976</v>
      </c>
      <c r="AK227" s="241">
        <f t="shared" ca="1" si="201"/>
        <v>1.2353674191337489</v>
      </c>
      <c r="AL227" s="243">
        <f t="shared" ca="1" si="202"/>
        <v>1.0784066504911705</v>
      </c>
      <c r="AM227" s="243"/>
      <c r="AN227" s="242">
        <f t="shared" ca="1" si="169"/>
        <v>2.3137740696249196</v>
      </c>
      <c r="AO227" s="224"/>
      <c r="AP227" s="235">
        <f t="shared" si="203"/>
        <v>17</v>
      </c>
      <c r="AQ227" s="235">
        <f t="shared" si="170"/>
        <v>0.60501644584477121</v>
      </c>
      <c r="AR227" s="235">
        <f t="shared" si="171"/>
        <v>0.77638526041380518</v>
      </c>
      <c r="AT227" s="230">
        <f t="shared" ca="1" si="172"/>
        <v>20484.033287120863</v>
      </c>
      <c r="AU227" s="231">
        <f t="shared" ca="1" si="173"/>
        <v>1275.0396397558391</v>
      </c>
      <c r="AV227" s="231">
        <f t="shared" ca="1" si="204"/>
        <v>1920.6241735351578</v>
      </c>
      <c r="AW227" s="231"/>
      <c r="AX227" s="231">
        <f t="shared" ca="1" si="205"/>
        <v>5099.4681576033499</v>
      </c>
      <c r="AY227" s="231">
        <f t="shared" ca="1" si="206"/>
        <v>637.43351970041874</v>
      </c>
      <c r="AZ227" s="231"/>
      <c r="BA227" s="232">
        <f t="shared" ca="1" si="174"/>
        <v>29416.598777715622</v>
      </c>
      <c r="BB227" s="231">
        <f t="shared" ca="1" si="175"/>
        <v>54.346059891513967</v>
      </c>
      <c r="BC227" s="231">
        <f t="shared" ca="1" si="207"/>
        <v>4852.1428876611581</v>
      </c>
      <c r="BD227" s="231">
        <f t="shared" ca="1" si="208"/>
        <v>26046.091950382754</v>
      </c>
      <c r="BE227" s="231">
        <f t="shared" ca="1" si="209"/>
        <v>904.37819272162335</v>
      </c>
      <c r="BF227" s="231">
        <f t="shared" ca="1" si="176"/>
        <v>5902.2760766571982</v>
      </c>
      <c r="BG227" s="231">
        <f t="shared" ca="1" si="177"/>
        <v>37759.235167314248</v>
      </c>
      <c r="BH227" s="232">
        <f t="shared" ca="1" si="178"/>
        <v>67175.833945029866</v>
      </c>
      <c r="BI227" s="244">
        <f t="shared" ca="1" si="210"/>
        <v>1.3321125769595641</v>
      </c>
      <c r="BJ227" s="243">
        <f t="shared" ca="1" si="211"/>
        <v>1.889975232897442</v>
      </c>
      <c r="BK227" s="242">
        <f t="shared" ca="1" si="212"/>
        <v>3.2220878098570065</v>
      </c>
      <c r="BL227" s="241">
        <f t="shared" ca="1" si="213"/>
        <v>0.9591210554108861</v>
      </c>
      <c r="BM227" s="243">
        <f t="shared" ca="1" si="214"/>
        <v>0.83725902817356679</v>
      </c>
      <c r="BN227" s="243">
        <f t="shared" si="179"/>
        <v>0</v>
      </c>
      <c r="BO227" s="242">
        <f t="shared" ca="1" si="180"/>
        <v>1.796380083584453</v>
      </c>
      <c r="BP227" s="67"/>
      <c r="BQ227" s="67"/>
      <c r="BR227" s="67"/>
      <c r="BS227" s="67"/>
      <c r="BT227" s="67"/>
      <c r="BU227" s="67"/>
    </row>
    <row r="228" spans="1:73" ht="12" customHeight="1" x14ac:dyDescent="0.15">
      <c r="A228" s="213">
        <f t="shared" si="181"/>
        <v>222</v>
      </c>
      <c r="B228" s="67">
        <f t="shared" si="182"/>
        <v>888</v>
      </c>
      <c r="C228" s="224">
        <f t="shared" si="183"/>
        <v>204.92307692307691</v>
      </c>
      <c r="D228" s="225">
        <f ca="1">IFERROR(OFFSET(extrapolation!V237,0,OS_dist_choice-1,1,1),0)</f>
        <v>5.3629547192087498E-2</v>
      </c>
      <c r="E228" s="225">
        <f ca="1">IFERROR(OFFSET(extrapolation!J237,0,PFS_dist_choice-1,1,1),0)</f>
        <v>2.2227702984760241E-2</v>
      </c>
      <c r="F228" s="214"/>
      <c r="G228" s="226">
        <f t="shared" ca="1" si="184"/>
        <v>22.227702984760242</v>
      </c>
      <c r="H228" s="224">
        <f t="shared" ca="1" si="185"/>
        <v>31.401844207327144</v>
      </c>
      <c r="I228" s="224">
        <f t="shared" ca="1" si="162"/>
        <v>946.37045280791256</v>
      </c>
      <c r="J228" s="227">
        <f t="shared" ca="1" si="163"/>
        <v>1000</v>
      </c>
      <c r="K228" s="238">
        <f t="shared" ca="1" si="186"/>
        <v>0.10244936053226894</v>
      </c>
      <c r="L228" s="239">
        <f t="shared" ca="1" si="187"/>
        <v>0.3369646069004375</v>
      </c>
      <c r="M228" s="238">
        <f t="shared" ca="1" si="188"/>
        <v>22.278927665026377</v>
      </c>
      <c r="N228" s="238">
        <f t="shared" ca="1" si="189"/>
        <v>31.519101830511261</v>
      </c>
      <c r="O228" s="239">
        <f t="shared" ca="1" si="190"/>
        <v>946.20197050446234</v>
      </c>
      <c r="P228" s="217"/>
      <c r="Q228" s="217"/>
      <c r="R228" s="224"/>
      <c r="S228" s="230">
        <f t="shared" ca="1" si="191"/>
        <v>33701.652156574673</v>
      </c>
      <c r="T228" s="231">
        <f t="shared" ca="1" si="192"/>
        <v>2097.7774163212835</v>
      </c>
      <c r="U228" s="231">
        <f t="shared" ca="1" si="215"/>
        <v>3159.9347117194852</v>
      </c>
      <c r="V228" s="231"/>
      <c r="W228" s="231">
        <f t="shared" ca="1" si="193"/>
        <v>8389.8876958062938</v>
      </c>
      <c r="X228" s="231">
        <f t="shared" ca="1" si="194"/>
        <v>1048.7359619757867</v>
      </c>
      <c r="Y228" s="231"/>
      <c r="Z228" s="232">
        <f t="shared" ca="1" si="164"/>
        <v>48397.987942397514</v>
      </c>
      <c r="AA228" s="231">
        <f t="shared" ca="1" si="165"/>
        <v>89.01643707828039</v>
      </c>
      <c r="AB228" s="231">
        <f t="shared" ca="1" si="195"/>
        <v>7960.2958782082724</v>
      </c>
      <c r="AC228" s="231">
        <f t="shared" ca="1" si="196"/>
        <v>42730.52199746851</v>
      </c>
      <c r="AD228" s="231">
        <f t="shared" ca="1" si="197"/>
        <v>1483.6986804676567</v>
      </c>
      <c r="AE228" s="231">
        <f t="shared" ca="1" si="166"/>
        <v>9654.2111755966635</v>
      </c>
      <c r="AF228" s="231">
        <f t="shared" ca="1" si="167"/>
        <v>61917.744168819379</v>
      </c>
      <c r="AG228" s="232">
        <f t="shared" ca="1" si="168"/>
        <v>110315.7321112169</v>
      </c>
      <c r="AH228" s="244">
        <f t="shared" ca="1" si="198"/>
        <v>1.7078986300362451</v>
      </c>
      <c r="AI228" s="243">
        <f t="shared" ca="1" si="199"/>
        <v>2.4162487371781389</v>
      </c>
      <c r="AJ228" s="242">
        <f t="shared" ca="1" si="200"/>
        <v>4.124147367214384</v>
      </c>
      <c r="AK228" s="241">
        <f t="shared" ca="1" si="201"/>
        <v>1.2296870136260964</v>
      </c>
      <c r="AL228" s="243">
        <f t="shared" ca="1" si="202"/>
        <v>1.0703981905699156</v>
      </c>
      <c r="AM228" s="243"/>
      <c r="AN228" s="242">
        <f t="shared" ca="1" si="169"/>
        <v>2.3000852041960123</v>
      </c>
      <c r="AO228" s="224"/>
      <c r="AP228" s="235">
        <f t="shared" si="203"/>
        <v>17.076923076923077</v>
      </c>
      <c r="AQ228" s="235">
        <f t="shared" si="170"/>
        <v>0.60364235003965483</v>
      </c>
      <c r="AR228" s="235">
        <f t="shared" si="171"/>
        <v>0.77549659252845815</v>
      </c>
      <c r="AT228" s="230">
        <f t="shared" ca="1" si="172"/>
        <v>20343.744508013737</v>
      </c>
      <c r="AU228" s="231">
        <f t="shared" ca="1" si="173"/>
        <v>1266.3072894482948</v>
      </c>
      <c r="AV228" s="231">
        <f t="shared" ca="1" si="204"/>
        <v>1907.4704153542293</v>
      </c>
      <c r="AW228" s="231"/>
      <c r="AX228" s="231">
        <f t="shared" ca="1" si="205"/>
        <v>5064.4915252652963</v>
      </c>
      <c r="AY228" s="231">
        <f t="shared" ca="1" si="206"/>
        <v>633.06144065816204</v>
      </c>
      <c r="AZ228" s="231"/>
      <c r="BA228" s="232">
        <f t="shared" ca="1" si="174"/>
        <v>29215.075178739713</v>
      </c>
      <c r="BB228" s="231">
        <f t="shared" ca="1" si="175"/>
        <v>53.734091270090239</v>
      </c>
      <c r="BC228" s="231">
        <f t="shared" ca="1" si="207"/>
        <v>4805.1717109326191</v>
      </c>
      <c r="BD228" s="231">
        <f t="shared" ca="1" si="208"/>
        <v>25793.952716973057</v>
      </c>
      <c r="BE228" s="231">
        <f t="shared" ca="1" si="209"/>
        <v>895.62335822823115</v>
      </c>
      <c r="BF228" s="231">
        <f t="shared" ca="1" si="176"/>
        <v>5827.6907218162687</v>
      </c>
      <c r="BG228" s="231">
        <f t="shared" ca="1" si="177"/>
        <v>37376.172599220263</v>
      </c>
      <c r="BH228" s="232">
        <f t="shared" ca="1" si="178"/>
        <v>66591.247777959987</v>
      </c>
      <c r="BI228" s="244">
        <f t="shared" ca="1" si="210"/>
        <v>1.3244695679771299</v>
      </c>
      <c r="BJ228" s="243">
        <f t="shared" ca="1" si="211"/>
        <v>1.8737926623828367</v>
      </c>
      <c r="BK228" s="242">
        <f t="shared" ca="1" si="212"/>
        <v>3.1982622303599668</v>
      </c>
      <c r="BL228" s="241">
        <f t="shared" ca="1" si="213"/>
        <v>0.9536180889435335</v>
      </c>
      <c r="BM228" s="243">
        <f t="shared" ca="1" si="214"/>
        <v>0.83009014943559667</v>
      </c>
      <c r="BN228" s="243">
        <f t="shared" si="179"/>
        <v>0</v>
      </c>
      <c r="BO228" s="242">
        <f t="shared" ca="1" si="180"/>
        <v>1.7837082383791303</v>
      </c>
      <c r="BP228" s="67"/>
      <c r="BQ228" s="67"/>
      <c r="BR228" s="67"/>
      <c r="BS228" s="67"/>
      <c r="BT228" s="67"/>
      <c r="BU228" s="67"/>
    </row>
    <row r="229" spans="1:73" ht="12" customHeight="1" x14ac:dyDescent="0.15">
      <c r="A229" s="213">
        <f t="shared" si="181"/>
        <v>223</v>
      </c>
      <c r="B229" s="67">
        <f t="shared" si="182"/>
        <v>892</v>
      </c>
      <c r="C229" s="224">
        <f t="shared" si="183"/>
        <v>205.84615384615384</v>
      </c>
      <c r="D229" s="225">
        <f ca="1">IFERROR(OFFSET(extrapolation!V238,0,OS_dist_choice-1,1,1),0)</f>
        <v>5.3296069152813437E-2</v>
      </c>
      <c r="E229" s="225">
        <f ca="1">IFERROR(OFFSET(extrapolation!J238,0,PFS_dist_choice-1,1,1),0)</f>
        <v>2.2126172613070792E-2</v>
      </c>
      <c r="F229" s="214"/>
      <c r="G229" s="226">
        <f t="shared" ca="1" si="184"/>
        <v>22.126172613070793</v>
      </c>
      <c r="H229" s="224">
        <f t="shared" ca="1" si="185"/>
        <v>31.169896539742695</v>
      </c>
      <c r="I229" s="224">
        <f t="shared" ca="1" si="162"/>
        <v>946.70393084718648</v>
      </c>
      <c r="J229" s="227">
        <f t="shared" ca="1" si="163"/>
        <v>1000</v>
      </c>
      <c r="K229" s="238">
        <f t="shared" ca="1" si="186"/>
        <v>0.10153037168944934</v>
      </c>
      <c r="L229" s="239">
        <f t="shared" ca="1" si="187"/>
        <v>0.33347803927392761</v>
      </c>
      <c r="M229" s="238">
        <f t="shared" ca="1" si="188"/>
        <v>22.176937798915517</v>
      </c>
      <c r="N229" s="238">
        <f t="shared" ca="1" si="189"/>
        <v>31.28587037353492</v>
      </c>
      <c r="O229" s="239">
        <f t="shared" ca="1" si="190"/>
        <v>946.53719182754958</v>
      </c>
      <c r="P229" s="217"/>
      <c r="Q229" s="217"/>
      <c r="R229" s="224"/>
      <c r="S229" s="230">
        <f t="shared" ca="1" si="191"/>
        <v>33547.711766406981</v>
      </c>
      <c r="T229" s="231">
        <f t="shared" ca="1" si="192"/>
        <v>2088.1953141604413</v>
      </c>
      <c r="U229" s="231">
        <f t="shared" ca="1" si="215"/>
        <v>3145.5009510193695</v>
      </c>
      <c r="V229" s="231"/>
      <c r="W229" s="231">
        <f t="shared" ca="1" si="193"/>
        <v>8351.4799440668012</v>
      </c>
      <c r="X229" s="231">
        <f t="shared" ca="1" si="194"/>
        <v>1043.9349930083501</v>
      </c>
      <c r="Y229" s="231"/>
      <c r="Z229" s="232">
        <f t="shared" ca="1" si="164"/>
        <v>48176.822968661938</v>
      </c>
      <c r="AA229" s="231">
        <f t="shared" ca="1" si="165"/>
        <v>88.21794392929948</v>
      </c>
      <c r="AB229" s="231">
        <f t="shared" ca="1" si="195"/>
        <v>7901.3921881342094</v>
      </c>
      <c r="AC229" s="231">
        <f t="shared" ca="1" si="196"/>
        <v>42414.329551490191</v>
      </c>
      <c r="AD229" s="231">
        <f t="shared" ca="1" si="197"/>
        <v>1472.7197760934093</v>
      </c>
      <c r="AE229" s="231">
        <f t="shared" ca="1" si="166"/>
        <v>9554.3192004306457</v>
      </c>
      <c r="AF229" s="231">
        <f t="shared" ca="1" si="167"/>
        <v>61430.978660077752</v>
      </c>
      <c r="AG229" s="232">
        <f t="shared" ca="1" si="168"/>
        <v>109607.80162873969</v>
      </c>
      <c r="AH229" s="244">
        <f t="shared" ca="1" si="198"/>
        <v>1.7000801050503342</v>
      </c>
      <c r="AI229" s="243">
        <f t="shared" ca="1" si="199"/>
        <v>2.3983692551922733</v>
      </c>
      <c r="AJ229" s="242">
        <f t="shared" ca="1" si="200"/>
        <v>4.0984493602426078</v>
      </c>
      <c r="AK229" s="241">
        <f t="shared" ca="1" si="201"/>
        <v>1.2240576756362407</v>
      </c>
      <c r="AL229" s="243">
        <f t="shared" ca="1" si="202"/>
        <v>1.0624775800501771</v>
      </c>
      <c r="AM229" s="243"/>
      <c r="AN229" s="242">
        <f t="shared" ca="1" si="169"/>
        <v>2.2865352556864176</v>
      </c>
      <c r="AO229" s="224"/>
      <c r="AP229" s="235">
        <f t="shared" si="203"/>
        <v>17.153846153846153</v>
      </c>
      <c r="AQ229" s="235">
        <f t="shared" si="170"/>
        <v>0.60227137504107986</v>
      </c>
      <c r="AR229" s="235">
        <f t="shared" si="171"/>
        <v>0.77460894183219386</v>
      </c>
      <c r="AT229" s="230">
        <f t="shared" ca="1" si="172"/>
        <v>20204.826495035748</v>
      </c>
      <c r="AU229" s="231">
        <f t="shared" ca="1" si="173"/>
        <v>1257.6602632137487</v>
      </c>
      <c r="AV229" s="231">
        <f t="shared" ca="1" si="204"/>
        <v>1894.44518296346</v>
      </c>
      <c r="AW229" s="231"/>
      <c r="AX229" s="231">
        <f t="shared" ca="1" si="205"/>
        <v>5029.857309541113</v>
      </c>
      <c r="AY229" s="231">
        <f t="shared" ca="1" si="206"/>
        <v>628.73216369263912</v>
      </c>
      <c r="AZ229" s="231"/>
      <c r="BA229" s="232">
        <f t="shared" ca="1" si="174"/>
        <v>29015.521414446703</v>
      </c>
      <c r="BB229" s="231">
        <f t="shared" ca="1" si="175"/>
        <v>53.131142393596079</v>
      </c>
      <c r="BC229" s="231">
        <f t="shared" ca="1" si="207"/>
        <v>4758.7823378864368</v>
      </c>
      <c r="BD229" s="231">
        <f t="shared" ca="1" si="208"/>
        <v>25544.936580421505</v>
      </c>
      <c r="BE229" s="231">
        <f t="shared" ca="1" si="209"/>
        <v>886.97696459796884</v>
      </c>
      <c r="BF229" s="231">
        <f t="shared" ca="1" si="176"/>
        <v>5754.2929624247554</v>
      </c>
      <c r="BG229" s="231">
        <f t="shared" ca="1" si="177"/>
        <v>36998.119987724262</v>
      </c>
      <c r="BH229" s="232">
        <f t="shared" ca="1" si="178"/>
        <v>66013.641402170964</v>
      </c>
      <c r="BI229" s="244">
        <f t="shared" ca="1" si="210"/>
        <v>1.3168972512030044</v>
      </c>
      <c r="BJ229" s="243">
        <f t="shared" ca="1" si="211"/>
        <v>1.8577982708873537</v>
      </c>
      <c r="BK229" s="242">
        <f t="shared" ca="1" si="212"/>
        <v>3.1746955220903583</v>
      </c>
      <c r="BL229" s="241">
        <f t="shared" ca="1" si="213"/>
        <v>0.9481660208661632</v>
      </c>
      <c r="BM229" s="243">
        <f t="shared" ca="1" si="214"/>
        <v>0.82300463400309776</v>
      </c>
      <c r="BN229" s="243">
        <f t="shared" si="179"/>
        <v>0</v>
      </c>
      <c r="BO229" s="242">
        <f t="shared" ca="1" si="180"/>
        <v>1.7711706548692607</v>
      </c>
      <c r="BP229" s="67"/>
      <c r="BQ229" s="67"/>
      <c r="BR229" s="67"/>
      <c r="BS229" s="67"/>
      <c r="BT229" s="67"/>
      <c r="BU229" s="67"/>
    </row>
    <row r="230" spans="1:73" ht="12" customHeight="1" x14ac:dyDescent="0.15">
      <c r="A230" s="213">
        <f t="shared" si="181"/>
        <v>224</v>
      </c>
      <c r="B230" s="67">
        <f t="shared" si="182"/>
        <v>896</v>
      </c>
      <c r="C230" s="224">
        <f t="shared" si="183"/>
        <v>206.76923076923077</v>
      </c>
      <c r="D230" s="225">
        <f ca="1">IFERROR(OFFSET(extrapolation!V239,0,OS_dist_choice-1,1,1),0)</f>
        <v>5.296602765979791E-2</v>
      </c>
      <c r="E230" s="225">
        <f ca="1">IFERROR(OFFSET(extrapolation!J239,0,PFS_dist_choice-1,1,1),0)</f>
        <v>2.2025548990962967E-2</v>
      </c>
      <c r="F230" s="214"/>
      <c r="G230" s="226">
        <f t="shared" ca="1" si="184"/>
        <v>22.025548990962967</v>
      </c>
      <c r="H230" s="224">
        <f t="shared" ca="1" si="185"/>
        <v>30.940478668834885</v>
      </c>
      <c r="I230" s="224">
        <f t="shared" ca="1" si="162"/>
        <v>947.03397234020213</v>
      </c>
      <c r="J230" s="227">
        <f t="shared" ca="1" si="163"/>
        <v>1000</v>
      </c>
      <c r="K230" s="238">
        <f t="shared" ca="1" si="186"/>
        <v>0.10062362210782538</v>
      </c>
      <c r="L230" s="239">
        <f t="shared" ca="1" si="187"/>
        <v>0.33004149301564212</v>
      </c>
      <c r="M230" s="238">
        <f t="shared" ca="1" si="188"/>
        <v>22.07586080201688</v>
      </c>
      <c r="N230" s="238">
        <f t="shared" ca="1" si="189"/>
        <v>31.05518760428879</v>
      </c>
      <c r="O230" s="239">
        <f t="shared" ca="1" si="190"/>
        <v>946.86895159369431</v>
      </c>
      <c r="P230" s="217"/>
      <c r="Q230" s="217"/>
      <c r="R230" s="224"/>
      <c r="S230" s="230">
        <f t="shared" ca="1" si="191"/>
        <v>33395.146190317646</v>
      </c>
      <c r="T230" s="231">
        <f t="shared" ca="1" si="192"/>
        <v>2078.6987880393672</v>
      </c>
      <c r="U230" s="231">
        <f t="shared" ca="1" si="215"/>
        <v>3131.1960956532771</v>
      </c>
      <c r="V230" s="231"/>
      <c r="W230" s="231">
        <f t="shared" ca="1" si="193"/>
        <v>8313.4159642667255</v>
      </c>
      <c r="X230" s="231">
        <f t="shared" ca="1" si="194"/>
        <v>1039.1769955333407</v>
      </c>
      <c r="Y230" s="231"/>
      <c r="Z230" s="232">
        <f t="shared" ca="1" si="164"/>
        <v>47957.634033810362</v>
      </c>
      <c r="AA230" s="231">
        <f t="shared" ca="1" si="165"/>
        <v>87.430085257863823</v>
      </c>
      <c r="AB230" s="231">
        <f t="shared" ca="1" si="195"/>
        <v>7843.1321810097024</v>
      </c>
      <c r="AC230" s="231">
        <f t="shared" ca="1" si="196"/>
        <v>42101.59236758457</v>
      </c>
      <c r="AD230" s="231">
        <f t="shared" ca="1" si="197"/>
        <v>1461.8608460966861</v>
      </c>
      <c r="AE230" s="231">
        <f t="shared" ca="1" si="166"/>
        <v>9455.8603634703668</v>
      </c>
      <c r="AF230" s="231">
        <f t="shared" ca="1" si="167"/>
        <v>60949.875843419191</v>
      </c>
      <c r="AG230" s="232">
        <f t="shared" ca="1" si="168"/>
        <v>108907.50987722955</v>
      </c>
      <c r="AH230" s="244">
        <f t="shared" ca="1" si="198"/>
        <v>1.6923315604557774</v>
      </c>
      <c r="AI230" s="243">
        <f t="shared" ca="1" si="199"/>
        <v>2.3806851551542398</v>
      </c>
      <c r="AJ230" s="242">
        <f t="shared" ca="1" si="200"/>
        <v>4.0730167156100174</v>
      </c>
      <c r="AK230" s="241">
        <f t="shared" ca="1" si="201"/>
        <v>1.2184787235281596</v>
      </c>
      <c r="AL230" s="243">
        <f t="shared" ca="1" si="202"/>
        <v>1.0546435237333283</v>
      </c>
      <c r="AM230" s="243"/>
      <c r="AN230" s="242">
        <f t="shared" ca="1" si="169"/>
        <v>2.2731222472614876</v>
      </c>
      <c r="AO230" s="224"/>
      <c r="AP230" s="235">
        <f t="shared" si="203"/>
        <v>17.23076923076923</v>
      </c>
      <c r="AQ230" s="235">
        <f t="shared" si="170"/>
        <v>0.60090351376116069</v>
      </c>
      <c r="AR230" s="235">
        <f t="shared" si="171"/>
        <v>0.77372230716071455</v>
      </c>
      <c r="AT230" s="230">
        <f t="shared" ca="1" si="172"/>
        <v>20067.260688329512</v>
      </c>
      <c r="AU230" s="231">
        <f t="shared" ca="1" si="173"/>
        <v>1249.0974057839219</v>
      </c>
      <c r="AV230" s="231">
        <f t="shared" ca="1" si="204"/>
        <v>1881.5467361532817</v>
      </c>
      <c r="AW230" s="231"/>
      <c r="AX230" s="231">
        <f t="shared" ca="1" si="205"/>
        <v>4995.5608642860034</v>
      </c>
      <c r="AY230" s="231">
        <f t="shared" ca="1" si="206"/>
        <v>624.44510803575042</v>
      </c>
      <c r="AZ230" s="231"/>
      <c r="BA230" s="232">
        <f t="shared" ca="1" si="174"/>
        <v>28817.910802588474</v>
      </c>
      <c r="BB230" s="231">
        <f t="shared" ca="1" si="175"/>
        <v>52.537045439888225</v>
      </c>
      <c r="BC230" s="231">
        <f t="shared" ca="1" si="207"/>
        <v>4712.9656864619656</v>
      </c>
      <c r="BD230" s="231">
        <f t="shared" ca="1" si="208"/>
        <v>25298.994788621632</v>
      </c>
      <c r="BE230" s="231">
        <f t="shared" ca="1" si="209"/>
        <v>878.43731904936203</v>
      </c>
      <c r="BF230" s="231">
        <f t="shared" ca="1" si="176"/>
        <v>5682.0597180442292</v>
      </c>
      <c r="BG230" s="231">
        <f t="shared" ca="1" si="177"/>
        <v>36624.994557617079</v>
      </c>
      <c r="BH230" s="232">
        <f t="shared" ca="1" si="178"/>
        <v>65442.90536020555</v>
      </c>
      <c r="BI230" s="244">
        <f t="shared" ca="1" si="210"/>
        <v>1.3093946794367364</v>
      </c>
      <c r="BJ230" s="243">
        <f t="shared" ca="1" si="211"/>
        <v>1.8419892108692022</v>
      </c>
      <c r="BK230" s="242">
        <f t="shared" ca="1" si="212"/>
        <v>3.1513838903059388</v>
      </c>
      <c r="BL230" s="241">
        <f t="shared" ca="1" si="213"/>
        <v>0.94276416919445005</v>
      </c>
      <c r="BM230" s="243">
        <f t="shared" ca="1" si="214"/>
        <v>0.81600122041505652</v>
      </c>
      <c r="BN230" s="243">
        <f t="shared" si="179"/>
        <v>0</v>
      </c>
      <c r="BO230" s="242">
        <f t="shared" ca="1" si="180"/>
        <v>1.7587653896095063</v>
      </c>
      <c r="BP230" s="67"/>
      <c r="BQ230" s="67"/>
      <c r="BR230" s="67"/>
      <c r="BS230" s="67"/>
      <c r="BT230" s="67"/>
      <c r="BU230" s="67"/>
    </row>
    <row r="231" spans="1:73" ht="12" customHeight="1" x14ac:dyDescent="0.15">
      <c r="A231" s="213">
        <f t="shared" si="181"/>
        <v>225</v>
      </c>
      <c r="B231" s="67">
        <f t="shared" si="182"/>
        <v>900</v>
      </c>
      <c r="C231" s="224">
        <f t="shared" si="183"/>
        <v>207.69230769230768</v>
      </c>
      <c r="D231" s="225">
        <f ca="1">IFERROR(OFFSET(extrapolation!V240,0,OS_dist_choice-1,1,1),0)</f>
        <v>5.2639373604636726E-2</v>
      </c>
      <c r="E231" s="225">
        <f ca="1">IFERROR(OFFSET(extrapolation!J240,0,PFS_dist_choice-1,1,1),0)</f>
        <v>2.1925820094960937E-2</v>
      </c>
      <c r="F231" s="214"/>
      <c r="G231" s="226">
        <f t="shared" ca="1" si="184"/>
        <v>21.925820094960937</v>
      </c>
      <c r="H231" s="224">
        <f t="shared" ca="1" si="185"/>
        <v>30.713553509675876</v>
      </c>
      <c r="I231" s="224">
        <f t="shared" ca="1" si="162"/>
        <v>947.36062639536317</v>
      </c>
      <c r="J231" s="227">
        <f t="shared" ca="1" si="163"/>
        <v>1000</v>
      </c>
      <c r="K231" s="238">
        <f t="shared" ca="1" si="186"/>
        <v>9.9728896002030609E-2</v>
      </c>
      <c r="L231" s="239">
        <f t="shared" ca="1" si="187"/>
        <v>0.32665405516104329</v>
      </c>
      <c r="M231" s="238">
        <f t="shared" ca="1" si="188"/>
        <v>21.97568454296195</v>
      </c>
      <c r="N231" s="238">
        <f t="shared" ca="1" si="189"/>
        <v>30.82701608925538</v>
      </c>
      <c r="O231" s="239">
        <f t="shared" ca="1" si="190"/>
        <v>947.19729936778265</v>
      </c>
      <c r="P231" s="217"/>
      <c r="Q231" s="217"/>
      <c r="R231" s="224"/>
      <c r="S231" s="230">
        <f t="shared" ca="1" si="191"/>
        <v>33243.937198307809</v>
      </c>
      <c r="T231" s="231">
        <f t="shared" ca="1" si="192"/>
        <v>2069.2867032220047</v>
      </c>
      <c r="U231" s="231">
        <f t="shared" ca="1" si="215"/>
        <v>3117.0184363398362</v>
      </c>
      <c r="V231" s="231"/>
      <c r="W231" s="231">
        <f t="shared" ca="1" si="193"/>
        <v>8275.6911879267827</v>
      </c>
      <c r="X231" s="231">
        <f t="shared" ca="1" si="194"/>
        <v>1034.4613984908478</v>
      </c>
      <c r="Y231" s="231"/>
      <c r="Z231" s="232">
        <f t="shared" ca="1" si="164"/>
        <v>47740.394924287277</v>
      </c>
      <c r="AA231" s="231">
        <f t="shared" ca="1" si="165"/>
        <v>86.652673571885657</v>
      </c>
      <c r="AB231" s="231">
        <f t="shared" ca="1" si="195"/>
        <v>7785.5064028256693</v>
      </c>
      <c r="AC231" s="231">
        <f t="shared" ca="1" si="196"/>
        <v>41792.259697042136</v>
      </c>
      <c r="AD231" s="231">
        <f t="shared" ca="1" si="197"/>
        <v>1451.1201283695186</v>
      </c>
      <c r="AE231" s="231">
        <f t="shared" ca="1" si="166"/>
        <v>9358.808507807169</v>
      </c>
      <c r="AF231" s="231">
        <f t="shared" ca="1" si="167"/>
        <v>60474.347409616377</v>
      </c>
      <c r="AG231" s="232">
        <f t="shared" ca="1" si="168"/>
        <v>108214.74233390365</v>
      </c>
      <c r="AH231" s="244">
        <f t="shared" ca="1" si="198"/>
        <v>1.6846520662640236</v>
      </c>
      <c r="AI231" s="243">
        <f t="shared" ca="1" si="199"/>
        <v>2.3631935674172504</v>
      </c>
      <c r="AJ231" s="242">
        <f t="shared" ca="1" si="200"/>
        <v>4.0478456336812743</v>
      </c>
      <c r="AK231" s="241">
        <f t="shared" ca="1" si="201"/>
        <v>1.212949487710097</v>
      </c>
      <c r="AL231" s="243">
        <f t="shared" ca="1" si="202"/>
        <v>1.0468947503658419</v>
      </c>
      <c r="AM231" s="243"/>
      <c r="AN231" s="242">
        <f t="shared" ca="1" si="169"/>
        <v>2.2598442380759387</v>
      </c>
      <c r="AO231" s="224"/>
      <c r="AP231" s="235">
        <f t="shared" si="203"/>
        <v>17.307692307692307</v>
      </c>
      <c r="AQ231" s="235">
        <f t="shared" si="170"/>
        <v>0.59953875912810972</v>
      </c>
      <c r="AR231" s="235">
        <f t="shared" si="171"/>
        <v>0.77283668735105548</v>
      </c>
      <c r="AT231" s="230">
        <f t="shared" ca="1" si="172"/>
        <v>19931.028856406272</v>
      </c>
      <c r="AU231" s="231">
        <f t="shared" ca="1" si="173"/>
        <v>1240.6175823300177</v>
      </c>
      <c r="AV231" s="231">
        <f t="shared" ca="1" si="204"/>
        <v>1868.7733655026263</v>
      </c>
      <c r="AW231" s="231"/>
      <c r="AX231" s="231">
        <f t="shared" ca="1" si="205"/>
        <v>4961.5976257370558</v>
      </c>
      <c r="AY231" s="231">
        <f t="shared" ca="1" si="206"/>
        <v>620.19970321713197</v>
      </c>
      <c r="AZ231" s="231"/>
      <c r="BA231" s="232">
        <f t="shared" ca="1" si="174"/>
        <v>28622.217133193102</v>
      </c>
      <c r="BB231" s="231">
        <f t="shared" ca="1" si="175"/>
        <v>51.951636388421477</v>
      </c>
      <c r="BC231" s="231">
        <f t="shared" ca="1" si="207"/>
        <v>4667.7128479340545</v>
      </c>
      <c r="BD231" s="231">
        <f t="shared" ca="1" si="208"/>
        <v>25056.079519924355</v>
      </c>
      <c r="BE231" s="231">
        <f t="shared" ca="1" si="209"/>
        <v>870.00276110848449</v>
      </c>
      <c r="BF231" s="231">
        <f t="shared" ca="1" si="176"/>
        <v>5610.9684396883067</v>
      </c>
      <c r="BG231" s="231">
        <f t="shared" ca="1" si="177"/>
        <v>36256.71520504362</v>
      </c>
      <c r="BH231" s="232">
        <f t="shared" ca="1" si="178"/>
        <v>64878.932338236715</v>
      </c>
      <c r="BI231" s="244">
        <f t="shared" ca="1" si="210"/>
        <v>1.3019609222305988</v>
      </c>
      <c r="BJ231" s="243">
        <f t="shared" ca="1" si="211"/>
        <v>1.8263626882120709</v>
      </c>
      <c r="BK231" s="242">
        <f t="shared" ca="1" si="212"/>
        <v>3.1283236104426702</v>
      </c>
      <c r="BL231" s="241">
        <f t="shared" ca="1" si="213"/>
        <v>0.93741186400603116</v>
      </c>
      <c r="BM231" s="243">
        <f t="shared" ca="1" si="214"/>
        <v>0.80907867087794738</v>
      </c>
      <c r="BN231" s="243">
        <f t="shared" si="179"/>
        <v>0</v>
      </c>
      <c r="BO231" s="242">
        <f t="shared" ca="1" si="180"/>
        <v>1.7464905348839785</v>
      </c>
      <c r="BP231" s="67"/>
      <c r="BQ231" s="67"/>
      <c r="BR231" s="67"/>
      <c r="BS231" s="67"/>
      <c r="BT231" s="67"/>
      <c r="BU231" s="67"/>
    </row>
    <row r="232" spans="1:73" ht="12" customHeight="1" x14ac:dyDescent="0.15">
      <c r="A232" s="213">
        <f t="shared" si="181"/>
        <v>226</v>
      </c>
      <c r="B232" s="67">
        <f t="shared" si="182"/>
        <v>904</v>
      </c>
      <c r="C232" s="224">
        <f t="shared" si="183"/>
        <v>208.61538461538458</v>
      </c>
      <c r="D232" s="225">
        <f ca="1">IFERROR(OFFSET(extrapolation!V241,0,OS_dist_choice-1,1,1),0)</f>
        <v>5.2316058771745999E-2</v>
      </c>
      <c r="E232" s="225">
        <f ca="1">IFERROR(OFFSET(extrapolation!J241,0,PFS_dist_choice-1,1,1),0)</f>
        <v>2.1826974112647102E-2</v>
      </c>
      <c r="F232" s="214"/>
      <c r="G232" s="226">
        <f t="shared" ca="1" si="184"/>
        <v>21.826974112647104</v>
      </c>
      <c r="H232" s="224">
        <f t="shared" ca="1" si="185"/>
        <v>30.489084659098808</v>
      </c>
      <c r="I232" s="224">
        <f t="shared" ca="1" si="162"/>
        <v>947.68394122825407</v>
      </c>
      <c r="J232" s="227">
        <f t="shared" ca="1" si="163"/>
        <v>1000</v>
      </c>
      <c r="K232" s="238">
        <f t="shared" ca="1" si="186"/>
        <v>9.8845982313832792E-2</v>
      </c>
      <c r="L232" s="239">
        <f t="shared" ca="1" si="187"/>
        <v>0.32331483289090102</v>
      </c>
      <c r="M232" s="238">
        <f t="shared" ca="1" si="188"/>
        <v>21.87639710380402</v>
      </c>
      <c r="N232" s="238">
        <f t="shared" ca="1" si="189"/>
        <v>30.601319084387342</v>
      </c>
      <c r="O232" s="239">
        <f t="shared" ca="1" si="190"/>
        <v>947.52228381180862</v>
      </c>
      <c r="P232" s="217"/>
      <c r="Q232" s="217"/>
      <c r="R232" s="224"/>
      <c r="S232" s="230">
        <f t="shared" ca="1" si="191"/>
        <v>33094.06688038518</v>
      </c>
      <c r="T232" s="231">
        <f t="shared" ca="1" si="192"/>
        <v>2059.9579448912755</v>
      </c>
      <c r="U232" s="231">
        <f t="shared" ca="1" si="215"/>
        <v>3102.966293802137</v>
      </c>
      <c r="V232" s="231"/>
      <c r="W232" s="231">
        <f t="shared" ca="1" si="193"/>
        <v>8238.3011269389335</v>
      </c>
      <c r="X232" s="231">
        <f t="shared" ca="1" si="194"/>
        <v>1029.7876408673667</v>
      </c>
      <c r="Y232" s="231"/>
      <c r="Z232" s="232">
        <f t="shared" ca="1" si="164"/>
        <v>47525.079886884894</v>
      </c>
      <c r="AA232" s="231">
        <f t="shared" ca="1" si="165"/>
        <v>85.885525486600557</v>
      </c>
      <c r="AB232" s="231">
        <f t="shared" ca="1" si="195"/>
        <v>7728.5055737019211</v>
      </c>
      <c r="AC232" s="231">
        <f t="shared" ca="1" si="196"/>
        <v>41486.281725869725</v>
      </c>
      <c r="AD232" s="231">
        <f t="shared" ca="1" si="197"/>
        <v>1440.4958932593654</v>
      </c>
      <c r="AE232" s="231">
        <f t="shared" ca="1" si="166"/>
        <v>9263.1380537059358</v>
      </c>
      <c r="AF232" s="231">
        <f t="shared" ca="1" si="167"/>
        <v>60004.306772023549</v>
      </c>
      <c r="AG232" s="232">
        <f t="shared" ca="1" si="168"/>
        <v>107529.38665890845</v>
      </c>
      <c r="AH232" s="244">
        <f t="shared" ca="1" si="198"/>
        <v>1.6770407088473993</v>
      </c>
      <c r="AI232" s="243">
        <f t="shared" ca="1" si="199"/>
        <v>2.3458916751891734</v>
      </c>
      <c r="AJ232" s="242">
        <f t="shared" ca="1" si="200"/>
        <v>4.0229323840365723</v>
      </c>
      <c r="AK232" s="241">
        <f t="shared" ca="1" si="201"/>
        <v>1.2074693103701275</v>
      </c>
      <c r="AL232" s="243">
        <f t="shared" ca="1" si="202"/>
        <v>1.0392300121088038</v>
      </c>
      <c r="AM232" s="243"/>
      <c r="AN232" s="242">
        <f t="shared" ca="1" si="169"/>
        <v>2.2466993224789311</v>
      </c>
      <c r="AO232" s="224"/>
      <c r="AP232" s="235">
        <f t="shared" si="203"/>
        <v>17.384615384615383</v>
      </c>
      <c r="AQ232" s="235">
        <f t="shared" si="170"/>
        <v>0.59817710408620073</v>
      </c>
      <c r="AR232" s="235">
        <f t="shared" si="171"/>
        <v>0.77195208124158299</v>
      </c>
      <c r="AT232" s="230">
        <f t="shared" ca="1" si="172"/>
        <v>19796.113088943854</v>
      </c>
      <c r="AU232" s="231">
        <f t="shared" ca="1" si="173"/>
        <v>1232.2196780144247</v>
      </c>
      <c r="AV232" s="231">
        <f t="shared" ca="1" si="204"/>
        <v>1856.1233917036534</v>
      </c>
      <c r="AW232" s="231"/>
      <c r="AX232" s="231">
        <f t="shared" ca="1" si="205"/>
        <v>4927.9631107024152</v>
      </c>
      <c r="AY232" s="231">
        <f t="shared" ca="1" si="206"/>
        <v>615.9953888378019</v>
      </c>
      <c r="AZ232" s="231"/>
      <c r="BA232" s="232">
        <f t="shared" ca="1" si="174"/>
        <v>28428.414658202149</v>
      </c>
      <c r="BB232" s="231">
        <f t="shared" ca="1" si="175"/>
        <v>51.374754918496308</v>
      </c>
      <c r="BC232" s="231">
        <f t="shared" ca="1" si="207"/>
        <v>4623.0150829910763</v>
      </c>
      <c r="BD232" s="231">
        <f t="shared" ca="1" si="208"/>
        <v>24816.14386208502</v>
      </c>
      <c r="BE232" s="231">
        <f t="shared" ca="1" si="209"/>
        <v>861.67166187795215</v>
      </c>
      <c r="BF232" s="231">
        <f t="shared" ca="1" si="176"/>
        <v>5540.9970957165024</v>
      </c>
      <c r="BG232" s="231">
        <f t="shared" ca="1" si="177"/>
        <v>35893.202457589046</v>
      </c>
      <c r="BH232" s="232">
        <f t="shared" ca="1" si="178"/>
        <v>64321.617115791203</v>
      </c>
      <c r="BI232" s="244">
        <f t="shared" ca="1" si="210"/>
        <v>1.2945950655216094</v>
      </c>
      <c r="BJ232" s="243">
        <f t="shared" ca="1" si="211"/>
        <v>1.810915961029586</v>
      </c>
      <c r="BK232" s="242">
        <f t="shared" ca="1" si="212"/>
        <v>3.1055110265511954</v>
      </c>
      <c r="BL232" s="241">
        <f t="shared" ca="1" si="213"/>
        <v>0.93210844717555885</v>
      </c>
      <c r="BM232" s="243">
        <f t="shared" ca="1" si="214"/>
        <v>0.80223577073610663</v>
      </c>
      <c r="BN232" s="243">
        <f t="shared" si="179"/>
        <v>0</v>
      </c>
      <c r="BO232" s="242">
        <f t="shared" ca="1" si="180"/>
        <v>1.7343442179116653</v>
      </c>
      <c r="BP232" s="67"/>
      <c r="BQ232" s="67"/>
      <c r="BR232" s="67"/>
      <c r="BS232" s="67"/>
      <c r="BT232" s="67"/>
      <c r="BU232" s="67"/>
    </row>
    <row r="233" spans="1:73" ht="12" customHeight="1" x14ac:dyDescent="0.15">
      <c r="A233" s="213">
        <f t="shared" si="181"/>
        <v>227</v>
      </c>
      <c r="B233" s="67">
        <f t="shared" si="182"/>
        <v>908</v>
      </c>
      <c r="C233" s="224">
        <f t="shared" si="183"/>
        <v>209.53846153846152</v>
      </c>
      <c r="D233" s="225">
        <f ca="1">IFERROR(OFFSET(extrapolation!V242,0,OS_dist_choice-1,1,1),0)</f>
        <v>5.199603581873731E-2</v>
      </c>
      <c r="E233" s="225">
        <f ca="1">IFERROR(OFFSET(extrapolation!J242,0,PFS_dist_choice-1,1,1),0)</f>
        <v>2.1728999438058377E-2</v>
      </c>
      <c r="F233" s="214"/>
      <c r="G233" s="226">
        <f t="shared" ca="1" si="184"/>
        <v>21.728999438058377</v>
      </c>
      <c r="H233" s="224">
        <f t="shared" ca="1" si="185"/>
        <v>30.267036380678974</v>
      </c>
      <c r="I233" s="224">
        <f t="shared" ca="1" si="162"/>
        <v>948.00396418126263</v>
      </c>
      <c r="J233" s="227">
        <f t="shared" ca="1" si="163"/>
        <v>1000</v>
      </c>
      <c r="K233" s="238">
        <f t="shared" ca="1" si="186"/>
        <v>9.7974674588726884E-2</v>
      </c>
      <c r="L233" s="239">
        <f t="shared" ca="1" si="187"/>
        <v>0.32002295300856076</v>
      </c>
      <c r="M233" s="238">
        <f t="shared" ca="1" si="188"/>
        <v>21.777986775352741</v>
      </c>
      <c r="N233" s="238">
        <f t="shared" ca="1" si="189"/>
        <v>30.378060519888891</v>
      </c>
      <c r="O233" s="239">
        <f t="shared" ca="1" si="190"/>
        <v>947.84395270475829</v>
      </c>
      <c r="P233" s="217"/>
      <c r="Q233" s="217"/>
      <c r="R233" s="224"/>
      <c r="S233" s="230">
        <f t="shared" ca="1" si="191"/>
        <v>32945.517639583886</v>
      </c>
      <c r="T233" s="231">
        <f t="shared" ca="1" si="192"/>
        <v>2050.7114177146</v>
      </c>
      <c r="U233" s="231">
        <f t="shared" ca="1" si="215"/>
        <v>3089.0380181132546</v>
      </c>
      <c r="V233" s="231"/>
      <c r="W233" s="231">
        <f t="shared" ca="1" si="193"/>
        <v>8201.2413718094358</v>
      </c>
      <c r="X233" s="231">
        <f t="shared" ca="1" si="194"/>
        <v>1025.1551714761795</v>
      </c>
      <c r="Y233" s="231"/>
      <c r="Z233" s="232">
        <f t="shared" ca="1" si="164"/>
        <v>47311.663618697356</v>
      </c>
      <c r="AA233" s="231">
        <f t="shared" ca="1" si="165"/>
        <v>85.128461617341173</v>
      </c>
      <c r="AB233" s="231">
        <f t="shared" ca="1" si="195"/>
        <v>7672.1205840436396</v>
      </c>
      <c r="AC233" s="231">
        <f t="shared" ca="1" si="196"/>
        <v>41183.609554158618</v>
      </c>
      <c r="AD233" s="231">
        <f t="shared" ca="1" si="197"/>
        <v>1429.9864428527299</v>
      </c>
      <c r="AE233" s="231">
        <f t="shared" ca="1" si="166"/>
        <v>9168.8239836285356</v>
      </c>
      <c r="AF233" s="231">
        <f t="shared" ca="1" si="167"/>
        <v>59539.669026300864</v>
      </c>
      <c r="AG233" s="232">
        <f t="shared" ca="1" si="168"/>
        <v>106851.33264499821</v>
      </c>
      <c r="AH233" s="244">
        <f t="shared" ca="1" si="198"/>
        <v>1.6694965905814558</v>
      </c>
      <c r="AI233" s="243">
        <f t="shared" ca="1" si="199"/>
        <v>2.3287767133658837</v>
      </c>
      <c r="AJ233" s="242">
        <f t="shared" ca="1" si="200"/>
        <v>3.9982733039473395</v>
      </c>
      <c r="AK233" s="241">
        <f t="shared" ca="1" si="201"/>
        <v>1.2020375452186483</v>
      </c>
      <c r="AL233" s="243">
        <f t="shared" ca="1" si="202"/>
        <v>1.0316480840210864</v>
      </c>
      <c r="AM233" s="243"/>
      <c r="AN233" s="242">
        <f t="shared" ca="1" si="169"/>
        <v>2.2336856292397345</v>
      </c>
      <c r="AO233" s="224"/>
      <c r="AP233" s="235">
        <f t="shared" si="203"/>
        <v>17.46153846153846</v>
      </c>
      <c r="AQ233" s="235">
        <f t="shared" si="170"/>
        <v>0.59681854159573222</v>
      </c>
      <c r="AR233" s="235">
        <f t="shared" si="171"/>
        <v>0.77106848767199343</v>
      </c>
      <c r="AT233" s="230">
        <f t="shared" ca="1" si="172"/>
        <v>19662.495789772925</v>
      </c>
      <c r="AU233" s="231">
        <f t="shared" ca="1" si="173"/>
        <v>1223.902597554144</v>
      </c>
      <c r="AV233" s="231">
        <f t="shared" ca="1" si="204"/>
        <v>1843.5951649041237</v>
      </c>
      <c r="AW233" s="231"/>
      <c r="AX233" s="231">
        <f t="shared" ca="1" si="205"/>
        <v>4894.6529147978899</v>
      </c>
      <c r="AY233" s="231">
        <f t="shared" ca="1" si="206"/>
        <v>611.83161434973624</v>
      </c>
      <c r="AZ233" s="231"/>
      <c r="BA233" s="232">
        <f t="shared" ca="1" si="174"/>
        <v>28236.47808137882</v>
      </c>
      <c r="BB233" s="231">
        <f t="shared" ca="1" si="175"/>
        <v>50.806244310749825</v>
      </c>
      <c r="BC233" s="231">
        <f t="shared" ca="1" si="207"/>
        <v>4578.8638179155223</v>
      </c>
      <c r="BD233" s="231">
        <f t="shared" ca="1" si="208"/>
        <v>24579.141791761009</v>
      </c>
      <c r="BE233" s="231">
        <f t="shared" ca="1" si="209"/>
        <v>853.44242332503507</v>
      </c>
      <c r="BF233" s="231">
        <f t="shared" ca="1" si="176"/>
        <v>5472.1241580571541</v>
      </c>
      <c r="BG233" s="231">
        <f t="shared" ca="1" si="177"/>
        <v>35534.378435369472</v>
      </c>
      <c r="BH233" s="232">
        <f t="shared" ca="1" si="178"/>
        <v>63770.856516748288</v>
      </c>
      <c r="BI233" s="244">
        <f t="shared" ca="1" si="210"/>
        <v>1.2872962112731923</v>
      </c>
      <c r="BJ233" s="243">
        <f t="shared" ca="1" si="211"/>
        <v>1.7956463385007873</v>
      </c>
      <c r="BK233" s="242">
        <f t="shared" ca="1" si="212"/>
        <v>3.0829425497739797</v>
      </c>
      <c r="BL233" s="241">
        <f t="shared" ca="1" si="213"/>
        <v>0.92685327211669855</v>
      </c>
      <c r="BM233" s="243">
        <f t="shared" ca="1" si="214"/>
        <v>0.79547132795584874</v>
      </c>
      <c r="BN233" s="243">
        <f t="shared" si="179"/>
        <v>0</v>
      </c>
      <c r="BO233" s="242">
        <f t="shared" ca="1" si="180"/>
        <v>1.7223246000725472</v>
      </c>
      <c r="BP233" s="67"/>
      <c r="BQ233" s="67"/>
      <c r="BR233" s="67"/>
      <c r="BS233" s="67"/>
      <c r="BT233" s="67"/>
      <c r="BU233" s="67"/>
    </row>
    <row r="234" spans="1:73" ht="12" customHeight="1" x14ac:dyDescent="0.15">
      <c r="A234" s="213">
        <f t="shared" si="181"/>
        <v>228</v>
      </c>
      <c r="B234" s="67">
        <f t="shared" si="182"/>
        <v>912</v>
      </c>
      <c r="C234" s="224">
        <f t="shared" si="183"/>
        <v>210.46153846153848</v>
      </c>
      <c r="D234" s="225">
        <f ca="1">IFERROR(OFFSET(extrapolation!V243,0,OS_dist_choice-1,1,1),0)</f>
        <v>5.1679258257297557E-2</v>
      </c>
      <c r="E234" s="225">
        <f ca="1">IFERROR(OFFSET(extrapolation!J243,0,PFS_dist_choice-1,1,1),0)</f>
        <v>2.1631884667202519E-2</v>
      </c>
      <c r="F234" s="214"/>
      <c r="G234" s="226">
        <f t="shared" ca="1" si="184"/>
        <v>21.63188466720252</v>
      </c>
      <c r="H234" s="224">
        <f t="shared" ca="1" si="185"/>
        <v>30.047373590095049</v>
      </c>
      <c r="I234" s="224">
        <f t="shared" ca="1" si="162"/>
        <v>948.32074174270247</v>
      </c>
      <c r="J234" s="227">
        <f t="shared" ca="1" si="163"/>
        <v>1000</v>
      </c>
      <c r="K234" s="238">
        <f t="shared" ca="1" si="186"/>
        <v>9.7114770855856847E-2</v>
      </c>
      <c r="L234" s="239">
        <f t="shared" ca="1" si="187"/>
        <v>0.31677756143983515</v>
      </c>
      <c r="M234" s="238">
        <f t="shared" ca="1" si="188"/>
        <v>21.680442052630447</v>
      </c>
      <c r="N234" s="238">
        <f t="shared" ca="1" si="189"/>
        <v>30.157204985387011</v>
      </c>
      <c r="O234" s="239">
        <f t="shared" ca="1" si="190"/>
        <v>948.16235296198261</v>
      </c>
      <c r="P234" s="217"/>
      <c r="Q234" s="217"/>
      <c r="R234" s="224"/>
      <c r="S234" s="230">
        <f t="shared" ca="1" si="191"/>
        <v>32798.27218516633</v>
      </c>
      <c r="T234" s="231">
        <f t="shared" ca="1" si="192"/>
        <v>2041.5460454207416</v>
      </c>
      <c r="U234" s="231">
        <f t="shared" ca="1" si="215"/>
        <v>3075.2319880588443</v>
      </c>
      <c r="V234" s="231"/>
      <c r="W234" s="231">
        <f t="shared" ca="1" si="193"/>
        <v>8164.5075899477843</v>
      </c>
      <c r="X234" s="231">
        <f t="shared" ca="1" si="194"/>
        <v>1020.563448743473</v>
      </c>
      <c r="Y234" s="231"/>
      <c r="Z234" s="232">
        <f t="shared" ca="1" si="164"/>
        <v>47100.121257337174</v>
      </c>
      <c r="AA234" s="231">
        <f t="shared" ca="1" si="165"/>
        <v>84.381306475203459</v>
      </c>
      <c r="AB234" s="231">
        <f t="shared" ca="1" si="195"/>
        <v>7616.3424907962954</v>
      </c>
      <c r="AC234" s="231">
        <f t="shared" ca="1" si="196"/>
        <v>40884.195175981142</v>
      </c>
      <c r="AD234" s="231">
        <f t="shared" ca="1" si="197"/>
        <v>1419.5901102771229</v>
      </c>
      <c r="AE234" s="231">
        <f t="shared" ca="1" si="166"/>
        <v>9075.8418279054713</v>
      </c>
      <c r="AF234" s="231">
        <f t="shared" ca="1" si="167"/>
        <v>59080.350911435235</v>
      </c>
      <c r="AG234" s="232">
        <f t="shared" ca="1" si="168"/>
        <v>106180.47216877241</v>
      </c>
      <c r="AH234" s="244">
        <f t="shared" ca="1" si="198"/>
        <v>1.6620188294966531</v>
      </c>
      <c r="AI234" s="243">
        <f t="shared" ca="1" si="199"/>
        <v>2.3118459673944867</v>
      </c>
      <c r="AJ234" s="242">
        <f t="shared" ca="1" si="200"/>
        <v>3.9738647968911396</v>
      </c>
      <c r="AK234" s="241">
        <f t="shared" ca="1" si="201"/>
        <v>1.1966535572375903</v>
      </c>
      <c r="AL234" s="243">
        <f t="shared" ca="1" si="202"/>
        <v>1.0241477635557577</v>
      </c>
      <c r="AM234" s="243"/>
      <c r="AN234" s="242">
        <f t="shared" ca="1" si="169"/>
        <v>2.2208013207933481</v>
      </c>
      <c r="AO234" s="224"/>
      <c r="AP234" s="235">
        <f t="shared" si="203"/>
        <v>17.53846153846154</v>
      </c>
      <c r="AQ234" s="235">
        <f t="shared" si="170"/>
        <v>0.59546306463299092</v>
      </c>
      <c r="AR234" s="235">
        <f t="shared" si="171"/>
        <v>0.77018590548331123</v>
      </c>
      <c r="AT234" s="230">
        <f t="shared" ca="1" si="172"/>
        <v>19530.159670046127</v>
      </c>
      <c r="AU234" s="231">
        <f t="shared" ca="1" si="173"/>
        <v>1215.6652647955982</v>
      </c>
      <c r="AV234" s="231">
        <f t="shared" ca="1" si="204"/>
        <v>1831.1870640669247</v>
      </c>
      <c r="AW234" s="231"/>
      <c r="AX234" s="231">
        <f t="shared" ca="1" si="205"/>
        <v>4861.6627107296226</v>
      </c>
      <c r="AY234" s="231">
        <f t="shared" ca="1" si="206"/>
        <v>607.70783884120283</v>
      </c>
      <c r="AZ234" s="231"/>
      <c r="BA234" s="232">
        <f t="shared" ca="1" si="174"/>
        <v>28046.382548479476</v>
      </c>
      <c r="BB234" s="231">
        <f t="shared" ca="1" si="175"/>
        <v>50.245951351460292</v>
      </c>
      <c r="BC234" s="231">
        <f t="shared" ca="1" si="207"/>
        <v>4535.2506408640293</v>
      </c>
      <c r="BD234" s="231">
        <f t="shared" ca="1" si="208"/>
        <v>24345.028154543073</v>
      </c>
      <c r="BE234" s="231">
        <f t="shared" ca="1" si="209"/>
        <v>845.31347758830111</v>
      </c>
      <c r="BF234" s="231">
        <f t="shared" ca="1" si="176"/>
        <v>5404.3285889688777</v>
      </c>
      <c r="BG234" s="231">
        <f t="shared" ca="1" si="177"/>
        <v>35180.166813315744</v>
      </c>
      <c r="BH234" s="232">
        <f t="shared" ca="1" si="178"/>
        <v>63226.549361795216</v>
      </c>
      <c r="BI234" s="244">
        <f t="shared" ca="1" si="210"/>
        <v>1.280063477126193</v>
      </c>
      <c r="BJ234" s="243">
        <f t="shared" ca="1" si="211"/>
        <v>1.7805511797356643</v>
      </c>
      <c r="BK234" s="242">
        <f t="shared" ca="1" si="212"/>
        <v>3.0606146568618571</v>
      </c>
      <c r="BL234" s="241">
        <f t="shared" ca="1" si="213"/>
        <v>0.92164570353085884</v>
      </c>
      <c r="BM234" s="243">
        <f t="shared" ca="1" si="214"/>
        <v>0.78878417262289935</v>
      </c>
      <c r="BN234" s="243">
        <f t="shared" si="179"/>
        <v>0</v>
      </c>
      <c r="BO234" s="242">
        <f t="shared" ca="1" si="180"/>
        <v>1.7104298761537584</v>
      </c>
      <c r="BP234" s="67"/>
      <c r="BQ234" s="67"/>
      <c r="BR234" s="67"/>
      <c r="BS234" s="67"/>
      <c r="BT234" s="67"/>
      <c r="BU234" s="67"/>
    </row>
    <row r="235" spans="1:73" ht="12" customHeight="1" x14ac:dyDescent="0.15">
      <c r="A235" s="213">
        <f t="shared" si="181"/>
        <v>229</v>
      </c>
      <c r="B235" s="67">
        <f t="shared" si="182"/>
        <v>916</v>
      </c>
      <c r="C235" s="224">
        <f t="shared" si="183"/>
        <v>211.38461538461542</v>
      </c>
      <c r="D235" s="225">
        <f ca="1">IFERROR(OFFSET(extrapolation!V244,0,OS_dist_choice-1,1,1),0)</f>
        <v>5.1365680434557782E-2</v>
      </c>
      <c r="E235" s="225">
        <f ca="1">IFERROR(OFFSET(extrapolation!J244,0,PFS_dist_choice-1,1,1),0)</f>
        <v>2.1535618593690478E-2</v>
      </c>
      <c r="F235" s="214"/>
      <c r="G235" s="226">
        <f t="shared" ca="1" si="184"/>
        <v>21.535618593690479</v>
      </c>
      <c r="H235" s="224">
        <f t="shared" ca="1" si="185"/>
        <v>29.830061840867302</v>
      </c>
      <c r="I235" s="224">
        <f t="shared" ca="1" si="162"/>
        <v>948.63431956544218</v>
      </c>
      <c r="J235" s="227">
        <f t="shared" ca="1" si="163"/>
        <v>1000</v>
      </c>
      <c r="K235" s="238">
        <f t="shared" ca="1" si="186"/>
        <v>9.6266073512040862E-2</v>
      </c>
      <c r="L235" s="239">
        <f t="shared" ca="1" si="187"/>
        <v>0.31357782273971679</v>
      </c>
      <c r="M235" s="238">
        <f t="shared" ca="1" si="188"/>
        <v>21.5837516304465</v>
      </c>
      <c r="N235" s="238">
        <f t="shared" ca="1" si="189"/>
        <v>29.938717715481175</v>
      </c>
      <c r="O235" s="239">
        <f t="shared" ca="1" si="190"/>
        <v>948.47753065407232</v>
      </c>
      <c r="P235" s="217"/>
      <c r="Q235" s="217"/>
      <c r="R235" s="224"/>
      <c r="S235" s="230">
        <f t="shared" ca="1" si="191"/>
        <v>32652.31352600094</v>
      </c>
      <c r="T235" s="231">
        <f t="shared" ca="1" si="192"/>
        <v>2032.460770387602</v>
      </c>
      <c r="U235" s="231">
        <f t="shared" ca="1" si="215"/>
        <v>3061.5466105162254</v>
      </c>
      <c r="V235" s="231"/>
      <c r="W235" s="231">
        <f t="shared" ca="1" si="193"/>
        <v>8128.0955240000649</v>
      </c>
      <c r="X235" s="231">
        <f t="shared" ca="1" si="194"/>
        <v>1016.0119405000081</v>
      </c>
      <c r="Y235" s="231"/>
      <c r="Z235" s="232">
        <f t="shared" ca="1" si="164"/>
        <v>46890.428371404836</v>
      </c>
      <c r="AA235" s="231">
        <f t="shared" ca="1" si="165"/>
        <v>83.64388836627829</v>
      </c>
      <c r="AB235" s="231">
        <f t="shared" ca="1" si="195"/>
        <v>7561.1625137961637</v>
      </c>
      <c r="AC235" s="231">
        <f t="shared" ca="1" si="196"/>
        <v>40587.991459800352</v>
      </c>
      <c r="AD235" s="231">
        <f t="shared" ca="1" si="197"/>
        <v>1409.3052590208454</v>
      </c>
      <c r="AE235" s="231">
        <f t="shared" ca="1" si="166"/>
        <v>8984.1676506029289</v>
      </c>
      <c r="AF235" s="231">
        <f t="shared" ca="1" si="167"/>
        <v>58626.270771586569</v>
      </c>
      <c r="AG235" s="232">
        <f t="shared" ca="1" si="168"/>
        <v>105516.69914299141</v>
      </c>
      <c r="AH235" s="244">
        <f t="shared" ca="1" si="198"/>
        <v>1.6546065589390884</v>
      </c>
      <c r="AI235" s="243">
        <f t="shared" ca="1" si="199"/>
        <v>2.2950967721655657</v>
      </c>
      <c r="AJ235" s="242">
        <f t="shared" ca="1" si="200"/>
        <v>3.9497033311046543</v>
      </c>
      <c r="AK235" s="241">
        <f t="shared" ca="1" si="201"/>
        <v>1.1913167224361436</v>
      </c>
      <c r="AL235" s="243">
        <f t="shared" ca="1" si="202"/>
        <v>1.0167278700693456</v>
      </c>
      <c r="AM235" s="243"/>
      <c r="AN235" s="242">
        <f t="shared" ca="1" si="169"/>
        <v>2.2080445925054892</v>
      </c>
      <c r="AO235" s="224"/>
      <c r="AP235" s="235">
        <f t="shared" si="203"/>
        <v>17.615384615384617</v>
      </c>
      <c r="AQ235" s="235">
        <f t="shared" si="170"/>
        <v>0.59411066619021602</v>
      </c>
      <c r="AR235" s="235">
        <f t="shared" si="171"/>
        <v>0.76930433351788685</v>
      </c>
      <c r="AT235" s="230">
        <f t="shared" ca="1" si="172"/>
        <v>19399.087741584219</v>
      </c>
      <c r="AU235" s="231">
        <f t="shared" ca="1" si="173"/>
        <v>1207.5066223004578</v>
      </c>
      <c r="AV235" s="231">
        <f t="shared" ca="1" si="204"/>
        <v>1818.8974963461926</v>
      </c>
      <c r="AW235" s="231"/>
      <c r="AX235" s="231">
        <f t="shared" ca="1" si="205"/>
        <v>4828.9882466213912</v>
      </c>
      <c r="AY235" s="231">
        <f t="shared" ca="1" si="206"/>
        <v>603.6235308276739</v>
      </c>
      <c r="AZ235" s="231"/>
      <c r="BA235" s="232">
        <f t="shared" ca="1" si="174"/>
        <v>27858.103637679935</v>
      </c>
      <c r="BB235" s="231">
        <f t="shared" ca="1" si="175"/>
        <v>49.693726240029655</v>
      </c>
      <c r="BC235" s="231">
        <f t="shared" ca="1" si="207"/>
        <v>4492.1672982439268</v>
      </c>
      <c r="BD235" s="231">
        <f t="shared" ca="1" si="208"/>
        <v>24113.758645504786</v>
      </c>
      <c r="BE235" s="231">
        <f t="shared" ca="1" si="209"/>
        <v>837.28328630224939</v>
      </c>
      <c r="BF235" s="231">
        <f t="shared" ca="1" si="176"/>
        <v>5337.5898280642941</v>
      </c>
      <c r="BG235" s="231">
        <f t="shared" ca="1" si="177"/>
        <v>34830.492784355287</v>
      </c>
      <c r="BH235" s="232">
        <f t="shared" ca="1" si="178"/>
        <v>62688.596422035218</v>
      </c>
      <c r="BI235" s="244">
        <f t="shared" ca="1" si="210"/>
        <v>1.2728959960589596</v>
      </c>
      <c r="BJ235" s="243">
        <f t="shared" ca="1" si="211"/>
        <v>1.7656278926698838</v>
      </c>
      <c r="BK235" s="242">
        <f t="shared" ca="1" si="212"/>
        <v>3.0385238887288435</v>
      </c>
      <c r="BL235" s="241">
        <f t="shared" ca="1" si="213"/>
        <v>0.91648511716245085</v>
      </c>
      <c r="BM235" s="243">
        <f t="shared" ca="1" si="214"/>
        <v>0.78217315645275864</v>
      </c>
      <c r="BN235" s="243">
        <f t="shared" si="179"/>
        <v>0</v>
      </c>
      <c r="BO235" s="242">
        <f t="shared" ca="1" si="180"/>
        <v>1.6986582736152094</v>
      </c>
      <c r="BP235" s="67"/>
      <c r="BQ235" s="67"/>
      <c r="BR235" s="67"/>
      <c r="BS235" s="67"/>
      <c r="BT235" s="67"/>
      <c r="BU235" s="67"/>
    </row>
    <row r="236" spans="1:73" ht="12" customHeight="1" x14ac:dyDescent="0.15">
      <c r="A236" s="213">
        <f t="shared" si="181"/>
        <v>230</v>
      </c>
      <c r="B236" s="67">
        <f t="shared" si="182"/>
        <v>920</v>
      </c>
      <c r="C236" s="224">
        <f t="shared" si="183"/>
        <v>212.30769230769232</v>
      </c>
      <c r="D236" s="225">
        <f ca="1">IFERROR(OFFSET(extrapolation!V245,0,OS_dist_choice-1,1,1),0)</f>
        <v>5.1055257514937627E-2</v>
      </c>
      <c r="E236" s="225">
        <f ca="1">IFERROR(OFFSET(extrapolation!J245,0,PFS_dist_choice-1,1,1),0)</f>
        <v>2.1440190204481707E-2</v>
      </c>
      <c r="F236" s="214"/>
      <c r="G236" s="226">
        <f t="shared" ca="1" si="184"/>
        <v>21.440190204481706</v>
      </c>
      <c r="H236" s="224">
        <f t="shared" ca="1" si="185"/>
        <v>29.61506731045597</v>
      </c>
      <c r="I236" s="224">
        <f t="shared" ca="1" si="162"/>
        <v>948.94474248506231</v>
      </c>
      <c r="J236" s="227">
        <f t="shared" ca="1" si="163"/>
        <v>1000</v>
      </c>
      <c r="K236" s="238">
        <f t="shared" ca="1" si="186"/>
        <v>9.5428389208773723E-2</v>
      </c>
      <c r="L236" s="239">
        <f t="shared" ca="1" si="187"/>
        <v>0.31042291962012314</v>
      </c>
      <c r="M236" s="238">
        <f t="shared" ca="1" si="188"/>
        <v>21.487904399086091</v>
      </c>
      <c r="N236" s="238">
        <f t="shared" ca="1" si="189"/>
        <v>29.722564575661636</v>
      </c>
      <c r="O236" s="239">
        <f t="shared" ca="1" si="190"/>
        <v>948.78953102525224</v>
      </c>
      <c r="P236" s="217"/>
      <c r="Q236" s="217"/>
      <c r="R236" s="224"/>
      <c r="S236" s="230">
        <f t="shared" ca="1" si="191"/>
        <v>32507.624964111244</v>
      </c>
      <c r="T236" s="231">
        <f t="shared" ca="1" si="192"/>
        <v>2023.454553240678</v>
      </c>
      <c r="U236" s="231">
        <f t="shared" ca="1" si="215"/>
        <v>3047.9803198495279</v>
      </c>
      <c r="V236" s="231"/>
      <c r="W236" s="231">
        <f t="shared" ca="1" si="193"/>
        <v>8092.0009902254369</v>
      </c>
      <c r="X236" s="231">
        <f t="shared" ca="1" si="194"/>
        <v>1011.5001237781796</v>
      </c>
      <c r="Y236" s="231"/>
      <c r="Z236" s="232">
        <f t="shared" ca="1" si="164"/>
        <v>46682.560951205065</v>
      </c>
      <c r="AA236" s="231">
        <f t="shared" ca="1" si="165"/>
        <v>82.916039293469723</v>
      </c>
      <c r="AB236" s="231">
        <f t="shared" ca="1" si="195"/>
        <v>7506.5720322139241</v>
      </c>
      <c r="AC236" s="231">
        <f t="shared" ca="1" si="196"/>
        <v>40294.952129379468</v>
      </c>
      <c r="AD236" s="231">
        <f t="shared" ca="1" si="197"/>
        <v>1399.1302822701202</v>
      </c>
      <c r="AE236" s="231">
        <f t="shared" ca="1" si="166"/>
        <v>8893.77803599244</v>
      </c>
      <c r="AF236" s="231">
        <f t="shared" ca="1" si="167"/>
        <v>58177.348519149426</v>
      </c>
      <c r="AG236" s="232">
        <f t="shared" ca="1" si="168"/>
        <v>104859.9094703545</v>
      </c>
      <c r="AH236" s="244">
        <f t="shared" ca="1" si="198"/>
        <v>1.6472589272400016</v>
      </c>
      <c r="AI236" s="243">
        <f t="shared" ca="1" si="199"/>
        <v>2.2785265109336779</v>
      </c>
      <c r="AJ236" s="242">
        <f t="shared" ca="1" si="200"/>
        <v>3.9257854381736794</v>
      </c>
      <c r="AK236" s="241">
        <f t="shared" ca="1" si="201"/>
        <v>1.186026427612801</v>
      </c>
      <c r="AL236" s="243">
        <f t="shared" ca="1" si="202"/>
        <v>1.0093872443436194</v>
      </c>
      <c r="AM236" s="243"/>
      <c r="AN236" s="242">
        <f t="shared" ca="1" si="169"/>
        <v>2.1954136719564206</v>
      </c>
      <c r="AO236" s="224"/>
      <c r="AP236" s="235">
        <f t="shared" si="203"/>
        <v>17.692307692307693</v>
      </c>
      <c r="AQ236" s="235">
        <f t="shared" si="170"/>
        <v>0.59276133927556196</v>
      </c>
      <c r="AR236" s="235">
        <f t="shared" si="171"/>
        <v>0.7684237706193966</v>
      </c>
      <c r="AT236" s="230">
        <f t="shared" ca="1" si="172"/>
        <v>19269.263310394272</v>
      </c>
      <c r="AU236" s="231">
        <f t="shared" ca="1" si="173"/>
        <v>1199.4256309421783</v>
      </c>
      <c r="AV236" s="231">
        <f t="shared" ca="1" si="204"/>
        <v>1806.7248964795619</v>
      </c>
      <c r="AW236" s="231"/>
      <c r="AX236" s="231">
        <f t="shared" ca="1" si="205"/>
        <v>4796.6253443852038</v>
      </c>
      <c r="AY236" s="231">
        <f t="shared" ca="1" si="206"/>
        <v>599.57816804815047</v>
      </c>
      <c r="AZ236" s="231"/>
      <c r="BA236" s="232">
        <f t="shared" ca="1" si="174"/>
        <v>27671.617350249366</v>
      </c>
      <c r="BB236" s="231">
        <f t="shared" ca="1" si="175"/>
        <v>49.149422499022236</v>
      </c>
      <c r="BC236" s="231">
        <f t="shared" ca="1" si="207"/>
        <v>4449.6056911836022</v>
      </c>
      <c r="BD236" s="231">
        <f t="shared" ca="1" si="208"/>
        <v>23885.289790255629</v>
      </c>
      <c r="BE236" s="231">
        <f t="shared" ca="1" si="209"/>
        <v>829.35033993943148</v>
      </c>
      <c r="BF236" s="231">
        <f t="shared" ca="1" si="176"/>
        <v>5271.8877798344556</v>
      </c>
      <c r="BG236" s="231">
        <f t="shared" ca="1" si="177"/>
        <v>34485.283023712145</v>
      </c>
      <c r="BH236" s="232">
        <f t="shared" ca="1" si="178"/>
        <v>62156.900373961515</v>
      </c>
      <c r="BI236" s="244">
        <f t="shared" ca="1" si="210"/>
        <v>1.2657929160562242</v>
      </c>
      <c r="BJ236" s="243">
        <f t="shared" ca="1" si="211"/>
        <v>1.7508739329879146</v>
      </c>
      <c r="BK236" s="242">
        <f t="shared" ca="1" si="212"/>
        <v>3.0166668490441388</v>
      </c>
      <c r="BL236" s="241">
        <f t="shared" ca="1" si="213"/>
        <v>0.91137089956048134</v>
      </c>
      <c r="BM236" s="243">
        <f t="shared" ca="1" si="214"/>
        <v>0.77563715231364616</v>
      </c>
      <c r="BN236" s="243">
        <f t="shared" si="179"/>
        <v>0</v>
      </c>
      <c r="BO236" s="242">
        <f t="shared" ca="1" si="180"/>
        <v>1.6870080518741277</v>
      </c>
      <c r="BP236" s="67"/>
      <c r="BQ236" s="67"/>
      <c r="BR236" s="67"/>
      <c r="BS236" s="67"/>
      <c r="BT236" s="67"/>
      <c r="BU236" s="67"/>
    </row>
    <row r="237" spans="1:73" ht="12" customHeight="1" x14ac:dyDescent="0.15">
      <c r="A237" s="213">
        <f t="shared" si="181"/>
        <v>231</v>
      </c>
      <c r="B237" s="67">
        <f t="shared" si="182"/>
        <v>924</v>
      </c>
      <c r="C237" s="224">
        <f t="shared" si="183"/>
        <v>213.23076923076923</v>
      </c>
      <c r="D237" s="225">
        <f ca="1">IFERROR(OFFSET(extrapolation!V246,0,OS_dist_choice-1,1,1),0)</f>
        <v>5.0747945462450456E-2</v>
      </c>
      <c r="E237" s="225">
        <f ca="1">IFERROR(OFFSET(extrapolation!J246,0,PFS_dist_choice-1,1,1),0)</f>
        <v>2.1345588675738769E-2</v>
      </c>
      <c r="F237" s="214"/>
      <c r="G237" s="226">
        <f t="shared" ca="1" si="184"/>
        <v>21.345588675738767</v>
      </c>
      <c r="H237" s="224">
        <f t="shared" ca="1" si="185"/>
        <v>29.402356786711607</v>
      </c>
      <c r="I237" s="224">
        <f t="shared" ca="1" si="162"/>
        <v>949.25205453754961</v>
      </c>
      <c r="J237" s="227">
        <f t="shared" ca="1" si="163"/>
        <v>1000</v>
      </c>
      <c r="K237" s="238">
        <f t="shared" ca="1" si="186"/>
        <v>9.4601528742938257E-2</v>
      </c>
      <c r="L237" s="239">
        <f t="shared" ca="1" si="187"/>
        <v>0.30731205248730475</v>
      </c>
      <c r="M237" s="238">
        <f t="shared" ca="1" si="188"/>
        <v>21.392889440110238</v>
      </c>
      <c r="N237" s="238">
        <f t="shared" ca="1" si="189"/>
        <v>29.508712048583789</v>
      </c>
      <c r="O237" s="239">
        <f t="shared" ca="1" si="190"/>
        <v>949.09839851130596</v>
      </c>
      <c r="P237" s="217"/>
      <c r="Q237" s="217"/>
      <c r="R237" s="224"/>
      <c r="S237" s="230">
        <f t="shared" ca="1" si="191"/>
        <v>32364.190088390587</v>
      </c>
      <c r="T237" s="231">
        <f t="shared" ca="1" si="192"/>
        <v>2014.5263724618333</v>
      </c>
      <c r="U237" s="231">
        <f t="shared" ca="1" si="215"/>
        <v>3034.5315773203743</v>
      </c>
      <c r="V237" s="231"/>
      <c r="W237" s="231">
        <f t="shared" ca="1" si="193"/>
        <v>8056.2198769144743</v>
      </c>
      <c r="X237" s="231">
        <f t="shared" ca="1" si="194"/>
        <v>1007.0274846143093</v>
      </c>
      <c r="Y237" s="231"/>
      <c r="Z237" s="232">
        <f t="shared" ca="1" si="164"/>
        <v>46476.495399701576</v>
      </c>
      <c r="AA237" s="231">
        <f t="shared" ca="1" si="165"/>
        <v>82.197594861536189</v>
      </c>
      <c r="AB237" s="231">
        <f t="shared" ca="1" si="195"/>
        <v>7452.5625810881847</v>
      </c>
      <c r="AC237" s="231">
        <f t="shared" ca="1" si="196"/>
        <v>40005.031745173961</v>
      </c>
      <c r="AD237" s="231">
        <f t="shared" ca="1" si="197"/>
        <v>1389.0636022629847</v>
      </c>
      <c r="AE237" s="231">
        <f t="shared" ca="1" si="166"/>
        <v>8804.6500752973698</v>
      </c>
      <c r="AF237" s="231">
        <f t="shared" ca="1" si="167"/>
        <v>57733.505598684031</v>
      </c>
      <c r="AG237" s="232">
        <f t="shared" ca="1" si="168"/>
        <v>104210.0009983856</v>
      </c>
      <c r="AH237" s="244">
        <f t="shared" ca="1" si="198"/>
        <v>1.6399750973938032</v>
      </c>
      <c r="AI237" s="243">
        <f t="shared" ca="1" si="199"/>
        <v>2.2621326142651501</v>
      </c>
      <c r="AJ237" s="242">
        <f t="shared" ca="1" si="200"/>
        <v>3.9021077116589531</v>
      </c>
      <c r="AK237" s="241">
        <f t="shared" ca="1" si="201"/>
        <v>1.1807820701235383</v>
      </c>
      <c r="AL237" s="243">
        <f t="shared" ca="1" si="202"/>
        <v>1.0021247481194615</v>
      </c>
      <c r="AM237" s="243"/>
      <c r="AN237" s="242">
        <f t="shared" ca="1" si="169"/>
        <v>2.1829068182429996</v>
      </c>
      <c r="AO237" s="224"/>
      <c r="AP237" s="235">
        <f t="shared" si="203"/>
        <v>17.76923076923077</v>
      </c>
      <c r="AQ237" s="235">
        <f t="shared" si="170"/>
        <v>0.59141507691306339</v>
      </c>
      <c r="AR237" s="235">
        <f t="shared" si="171"/>
        <v>0.76754421563283959</v>
      </c>
      <c r="AT237" s="230">
        <f t="shared" ca="1" si="172"/>
        <v>19140.669970354524</v>
      </c>
      <c r="AU237" s="231">
        <f t="shared" ca="1" si="173"/>
        <v>1191.4212695129097</v>
      </c>
      <c r="AV237" s="231">
        <f t="shared" ca="1" si="204"/>
        <v>1794.6677261960488</v>
      </c>
      <c r="AW237" s="231"/>
      <c r="AX237" s="231">
        <f t="shared" ca="1" si="205"/>
        <v>4764.5698981339237</v>
      </c>
      <c r="AY237" s="231">
        <f t="shared" ca="1" si="206"/>
        <v>595.57123726674047</v>
      </c>
      <c r="AZ237" s="231"/>
      <c r="BA237" s="232">
        <f t="shared" ca="1" si="174"/>
        <v>27486.900101464144</v>
      </c>
      <c r="BB237" s="231">
        <f t="shared" ca="1" si="175"/>
        <v>48.612896887104249</v>
      </c>
      <c r="BC237" s="231">
        <f t="shared" ca="1" si="207"/>
        <v>4407.5578720936874</v>
      </c>
      <c r="BD237" s="231">
        <f t="shared" ca="1" si="208"/>
        <v>23659.578926481601</v>
      </c>
      <c r="BE237" s="231">
        <f t="shared" ca="1" si="209"/>
        <v>821.5131571695</v>
      </c>
      <c r="BF237" s="231">
        <f t="shared" ca="1" si="176"/>
        <v>5207.2028014746029</v>
      </c>
      <c r="BG237" s="231">
        <f t="shared" ca="1" si="177"/>
        <v>34144.465654106491</v>
      </c>
      <c r="BH237" s="232">
        <f t="shared" ca="1" si="178"/>
        <v>61631.36575557063</v>
      </c>
      <c r="BI237" s="244">
        <f t="shared" ca="1" si="210"/>
        <v>1.2587533997865163</v>
      </c>
      <c r="BJ237" s="243">
        <f t="shared" ca="1" si="211"/>
        <v>1.7362868030736096</v>
      </c>
      <c r="BK237" s="242">
        <f t="shared" ca="1" si="212"/>
        <v>2.995040202860126</v>
      </c>
      <c r="BL237" s="241">
        <f t="shared" ca="1" si="213"/>
        <v>0.90630244784629177</v>
      </c>
      <c r="BM237" s="243">
        <f t="shared" ca="1" si="214"/>
        <v>0.769175053761609</v>
      </c>
      <c r="BN237" s="243">
        <f t="shared" si="179"/>
        <v>0</v>
      </c>
      <c r="BO237" s="242">
        <f t="shared" ca="1" si="180"/>
        <v>1.6754775016079007</v>
      </c>
      <c r="BP237" s="67"/>
      <c r="BQ237" s="67"/>
      <c r="BR237" s="67"/>
      <c r="BS237" s="67"/>
      <c r="BT237" s="67"/>
      <c r="BU237" s="67"/>
    </row>
    <row r="238" spans="1:73" ht="12" customHeight="1" x14ac:dyDescent="0.15">
      <c r="A238" s="213">
        <f t="shared" si="181"/>
        <v>232</v>
      </c>
      <c r="B238" s="67">
        <f t="shared" si="182"/>
        <v>928</v>
      </c>
      <c r="C238" s="224">
        <f t="shared" si="183"/>
        <v>214.15384615384616</v>
      </c>
      <c r="D238" s="225">
        <f ca="1">IFERROR(OFFSET(extrapolation!V247,0,OS_dist_choice-1,1,1),0)</f>
        <v>5.0443701023456779E-2</v>
      </c>
      <c r="E238" s="225">
        <f ca="1">IFERROR(OFFSET(extrapolation!J247,0,PFS_dist_choice-1,1,1),0)</f>
        <v>2.1251803368787844E-2</v>
      </c>
      <c r="F238" s="214"/>
      <c r="G238" s="226">
        <f t="shared" ca="1" si="184"/>
        <v>21.251803368787844</v>
      </c>
      <c r="H238" s="224">
        <f t="shared" ca="1" si="185"/>
        <v>29.191897654668878</v>
      </c>
      <c r="I238" s="224">
        <f t="shared" ca="1" si="162"/>
        <v>949.5562989765433</v>
      </c>
      <c r="J238" s="227">
        <f t="shared" ca="1" si="163"/>
        <v>1000</v>
      </c>
      <c r="K238" s="238">
        <f t="shared" ca="1" si="186"/>
        <v>9.3785306950923797E-2</v>
      </c>
      <c r="L238" s="239">
        <f t="shared" ca="1" si="187"/>
        <v>0.3042444389936918</v>
      </c>
      <c r="M238" s="238">
        <f t="shared" ca="1" si="188"/>
        <v>21.298696022263307</v>
      </c>
      <c r="N238" s="238">
        <f t="shared" ca="1" si="189"/>
        <v>29.297127220690243</v>
      </c>
      <c r="O238" s="239">
        <f t="shared" ca="1" si="190"/>
        <v>949.40417675704646</v>
      </c>
      <c r="P238" s="217"/>
      <c r="Q238" s="217"/>
      <c r="R238" s="224"/>
      <c r="S238" s="230">
        <f t="shared" ca="1" si="191"/>
        <v>32221.992768477474</v>
      </c>
      <c r="T238" s="231">
        <f t="shared" ca="1" si="192"/>
        <v>2005.6752240080639</v>
      </c>
      <c r="U238" s="231">
        <f t="shared" ca="1" si="215"/>
        <v>3021.1988705136168</v>
      </c>
      <c r="V238" s="231"/>
      <c r="W238" s="231">
        <f t="shared" ca="1" si="193"/>
        <v>8020.748142848005</v>
      </c>
      <c r="X238" s="231">
        <f t="shared" ca="1" si="194"/>
        <v>1002.5935178560006</v>
      </c>
      <c r="Y238" s="231"/>
      <c r="Z238" s="232">
        <f t="shared" ca="1" si="164"/>
        <v>46272.208523703157</v>
      </c>
      <c r="AA238" s="231">
        <f t="shared" ca="1" si="165"/>
        <v>81.488394185091835</v>
      </c>
      <c r="AB238" s="231">
        <f t="shared" ca="1" si="195"/>
        <v>7399.1258479468243</v>
      </c>
      <c r="AC238" s="231">
        <f t="shared" ca="1" si="196"/>
        <v>39718.185686195095</v>
      </c>
      <c r="AD238" s="231">
        <f t="shared" ca="1" si="197"/>
        <v>1379.1036696595518</v>
      </c>
      <c r="AE238" s="231">
        <f t="shared" ca="1" si="166"/>
        <v>8716.7613538531041</v>
      </c>
      <c r="AF238" s="231">
        <f t="shared" ca="1" si="167"/>
        <v>57294.664951839673</v>
      </c>
      <c r="AG238" s="232">
        <f t="shared" ca="1" si="168"/>
        <v>103566.87347554283</v>
      </c>
      <c r="AH238" s="244">
        <f t="shared" ca="1" si="198"/>
        <v>1.6327542467443468</v>
      </c>
      <c r="AI238" s="243">
        <f t="shared" ca="1" si="199"/>
        <v>2.2459125590125306</v>
      </c>
      <c r="AJ238" s="242">
        <f t="shared" ca="1" si="200"/>
        <v>3.8786668057568772</v>
      </c>
      <c r="AK238" s="241">
        <f t="shared" ca="1" si="201"/>
        <v>1.1755830576559296</v>
      </c>
      <c r="AL238" s="243">
        <f t="shared" ca="1" si="202"/>
        <v>0.99493926364255103</v>
      </c>
      <c r="AM238" s="243"/>
      <c r="AN238" s="242">
        <f t="shared" ca="1" si="169"/>
        <v>2.1705223212984808</v>
      </c>
      <c r="AO238" s="224"/>
      <c r="AP238" s="235">
        <f t="shared" si="203"/>
        <v>17.846153846153847</v>
      </c>
      <c r="AQ238" s="235">
        <f t="shared" si="170"/>
        <v>0.59007187214259815</v>
      </c>
      <c r="AR238" s="235">
        <f t="shared" si="171"/>
        <v>0.76666566740453757</v>
      </c>
      <c r="AT238" s="230">
        <f t="shared" ca="1" si="172"/>
        <v>19013.291597060761</v>
      </c>
      <c r="AU238" s="231">
        <f t="shared" ca="1" si="173"/>
        <v>1183.4925343404632</v>
      </c>
      <c r="AV238" s="231">
        <f t="shared" ca="1" si="204"/>
        <v>1782.7244736390728</v>
      </c>
      <c r="AW238" s="231"/>
      <c r="AX238" s="231">
        <f t="shared" ca="1" si="205"/>
        <v>4732.8178726345895</v>
      </c>
      <c r="AY238" s="231">
        <f t="shared" ca="1" si="206"/>
        <v>591.60223407932369</v>
      </c>
      <c r="AZ238" s="231"/>
      <c r="BA238" s="232">
        <f t="shared" ca="1" si="174"/>
        <v>27303.928711754208</v>
      </c>
      <c r="BB238" s="231">
        <f t="shared" ca="1" si="175"/>
        <v>48.084009314691151</v>
      </c>
      <c r="BC238" s="231">
        <f t="shared" ca="1" si="207"/>
        <v>4366.0160413166714</v>
      </c>
      <c r="BD238" s="231">
        <f t="shared" ca="1" si="208"/>
        <v>23436.584185960484</v>
      </c>
      <c r="BE238" s="231">
        <f t="shared" ca="1" si="209"/>
        <v>813.77028423473894</v>
      </c>
      <c r="BF238" s="231">
        <f t="shared" ca="1" si="176"/>
        <v>5143.5156910883497</v>
      </c>
      <c r="BG238" s="231">
        <f t="shared" ca="1" si="177"/>
        <v>33807.970211914937</v>
      </c>
      <c r="BH238" s="232">
        <f t="shared" ca="1" si="178"/>
        <v>61111.898923669149</v>
      </c>
      <c r="BI238" s="244">
        <f t="shared" ca="1" si="210"/>
        <v>1.2517766242878476</v>
      </c>
      <c r="BJ238" s="243">
        <f t="shared" ca="1" si="211"/>
        <v>1.7218640509875747</v>
      </c>
      <c r="BK238" s="242">
        <f t="shared" ca="1" si="212"/>
        <v>2.9736406752754223</v>
      </c>
      <c r="BL238" s="241">
        <f t="shared" ca="1" si="213"/>
        <v>0.90127916948725029</v>
      </c>
      <c r="BM238" s="243">
        <f t="shared" ca="1" si="214"/>
        <v>0.76278577458749552</v>
      </c>
      <c r="BN238" s="243">
        <f t="shared" si="179"/>
        <v>0</v>
      </c>
      <c r="BO238" s="242">
        <f t="shared" ca="1" si="180"/>
        <v>1.6640649440747459</v>
      </c>
      <c r="BP238" s="67"/>
      <c r="BQ238" s="67"/>
      <c r="BR238" s="67"/>
      <c r="BS238" s="67"/>
      <c r="BT238" s="67"/>
      <c r="BU238" s="67"/>
    </row>
    <row r="239" spans="1:73" ht="12" customHeight="1" x14ac:dyDescent="0.15">
      <c r="A239" s="213">
        <f t="shared" si="181"/>
        <v>233</v>
      </c>
      <c r="B239" s="67">
        <f t="shared" si="182"/>
        <v>932</v>
      </c>
      <c r="C239" s="224">
        <f t="shared" si="183"/>
        <v>215.07692307692309</v>
      </c>
      <c r="D239" s="225">
        <f ca="1">IFERROR(OFFSET(extrapolation!V248,0,OS_dist_choice-1,1,1),0)</f>
        <v>5.0142481709852554E-2</v>
      </c>
      <c r="E239" s="225">
        <f ca="1">IFERROR(OFFSET(extrapolation!J248,0,PFS_dist_choice-1,1,1),0)</f>
        <v>2.1158823826182484E-2</v>
      </c>
      <c r="F239" s="214"/>
      <c r="G239" s="226">
        <f t="shared" ca="1" si="184"/>
        <v>21.158823826182484</v>
      </c>
      <c r="H239" s="224">
        <f t="shared" ca="1" si="185"/>
        <v>28.983657883670162</v>
      </c>
      <c r="I239" s="224">
        <f t="shared" ca="1" si="162"/>
        <v>949.85751829014737</v>
      </c>
      <c r="J239" s="227">
        <f t="shared" ca="1" si="163"/>
        <v>1000</v>
      </c>
      <c r="K239" s="238">
        <f t="shared" ca="1" si="186"/>
        <v>9.2979542605359455E-2</v>
      </c>
      <c r="L239" s="239">
        <f t="shared" ca="1" si="187"/>
        <v>0.30121931360406506</v>
      </c>
      <c r="M239" s="238">
        <f t="shared" ca="1" si="188"/>
        <v>21.205313597485166</v>
      </c>
      <c r="N239" s="238">
        <f t="shared" ca="1" si="189"/>
        <v>29.08777776916952</v>
      </c>
      <c r="O239" s="239">
        <f t="shared" ca="1" si="190"/>
        <v>949.70690863334539</v>
      </c>
      <c r="P239" s="217"/>
      <c r="Q239" s="217"/>
      <c r="R239" s="224"/>
      <c r="S239" s="230">
        <f t="shared" ca="1" si="191"/>
        <v>32081.01714878741</v>
      </c>
      <c r="T239" s="231">
        <f t="shared" ca="1" si="192"/>
        <v>1996.900120940008</v>
      </c>
      <c r="U239" s="231">
        <f t="shared" ca="1" si="215"/>
        <v>3007.980712777754</v>
      </c>
      <c r="V239" s="231"/>
      <c r="W239" s="231">
        <f t="shared" ca="1" si="193"/>
        <v>7985.5818157953536</v>
      </c>
      <c r="X239" s="231">
        <f t="shared" ca="1" si="194"/>
        <v>998.1977269744192</v>
      </c>
      <c r="Y239" s="231"/>
      <c r="Z239" s="232">
        <f t="shared" ca="1" si="164"/>
        <v>46069.677525274943</v>
      </c>
      <c r="AA239" s="231">
        <f t="shared" ca="1" si="165"/>
        <v>80.788279798879941</v>
      </c>
      <c r="AB239" s="231">
        <f t="shared" ca="1" si="195"/>
        <v>7346.2536695133522</v>
      </c>
      <c r="AC239" s="231">
        <f t="shared" ca="1" si="196"/>
        <v>39434.370132329765</v>
      </c>
      <c r="AD239" s="231">
        <f t="shared" ca="1" si="197"/>
        <v>1369.2489629281167</v>
      </c>
      <c r="AE239" s="231">
        <f t="shared" ca="1" si="166"/>
        <v>8630.0899386776073</v>
      </c>
      <c r="AF239" s="231">
        <f t="shared" ca="1" si="167"/>
        <v>56860.750983247723</v>
      </c>
      <c r="AG239" s="232">
        <f t="shared" ca="1" si="168"/>
        <v>102930.42850852266</v>
      </c>
      <c r="AH239" s="244">
        <f t="shared" ca="1" si="198"/>
        <v>1.6255955666792186</v>
      </c>
      <c r="AI239" s="243">
        <f t="shared" ca="1" si="199"/>
        <v>2.2298638673148434</v>
      </c>
      <c r="AJ239" s="242">
        <f t="shared" ca="1" si="200"/>
        <v>3.8554594339940618</v>
      </c>
      <c r="AK239" s="241">
        <f t="shared" ca="1" si="201"/>
        <v>1.1704288080090373</v>
      </c>
      <c r="AL239" s="243">
        <f t="shared" ca="1" si="202"/>
        <v>0.98782969322047565</v>
      </c>
      <c r="AM239" s="243"/>
      <c r="AN239" s="242">
        <f t="shared" ca="1" si="169"/>
        <v>2.158258501229513</v>
      </c>
      <c r="AO239" s="224"/>
      <c r="AP239" s="235">
        <f t="shared" si="203"/>
        <v>17.923076923076923</v>
      </c>
      <c r="AQ239" s="235">
        <f t="shared" si="170"/>
        <v>0.58873171801985202</v>
      </c>
      <c r="AR239" s="235">
        <f t="shared" si="171"/>
        <v>0.76578812478213265</v>
      </c>
      <c r="AT239" s="230">
        <f t="shared" ca="1" si="172"/>
        <v>18887.112341829947</v>
      </c>
      <c r="AU239" s="231">
        <f t="shared" ca="1" si="173"/>
        <v>1175.6384389150612</v>
      </c>
      <c r="AV239" s="231">
        <f t="shared" ca="1" si="204"/>
        <v>1770.8936528042261</v>
      </c>
      <c r="AW239" s="231"/>
      <c r="AX239" s="231">
        <f t="shared" ca="1" si="205"/>
        <v>4701.3653018012883</v>
      </c>
      <c r="AY239" s="231">
        <f t="shared" ca="1" si="206"/>
        <v>587.67066272516104</v>
      </c>
      <c r="AZ239" s="231"/>
      <c r="BA239" s="232">
        <f t="shared" ca="1" si="174"/>
        <v>27122.680398075681</v>
      </c>
      <c r="BB239" s="231">
        <f t="shared" ca="1" si="175"/>
        <v>47.562622761863096</v>
      </c>
      <c r="BC239" s="231">
        <f t="shared" ca="1" si="207"/>
        <v>4324.9725438622381</v>
      </c>
      <c r="BD239" s="231">
        <f t="shared" ca="1" si="208"/>
        <v>23216.264477037243</v>
      </c>
      <c r="BE239" s="231">
        <f t="shared" ca="1" si="209"/>
        <v>806.1202943415708</v>
      </c>
      <c r="BF239" s="231">
        <f t="shared" ca="1" si="176"/>
        <v>5080.8076762635073</v>
      </c>
      <c r="BG239" s="231">
        <f t="shared" ca="1" si="177"/>
        <v>33475.72761426642</v>
      </c>
      <c r="BH239" s="232">
        <f t="shared" ca="1" si="178"/>
        <v>60598.408012342101</v>
      </c>
      <c r="BI239" s="244">
        <f t="shared" ca="1" si="210"/>
        <v>1.2448617806614271</v>
      </c>
      <c r="BJ239" s="243">
        <f t="shared" ca="1" si="211"/>
        <v>1.7076032694704681</v>
      </c>
      <c r="BK239" s="242">
        <f t="shared" ca="1" si="212"/>
        <v>2.9524650501318952</v>
      </c>
      <c r="BL239" s="241">
        <f t="shared" ca="1" si="213"/>
        <v>0.89630048207622737</v>
      </c>
      <c r="BM239" s="243">
        <f t="shared" ca="1" si="214"/>
        <v>0.75646824837541737</v>
      </c>
      <c r="BN239" s="243">
        <f t="shared" si="179"/>
        <v>0</v>
      </c>
      <c r="BO239" s="242">
        <f t="shared" ca="1" si="180"/>
        <v>1.652768730451645</v>
      </c>
      <c r="BP239" s="67"/>
      <c r="BQ239" s="67"/>
      <c r="BR239" s="67"/>
      <c r="BS239" s="67"/>
      <c r="BT239" s="67"/>
      <c r="BU239" s="67"/>
    </row>
    <row r="240" spans="1:73" ht="12" customHeight="1" x14ac:dyDescent="0.15">
      <c r="A240" s="213">
        <f t="shared" si="181"/>
        <v>234</v>
      </c>
      <c r="B240" s="67">
        <f t="shared" si="182"/>
        <v>936</v>
      </c>
      <c r="C240" s="224">
        <f t="shared" si="183"/>
        <v>216</v>
      </c>
      <c r="D240" s="225">
        <f ca="1">IFERROR(OFFSET(extrapolation!V249,0,OS_dist_choice-1,1,1),0)</f>
        <v>4.9844245782679722E-2</v>
      </c>
      <c r="E240" s="225">
        <f ca="1">IFERROR(OFFSET(extrapolation!J249,0,PFS_dist_choice-1,1,1),0)</f>
        <v>2.106663976786699E-2</v>
      </c>
      <c r="F240" s="214"/>
      <c r="G240" s="226">
        <f t="shared" ca="1" si="184"/>
        <v>21.066639767866992</v>
      </c>
      <c r="H240" s="224">
        <f t="shared" ca="1" si="185"/>
        <v>28.777606014812818</v>
      </c>
      <c r="I240" s="224">
        <f t="shared" ca="1" si="162"/>
        <v>950.15575421732024</v>
      </c>
      <c r="J240" s="227">
        <f t="shared" ca="1" si="163"/>
        <v>1000</v>
      </c>
      <c r="K240" s="238">
        <f t="shared" ca="1" si="186"/>
        <v>9.2184058315492479E-2</v>
      </c>
      <c r="L240" s="239">
        <f t="shared" ca="1" si="187"/>
        <v>0.29823592717286829</v>
      </c>
      <c r="M240" s="238">
        <f t="shared" ca="1" si="188"/>
        <v>21.112731797024736</v>
      </c>
      <c r="N240" s="238">
        <f t="shared" ca="1" si="189"/>
        <v>28.88063194924149</v>
      </c>
      <c r="O240" s="239">
        <f t="shared" ca="1" si="190"/>
        <v>950.00663625373386</v>
      </c>
      <c r="P240" s="217"/>
      <c r="Q240" s="217"/>
      <c r="R240" s="224"/>
      <c r="S240" s="230">
        <f t="shared" ca="1" si="191"/>
        <v>31941.247642695838</v>
      </c>
      <c r="T240" s="231">
        <f t="shared" ca="1" si="192"/>
        <v>1988.200093059859</v>
      </c>
      <c r="U240" s="231">
        <f t="shared" ca="1" si="215"/>
        <v>2994.8756426795067</v>
      </c>
      <c r="V240" s="231"/>
      <c r="W240" s="231">
        <f t="shared" ca="1" si="193"/>
        <v>7950.7169910507637</v>
      </c>
      <c r="X240" s="231">
        <f t="shared" ca="1" si="194"/>
        <v>993.83962388134546</v>
      </c>
      <c r="Y240" s="231"/>
      <c r="Z240" s="232">
        <f t="shared" ca="1" si="164"/>
        <v>45868.879993367314</v>
      </c>
      <c r="AA240" s="231">
        <f t="shared" ca="1" si="165"/>
        <v>80.097097571213425</v>
      </c>
      <c r="AB240" s="231">
        <f t="shared" ca="1" si="195"/>
        <v>7293.9380284957842</v>
      </c>
      <c r="AC240" s="231">
        <f t="shared" ca="1" si="196"/>
        <v>39153.542047103372</v>
      </c>
      <c r="AD240" s="231">
        <f t="shared" ca="1" si="197"/>
        <v>1359.4979877466446</v>
      </c>
      <c r="AE240" s="231">
        <f t="shared" ca="1" si="166"/>
        <v>8544.6143663612147</v>
      </c>
      <c r="AF240" s="231">
        <f t="shared" ca="1" si="167"/>
        <v>56431.689527278235</v>
      </c>
      <c r="AG240" s="232">
        <f t="shared" ca="1" si="168"/>
        <v>102300.56952064554</v>
      </c>
      <c r="AH240" s="244">
        <f t="shared" ca="1" si="198"/>
        <v>1.6184982623318074</v>
      </c>
      <c r="AI240" s="243">
        <f t="shared" ca="1" si="199"/>
        <v>2.2139841056228931</v>
      </c>
      <c r="AJ240" s="242">
        <f t="shared" ca="1" si="200"/>
        <v>3.8324823679547002</v>
      </c>
      <c r="AK240" s="241">
        <f t="shared" ca="1" si="201"/>
        <v>1.1653187488789012</v>
      </c>
      <c r="AL240" s="243">
        <f t="shared" ca="1" si="202"/>
        <v>0.98079495879094158</v>
      </c>
      <c r="AM240" s="243"/>
      <c r="AN240" s="242">
        <f t="shared" ca="1" si="169"/>
        <v>2.1461137076698429</v>
      </c>
      <c r="AO240" s="224"/>
      <c r="AP240" s="235">
        <f t="shared" si="203"/>
        <v>18</v>
      </c>
      <c r="AQ240" s="235">
        <f t="shared" si="170"/>
        <v>0.5873946076162827</v>
      </c>
      <c r="AR240" s="235">
        <f t="shared" si="171"/>
        <v>0.76491158661458636</v>
      </c>
      <c r="AT240" s="230">
        <f t="shared" ca="1" si="172"/>
        <v>18762.116625855837</v>
      </c>
      <c r="AU240" s="231">
        <f t="shared" ca="1" si="173"/>
        <v>1167.8580135255527</v>
      </c>
      <c r="AV240" s="231">
        <f t="shared" ca="1" si="204"/>
        <v>1759.1738029912913</v>
      </c>
      <c r="AW240" s="231"/>
      <c r="AX240" s="231">
        <f t="shared" ca="1" si="205"/>
        <v>4670.2082872263754</v>
      </c>
      <c r="AY240" s="231">
        <f t="shared" ca="1" si="206"/>
        <v>583.77603590329693</v>
      </c>
      <c r="AZ240" s="231"/>
      <c r="BA240" s="232">
        <f t="shared" ca="1" si="174"/>
        <v>26943.132765502352</v>
      </c>
      <c r="BB240" s="231">
        <f t="shared" ca="1" si="175"/>
        <v>47.048603199046021</v>
      </c>
      <c r="BC240" s="231">
        <f t="shared" ca="1" si="207"/>
        <v>4284.4198662257641</v>
      </c>
      <c r="BD240" s="231">
        <f t="shared" ca="1" si="208"/>
        <v>22998.579467545911</v>
      </c>
      <c r="BE240" s="231">
        <f t="shared" ca="1" si="209"/>
        <v>798.56178706756623</v>
      </c>
      <c r="BF240" s="231">
        <f t="shared" ca="1" si="176"/>
        <v>5019.0604029611977</v>
      </c>
      <c r="BG240" s="231">
        <f t="shared" ca="1" si="177"/>
        <v>33147.670126999488</v>
      </c>
      <c r="BH240" s="232">
        <f t="shared" ca="1" si="178"/>
        <v>60090.802892501837</v>
      </c>
      <c r="BI240" s="244">
        <f t="shared" ca="1" si="210"/>
        <v>1.2380080737731738</v>
      </c>
      <c r="BJ240" s="243">
        <f t="shared" ca="1" si="211"/>
        <v>1.693502094971483</v>
      </c>
      <c r="BK240" s="242">
        <f t="shared" ca="1" si="212"/>
        <v>2.9315101687446568</v>
      </c>
      <c r="BL240" s="241">
        <f t="shared" ca="1" si="213"/>
        <v>0.89136581311668506</v>
      </c>
      <c r="BM240" s="243">
        <f t="shared" ca="1" si="214"/>
        <v>0.75022142807236702</v>
      </c>
      <c r="BN240" s="243">
        <f t="shared" si="179"/>
        <v>0</v>
      </c>
      <c r="BO240" s="242">
        <f t="shared" ca="1" si="180"/>
        <v>1.6415872411890522</v>
      </c>
      <c r="BP240" s="67"/>
      <c r="BQ240" s="67"/>
      <c r="BR240" s="67"/>
      <c r="BS240" s="67"/>
      <c r="BT240" s="67"/>
      <c r="BU240" s="67"/>
    </row>
    <row r="241" spans="1:73" ht="12" customHeight="1" x14ac:dyDescent="0.15">
      <c r="A241" s="213">
        <f t="shared" si="181"/>
        <v>235</v>
      </c>
      <c r="B241" s="67">
        <f t="shared" si="182"/>
        <v>940</v>
      </c>
      <c r="C241" s="224">
        <f t="shared" si="183"/>
        <v>216.92307692307691</v>
      </c>
      <c r="D241" s="225">
        <f ca="1">IFERROR(OFFSET(extrapolation!V250,0,OS_dist_choice-1,1,1),0)</f>
        <v>4.9548952236147414E-2</v>
      </c>
      <c r="E241" s="225">
        <f ca="1">IFERROR(OFFSET(extrapolation!J250,0,PFS_dist_choice-1,1,1),0)</f>
        <v>2.0975241087436942E-2</v>
      </c>
      <c r="F241" s="214"/>
      <c r="G241" s="226">
        <f t="shared" ca="1" si="184"/>
        <v>20.975241087436942</v>
      </c>
      <c r="H241" s="224">
        <f t="shared" ca="1" si="185"/>
        <v>28.573711148710458</v>
      </c>
      <c r="I241" s="224">
        <f t="shared" ca="1" si="162"/>
        <v>950.45104776385256</v>
      </c>
      <c r="J241" s="227">
        <f t="shared" ca="1" si="163"/>
        <v>1000</v>
      </c>
      <c r="K241" s="238">
        <f t="shared" ca="1" si="186"/>
        <v>9.139868043004995E-2</v>
      </c>
      <c r="L241" s="239">
        <f t="shared" ca="1" si="187"/>
        <v>0.29529354653232076</v>
      </c>
      <c r="M241" s="238">
        <f t="shared" ca="1" si="188"/>
        <v>21.020940427651965</v>
      </c>
      <c r="N241" s="238">
        <f t="shared" ca="1" si="189"/>
        <v>28.675658581761638</v>
      </c>
      <c r="O241" s="239">
        <f t="shared" ca="1" si="190"/>
        <v>950.3034009905864</v>
      </c>
      <c r="P241" s="217"/>
      <c r="Q241" s="217"/>
      <c r="R241" s="224"/>
      <c r="S241" s="230">
        <f t="shared" ca="1" si="191"/>
        <v>31802.668926868326</v>
      </c>
      <c r="T241" s="231">
        <f t="shared" ca="1" si="192"/>
        <v>1979.5741865584457</v>
      </c>
      <c r="U241" s="231">
        <f t="shared" ca="1" si="215"/>
        <v>2981.8822234722102</v>
      </c>
      <c r="V241" s="231"/>
      <c r="W241" s="231">
        <f t="shared" ca="1" si="193"/>
        <v>7916.1498300068879</v>
      </c>
      <c r="X241" s="231">
        <f t="shared" ca="1" si="194"/>
        <v>989.51872875086099</v>
      </c>
      <c r="Y241" s="231"/>
      <c r="Z241" s="232">
        <f t="shared" ca="1" si="164"/>
        <v>45669.793895656723</v>
      </c>
      <c r="AA241" s="231">
        <f t="shared" ca="1" si="165"/>
        <v>79.41469661957305</v>
      </c>
      <c r="AB241" s="231">
        <f t="shared" ca="1" si="195"/>
        <v>7242.1710504560469</v>
      </c>
      <c r="AC241" s="231">
        <f t="shared" ca="1" si="196"/>
        <v>38875.659160874849</v>
      </c>
      <c r="AD241" s="231">
        <f t="shared" ca="1" si="197"/>
        <v>1349.8492764192656</v>
      </c>
      <c r="AE241" s="231">
        <f t="shared" ca="1" si="166"/>
        <v>8460.3136312658335</v>
      </c>
      <c r="AF241" s="231">
        <f t="shared" ca="1" si="167"/>
        <v>56007.407815635568</v>
      </c>
      <c r="AG241" s="232">
        <f t="shared" ca="1" si="168"/>
        <v>101677.20171129229</v>
      </c>
      <c r="AH241" s="244">
        <f t="shared" ca="1" si="198"/>
        <v>1.6114615522909104</v>
      </c>
      <c r="AI241" s="243">
        <f t="shared" ca="1" si="199"/>
        <v>2.1982708837490099</v>
      </c>
      <c r="AJ241" s="242">
        <f t="shared" ca="1" si="200"/>
        <v>3.8097324360399201</v>
      </c>
      <c r="AK241" s="241">
        <f t="shared" ca="1" si="201"/>
        <v>1.1602523176494555</v>
      </c>
      <c r="AL241" s="243">
        <f t="shared" ca="1" si="202"/>
        <v>0.97383400150081145</v>
      </c>
      <c r="AM241" s="243"/>
      <c r="AN241" s="242">
        <f t="shared" ca="1" si="169"/>
        <v>2.134086319150267</v>
      </c>
      <c r="AO241" s="224"/>
      <c r="AP241" s="235">
        <f t="shared" si="203"/>
        <v>18.076923076923077</v>
      </c>
      <c r="AQ241" s="235">
        <f t="shared" si="170"/>
        <v>0.58606053401908231</v>
      </c>
      <c r="AR241" s="235">
        <f t="shared" si="171"/>
        <v>0.76403605175217559</v>
      </c>
      <c r="AT241" s="230">
        <f t="shared" ca="1" si="172"/>
        <v>18638.289134512528</v>
      </c>
      <c r="AU241" s="231">
        <f t="shared" ca="1" si="173"/>
        <v>1160.1503049048331</v>
      </c>
      <c r="AV241" s="231">
        <f t="shared" ca="1" si="204"/>
        <v>1747.563488270132</v>
      </c>
      <c r="AW241" s="231"/>
      <c r="AX241" s="231">
        <f t="shared" ca="1" si="205"/>
        <v>4639.3429967489046</v>
      </c>
      <c r="AY241" s="231">
        <f t="shared" ca="1" si="206"/>
        <v>579.91787459361308</v>
      </c>
      <c r="AZ241" s="231"/>
      <c r="BA241" s="232">
        <f t="shared" ca="1" si="174"/>
        <v>26765.263799030006</v>
      </c>
      <c r="BB241" s="231">
        <f t="shared" ca="1" si="175"/>
        <v>46.54181950983039</v>
      </c>
      <c r="BC241" s="231">
        <f t="shared" ca="1" si="207"/>
        <v>4244.3506332878096</v>
      </c>
      <c r="BD241" s="231">
        <f t="shared" ca="1" si="208"/>
        <v>22783.489568166144</v>
      </c>
      <c r="BE241" s="231">
        <f t="shared" ca="1" si="209"/>
        <v>791.09338778354663</v>
      </c>
      <c r="BF241" s="231">
        <f t="shared" ca="1" si="176"/>
        <v>4958.2559247085755</v>
      </c>
      <c r="BG241" s="231">
        <f t="shared" ca="1" si="177"/>
        <v>32823.731333455908</v>
      </c>
      <c r="BH241" s="232">
        <f t="shared" ca="1" si="178"/>
        <v>59588.995132485907</v>
      </c>
      <c r="BI241" s="244">
        <f t="shared" ca="1" si="210"/>
        <v>1.2312147219627791</v>
      </c>
      <c r="BJ241" s="243">
        <f t="shared" ca="1" si="211"/>
        <v>1.6795582067013592</v>
      </c>
      <c r="BK241" s="242">
        <f t="shared" ca="1" si="212"/>
        <v>2.9107729286641382</v>
      </c>
      <c r="BL241" s="241">
        <f t="shared" ca="1" si="213"/>
        <v>0.88647459981320098</v>
      </c>
      <c r="BM241" s="243">
        <f t="shared" ca="1" si="214"/>
        <v>0.74404428556870217</v>
      </c>
      <c r="BN241" s="243">
        <f t="shared" si="179"/>
        <v>0</v>
      </c>
      <c r="BO241" s="242">
        <f t="shared" ca="1" si="180"/>
        <v>1.6305188853819033</v>
      </c>
      <c r="BP241" s="67"/>
      <c r="BQ241" s="67"/>
      <c r="BR241" s="67"/>
      <c r="BS241" s="67"/>
      <c r="BT241" s="67"/>
      <c r="BU241" s="67"/>
    </row>
    <row r="242" spans="1:73" ht="12" customHeight="1" x14ac:dyDescent="0.15">
      <c r="A242" s="213">
        <f t="shared" si="181"/>
        <v>236</v>
      </c>
      <c r="B242" s="67">
        <f t="shared" si="182"/>
        <v>944</v>
      </c>
      <c r="C242" s="224">
        <f t="shared" si="183"/>
        <v>217.84615384615384</v>
      </c>
      <c r="D242" s="225">
        <f ca="1">IFERROR(OFFSET(extrapolation!V251,0,OS_dist_choice-1,1,1),0)</f>
        <v>4.9256560782051248E-2</v>
      </c>
      <c r="E242" s="225">
        <f ca="1">IFERROR(OFFSET(extrapolation!J251,0,PFS_dist_choice-1,1,1),0)</f>
        <v>2.0884617848493683E-2</v>
      </c>
      <c r="F242" s="214"/>
      <c r="G242" s="226">
        <f t="shared" ca="1" si="184"/>
        <v>20.884617848493683</v>
      </c>
      <c r="H242" s="224">
        <f t="shared" ca="1" si="185"/>
        <v>28.371942933557534</v>
      </c>
      <c r="I242" s="224">
        <f t="shared" ca="1" si="162"/>
        <v>950.74343921794878</v>
      </c>
      <c r="J242" s="227">
        <f t="shared" ca="1" si="163"/>
        <v>1000</v>
      </c>
      <c r="K242" s="238">
        <f t="shared" ca="1" si="186"/>
        <v>9.0623238943258855E-2</v>
      </c>
      <c r="L242" s="239">
        <f t="shared" ca="1" si="187"/>
        <v>0.29239145409621869</v>
      </c>
      <c r="M242" s="238">
        <f t="shared" ca="1" si="188"/>
        <v>20.929929467965312</v>
      </c>
      <c r="N242" s="238">
        <f t="shared" ca="1" si="189"/>
        <v>28.472827041133996</v>
      </c>
      <c r="O242" s="239">
        <f t="shared" ca="1" si="190"/>
        <v>950.59724349090061</v>
      </c>
      <c r="P242" s="217"/>
      <c r="Q242" s="217"/>
      <c r="R242" s="224"/>
      <c r="S242" s="230">
        <f t="shared" ca="1" si="191"/>
        <v>31665.26593573326</v>
      </c>
      <c r="T242" s="231">
        <f t="shared" ca="1" si="192"/>
        <v>1971.0214636711823</v>
      </c>
      <c r="U242" s="231">
        <f t="shared" ca="1" si="215"/>
        <v>2968.9990425775586</v>
      </c>
      <c r="V242" s="231"/>
      <c r="W242" s="231">
        <f t="shared" ca="1" si="193"/>
        <v>7881.8765587642492</v>
      </c>
      <c r="X242" s="231">
        <f t="shared" ca="1" si="194"/>
        <v>985.23456984553115</v>
      </c>
      <c r="Y242" s="231"/>
      <c r="Z242" s="232">
        <f t="shared" ca="1" si="164"/>
        <v>45472.397570591784</v>
      </c>
      <c r="AA242" s="231">
        <f t="shared" ca="1" si="165"/>
        <v>78.740929228949994</v>
      </c>
      <c r="AB242" s="231">
        <f t="shared" ca="1" si="195"/>
        <v>7190.945000757325</v>
      </c>
      <c r="AC242" s="231">
        <f t="shared" ca="1" si="196"/>
        <v>38600.679954450265</v>
      </c>
      <c r="AD242" s="231">
        <f t="shared" ca="1" si="197"/>
        <v>1340.3013873073007</v>
      </c>
      <c r="AE242" s="231">
        <f t="shared" ca="1" si="166"/>
        <v>8377.1671741736518</v>
      </c>
      <c r="AF242" s="231">
        <f t="shared" ca="1" si="167"/>
        <v>55587.834445917491</v>
      </c>
      <c r="AG242" s="232">
        <f t="shared" ca="1" si="168"/>
        <v>101060.23201650928</v>
      </c>
      <c r="AH242" s="244">
        <f t="shared" ca="1" si="198"/>
        <v>1.6044846683176694</v>
      </c>
      <c r="AI242" s="243">
        <f t="shared" ca="1" si="199"/>
        <v>2.1827218539404569</v>
      </c>
      <c r="AJ242" s="242">
        <f t="shared" ca="1" si="200"/>
        <v>3.7872065222581264</v>
      </c>
      <c r="AK242" s="241">
        <f t="shared" ca="1" si="201"/>
        <v>1.1552289611887219</v>
      </c>
      <c r="AL242" s="243">
        <f t="shared" ca="1" si="202"/>
        <v>0.96694578129562248</v>
      </c>
      <c r="AM242" s="243"/>
      <c r="AN242" s="242">
        <f t="shared" ca="1" si="169"/>
        <v>2.1221747424843445</v>
      </c>
      <c r="AO242" s="224"/>
      <c r="AP242" s="235">
        <f t="shared" si="203"/>
        <v>18.153846153846153</v>
      </c>
      <c r="AQ242" s="235">
        <f t="shared" si="170"/>
        <v>0.58472949033114552</v>
      </c>
      <c r="AR242" s="235">
        <f t="shared" si="171"/>
        <v>0.76316151904649654</v>
      </c>
      <c r="AT242" s="230">
        <f t="shared" ca="1" si="172"/>
        <v>18515.614811801493</v>
      </c>
      <c r="AU242" s="231">
        <f t="shared" ca="1" si="173"/>
        <v>1152.5143758841989</v>
      </c>
      <c r="AV242" s="231">
        <f t="shared" ca="1" si="204"/>
        <v>1736.061296960035</v>
      </c>
      <c r="AW242" s="231"/>
      <c r="AX242" s="231">
        <f t="shared" ca="1" si="205"/>
        <v>4608.7656630592228</v>
      </c>
      <c r="AY242" s="231">
        <f t="shared" ca="1" si="206"/>
        <v>576.09570788240285</v>
      </c>
      <c r="AZ242" s="231"/>
      <c r="BA242" s="232">
        <f t="shared" ca="1" si="174"/>
        <v>26589.051855587353</v>
      </c>
      <c r="BB242" s="231">
        <f t="shared" ca="1" si="175"/>
        <v>46.042143416244727</v>
      </c>
      <c r="BC242" s="231">
        <f t="shared" ca="1" si="207"/>
        <v>4204.7576052921295</v>
      </c>
      <c r="BD242" s="231">
        <f t="shared" ca="1" si="208"/>
        <v>22570.955916201368</v>
      </c>
      <c r="BE242" s="231">
        <f t="shared" ca="1" si="209"/>
        <v>783.71374709032523</v>
      </c>
      <c r="BF242" s="231">
        <f t="shared" ca="1" si="176"/>
        <v>4898.3766921733622</v>
      </c>
      <c r="BG242" s="231">
        <f t="shared" ca="1" si="177"/>
        <v>32503.84610417343</v>
      </c>
      <c r="BH242" s="232">
        <f t="shared" ca="1" si="178"/>
        <v>59092.89795976079</v>
      </c>
      <c r="BI242" s="244">
        <f t="shared" ca="1" si="210"/>
        <v>1.2244809567601267</v>
      </c>
      <c r="BJ242" s="243">
        <f t="shared" ca="1" si="211"/>
        <v>1.6657693257091843</v>
      </c>
      <c r="BK242" s="242">
        <f t="shared" ca="1" si="212"/>
        <v>2.890250282469311</v>
      </c>
      <c r="BL242" s="241">
        <f t="shared" ca="1" si="213"/>
        <v>0.88162628886729122</v>
      </c>
      <c r="BM242" s="243">
        <f t="shared" ca="1" si="214"/>
        <v>0.73793581128916863</v>
      </c>
      <c r="BN242" s="243">
        <f t="shared" si="179"/>
        <v>0</v>
      </c>
      <c r="BO242" s="242">
        <f t="shared" ca="1" si="180"/>
        <v>1.61956210015646</v>
      </c>
      <c r="BP242" s="67"/>
      <c r="BQ242" s="67"/>
      <c r="BR242" s="67"/>
      <c r="BS242" s="67"/>
      <c r="BT242" s="67"/>
      <c r="BU242" s="67"/>
    </row>
    <row r="243" spans="1:73" ht="12" customHeight="1" x14ac:dyDescent="0.15">
      <c r="A243" s="213">
        <f t="shared" si="181"/>
        <v>237</v>
      </c>
      <c r="B243" s="67">
        <f t="shared" si="182"/>
        <v>948</v>
      </c>
      <c r="C243" s="224">
        <f t="shared" si="183"/>
        <v>218.76923076923077</v>
      </c>
      <c r="D243" s="225">
        <f ca="1">IFERROR(OFFSET(extrapolation!V252,0,OS_dist_choice-1,1,1),0)</f>
        <v>4.8967031834580406E-2</v>
      </c>
      <c r="E243" s="225">
        <f ca="1">IFERROR(OFFSET(extrapolation!J252,0,PFS_dist_choice-1,1,1),0)</f>
        <v>2.0794760281090202E-2</v>
      </c>
      <c r="F243" s="214"/>
      <c r="G243" s="226">
        <f t="shared" ca="1" si="184"/>
        <v>20.794760281090202</v>
      </c>
      <c r="H243" s="224">
        <f t="shared" ca="1" si="185"/>
        <v>28.172271553490191</v>
      </c>
      <c r="I243" s="224">
        <f t="shared" ca="1" si="162"/>
        <v>951.03296816541956</v>
      </c>
      <c r="J243" s="227">
        <f t="shared" ca="1" si="163"/>
        <v>1000</v>
      </c>
      <c r="K243" s="238">
        <f t="shared" ca="1" si="186"/>
        <v>8.9857567403480942E-2</v>
      </c>
      <c r="L243" s="239">
        <f t="shared" ca="1" si="187"/>
        <v>0.28952894747078517</v>
      </c>
      <c r="M243" s="238">
        <f t="shared" ca="1" si="188"/>
        <v>20.839689064791941</v>
      </c>
      <c r="N243" s="238">
        <f t="shared" ca="1" si="189"/>
        <v>28.272107243523863</v>
      </c>
      <c r="O243" s="239">
        <f t="shared" ca="1" si="190"/>
        <v>950.88820369168411</v>
      </c>
      <c r="P243" s="217"/>
      <c r="Q243" s="217"/>
      <c r="R243" s="224"/>
      <c r="S243" s="230">
        <f t="shared" ca="1" si="191"/>
        <v>31529.023856093074</v>
      </c>
      <c r="T243" s="231">
        <f t="shared" ca="1" si="192"/>
        <v>1962.5410023426396</v>
      </c>
      <c r="U243" s="231">
        <f t="shared" ca="1" si="215"/>
        <v>2956.2247110803446</v>
      </c>
      <c r="V243" s="231"/>
      <c r="W243" s="231">
        <f t="shared" ca="1" si="193"/>
        <v>7847.8934667756084</v>
      </c>
      <c r="X243" s="231">
        <f t="shared" ca="1" si="194"/>
        <v>980.98668334695105</v>
      </c>
      <c r="Y243" s="231"/>
      <c r="Z243" s="232">
        <f t="shared" ca="1" si="164"/>
        <v>45276.669719638616</v>
      </c>
      <c r="AA243" s="231">
        <f t="shared" ca="1" si="165"/>
        <v>78.075650772460236</v>
      </c>
      <c r="AB243" s="231">
        <f t="shared" ca="1" si="195"/>
        <v>7140.2522815871343</v>
      </c>
      <c r="AC243" s="231">
        <f t="shared" ca="1" si="196"/>
        <v>38328.563643102687</v>
      </c>
      <c r="AD243" s="231">
        <f t="shared" ca="1" si="197"/>
        <v>1330.8529042743987</v>
      </c>
      <c r="AE243" s="231">
        <f t="shared" ca="1" si="166"/>
        <v>8295.1548711377854</v>
      </c>
      <c r="AF243" s="231">
        <f t="shared" ca="1" si="167"/>
        <v>55172.899350874461</v>
      </c>
      <c r="AG243" s="232">
        <f t="shared" ca="1" si="168"/>
        <v>100449.56907051307</v>
      </c>
      <c r="AH243" s="244">
        <f t="shared" ca="1" si="198"/>
        <v>1.597566855069608</v>
      </c>
      <c r="AI243" s="243">
        <f t="shared" ca="1" si="199"/>
        <v>2.1673347099758198</v>
      </c>
      <c r="AJ243" s="242">
        <f t="shared" ca="1" si="200"/>
        <v>3.7649015650454278</v>
      </c>
      <c r="AK243" s="241">
        <f t="shared" ca="1" si="201"/>
        <v>1.1502481356501177</v>
      </c>
      <c r="AL243" s="243">
        <f t="shared" ca="1" si="202"/>
        <v>0.96012927651928814</v>
      </c>
      <c r="AM243" s="243"/>
      <c r="AN243" s="242">
        <f t="shared" ca="1" si="169"/>
        <v>2.1103774121694059</v>
      </c>
      <c r="AO243" s="224"/>
      <c r="AP243" s="235">
        <f t="shared" si="203"/>
        <v>18.23076923076923</v>
      </c>
      <c r="AQ243" s="235">
        <f t="shared" si="170"/>
        <v>0.58340146967102968</v>
      </c>
      <c r="AR243" s="235">
        <f t="shared" si="171"/>
        <v>0.76228798735045789</v>
      </c>
      <c r="AT243" s="230">
        <f t="shared" ca="1" si="172"/>
        <v>18394.078854937656</v>
      </c>
      <c r="AU243" s="231">
        <f t="shared" ca="1" si="173"/>
        <v>1144.9493050563517</v>
      </c>
      <c r="AV243" s="231">
        <f t="shared" ca="1" si="204"/>
        <v>1724.6658411220881</v>
      </c>
      <c r="AW243" s="231"/>
      <c r="AX243" s="231">
        <f t="shared" ca="1" si="205"/>
        <v>4578.4725823385625</v>
      </c>
      <c r="AY243" s="231">
        <f t="shared" ca="1" si="206"/>
        <v>572.30907279232031</v>
      </c>
      <c r="AZ243" s="231"/>
      <c r="BA243" s="232">
        <f t="shared" ca="1" si="174"/>
        <v>26414.475656246977</v>
      </c>
      <c r="BB243" s="231">
        <f t="shared" ca="1" si="175"/>
        <v>45.549449406175363</v>
      </c>
      <c r="BC243" s="231">
        <f t="shared" ca="1" si="207"/>
        <v>4165.6336748998574</v>
      </c>
      <c r="BD243" s="231">
        <f t="shared" ca="1" si="208"/>
        <v>22360.940359765704</v>
      </c>
      <c r="BE243" s="231">
        <f t="shared" ca="1" si="209"/>
        <v>776.42154026964238</v>
      </c>
      <c r="BF243" s="231">
        <f t="shared" ca="1" si="176"/>
        <v>4839.405542970585</v>
      </c>
      <c r="BG243" s="231">
        <f t="shared" ca="1" si="177"/>
        <v>32187.95056731196</v>
      </c>
      <c r="BH243" s="232">
        <f t="shared" ca="1" si="178"/>
        <v>58602.426223558934</v>
      </c>
      <c r="BI243" s="244">
        <f t="shared" ca="1" si="210"/>
        <v>1.2178060226088121</v>
      </c>
      <c r="BJ243" s="243">
        <f t="shared" ca="1" si="211"/>
        <v>1.652133213982256</v>
      </c>
      <c r="BK243" s="242">
        <f t="shared" ca="1" si="212"/>
        <v>2.8699392365910681</v>
      </c>
      <c r="BL243" s="241">
        <f t="shared" ca="1" si="213"/>
        <v>0.87682033627834477</v>
      </c>
      <c r="BM243" s="243">
        <f t="shared" ca="1" si="214"/>
        <v>0.73189501379413935</v>
      </c>
      <c r="BN243" s="243">
        <f t="shared" si="179"/>
        <v>0</v>
      </c>
      <c r="BO243" s="242">
        <f t="shared" ca="1" si="180"/>
        <v>1.6087153500724842</v>
      </c>
      <c r="BP243" s="67"/>
      <c r="BQ243" s="67"/>
      <c r="BR243" s="67"/>
      <c r="BS243" s="67"/>
      <c r="BT243" s="67"/>
      <c r="BU243" s="67"/>
    </row>
    <row r="244" spans="1:73" ht="12" customHeight="1" x14ac:dyDescent="0.15">
      <c r="A244" s="213">
        <f t="shared" si="181"/>
        <v>238</v>
      </c>
      <c r="B244" s="67">
        <f t="shared" si="182"/>
        <v>952</v>
      </c>
      <c r="C244" s="224">
        <f t="shared" si="183"/>
        <v>219.69230769230768</v>
      </c>
      <c r="D244" s="225">
        <f ca="1">IFERROR(OFFSET(extrapolation!V253,0,OS_dist_choice-1,1,1),0)</f>
        <v>4.8680326495500754E-2</v>
      </c>
      <c r="E244" s="225">
        <f ca="1">IFERROR(OFFSET(extrapolation!J253,0,PFS_dist_choice-1,1,1),0)</f>
        <v>2.0705658778265874E-2</v>
      </c>
      <c r="F244" s="214"/>
      <c r="G244" s="226">
        <f t="shared" ca="1" si="184"/>
        <v>20.705658778265875</v>
      </c>
      <c r="H244" s="224">
        <f t="shared" ca="1" si="185"/>
        <v>27.974667717234979</v>
      </c>
      <c r="I244" s="224">
        <f t="shared" ca="1" si="162"/>
        <v>951.31967350449918</v>
      </c>
      <c r="J244" s="227">
        <f t="shared" ca="1" si="163"/>
        <v>1000</v>
      </c>
      <c r="K244" s="238">
        <f t="shared" ca="1" si="186"/>
        <v>8.9101502824327383E-2</v>
      </c>
      <c r="L244" s="239">
        <f t="shared" ca="1" si="187"/>
        <v>0.28670533907961726</v>
      </c>
      <c r="M244" s="238">
        <f t="shared" ca="1" si="188"/>
        <v>20.750209529678038</v>
      </c>
      <c r="N244" s="238">
        <f t="shared" ca="1" si="189"/>
        <v>28.073469635362585</v>
      </c>
      <c r="O244" s="239">
        <f t="shared" ca="1" si="190"/>
        <v>951.17632083495937</v>
      </c>
      <c r="P244" s="217"/>
      <c r="Q244" s="217"/>
      <c r="R244" s="224"/>
      <c r="S244" s="230">
        <f t="shared" ca="1" si="191"/>
        <v>31393.928121870231</v>
      </c>
      <c r="T244" s="231">
        <f t="shared" ca="1" si="192"/>
        <v>1954.1318958995082</v>
      </c>
      <c r="U244" s="231">
        <f t="shared" ca="1" si="215"/>
        <v>2943.5578632358329</v>
      </c>
      <c r="V244" s="231"/>
      <c r="W244" s="231">
        <f t="shared" ca="1" si="193"/>
        <v>7814.1969055242744</v>
      </c>
      <c r="X244" s="231">
        <f t="shared" ca="1" si="194"/>
        <v>976.7746131905343</v>
      </c>
      <c r="Y244" s="231"/>
      <c r="Z244" s="232">
        <f t="shared" ca="1" si="164"/>
        <v>45082.589399720382</v>
      </c>
      <c r="AA244" s="231">
        <f t="shared" ca="1" si="165"/>
        <v>77.418719634113685</v>
      </c>
      <c r="AB244" s="231">
        <f t="shared" ca="1" si="195"/>
        <v>7090.0854290541502</v>
      </c>
      <c r="AC244" s="231">
        <f t="shared" ca="1" si="196"/>
        <v>38059.270160988184</v>
      </c>
      <c r="AD244" s="231">
        <f t="shared" ca="1" si="197"/>
        <v>1321.502436145423</v>
      </c>
      <c r="AE244" s="231">
        <f t="shared" ca="1" si="166"/>
        <v>8214.2570227368233</v>
      </c>
      <c r="AF244" s="231">
        <f t="shared" ca="1" si="167"/>
        <v>54762.533768558686</v>
      </c>
      <c r="AG244" s="232">
        <f t="shared" ca="1" si="168"/>
        <v>99845.123168279068</v>
      </c>
      <c r="AH244" s="244">
        <f t="shared" ca="1" si="198"/>
        <v>1.5907073698315812</v>
      </c>
      <c r="AI244" s="243">
        <f t="shared" ca="1" si="199"/>
        <v>2.1521071862837848</v>
      </c>
      <c r="AJ244" s="242">
        <f t="shared" ca="1" si="200"/>
        <v>3.7428145561153663</v>
      </c>
      <c r="AK244" s="241">
        <f t="shared" ca="1" si="201"/>
        <v>1.1453093062787385</v>
      </c>
      <c r="AL244" s="243">
        <f t="shared" ca="1" si="202"/>
        <v>0.95338348352371671</v>
      </c>
      <c r="AM244" s="243"/>
      <c r="AN244" s="242">
        <f t="shared" ca="1" si="169"/>
        <v>2.0986927898024552</v>
      </c>
      <c r="AO244" s="224"/>
      <c r="AP244" s="235">
        <f t="shared" si="203"/>
        <v>18.307692307692307</v>
      </c>
      <c r="AQ244" s="235">
        <f t="shared" si="170"/>
        <v>0.582076465172922</v>
      </c>
      <c r="AR244" s="235">
        <f t="shared" si="171"/>
        <v>0.76141545551828127</v>
      </c>
      <c r="AT244" s="230">
        <f t="shared" ca="1" si="172"/>
        <v>18273.666709071014</v>
      </c>
      <c r="AU244" s="231">
        <f t="shared" ca="1" si="173"/>
        <v>1137.4541864468461</v>
      </c>
      <c r="AV244" s="231">
        <f t="shared" ca="1" si="204"/>
        <v>1713.375756064273</v>
      </c>
      <c r="AW244" s="231"/>
      <c r="AX244" s="231">
        <f t="shared" ca="1" si="205"/>
        <v>4548.4601129327548</v>
      </c>
      <c r="AY244" s="231">
        <f t="shared" ca="1" si="206"/>
        <v>568.55751411659435</v>
      </c>
      <c r="AZ244" s="231"/>
      <c r="BA244" s="232">
        <f t="shared" ca="1" si="174"/>
        <v>26241.514278631483</v>
      </c>
      <c r="BB244" s="231">
        <f t="shared" ca="1" si="175"/>
        <v>45.06361466283839</v>
      </c>
      <c r="BC244" s="231">
        <f t="shared" ca="1" si="207"/>
        <v>4126.9718643178794</v>
      </c>
      <c r="BD244" s="231">
        <f t="shared" ca="1" si="208"/>
        <v>22153.405442369269</v>
      </c>
      <c r="BE244" s="231">
        <f t="shared" ca="1" si="209"/>
        <v>769.21546674893284</v>
      </c>
      <c r="BF244" s="231">
        <f t="shared" ca="1" si="176"/>
        <v>4781.3256918165007</v>
      </c>
      <c r="BG244" s="231">
        <f t="shared" ca="1" si="177"/>
        <v>31875.982079915415</v>
      </c>
      <c r="BH244" s="232">
        <f t="shared" ca="1" si="178"/>
        <v>58117.496358546901</v>
      </c>
      <c r="BI244" s="244">
        <f t="shared" ca="1" si="210"/>
        <v>1.2111891765966005</v>
      </c>
      <c r="BJ244" s="243">
        <f t="shared" ca="1" si="211"/>
        <v>1.6386476735684345</v>
      </c>
      <c r="BK244" s="242">
        <f t="shared" ca="1" si="212"/>
        <v>2.8498368501650355</v>
      </c>
      <c r="BL244" s="241">
        <f t="shared" ca="1" si="213"/>
        <v>0.87205620714955234</v>
      </c>
      <c r="BM244" s="243">
        <f t="shared" ca="1" si="214"/>
        <v>0.7259209193908166</v>
      </c>
      <c r="BN244" s="243">
        <f t="shared" si="179"/>
        <v>0</v>
      </c>
      <c r="BO244" s="242">
        <f t="shared" ca="1" si="180"/>
        <v>1.5979771265403691</v>
      </c>
      <c r="BP244" s="67"/>
      <c r="BQ244" s="67"/>
      <c r="BR244" s="67"/>
      <c r="BS244" s="67"/>
      <c r="BT244" s="67"/>
      <c r="BU244" s="67"/>
    </row>
    <row r="245" spans="1:73" ht="12" customHeight="1" x14ac:dyDescent="0.15">
      <c r="A245" s="213">
        <f t="shared" si="181"/>
        <v>239</v>
      </c>
      <c r="B245" s="67">
        <f t="shared" si="182"/>
        <v>956</v>
      </c>
      <c r="C245" s="224">
        <f t="shared" si="183"/>
        <v>220.61538461538458</v>
      </c>
      <c r="D245" s="225">
        <f ca="1">IFERROR(OFFSET(extrapolation!V254,0,OS_dist_choice-1,1,1),0)</f>
        <v>4.8396406539703271E-2</v>
      </c>
      <c r="E245" s="225">
        <f ca="1">IFERROR(OFFSET(extrapolation!J254,0,PFS_dist_choice-1,1,1),0)</f>
        <v>2.0617303892667069E-2</v>
      </c>
      <c r="F245" s="214"/>
      <c r="G245" s="226">
        <f t="shared" ca="1" si="184"/>
        <v>20.617303892667067</v>
      </c>
      <c r="H245" s="224">
        <f t="shared" ca="1" si="185"/>
        <v>27.779102647036098</v>
      </c>
      <c r="I245" s="224">
        <f t="shared" ca="1" si="162"/>
        <v>951.60359346029679</v>
      </c>
      <c r="J245" s="227">
        <f t="shared" ca="1" si="163"/>
        <v>1000</v>
      </c>
      <c r="K245" s="238">
        <f t="shared" ca="1" si="186"/>
        <v>8.8354885598807442E-2</v>
      </c>
      <c r="L245" s="239">
        <f t="shared" ca="1" si="187"/>
        <v>0.28391995579761442</v>
      </c>
      <c r="M245" s="238">
        <f t="shared" ca="1" si="188"/>
        <v>20.661481335466469</v>
      </c>
      <c r="N245" s="238">
        <f t="shared" ca="1" si="189"/>
        <v>27.876885182135538</v>
      </c>
      <c r="O245" s="239">
        <f t="shared" ca="1" si="190"/>
        <v>951.46163348239793</v>
      </c>
      <c r="P245" s="217"/>
      <c r="Q245" s="217"/>
      <c r="R245" s="224"/>
      <c r="S245" s="230">
        <f t="shared" ca="1" si="191"/>
        <v>31259.964408983364</v>
      </c>
      <c r="T245" s="231">
        <f t="shared" ca="1" si="192"/>
        <v>1945.79325273166</v>
      </c>
      <c r="U245" s="231">
        <f t="shared" ca="1" si="215"/>
        <v>2930.9971559893352</v>
      </c>
      <c r="V245" s="231"/>
      <c r="W245" s="231">
        <f t="shared" ca="1" si="193"/>
        <v>7780.7832872353047</v>
      </c>
      <c r="X245" s="231">
        <f t="shared" ca="1" si="194"/>
        <v>972.59791090441308</v>
      </c>
      <c r="Y245" s="231"/>
      <c r="Z245" s="232">
        <f t="shared" ca="1" si="164"/>
        <v>44890.13601584408</v>
      </c>
      <c r="AA245" s="231">
        <f t="shared" ca="1" si="165"/>
        <v>76.76999713421948</v>
      </c>
      <c r="AB245" s="231">
        <f t="shared" ca="1" si="195"/>
        <v>7040.4371103565582</v>
      </c>
      <c r="AC245" s="231">
        <f t="shared" ca="1" si="196"/>
        <v>37792.760145945591</v>
      </c>
      <c r="AD245" s="231">
        <f t="shared" ca="1" si="197"/>
        <v>1312.2486161786662</v>
      </c>
      <c r="AE245" s="231">
        <f t="shared" ca="1" si="166"/>
        <v>8134.4543435866735</v>
      </c>
      <c r="AF245" s="231">
        <f t="shared" ca="1" si="167"/>
        <v>54356.670213201709</v>
      </c>
      <c r="AG245" s="232">
        <f t="shared" ca="1" si="168"/>
        <v>99246.806229045789</v>
      </c>
      <c r="AH245" s="244">
        <f t="shared" ca="1" si="198"/>
        <v>1.5839054822534184</v>
      </c>
      <c r="AI245" s="243">
        <f t="shared" ca="1" si="199"/>
        <v>2.1370370570836279</v>
      </c>
      <c r="AJ245" s="242">
        <f t="shared" ca="1" si="200"/>
        <v>3.7209425393370461</v>
      </c>
      <c r="AK245" s="241">
        <f t="shared" ca="1" si="201"/>
        <v>1.1404119472224612</v>
      </c>
      <c r="AL245" s="243">
        <f t="shared" ca="1" si="202"/>
        <v>0.94670741628804722</v>
      </c>
      <c r="AM245" s="243"/>
      <c r="AN245" s="242">
        <f t="shared" ca="1" si="169"/>
        <v>2.0871193635105083</v>
      </c>
      <c r="AO245" s="224"/>
      <c r="AP245" s="235">
        <f t="shared" si="203"/>
        <v>18.384615384615383</v>
      </c>
      <c r="AQ245" s="235">
        <f t="shared" si="170"/>
        <v>0.58075446998660263</v>
      </c>
      <c r="AR245" s="235">
        <f t="shared" si="171"/>
        <v>0.76054392240550051</v>
      </c>
      <c r="AT245" s="230">
        <f t="shared" ca="1" si="172"/>
        <v>18154.364062139197</v>
      </c>
      <c r="AU245" s="231">
        <f t="shared" ca="1" si="173"/>
        <v>1130.0281291936828</v>
      </c>
      <c r="AV245" s="231">
        <f t="shared" ca="1" si="204"/>
        <v>1702.1896998588261</v>
      </c>
      <c r="AW245" s="231"/>
      <c r="AX245" s="231">
        <f t="shared" ca="1" si="205"/>
        <v>4518.7246740589553</v>
      </c>
      <c r="AY245" s="231">
        <f t="shared" ca="1" si="206"/>
        <v>564.84058425736941</v>
      </c>
      <c r="AZ245" s="231"/>
      <c r="BA245" s="232">
        <f t="shared" ca="1" si="174"/>
        <v>26070.14714950803</v>
      </c>
      <c r="BB245" s="231">
        <f t="shared" ca="1" si="175"/>
        <v>44.584518996556639</v>
      </c>
      <c r="BC245" s="231">
        <f t="shared" ca="1" si="207"/>
        <v>4088.7653224991309</v>
      </c>
      <c r="BD245" s="231">
        <f t="shared" ca="1" si="208"/>
        <v>21948.31438788943</v>
      </c>
      <c r="BE245" s="231">
        <f t="shared" ca="1" si="209"/>
        <v>762.09424957949409</v>
      </c>
      <c r="BF245" s="231">
        <f t="shared" ca="1" si="176"/>
        <v>4724.1207209398963</v>
      </c>
      <c r="BG245" s="231">
        <f t="shared" ca="1" si="177"/>
        <v>31567.87919990451</v>
      </c>
      <c r="BH245" s="232">
        <f t="shared" ca="1" si="178"/>
        <v>57638.026349412539</v>
      </c>
      <c r="BI245" s="244">
        <f t="shared" ca="1" si="210"/>
        <v>1.2046296881925906</v>
      </c>
      <c r="BJ245" s="243">
        <f t="shared" ca="1" si="211"/>
        <v>1.6253105457202899</v>
      </c>
      <c r="BK245" s="242">
        <f t="shared" ca="1" si="212"/>
        <v>2.8299402339128803</v>
      </c>
      <c r="BL245" s="241">
        <f t="shared" ca="1" si="213"/>
        <v>0.86733337549866529</v>
      </c>
      <c r="BM245" s="243">
        <f t="shared" ca="1" si="214"/>
        <v>0.7200125717540885</v>
      </c>
      <c r="BN245" s="243">
        <f t="shared" si="179"/>
        <v>0</v>
      </c>
      <c r="BO245" s="242">
        <f t="shared" ca="1" si="180"/>
        <v>1.5873459472527536</v>
      </c>
      <c r="BP245" s="67"/>
      <c r="BQ245" s="67"/>
      <c r="BR245" s="67"/>
      <c r="BS245" s="67"/>
      <c r="BT245" s="67"/>
      <c r="BU245" s="67"/>
    </row>
    <row r="246" spans="1:73" ht="12" customHeight="1" x14ac:dyDescent="0.15">
      <c r="A246" s="213">
        <f t="shared" si="181"/>
        <v>240</v>
      </c>
      <c r="B246" s="67">
        <f t="shared" si="182"/>
        <v>960</v>
      </c>
      <c r="C246" s="224">
        <f t="shared" si="183"/>
        <v>221.53846153846152</v>
      </c>
      <c r="D246" s="225">
        <f ca="1">IFERROR(OFFSET(extrapolation!V255,0,OS_dist_choice-1,1,1),0)</f>
        <v>4.811523440110841E-2</v>
      </c>
      <c r="E246" s="225">
        <f ca="1">IFERROR(OFFSET(extrapolation!J255,0,PFS_dist_choice-1,1,1),0)</f>
        <v>2.0529686333251584E-2</v>
      </c>
      <c r="F246" s="214"/>
      <c r="G246" s="226">
        <f t="shared" ca="1" si="184"/>
        <v>20.529686333251583</v>
      </c>
      <c r="H246" s="224">
        <f t="shared" ca="1" si="185"/>
        <v>27.585548067856848</v>
      </c>
      <c r="I246" s="224">
        <f t="shared" ca="1" si="162"/>
        <v>951.88476559889159</v>
      </c>
      <c r="J246" s="227">
        <f t="shared" ca="1" si="163"/>
        <v>1000</v>
      </c>
      <c r="K246" s="238">
        <f t="shared" ca="1" si="186"/>
        <v>8.7617559415484436E-2</v>
      </c>
      <c r="L246" s="239">
        <f t="shared" ca="1" si="187"/>
        <v>0.28117213859479762</v>
      </c>
      <c r="M246" s="238">
        <f t="shared" ca="1" si="188"/>
        <v>20.573495112959325</v>
      </c>
      <c r="N246" s="238">
        <f t="shared" ca="1" si="189"/>
        <v>27.682325357446473</v>
      </c>
      <c r="O246" s="239">
        <f t="shared" ca="1" si="190"/>
        <v>951.74417952959425</v>
      </c>
      <c r="P246" s="217"/>
      <c r="Q246" s="217"/>
      <c r="R246" s="224"/>
      <c r="S246" s="230">
        <f t="shared" ca="1" si="191"/>
        <v>31127.118630350582</v>
      </c>
      <c r="T246" s="231">
        <f t="shared" ca="1" si="192"/>
        <v>1937.5241959811262</v>
      </c>
      <c r="U246" s="231">
        <f t="shared" ca="1" si="215"/>
        <v>2918.5412685077108</v>
      </c>
      <c r="V246" s="231"/>
      <c r="W246" s="231">
        <f t="shared" ca="1" si="193"/>
        <v>7747.649083618674</v>
      </c>
      <c r="X246" s="231">
        <f t="shared" ca="1" si="194"/>
        <v>968.45613545233425</v>
      </c>
      <c r="Y246" s="231"/>
      <c r="Z246" s="232">
        <f t="shared" ca="1" si="164"/>
        <v>44699.28931391042</v>
      </c>
      <c r="AA246" s="231">
        <f t="shared" ca="1" si="165"/>
        <v>76.12934745653537</v>
      </c>
      <c r="AB246" s="231">
        <f t="shared" ca="1" si="195"/>
        <v>6991.3001210202037</v>
      </c>
      <c r="AC246" s="231">
        <f t="shared" ca="1" si="196"/>
        <v>37528.994924671046</v>
      </c>
      <c r="AD246" s="231">
        <f t="shared" ca="1" si="197"/>
        <v>1303.0901015510779</v>
      </c>
      <c r="AE246" s="231">
        <f t="shared" ca="1" si="166"/>
        <v>8055.7279521358078</v>
      </c>
      <c r="AF246" s="231">
        <f t="shared" ca="1" si="167"/>
        <v>53955.242446834665</v>
      </c>
      <c r="AG246" s="232">
        <f t="shared" ca="1" si="168"/>
        <v>98654.531760745085</v>
      </c>
      <c r="AH246" s="244">
        <f t="shared" ca="1" si="198"/>
        <v>1.5771604740940754</v>
      </c>
      <c r="AI246" s="243">
        <f t="shared" ca="1" si="199"/>
        <v>2.1221221355468889</v>
      </c>
      <c r="AJ246" s="242">
        <f t="shared" ca="1" si="200"/>
        <v>3.6992826096409646</v>
      </c>
      <c r="AK246" s="241">
        <f t="shared" ca="1" si="201"/>
        <v>1.1355555413477343</v>
      </c>
      <c r="AL246" s="243">
        <f t="shared" ca="1" si="202"/>
        <v>0.94010010604727179</v>
      </c>
      <c r="AM246" s="243"/>
      <c r="AN246" s="242">
        <f t="shared" ca="1" si="169"/>
        <v>2.0756556473950063</v>
      </c>
      <c r="AO246" s="224"/>
      <c r="AP246" s="235">
        <f t="shared" si="203"/>
        <v>18.46153846153846</v>
      </c>
      <c r="AQ246" s="235">
        <f t="shared" si="170"/>
        <v>0.57943547727740985</v>
      </c>
      <c r="AR246" s="235">
        <f t="shared" si="171"/>
        <v>0.75967338686895924</v>
      </c>
      <c r="AT246" s="230">
        <f t="shared" ca="1" si="172"/>
        <v>18036.156839847747</v>
      </c>
      <c r="AU246" s="231">
        <f t="shared" ca="1" si="173"/>
        <v>1122.6702572348536</v>
      </c>
      <c r="AV246" s="231">
        <f t="shared" ca="1" si="204"/>
        <v>1691.1063528715827</v>
      </c>
      <c r="AW246" s="231"/>
      <c r="AX246" s="231">
        <f t="shared" ca="1" si="205"/>
        <v>4489.2627445444732</v>
      </c>
      <c r="AY246" s="231">
        <f t="shared" ca="1" si="206"/>
        <v>561.15784306805915</v>
      </c>
      <c r="AZ246" s="231"/>
      <c r="BA246" s="232">
        <f t="shared" ca="1" si="174"/>
        <v>25900.354037566711</v>
      </c>
      <c r="BB246" s="231">
        <f t="shared" ca="1" si="175"/>
        <v>44.112044778295342</v>
      </c>
      <c r="BC246" s="231">
        <f t="shared" ca="1" si="207"/>
        <v>4051.0073224129551</v>
      </c>
      <c r="BD246" s="231">
        <f t="shared" ca="1" si="208"/>
        <v>21745.631085918259</v>
      </c>
      <c r="BE246" s="231">
        <f t="shared" ca="1" si="209"/>
        <v>755.05663492771725</v>
      </c>
      <c r="BF246" s="231">
        <f t="shared" ca="1" si="176"/>
        <v>4667.7745707627828</v>
      </c>
      <c r="BG246" s="231">
        <f t="shared" ca="1" si="177"/>
        <v>31263.581658800009</v>
      </c>
      <c r="BH246" s="232">
        <f t="shared" ca="1" si="178"/>
        <v>57163.935696366716</v>
      </c>
      <c r="BI246" s="244">
        <f t="shared" ca="1" si="210"/>
        <v>1.1981268389908997</v>
      </c>
      <c r="BJ246" s="243">
        <f t="shared" ca="1" si="211"/>
        <v>1.6121197100604936</v>
      </c>
      <c r="BK246" s="242">
        <f t="shared" ca="1" si="212"/>
        <v>2.8102465490513935</v>
      </c>
      <c r="BL246" s="241">
        <f t="shared" ca="1" si="213"/>
        <v>0.8626513240734478</v>
      </c>
      <c r="BM246" s="243">
        <f t="shared" ca="1" si="214"/>
        <v>0.71416903155679867</v>
      </c>
      <c r="BN246" s="243">
        <f t="shared" si="179"/>
        <v>0</v>
      </c>
      <c r="BO246" s="242">
        <f t="shared" ca="1" si="180"/>
        <v>1.5768203556302467</v>
      </c>
      <c r="BP246" s="67"/>
      <c r="BQ246" s="67"/>
      <c r="BR246" s="67"/>
      <c r="BS246" s="67"/>
      <c r="BT246" s="67"/>
      <c r="BU246" s="67"/>
    </row>
    <row r="247" spans="1:73" ht="12" customHeight="1" x14ac:dyDescent="0.15">
      <c r="A247" s="213">
        <f t="shared" si="181"/>
        <v>241</v>
      </c>
      <c r="B247" s="67">
        <f t="shared" si="182"/>
        <v>964</v>
      </c>
      <c r="C247" s="224">
        <f t="shared" si="183"/>
        <v>222.46153846153848</v>
      </c>
      <c r="D247" s="225">
        <f ca="1">IFERROR(OFFSET(extrapolation!V256,0,OS_dist_choice-1,1,1),0)</f>
        <v>4.7836773158915068E-2</v>
      </c>
      <c r="E247" s="225">
        <f ca="1">IFERROR(OFFSET(extrapolation!J256,0,PFS_dist_choice-1,1,1),0)</f>
        <v>2.0442796962074242E-2</v>
      </c>
      <c r="F247" s="214"/>
      <c r="G247" s="226">
        <f t="shared" ca="1" si="184"/>
        <v>20.442796962074244</v>
      </c>
      <c r="H247" s="224">
        <f t="shared" ca="1" si="185"/>
        <v>27.393976196840867</v>
      </c>
      <c r="I247" s="224">
        <f t="shared" ca="1" si="162"/>
        <v>952.16322684108491</v>
      </c>
      <c r="J247" s="227">
        <f t="shared" ca="1" si="163"/>
        <v>1000</v>
      </c>
      <c r="K247" s="238">
        <f t="shared" ca="1" si="186"/>
        <v>8.6889371177338859E-2</v>
      </c>
      <c r="L247" s="239">
        <f t="shared" ca="1" si="187"/>
        <v>0.27846124219331614</v>
      </c>
      <c r="M247" s="238">
        <f t="shared" ca="1" si="188"/>
        <v>20.486241647662915</v>
      </c>
      <c r="N247" s="238">
        <f t="shared" ca="1" si="189"/>
        <v>27.489762132348858</v>
      </c>
      <c r="O247" s="239">
        <f t="shared" ca="1" si="190"/>
        <v>952.02399621998825</v>
      </c>
      <c r="P247" s="217"/>
      <c r="Q247" s="217"/>
      <c r="R247" s="224"/>
      <c r="S247" s="230">
        <f t="shared" ca="1" si="191"/>
        <v>30995.376931015751</v>
      </c>
      <c r="T247" s="231">
        <f t="shared" ca="1" si="192"/>
        <v>1929.3238632387304</v>
      </c>
      <c r="U247" s="231">
        <f t="shared" ca="1" si="215"/>
        <v>2906.188901722398</v>
      </c>
      <c r="V247" s="231"/>
      <c r="W247" s="231">
        <f t="shared" ca="1" si="193"/>
        <v>7714.7908246434909</v>
      </c>
      <c r="X247" s="231">
        <f t="shared" ca="1" si="194"/>
        <v>964.34885308043636</v>
      </c>
      <c r="Y247" s="231"/>
      <c r="Z247" s="232">
        <f t="shared" ca="1" si="164"/>
        <v>44510.029373700803</v>
      </c>
      <c r="AA247" s="231">
        <f t="shared" ca="1" si="165"/>
        <v>75.496637577769334</v>
      </c>
      <c r="AB247" s="231">
        <f t="shared" ca="1" si="195"/>
        <v>6942.6673822041757</v>
      </c>
      <c r="AC247" s="231">
        <f t="shared" ca="1" si="196"/>
        <v>37267.936498254465</v>
      </c>
      <c r="AD247" s="231">
        <f t="shared" ca="1" si="197"/>
        <v>1294.0255728560578</v>
      </c>
      <c r="AE247" s="231">
        <f t="shared" ca="1" si="166"/>
        <v>7978.0593608383242</v>
      </c>
      <c r="AF247" s="231">
        <f t="shared" ca="1" si="167"/>
        <v>53558.185451730795</v>
      </c>
      <c r="AG247" s="232">
        <f t="shared" ca="1" si="168"/>
        <v>98068.214825431598</v>
      </c>
      <c r="AH247" s="244">
        <f t="shared" ca="1" si="198"/>
        <v>1.5704716389721056</v>
      </c>
      <c r="AI247" s="243">
        <f t="shared" ca="1" si="199"/>
        <v>2.1073602729795153</v>
      </c>
      <c r="AJ247" s="242">
        <f t="shared" ca="1" si="200"/>
        <v>3.6778319119516212</v>
      </c>
      <c r="AK247" s="241">
        <f t="shared" ca="1" si="201"/>
        <v>1.130739580059916</v>
      </c>
      <c r="AL247" s="243">
        <f t="shared" ca="1" si="202"/>
        <v>0.93356060092992532</v>
      </c>
      <c r="AM247" s="243"/>
      <c r="AN247" s="242">
        <f t="shared" ca="1" si="169"/>
        <v>2.0643001809898411</v>
      </c>
      <c r="AO247" s="224"/>
      <c r="AP247" s="235">
        <f t="shared" si="203"/>
        <v>18.53846153846154</v>
      </c>
      <c r="AQ247" s="235">
        <f t="shared" si="170"/>
        <v>0.57811948022620474</v>
      </c>
      <c r="AR247" s="235">
        <f t="shared" si="171"/>
        <v>0.75880384776680909</v>
      </c>
      <c r="AT247" s="230">
        <f t="shared" ca="1" si="172"/>
        <v>17919.031200774123</v>
      </c>
      <c r="AU247" s="231">
        <f t="shared" ca="1" si="173"/>
        <v>1115.3797090035882</v>
      </c>
      <c r="AV247" s="231">
        <f t="shared" ca="1" si="204"/>
        <v>1680.1244173029174</v>
      </c>
      <c r="AW247" s="231"/>
      <c r="AX247" s="231">
        <f t="shared" ca="1" si="205"/>
        <v>4460.0708615967887</v>
      </c>
      <c r="AY247" s="231">
        <f t="shared" ca="1" si="206"/>
        <v>557.50885769959859</v>
      </c>
      <c r="AZ247" s="231"/>
      <c r="BA247" s="232">
        <f t="shared" ca="1" si="174"/>
        <v>25732.115046377014</v>
      </c>
      <c r="BB247" s="231">
        <f t="shared" ca="1" si="175"/>
        <v>43.646076875286163</v>
      </c>
      <c r="BC247" s="231">
        <f t="shared" ca="1" si="207"/>
        <v>4013.6912583833036</v>
      </c>
      <c r="BD247" s="231">
        <f t="shared" ca="1" si="208"/>
        <v>21545.320077474076</v>
      </c>
      <c r="BE247" s="231">
        <f t="shared" ca="1" si="209"/>
        <v>748.10139157896094</v>
      </c>
      <c r="BF247" s="231">
        <f t="shared" ca="1" si="176"/>
        <v>4612.2715309016594</v>
      </c>
      <c r="BG247" s="231">
        <f t="shared" ca="1" si="177"/>
        <v>30963.030335213287</v>
      </c>
      <c r="BH247" s="232">
        <f t="shared" ca="1" si="178"/>
        <v>56695.145381590301</v>
      </c>
      <c r="BI247" s="244">
        <f t="shared" ca="1" si="210"/>
        <v>1.1916799224606809</v>
      </c>
      <c r="BJ247" s="243">
        <f t="shared" ca="1" si="211"/>
        <v>1.5990730837677694</v>
      </c>
      <c r="BK247" s="242">
        <f t="shared" ca="1" si="212"/>
        <v>2.7907530062284502</v>
      </c>
      <c r="BL247" s="241">
        <f t="shared" ca="1" si="213"/>
        <v>0.85800954417169017</v>
      </c>
      <c r="BM247" s="243">
        <f t="shared" ca="1" si="214"/>
        <v>0.70838937610912189</v>
      </c>
      <c r="BN247" s="243">
        <f t="shared" si="179"/>
        <v>0</v>
      </c>
      <c r="BO247" s="242">
        <f t="shared" ca="1" si="180"/>
        <v>1.566398920280812</v>
      </c>
      <c r="BP247" s="67"/>
      <c r="BQ247" s="67"/>
      <c r="BR247" s="67"/>
      <c r="BS247" s="67"/>
      <c r="BT247" s="67"/>
      <c r="BU247" s="67"/>
    </row>
    <row r="248" spans="1:73" ht="12" customHeight="1" x14ac:dyDescent="0.15">
      <c r="A248" s="213">
        <f t="shared" si="181"/>
        <v>242</v>
      </c>
      <c r="B248" s="67">
        <f t="shared" si="182"/>
        <v>968</v>
      </c>
      <c r="C248" s="224">
        <f t="shared" si="183"/>
        <v>223.38461538461542</v>
      </c>
      <c r="D248" s="225">
        <f ca="1">IFERROR(OFFSET(extrapolation!V257,0,OS_dist_choice-1,1,1),0)</f>
        <v>4.7560986524185861E-2</v>
      </c>
      <c r="E248" s="225">
        <f ca="1">IFERROR(OFFSET(extrapolation!J257,0,PFS_dist_choice-1,1,1),0)</f>
        <v>2.0356626791151449E-2</v>
      </c>
      <c r="F248" s="214"/>
      <c r="G248" s="226">
        <f t="shared" ca="1" si="184"/>
        <v>20.356626791151449</v>
      </c>
      <c r="H248" s="224">
        <f t="shared" ca="1" si="185"/>
        <v>27.20435973303438</v>
      </c>
      <c r="I248" s="224">
        <f t="shared" ca="1" si="162"/>
        <v>952.43901347581414</v>
      </c>
      <c r="J248" s="227">
        <f t="shared" ca="1" si="163"/>
        <v>1000</v>
      </c>
      <c r="K248" s="238">
        <f t="shared" ca="1" si="186"/>
        <v>8.6170170922795108E-2</v>
      </c>
      <c r="L248" s="239">
        <f t="shared" ca="1" si="187"/>
        <v>0.27578663472922926</v>
      </c>
      <c r="M248" s="238">
        <f t="shared" ca="1" si="188"/>
        <v>20.399711876612848</v>
      </c>
      <c r="N248" s="238">
        <f t="shared" ca="1" si="189"/>
        <v>27.299167964937624</v>
      </c>
      <c r="O248" s="239">
        <f t="shared" ca="1" si="190"/>
        <v>952.30112015844952</v>
      </c>
      <c r="P248" s="217"/>
      <c r="Q248" s="217"/>
      <c r="R248" s="224"/>
      <c r="S248" s="230">
        <f t="shared" ca="1" si="191"/>
        <v>30864.725683394543</v>
      </c>
      <c r="T248" s="231">
        <f t="shared" ca="1" si="192"/>
        <v>1921.1914062481758</v>
      </c>
      <c r="U248" s="231">
        <f t="shared" ca="1" si="215"/>
        <v>2893.9387778836717</v>
      </c>
      <c r="V248" s="231"/>
      <c r="W248" s="231">
        <f t="shared" ca="1" si="193"/>
        <v>7682.2050973423729</v>
      </c>
      <c r="X248" s="231">
        <f t="shared" ca="1" si="194"/>
        <v>960.27563716779662</v>
      </c>
      <c r="Y248" s="231"/>
      <c r="Z248" s="232">
        <f t="shared" ca="1" si="164"/>
        <v>44322.336602036565</v>
      </c>
      <c r="AA248" s="231">
        <f t="shared" ca="1" si="165"/>
        <v>74.8717371989611</v>
      </c>
      <c r="AB248" s="231">
        <f t="shared" ca="1" si="195"/>
        <v>6894.5319380721512</v>
      </c>
      <c r="AC248" s="231">
        <f t="shared" ca="1" si="196"/>
        <v>37009.547528069059</v>
      </c>
      <c r="AD248" s="231">
        <f t="shared" ca="1" si="197"/>
        <v>1285.0537336135087</v>
      </c>
      <c r="AE248" s="231">
        <f t="shared" ca="1" si="166"/>
        <v>7901.4304664638148</v>
      </c>
      <c r="AF248" s="231">
        <f t="shared" ca="1" si="167"/>
        <v>53165.43540341749</v>
      </c>
      <c r="AG248" s="232">
        <f t="shared" ca="1" si="168"/>
        <v>97487.772005454055</v>
      </c>
      <c r="AH248" s="244">
        <f t="shared" ca="1" si="198"/>
        <v>1.5638382821222716</v>
      </c>
      <c r="AI248" s="243">
        <f t="shared" ca="1" si="199"/>
        <v>2.0927493580239656</v>
      </c>
      <c r="AJ248" s="242">
        <f t="shared" ca="1" si="200"/>
        <v>3.6565876401462374</v>
      </c>
      <c r="AK248" s="241">
        <f t="shared" ca="1" si="201"/>
        <v>1.1259635631280356</v>
      </c>
      <c r="AL248" s="243">
        <f t="shared" ca="1" si="202"/>
        <v>0.9270879656046167</v>
      </c>
      <c r="AM248" s="243"/>
      <c r="AN248" s="242">
        <f t="shared" ca="1" si="169"/>
        <v>2.0530515287326523</v>
      </c>
      <c r="AO248" s="224"/>
      <c r="AP248" s="235">
        <f t="shared" si="203"/>
        <v>18.615384615384617</v>
      </c>
      <c r="AQ248" s="235">
        <f t="shared" si="170"/>
        <v>0.57680647202933588</v>
      </c>
      <c r="AR248" s="235">
        <f t="shared" si="171"/>
        <v>0.75793530395850928</v>
      </c>
      <c r="AT248" s="230">
        <f t="shared" ca="1" si="172"/>
        <v>17802.973531592041</v>
      </c>
      <c r="AU248" s="231">
        <f t="shared" ca="1" si="173"/>
        <v>1108.155637131089</v>
      </c>
      <c r="AV248" s="231">
        <f t="shared" ca="1" si="204"/>
        <v>1669.2426167399685</v>
      </c>
      <c r="AW248" s="231"/>
      <c r="AX248" s="231">
        <f t="shared" ca="1" si="205"/>
        <v>4431.1456196038353</v>
      </c>
      <c r="AY248" s="231">
        <f t="shared" ca="1" si="206"/>
        <v>553.89320245047941</v>
      </c>
      <c r="AZ248" s="231"/>
      <c r="BA248" s="232">
        <f t="shared" ca="1" si="174"/>
        <v>25565.410607517413</v>
      </c>
      <c r="BB248" s="231">
        <f t="shared" ca="1" si="175"/>
        <v>43.186502588440341</v>
      </c>
      <c r="BC248" s="231">
        <f t="shared" ca="1" si="207"/>
        <v>3976.8106434929773</v>
      </c>
      <c r="BD248" s="231">
        <f t="shared" ca="1" si="208"/>
        <v>21347.346541067542</v>
      </c>
      <c r="BE248" s="231">
        <f t="shared" ca="1" si="209"/>
        <v>741.22731045373393</v>
      </c>
      <c r="BF248" s="231">
        <f t="shared" ca="1" si="176"/>
        <v>4557.5962313461032</v>
      </c>
      <c r="BG248" s="231">
        <f t="shared" ca="1" si="177"/>
        <v>30666.167228948794</v>
      </c>
      <c r="BH248" s="232">
        <f t="shared" ca="1" si="178"/>
        <v>56231.577836466211</v>
      </c>
      <c r="BI248" s="244">
        <f t="shared" ca="1" si="210"/>
        <v>1.1852882437022969</v>
      </c>
      <c r="BJ248" s="243">
        <f t="shared" ca="1" si="211"/>
        <v>1.5861686207828696</v>
      </c>
      <c r="BK248" s="242">
        <f t="shared" ca="1" si="212"/>
        <v>2.7714568644851667</v>
      </c>
      <c r="BL248" s="241">
        <f t="shared" ca="1" si="213"/>
        <v>0.85340753546565384</v>
      </c>
      <c r="BM248" s="243">
        <f t="shared" ca="1" si="214"/>
        <v>0.70267269900681117</v>
      </c>
      <c r="BN248" s="243">
        <f t="shared" si="179"/>
        <v>0</v>
      </c>
      <c r="BO248" s="242">
        <f t="shared" ca="1" si="180"/>
        <v>1.5560802344724649</v>
      </c>
      <c r="BP248" s="67"/>
      <c r="BQ248" s="67"/>
      <c r="BR248" s="67"/>
      <c r="BS248" s="67"/>
      <c r="BT248" s="67"/>
      <c r="BU248" s="67"/>
    </row>
    <row r="249" spans="1:73" ht="12" customHeight="1" x14ac:dyDescent="0.15">
      <c r="A249" s="213">
        <f t="shared" si="181"/>
        <v>243</v>
      </c>
      <c r="B249" s="67">
        <f t="shared" si="182"/>
        <v>972</v>
      </c>
      <c r="C249" s="224">
        <f t="shared" si="183"/>
        <v>224.30769230769232</v>
      </c>
      <c r="D249" s="225">
        <f ca="1">IFERROR(OFFSET(extrapolation!V258,0,OS_dist_choice-1,1,1),0)</f>
        <v>4.7287838826758626E-2</v>
      </c>
      <c r="E249" s="225">
        <f ca="1">IFERROR(OFFSET(extrapolation!J258,0,PFS_dist_choice-1,1,1),0)</f>
        <v>2.0271166979402448E-2</v>
      </c>
      <c r="F249" s="214"/>
      <c r="G249" s="226">
        <f t="shared" ca="1" si="184"/>
        <v>20.271166979402448</v>
      </c>
      <c r="H249" s="224">
        <f t="shared" ca="1" si="185"/>
        <v>27.016671847356179</v>
      </c>
      <c r="I249" s="224">
        <f t="shared" ca="1" si="162"/>
        <v>952.71216117324138</v>
      </c>
      <c r="J249" s="227">
        <f t="shared" ca="1" si="163"/>
        <v>1000</v>
      </c>
      <c r="K249" s="238">
        <f t="shared" ca="1" si="186"/>
        <v>8.5459811749000636E-2</v>
      </c>
      <c r="L249" s="239">
        <f t="shared" ca="1" si="187"/>
        <v>0.2731476974272482</v>
      </c>
      <c r="M249" s="238">
        <f t="shared" ca="1" si="188"/>
        <v>20.313896885276947</v>
      </c>
      <c r="N249" s="238">
        <f t="shared" ca="1" si="189"/>
        <v>27.110515790195279</v>
      </c>
      <c r="O249" s="239">
        <f t="shared" ca="1" si="190"/>
        <v>952.57558732452776</v>
      </c>
      <c r="P249" s="217"/>
      <c r="Q249" s="217"/>
      <c r="R249" s="224"/>
      <c r="S249" s="230">
        <f t="shared" ca="1" si="191"/>
        <v>30735.151482636782</v>
      </c>
      <c r="T249" s="231">
        <f t="shared" ca="1" si="192"/>
        <v>1913.1259906173732</v>
      </c>
      <c r="U249" s="231">
        <f t="shared" ca="1" si="215"/>
        <v>2881.7896401258104</v>
      </c>
      <c r="V249" s="231"/>
      <c r="W249" s="231">
        <f t="shared" ca="1" si="193"/>
        <v>7649.8885446451341</v>
      </c>
      <c r="X249" s="231">
        <f t="shared" ca="1" si="194"/>
        <v>956.23606808064176</v>
      </c>
      <c r="Y249" s="231"/>
      <c r="Z249" s="232">
        <f t="shared" ca="1" si="164"/>
        <v>44136.191726105739</v>
      </c>
      <c r="AA249" s="231">
        <f t="shared" ca="1" si="165"/>
        <v>74.254518678820716</v>
      </c>
      <c r="AB249" s="231">
        <f t="shared" ca="1" si="195"/>
        <v>6846.8869532279823</v>
      </c>
      <c r="AC249" s="231">
        <f t="shared" ca="1" si="196"/>
        <v>36753.791322005643</v>
      </c>
      <c r="AD249" s="231">
        <f t="shared" ca="1" si="197"/>
        <v>1276.1733097918625</v>
      </c>
      <c r="AE249" s="231">
        <f t="shared" ca="1" si="166"/>
        <v>7825.8235407785542</v>
      </c>
      <c r="AF249" s="231">
        <f t="shared" ca="1" si="167"/>
        <v>52776.929644482865</v>
      </c>
      <c r="AG249" s="232">
        <f t="shared" ca="1" si="168"/>
        <v>96913.121370588604</v>
      </c>
      <c r="AH249" s="244">
        <f t="shared" ca="1" si="198"/>
        <v>1.5572597201581231</v>
      </c>
      <c r="AI249" s="243">
        <f t="shared" ca="1" si="199"/>
        <v>2.0782873158808153</v>
      </c>
      <c r="AJ249" s="242">
        <f t="shared" ca="1" si="200"/>
        <v>3.6355470360389384</v>
      </c>
      <c r="AK249" s="241">
        <f t="shared" ca="1" si="201"/>
        <v>1.1212269985138485</v>
      </c>
      <c r="AL249" s="243">
        <f t="shared" ca="1" si="202"/>
        <v>0.92068128093520119</v>
      </c>
      <c r="AM249" s="243"/>
      <c r="AN249" s="242">
        <f t="shared" ca="1" si="169"/>
        <v>2.04190827944905</v>
      </c>
      <c r="AO249" s="224"/>
      <c r="AP249" s="235">
        <f t="shared" si="203"/>
        <v>18.692307692307693</v>
      </c>
      <c r="AQ249" s="235">
        <f t="shared" si="170"/>
        <v>0.57549644589860383</v>
      </c>
      <c r="AR249" s="235">
        <f t="shared" si="171"/>
        <v>0.7570677543048242</v>
      </c>
      <c r="AT249" s="230">
        <f t="shared" ca="1" si="172"/>
        <v>17687.970442412672</v>
      </c>
      <c r="AU249" s="231">
        <f t="shared" ca="1" si="173"/>
        <v>1100.997208156544</v>
      </c>
      <c r="AV249" s="231">
        <f t="shared" ca="1" si="204"/>
        <v>1658.4596957198205</v>
      </c>
      <c r="AW249" s="231"/>
      <c r="AX249" s="231">
        <f t="shared" ca="1" si="205"/>
        <v>4402.4836689637177</v>
      </c>
      <c r="AY249" s="231">
        <f t="shared" ca="1" si="206"/>
        <v>550.31045862046471</v>
      </c>
      <c r="AZ249" s="231"/>
      <c r="BA249" s="232">
        <f t="shared" ca="1" si="174"/>
        <v>25400.221473873218</v>
      </c>
      <c r="BB249" s="231">
        <f t="shared" ca="1" si="175"/>
        <v>42.733211591572811</v>
      </c>
      <c r="BC249" s="231">
        <f t="shared" ca="1" si="207"/>
        <v>3940.3591070522239</v>
      </c>
      <c r="BD249" s="231">
        <f t="shared" ca="1" si="208"/>
        <v>21151.676279113195</v>
      </c>
      <c r="BE249" s="231">
        <f t="shared" ca="1" si="209"/>
        <v>734.4332041358748</v>
      </c>
      <c r="BF249" s="231">
        <f t="shared" ca="1" si="176"/>
        <v>4503.7336339476851</v>
      </c>
      <c r="BG249" s="231">
        <f t="shared" ca="1" si="177"/>
        <v>30372.935435840554</v>
      </c>
      <c r="BH249" s="232">
        <f t="shared" ca="1" si="178"/>
        <v>55773.156909713769</v>
      </c>
      <c r="BI249" s="244">
        <f t="shared" ca="1" si="210"/>
        <v>1.1789511192094693</v>
      </c>
      <c r="BJ249" s="243">
        <f t="shared" ca="1" si="211"/>
        <v>1.5734043110340896</v>
      </c>
      <c r="BK249" s="242">
        <f t="shared" ca="1" si="212"/>
        <v>2.7523554302435587</v>
      </c>
      <c r="BL249" s="241">
        <f t="shared" ca="1" si="213"/>
        <v>0.84884480583081778</v>
      </c>
      <c r="BM249" s="243">
        <f t="shared" ca="1" si="214"/>
        <v>0.69701810978810175</v>
      </c>
      <c r="BN249" s="243">
        <f t="shared" si="179"/>
        <v>0</v>
      </c>
      <c r="BO249" s="242">
        <f t="shared" ca="1" si="180"/>
        <v>1.5458629156189196</v>
      </c>
      <c r="BP249" s="67"/>
      <c r="BQ249" s="67"/>
      <c r="BR249" s="67"/>
      <c r="BS249" s="67"/>
      <c r="BT249" s="67"/>
      <c r="BU249" s="67"/>
    </row>
    <row r="250" spans="1:73" ht="12" customHeight="1" x14ac:dyDescent="0.15">
      <c r="A250" s="213">
        <f t="shared" si="181"/>
        <v>244</v>
      </c>
      <c r="B250" s="67">
        <f t="shared" si="182"/>
        <v>976</v>
      </c>
      <c r="C250" s="224">
        <f t="shared" si="183"/>
        <v>225.23076923076923</v>
      </c>
      <c r="D250" s="225">
        <f ca="1">IFERROR(OFFSET(extrapolation!V259,0,OS_dist_choice-1,1,1),0)</f>
        <v>4.701729500247457E-2</v>
      </c>
      <c r="E250" s="225">
        <f ca="1">IFERROR(OFFSET(extrapolation!J259,0,PFS_dist_choice-1,1,1),0)</f>
        <v>2.0186408829664899E-2</v>
      </c>
      <c r="F250" s="214"/>
      <c r="G250" s="226">
        <f t="shared" ca="1" si="184"/>
        <v>20.186408829664899</v>
      </c>
      <c r="H250" s="224">
        <f t="shared" ca="1" si="185"/>
        <v>26.830886172809642</v>
      </c>
      <c r="I250" s="224">
        <f t="shared" ca="1" si="162"/>
        <v>952.9827049975255</v>
      </c>
      <c r="J250" s="227">
        <f t="shared" ca="1" si="163"/>
        <v>1000</v>
      </c>
      <c r="K250" s="238">
        <f t="shared" ca="1" si="186"/>
        <v>8.475814973754936E-2</v>
      </c>
      <c r="L250" s="239">
        <f t="shared" ca="1" si="187"/>
        <v>0.27054382428411827</v>
      </c>
      <c r="M250" s="238">
        <f t="shared" ca="1" si="188"/>
        <v>20.228787904533675</v>
      </c>
      <c r="N250" s="238">
        <f t="shared" ca="1" si="189"/>
        <v>26.92377901008291</v>
      </c>
      <c r="O250" s="239">
        <f t="shared" ca="1" si="190"/>
        <v>952.8474330853835</v>
      </c>
      <c r="P250" s="217"/>
      <c r="Q250" s="217"/>
      <c r="R250" s="224"/>
      <c r="S250" s="230">
        <f t="shared" ca="1" si="191"/>
        <v>30606.641142101449</v>
      </c>
      <c r="T250" s="231">
        <f t="shared" ca="1" si="192"/>
        <v>1905.1267955367789</v>
      </c>
      <c r="U250" s="231">
        <f t="shared" ca="1" si="215"/>
        <v>2869.7402520428209</v>
      </c>
      <c r="V250" s="231"/>
      <c r="W250" s="231">
        <f t="shared" ca="1" si="193"/>
        <v>7617.8378642409098</v>
      </c>
      <c r="X250" s="231">
        <f t="shared" ca="1" si="194"/>
        <v>952.22973303011372</v>
      </c>
      <c r="Y250" s="231"/>
      <c r="Z250" s="232">
        <f t="shared" ca="1" si="164"/>
        <v>43951.575786952075</v>
      </c>
      <c r="AA250" s="231">
        <f t="shared" ca="1" si="165"/>
        <v>73.644856969191025</v>
      </c>
      <c r="AB250" s="231">
        <f t="shared" ca="1" si="195"/>
        <v>6799.725710213138</v>
      </c>
      <c r="AC250" s="231">
        <f t="shared" ca="1" si="196"/>
        <v>36500.631821039031</v>
      </c>
      <c r="AD250" s="231">
        <f t="shared" ca="1" si="197"/>
        <v>1267.3830493416328</v>
      </c>
      <c r="AE250" s="231">
        <f t="shared" ca="1" si="166"/>
        <v>7751.2212214742349</v>
      </c>
      <c r="AF250" s="231">
        <f t="shared" ca="1" si="167"/>
        <v>52392.606659037221</v>
      </c>
      <c r="AG250" s="232">
        <f t="shared" ca="1" si="168"/>
        <v>96344.182445989296</v>
      </c>
      <c r="AH250" s="244">
        <f t="shared" ca="1" si="198"/>
        <v>1.5507352808403638</v>
      </c>
      <c r="AI250" s="243">
        <f t="shared" ca="1" si="199"/>
        <v>2.0639721075491346</v>
      </c>
      <c r="AJ250" s="242">
        <f t="shared" ca="1" si="200"/>
        <v>3.6147073883894985</v>
      </c>
      <c r="AK250" s="241">
        <f t="shared" ca="1" si="201"/>
        <v>1.1165294022050618</v>
      </c>
      <c r="AL250" s="243">
        <f t="shared" ca="1" si="202"/>
        <v>0.91433964364426668</v>
      </c>
      <c r="AM250" s="243"/>
      <c r="AN250" s="242">
        <f t="shared" ca="1" si="169"/>
        <v>2.0308690458493284</v>
      </c>
      <c r="AO250" s="224"/>
      <c r="AP250" s="235">
        <f t="shared" si="203"/>
        <v>18.76923076923077</v>
      </c>
      <c r="AQ250" s="235">
        <f t="shared" si="170"/>
        <v>0.57418939506122657</v>
      </c>
      <c r="AR250" s="235">
        <f t="shared" si="171"/>
        <v>0.75620119766782234</v>
      </c>
      <c r="AT250" s="230">
        <f t="shared" ca="1" si="172"/>
        <v>17574.008762239278</v>
      </c>
      <c r="AU250" s="231">
        <f t="shared" ca="1" si="173"/>
        <v>1093.9036022441962</v>
      </c>
      <c r="AV250" s="231">
        <f t="shared" ca="1" si="204"/>
        <v>1647.7744193033193</v>
      </c>
      <c r="AW250" s="231"/>
      <c r="AX250" s="231">
        <f t="shared" ca="1" si="205"/>
        <v>4374.081714942994</v>
      </c>
      <c r="AY250" s="231">
        <f t="shared" ca="1" si="206"/>
        <v>546.76021436787426</v>
      </c>
      <c r="AZ250" s="231"/>
      <c r="BA250" s="232">
        <f t="shared" ca="1" si="174"/>
        <v>25236.528713097665</v>
      </c>
      <c r="BB250" s="231">
        <f t="shared" ca="1" si="175"/>
        <v>42.286095872510352</v>
      </c>
      <c r="BC250" s="231">
        <f t="shared" ca="1" si="207"/>
        <v>3904.330392129551</v>
      </c>
      <c r="BD250" s="231">
        <f t="shared" ca="1" si="208"/>
        <v>20958.275704674958</v>
      </c>
      <c r="BE250" s="231">
        <f t="shared" ca="1" si="209"/>
        <v>727.71790641232485</v>
      </c>
      <c r="BF250" s="231">
        <f t="shared" ca="1" si="176"/>
        <v>4450.6690241440328</v>
      </c>
      <c r="BG250" s="231">
        <f t="shared" ca="1" si="177"/>
        <v>30083.279123233373</v>
      </c>
      <c r="BH250" s="232">
        <f t="shared" ca="1" si="178"/>
        <v>55319.807836331041</v>
      </c>
      <c r="BI250" s="244">
        <f t="shared" ca="1" si="210"/>
        <v>1.17266787663723</v>
      </c>
      <c r="BJ250" s="243">
        <f t="shared" ca="1" si="211"/>
        <v>1.5607781796816351</v>
      </c>
      <c r="BK250" s="242">
        <f t="shared" ca="1" si="212"/>
        <v>2.7334460563188649</v>
      </c>
      <c r="BL250" s="241">
        <f t="shared" ca="1" si="213"/>
        <v>0.8443208711788055</v>
      </c>
      <c r="BM250" s="243">
        <f t="shared" ca="1" si="214"/>
        <v>0.69142473359896439</v>
      </c>
      <c r="BN250" s="243">
        <f t="shared" si="179"/>
        <v>0</v>
      </c>
      <c r="BO250" s="242">
        <f t="shared" ca="1" si="180"/>
        <v>1.5357456047777698</v>
      </c>
      <c r="BP250" s="67"/>
      <c r="BQ250" s="67"/>
      <c r="BR250" s="67"/>
      <c r="BS250" s="67"/>
      <c r="BT250" s="67"/>
      <c r="BU250" s="67"/>
    </row>
    <row r="251" spans="1:73" ht="12" customHeight="1" x14ac:dyDescent="0.15">
      <c r="A251" s="213">
        <f t="shared" si="181"/>
        <v>245</v>
      </c>
      <c r="B251" s="67">
        <f t="shared" si="182"/>
        <v>980</v>
      </c>
      <c r="C251" s="224">
        <f t="shared" si="183"/>
        <v>226.15384615384616</v>
      </c>
      <c r="D251" s="225">
        <f ca="1">IFERROR(OFFSET(extrapolation!V260,0,OS_dist_choice-1,1,1),0)</f>
        <v>4.6749320580715757E-2</v>
      </c>
      <c r="E251" s="225">
        <f ca="1">IFERROR(OFFSET(extrapolation!J260,0,PFS_dist_choice-1,1,1),0)</f>
        <v>2.0102343785782958E-2</v>
      </c>
      <c r="F251" s="214"/>
      <c r="G251" s="226">
        <f t="shared" ca="1" si="184"/>
        <v>20.102343785782956</v>
      </c>
      <c r="H251" s="224">
        <f t="shared" ca="1" si="185"/>
        <v>26.646976794932812</v>
      </c>
      <c r="I251" s="224">
        <f t="shared" ca="1" si="162"/>
        <v>953.25067941928421</v>
      </c>
      <c r="J251" s="227">
        <f t="shared" ca="1" si="163"/>
        <v>1000</v>
      </c>
      <c r="K251" s="238">
        <f t="shared" ca="1" si="186"/>
        <v>8.4065043881942358E-2</v>
      </c>
      <c r="L251" s="239">
        <f t="shared" ca="1" si="187"/>
        <v>0.26797442175870856</v>
      </c>
      <c r="M251" s="238">
        <f t="shared" ca="1" si="188"/>
        <v>20.144376307723928</v>
      </c>
      <c r="N251" s="238">
        <f t="shared" ca="1" si="189"/>
        <v>26.738931483871227</v>
      </c>
      <c r="O251" s="239">
        <f t="shared" ca="1" si="190"/>
        <v>953.11669220840486</v>
      </c>
      <c r="P251" s="217"/>
      <c r="Q251" s="217"/>
      <c r="R251" s="224"/>
      <c r="S251" s="230">
        <f t="shared" ca="1" si="191"/>
        <v>30479.181688941633</v>
      </c>
      <c r="T251" s="231">
        <f t="shared" ca="1" si="192"/>
        <v>1897.1930135045775</v>
      </c>
      <c r="U251" s="231">
        <f t="shared" ca="1" si="215"/>
        <v>2857.7893972744764</v>
      </c>
      <c r="V251" s="231"/>
      <c r="W251" s="231">
        <f t="shared" ca="1" si="193"/>
        <v>7586.0498074679072</v>
      </c>
      <c r="X251" s="231">
        <f t="shared" ca="1" si="194"/>
        <v>948.25622593348839</v>
      </c>
      <c r="Y251" s="231"/>
      <c r="Z251" s="232">
        <f t="shared" ca="1" si="164"/>
        <v>43768.470133122079</v>
      </c>
      <c r="AA251" s="231">
        <f t="shared" ca="1" si="165"/>
        <v>73.042629552019449</v>
      </c>
      <c r="AB251" s="231">
        <f t="shared" ca="1" si="195"/>
        <v>6753.0416070647589</v>
      </c>
      <c r="AC251" s="231">
        <f t="shared" ca="1" si="196"/>
        <v>36250.033586119789</v>
      </c>
      <c r="AD251" s="231">
        <f t="shared" ca="1" si="197"/>
        <v>1258.6817217402702</v>
      </c>
      <c r="AE251" s="231">
        <f t="shared" ca="1" si="166"/>
        <v>7677.6065032888737</v>
      </c>
      <c r="AF251" s="231">
        <f t="shared" ca="1" si="167"/>
        <v>52012.406047765711</v>
      </c>
      <c r="AG251" s="232">
        <f t="shared" ca="1" si="168"/>
        <v>95780.87618088779</v>
      </c>
      <c r="AH251" s="244">
        <f t="shared" ca="1" si="198"/>
        <v>1.5442643028508418</v>
      </c>
      <c r="AI251" s="243">
        <f t="shared" ca="1" si="199"/>
        <v>2.0498017290852686</v>
      </c>
      <c r="AJ251" s="242">
        <f t="shared" ca="1" si="200"/>
        <v>3.5940660319361104</v>
      </c>
      <c r="AK251" s="241">
        <f t="shared" ca="1" si="201"/>
        <v>1.1118702980526061</v>
      </c>
      <c r="AL251" s="243">
        <f t="shared" ca="1" si="202"/>
        <v>0.90806216598477396</v>
      </c>
      <c r="AM251" s="243"/>
      <c r="AN251" s="242">
        <f t="shared" ca="1" si="169"/>
        <v>2.0199324640373799</v>
      </c>
      <c r="AO251" s="224"/>
      <c r="AP251" s="235">
        <f t="shared" si="203"/>
        <v>18.846153846153847</v>
      </c>
      <c r="AQ251" s="235">
        <f t="shared" si="170"/>
        <v>0.57288531275980403</v>
      </c>
      <c r="AR251" s="235">
        <f t="shared" si="171"/>
        <v>0.75533563291087458</v>
      </c>
      <c r="AT251" s="230">
        <f t="shared" ca="1" si="172"/>
        <v>17461.075534532221</v>
      </c>
      <c r="AU251" s="231">
        <f t="shared" ca="1" si="173"/>
        <v>1086.8740129072851</v>
      </c>
      <c r="AV251" s="231">
        <f t="shared" ca="1" si="204"/>
        <v>1637.1855726592403</v>
      </c>
      <c r="AW251" s="231"/>
      <c r="AX251" s="231">
        <f t="shared" ca="1" si="205"/>
        <v>4345.9365165627032</v>
      </c>
      <c r="AY251" s="231">
        <f t="shared" ca="1" si="206"/>
        <v>543.2420645703379</v>
      </c>
      <c r="AZ251" s="231"/>
      <c r="BA251" s="232">
        <f t="shared" ca="1" si="174"/>
        <v>25074.313701231782</v>
      </c>
      <c r="BB251" s="231">
        <f t="shared" ca="1" si="175"/>
        <v>41.845049675707166</v>
      </c>
      <c r="BC251" s="231">
        <f t="shared" ca="1" si="207"/>
        <v>3868.7183531432638</v>
      </c>
      <c r="BD251" s="231">
        <f t="shared" ca="1" si="208"/>
        <v>20767.111828537636</v>
      </c>
      <c r="BE251" s="231">
        <f t="shared" ca="1" si="209"/>
        <v>721.08027182422336</v>
      </c>
      <c r="BF251" s="231">
        <f t="shared" ca="1" si="176"/>
        <v>4398.3880028833519</v>
      </c>
      <c r="BG251" s="231">
        <f t="shared" ca="1" si="177"/>
        <v>29797.143506064182</v>
      </c>
      <c r="BH251" s="232">
        <f t="shared" ca="1" si="178"/>
        <v>54871.457207295964</v>
      </c>
      <c r="BI251" s="244">
        <f t="shared" ca="1" si="210"/>
        <v>1.1664378545755112</v>
      </c>
      <c r="BJ251" s="243">
        <f t="shared" ca="1" si="211"/>
        <v>1.5482882863804264</v>
      </c>
      <c r="BK251" s="242">
        <f t="shared" ca="1" si="212"/>
        <v>2.7147261409559373</v>
      </c>
      <c r="BL251" s="241">
        <f t="shared" ca="1" si="213"/>
        <v>0.83983525529436798</v>
      </c>
      <c r="BM251" s="243">
        <f t="shared" ca="1" si="214"/>
        <v>0.68589171086652889</v>
      </c>
      <c r="BN251" s="243">
        <f t="shared" si="179"/>
        <v>0</v>
      </c>
      <c r="BO251" s="242">
        <f t="shared" ca="1" si="180"/>
        <v>1.5257269661608968</v>
      </c>
      <c r="BP251" s="67"/>
      <c r="BQ251" s="67"/>
      <c r="BR251" s="67"/>
      <c r="BS251" s="67"/>
      <c r="BT251" s="67"/>
      <c r="BU251" s="67"/>
    </row>
    <row r="252" spans="1:73" ht="12" customHeight="1" x14ac:dyDescent="0.15">
      <c r="A252" s="213">
        <f t="shared" si="181"/>
        <v>246</v>
      </c>
      <c r="B252" s="67">
        <f t="shared" si="182"/>
        <v>984</v>
      </c>
      <c r="C252" s="224">
        <f t="shared" si="183"/>
        <v>227.07692307692309</v>
      </c>
      <c r="D252" s="225">
        <f ca="1">IFERROR(OFFSET(extrapolation!V261,0,OS_dist_choice-1,1,1),0)</f>
        <v>4.6483881672241892E-2</v>
      </c>
      <c r="E252" s="225">
        <f ca="1">IFERROR(OFFSET(extrapolation!J261,0,PFS_dist_choice-1,1,1),0)</f>
        <v>2.0018963429765904E-2</v>
      </c>
      <c r="F252" s="214"/>
      <c r="G252" s="226">
        <f t="shared" ca="1" si="184"/>
        <v>20.018963429765904</v>
      </c>
      <c r="H252" s="224">
        <f t="shared" ca="1" si="185"/>
        <v>26.464918242476074</v>
      </c>
      <c r="I252" s="224">
        <f t="shared" ca="1" si="162"/>
        <v>953.51611832775802</v>
      </c>
      <c r="J252" s="227">
        <f t="shared" ca="1" si="163"/>
        <v>1000</v>
      </c>
      <c r="K252" s="238">
        <f t="shared" ca="1" si="186"/>
        <v>8.3380356017052293E-2</v>
      </c>
      <c r="L252" s="239">
        <f t="shared" ca="1" si="187"/>
        <v>0.26543890847381135</v>
      </c>
      <c r="M252" s="238">
        <f t="shared" ca="1" si="188"/>
        <v>20.06065360777443</v>
      </c>
      <c r="N252" s="238">
        <f t="shared" ca="1" si="189"/>
        <v>26.555947518704443</v>
      </c>
      <c r="O252" s="239">
        <f t="shared" ca="1" si="190"/>
        <v>953.38339887352117</v>
      </c>
      <c r="P252" s="217"/>
      <c r="Q252" s="217"/>
      <c r="R252" s="224"/>
      <c r="S252" s="230">
        <f t="shared" ca="1" si="191"/>
        <v>30352.760359796433</v>
      </c>
      <c r="T252" s="231">
        <f t="shared" ca="1" si="192"/>
        <v>1889.3238500585244</v>
      </c>
      <c r="U252" s="231">
        <f t="shared" ca="1" si="215"/>
        <v>2845.9358791023801</v>
      </c>
      <c r="V252" s="231"/>
      <c r="W252" s="231">
        <f t="shared" ca="1" si="193"/>
        <v>7554.5211782301258</v>
      </c>
      <c r="X252" s="231">
        <f t="shared" ca="1" si="194"/>
        <v>944.31514727876572</v>
      </c>
      <c r="Y252" s="231"/>
      <c r="Z252" s="232">
        <f t="shared" ca="1" si="164"/>
        <v>43586.85641446623</v>
      </c>
      <c r="AA252" s="231">
        <f t="shared" ca="1" si="165"/>
        <v>72.447716378070922</v>
      </c>
      <c r="AB252" s="231">
        <f t="shared" ca="1" si="195"/>
        <v>6706.8281549325238</v>
      </c>
      <c r="AC252" s="231">
        <f t="shared" ca="1" si="196"/>
        <v>36001.96178538166</v>
      </c>
      <c r="AD252" s="231">
        <f t="shared" ca="1" si="197"/>
        <v>1250.0681175479742</v>
      </c>
      <c r="AE252" s="231">
        <f t="shared" ca="1" si="166"/>
        <v>7604.9627294632119</v>
      </c>
      <c r="AF252" s="231">
        <f t="shared" ca="1" si="167"/>
        <v>51636.268503703439</v>
      </c>
      <c r="AG252" s="232">
        <f t="shared" ca="1" si="168"/>
        <v>95223.124918169662</v>
      </c>
      <c r="AH252" s="244">
        <f t="shared" ca="1" si="198"/>
        <v>1.5378461355720301</v>
      </c>
      <c r="AI252" s="243">
        <f t="shared" ca="1" si="199"/>
        <v>2.0357742108794645</v>
      </c>
      <c r="AJ252" s="242">
        <f t="shared" ca="1" si="200"/>
        <v>3.5736203464514946</v>
      </c>
      <c r="AK252" s="241">
        <f t="shared" ca="1" si="201"/>
        <v>1.1072492176118616</v>
      </c>
      <c r="AL252" s="243">
        <f t="shared" ca="1" si="202"/>
        <v>0.90184797541960282</v>
      </c>
      <c r="AM252" s="243"/>
      <c r="AN252" s="242">
        <f t="shared" ca="1" si="169"/>
        <v>2.0090971930314643</v>
      </c>
      <c r="AO252" s="224"/>
      <c r="AP252" s="235">
        <f t="shared" si="203"/>
        <v>18.923076923076923</v>
      </c>
      <c r="AQ252" s="235">
        <f t="shared" si="170"/>
        <v>0.57158419225228352</v>
      </c>
      <c r="AR252" s="235">
        <f t="shared" si="171"/>
        <v>0.75447105889865307</v>
      </c>
      <c r="AT252" s="230">
        <f t="shared" ca="1" si="172"/>
        <v>17349.158012881377</v>
      </c>
      <c r="AU252" s="231">
        <f t="shared" ca="1" si="173"/>
        <v>1079.907646738676</v>
      </c>
      <c r="AV252" s="231">
        <f t="shared" ca="1" si="204"/>
        <v>1626.6919606585263</v>
      </c>
      <c r="AW252" s="231"/>
      <c r="AX252" s="231">
        <f t="shared" ca="1" si="205"/>
        <v>4318.0448855114355</v>
      </c>
      <c r="AY252" s="231">
        <f t="shared" ca="1" si="206"/>
        <v>539.75561068892944</v>
      </c>
      <c r="AZ252" s="231"/>
      <c r="BA252" s="232">
        <f t="shared" ca="1" si="174"/>
        <v>24913.558116478944</v>
      </c>
      <c r="BB252" s="231">
        <f t="shared" ca="1" si="175"/>
        <v>41.409969446482201</v>
      </c>
      <c r="BC252" s="231">
        <f t="shared" ca="1" si="207"/>
        <v>3833.5169535119799</v>
      </c>
      <c r="BD252" s="231">
        <f t="shared" ca="1" si="208"/>
        <v>20578.152246594957</v>
      </c>
      <c r="BE252" s="231">
        <f t="shared" ca="1" si="209"/>
        <v>714.51917522899146</v>
      </c>
      <c r="BF252" s="231">
        <f t="shared" ca="1" si="176"/>
        <v>4346.8764788289509</v>
      </c>
      <c r="BG252" s="231">
        <f t="shared" ca="1" si="177"/>
        <v>29514.474823611359</v>
      </c>
      <c r="BH252" s="232">
        <f t="shared" ca="1" si="178"/>
        <v>54428.032940090299</v>
      </c>
      <c r="BI252" s="244">
        <f t="shared" ca="1" si="210"/>
        <v>1.160260402328231</v>
      </c>
      <c r="BJ252" s="243">
        <f t="shared" ca="1" si="211"/>
        <v>1.5359327245607994</v>
      </c>
      <c r="BK252" s="242">
        <f t="shared" ca="1" si="212"/>
        <v>2.6961931268890305</v>
      </c>
      <c r="BL252" s="241">
        <f t="shared" ca="1" si="213"/>
        <v>0.83538748967632637</v>
      </c>
      <c r="BM252" s="243">
        <f t="shared" ca="1" si="214"/>
        <v>0.68041819698043415</v>
      </c>
      <c r="BN252" s="243">
        <f t="shared" si="179"/>
        <v>0</v>
      </c>
      <c r="BO252" s="242">
        <f t="shared" ca="1" si="180"/>
        <v>1.5158056866567604</v>
      </c>
      <c r="BP252" s="67"/>
      <c r="BQ252" s="67"/>
      <c r="BR252" s="67"/>
      <c r="BS252" s="67"/>
      <c r="BT252" s="67"/>
      <c r="BU252" s="67"/>
    </row>
    <row r="253" spans="1:73" ht="12" customHeight="1" x14ac:dyDescent="0.15">
      <c r="A253" s="213">
        <f t="shared" si="181"/>
        <v>247</v>
      </c>
      <c r="B253" s="67">
        <f t="shared" si="182"/>
        <v>988</v>
      </c>
      <c r="C253" s="224">
        <f t="shared" si="183"/>
        <v>228</v>
      </c>
      <c r="D253" s="225">
        <f ca="1">IFERROR(OFFSET(extrapolation!V262,0,OS_dist_choice-1,1,1),0)</f>
        <v>4.6220944957318981E-2</v>
      </c>
      <c r="E253" s="225">
        <f ca="1">IFERROR(OFFSET(extrapolation!J262,0,PFS_dist_choice-1,1,1),0)</f>
        <v>1.9936259479014597E-2</v>
      </c>
      <c r="F253" s="214"/>
      <c r="G253" s="226">
        <f t="shared" ca="1" si="184"/>
        <v>19.936259479014598</v>
      </c>
      <c r="H253" s="224">
        <f t="shared" ca="1" si="185"/>
        <v>26.284685478304482</v>
      </c>
      <c r="I253" s="224">
        <f t="shared" ca="1" si="162"/>
        <v>953.77905504268097</v>
      </c>
      <c r="J253" s="227">
        <f t="shared" ca="1" si="163"/>
        <v>1000</v>
      </c>
      <c r="K253" s="238">
        <f t="shared" ca="1" si="186"/>
        <v>8.2703950751305655E-2</v>
      </c>
      <c r="L253" s="239">
        <f t="shared" ca="1" si="187"/>
        <v>0.26293671492294379</v>
      </c>
      <c r="M253" s="238">
        <f t="shared" ca="1" si="188"/>
        <v>19.977611454390249</v>
      </c>
      <c r="N253" s="238">
        <f t="shared" ca="1" si="189"/>
        <v>26.374801860390278</v>
      </c>
      <c r="O253" s="239">
        <f t="shared" ca="1" si="190"/>
        <v>953.64758668521949</v>
      </c>
      <c r="P253" s="217"/>
      <c r="Q253" s="217"/>
      <c r="R253" s="224"/>
      <c r="S253" s="230">
        <f t="shared" ca="1" si="191"/>
        <v>30227.364596585725</v>
      </c>
      <c r="T253" s="231">
        <f t="shared" ca="1" si="192"/>
        <v>1881.5185235141853</v>
      </c>
      <c r="U253" s="231">
        <f t="shared" ca="1" si="215"/>
        <v>2834.1785200556728</v>
      </c>
      <c r="V253" s="231"/>
      <c r="W253" s="231">
        <f t="shared" ca="1" si="193"/>
        <v>7523.2488319400982</v>
      </c>
      <c r="X253" s="231">
        <f t="shared" ca="1" si="194"/>
        <v>940.40610399251227</v>
      </c>
      <c r="Y253" s="231"/>
      <c r="Z253" s="232">
        <f t="shared" ca="1" si="164"/>
        <v>43406.716576088191</v>
      </c>
      <c r="AA253" s="231">
        <f t="shared" ca="1" si="165"/>
        <v>71.859999808002257</v>
      </c>
      <c r="AB253" s="231">
        <f t="shared" ca="1" si="195"/>
        <v>6661.0789757526245</v>
      </c>
      <c r="AC253" s="231">
        <f t="shared" ca="1" si="196"/>
        <v>35756.382181655565</v>
      </c>
      <c r="AD253" s="231">
        <f t="shared" ca="1" si="197"/>
        <v>1241.5410479741515</v>
      </c>
      <c r="AE253" s="231">
        <f t="shared" ca="1" si="166"/>
        <v>7533.2735833404286</v>
      </c>
      <c r="AF253" s="231">
        <f t="shared" ca="1" si="167"/>
        <v>51264.135788530773</v>
      </c>
      <c r="AG253" s="232">
        <f t="shared" ca="1" si="168"/>
        <v>94670.852364618971</v>
      </c>
      <c r="AH253" s="244">
        <f t="shared" ca="1" si="198"/>
        <v>1.5314801388718056</v>
      </c>
      <c r="AI253" s="243">
        <f t="shared" ca="1" si="199"/>
        <v>2.0218876169498365</v>
      </c>
      <c r="AJ253" s="242">
        <f t="shared" ca="1" si="200"/>
        <v>3.5533677558216423</v>
      </c>
      <c r="AK253" s="241">
        <f t="shared" ca="1" si="201"/>
        <v>1.1026656999877</v>
      </c>
      <c r="AL253" s="243">
        <f t="shared" ca="1" si="202"/>
        <v>0.89569621430877755</v>
      </c>
      <c r="AM253" s="243"/>
      <c r="AN253" s="242">
        <f t="shared" ca="1" si="169"/>
        <v>1.9983619142964777</v>
      </c>
      <c r="AO253" s="224"/>
      <c r="AP253" s="235">
        <f t="shared" si="203"/>
        <v>19</v>
      </c>
      <c r="AQ253" s="235">
        <f t="shared" si="170"/>
        <v>0.57028602681192497</v>
      </c>
      <c r="AR253" s="235">
        <f t="shared" si="171"/>
        <v>0.7536074744971295</v>
      </c>
      <c r="AT253" s="230">
        <f t="shared" ca="1" si="172"/>
        <v>17238.243656782317</v>
      </c>
      <c r="AU253" s="231">
        <f t="shared" ca="1" si="173"/>
        <v>1073.0037231479441</v>
      </c>
      <c r="AV253" s="231">
        <f t="shared" ca="1" si="204"/>
        <v>1616.2924074782513</v>
      </c>
      <c r="AW253" s="231"/>
      <c r="AX253" s="231">
        <f t="shared" ca="1" si="205"/>
        <v>4290.4036850845741</v>
      </c>
      <c r="AY253" s="231">
        <f t="shared" ca="1" si="206"/>
        <v>536.30046063557177</v>
      </c>
      <c r="AZ253" s="231"/>
      <c r="BA253" s="232">
        <f t="shared" ca="1" si="174"/>
        <v>24754.243933128659</v>
      </c>
      <c r="BB253" s="231">
        <f t="shared" ca="1" si="175"/>
        <v>40.980753777211298</v>
      </c>
      <c r="BC253" s="231">
        <f t="shared" ca="1" si="207"/>
        <v>3798.7202633624111</v>
      </c>
      <c r="BD253" s="231">
        <f t="shared" ca="1" si="208"/>
        <v>20391.365127545061</v>
      </c>
      <c r="BE253" s="231">
        <f t="shared" ca="1" si="209"/>
        <v>708.03351137309244</v>
      </c>
      <c r="BF253" s="231">
        <f t="shared" ca="1" si="176"/>
        <v>4296.1206607304457</v>
      </c>
      <c r="BG253" s="231">
        <f t="shared" ca="1" si="177"/>
        <v>29235.220316788222</v>
      </c>
      <c r="BH253" s="232">
        <f t="shared" ca="1" si="178"/>
        <v>53989.464249916884</v>
      </c>
      <c r="BI253" s="244">
        <f t="shared" ca="1" si="210"/>
        <v>1.1541348796976945</v>
      </c>
      <c r="BJ253" s="243">
        <f t="shared" ca="1" si="211"/>
        <v>1.5237096207265859</v>
      </c>
      <c r="BK253" s="242">
        <f t="shared" ca="1" si="212"/>
        <v>2.6778445004242806</v>
      </c>
      <c r="BL253" s="241">
        <f t="shared" ca="1" si="213"/>
        <v>0.83097711338234015</v>
      </c>
      <c r="BM253" s="243">
        <f t="shared" ca="1" si="214"/>
        <v>0.67500336198187749</v>
      </c>
      <c r="BN253" s="243">
        <f t="shared" si="179"/>
        <v>0</v>
      </c>
      <c r="BO253" s="242">
        <f t="shared" ca="1" si="180"/>
        <v>1.5059804753642176</v>
      </c>
      <c r="BP253" s="67"/>
      <c r="BQ253" s="67"/>
      <c r="BR253" s="67"/>
      <c r="BS253" s="67"/>
      <c r="BT253" s="67"/>
      <c r="BU253" s="67"/>
    </row>
    <row r="254" spans="1:73" ht="12" customHeight="1" x14ac:dyDescent="0.15">
      <c r="A254" s="213">
        <f t="shared" si="181"/>
        <v>248</v>
      </c>
      <c r="B254" s="67">
        <f t="shared" si="182"/>
        <v>992</v>
      </c>
      <c r="C254" s="224">
        <f t="shared" si="183"/>
        <v>228.92307692307691</v>
      </c>
      <c r="D254" s="225">
        <f ca="1">IFERROR(OFFSET(extrapolation!V263,0,OS_dist_choice-1,1,1),0)</f>
        <v>4.5960477674132152E-2</v>
      </c>
      <c r="E254" s="225">
        <f ca="1">IFERROR(OFFSET(extrapolation!J263,0,PFS_dist_choice-1,1,1),0)</f>
        <v>1.9854223783614986E-2</v>
      </c>
      <c r="F254" s="214"/>
      <c r="G254" s="226">
        <f t="shared" ca="1" si="184"/>
        <v>19.854223783614987</v>
      </c>
      <c r="H254" s="224">
        <f t="shared" ca="1" si="185"/>
        <v>26.10625389051711</v>
      </c>
      <c r="I254" s="224">
        <f t="shared" ca="1" si="162"/>
        <v>954.03952232586789</v>
      </c>
      <c r="J254" s="227">
        <f t="shared" ca="1" si="163"/>
        <v>1000</v>
      </c>
      <c r="K254" s="238">
        <f t="shared" ca="1" si="186"/>
        <v>8.2035695399611086E-2</v>
      </c>
      <c r="L254" s="239">
        <f t="shared" ca="1" si="187"/>
        <v>0.26046728318692658</v>
      </c>
      <c r="M254" s="238">
        <f t="shared" ca="1" si="188"/>
        <v>19.895241631314793</v>
      </c>
      <c r="N254" s="238">
        <f t="shared" ca="1" si="189"/>
        <v>26.195469684410796</v>
      </c>
      <c r="O254" s="239">
        <f t="shared" ca="1" si="190"/>
        <v>953.90928868427443</v>
      </c>
      <c r="P254" s="217"/>
      <c r="Q254" s="217"/>
      <c r="R254" s="224"/>
      <c r="S254" s="230">
        <f t="shared" ca="1" si="191"/>
        <v>30102.982042406555</v>
      </c>
      <c r="T254" s="231">
        <f t="shared" ca="1" si="192"/>
        <v>1873.7762647095078</v>
      </c>
      <c r="U254" s="231">
        <f t="shared" ca="1" si="215"/>
        <v>2822.5161615262732</v>
      </c>
      <c r="V254" s="231"/>
      <c r="W254" s="231">
        <f t="shared" ca="1" si="193"/>
        <v>7492.22967448705</v>
      </c>
      <c r="X254" s="231">
        <f t="shared" ca="1" si="194"/>
        <v>936.52870931088125</v>
      </c>
      <c r="Y254" s="231"/>
      <c r="Z254" s="232">
        <f t="shared" ca="1" si="164"/>
        <v>43228.032852440265</v>
      </c>
      <c r="AA254" s="231">
        <f t="shared" ca="1" si="165"/>
        <v>71.279364554084722</v>
      </c>
      <c r="AB254" s="231">
        <f t="shared" ca="1" si="195"/>
        <v>6615.7877999775037</v>
      </c>
      <c r="AC254" s="231">
        <f t="shared" ca="1" si="196"/>
        <v>35513.261120282965</v>
      </c>
      <c r="AD254" s="231">
        <f t="shared" ca="1" si="197"/>
        <v>1233.0993444542694</v>
      </c>
      <c r="AE254" s="231">
        <f t="shared" ca="1" si="166"/>
        <v>7462.5230802459764</v>
      </c>
      <c r="AF254" s="231">
        <f t="shared" ca="1" si="167"/>
        <v>50895.9507095148</v>
      </c>
      <c r="AG254" s="232">
        <f t="shared" ca="1" si="168"/>
        <v>94123.983561955072</v>
      </c>
      <c r="AH254" s="244">
        <f t="shared" ca="1" si="198"/>
        <v>1.5251656828933995</v>
      </c>
      <c r="AI254" s="243">
        <f t="shared" ca="1" si="199"/>
        <v>2.0081400442532575</v>
      </c>
      <c r="AJ254" s="242">
        <f t="shared" ca="1" si="200"/>
        <v>3.533305727146657</v>
      </c>
      <c r="AK254" s="241">
        <f t="shared" ca="1" si="201"/>
        <v>1.0981192916832476</v>
      </c>
      <c r="AL254" s="243">
        <f t="shared" ca="1" si="202"/>
        <v>0.88960603960419316</v>
      </c>
      <c r="AM254" s="243"/>
      <c r="AN254" s="242">
        <f t="shared" ca="1" si="169"/>
        <v>1.9877253312874408</v>
      </c>
      <c r="AO254" s="224"/>
      <c r="AP254" s="235">
        <f t="shared" si="203"/>
        <v>19.076923076923077</v>
      </c>
      <c r="AQ254" s="235">
        <f t="shared" si="170"/>
        <v>0.56899080972726435</v>
      </c>
      <c r="AR254" s="235">
        <f t="shared" si="171"/>
        <v>0.75274487857357208</v>
      </c>
      <c r="AT254" s="230">
        <f t="shared" ca="1" si="172"/>
        <v>17128.320127514202</v>
      </c>
      <c r="AU254" s="231">
        <f t="shared" ca="1" si="173"/>
        <v>1066.1614741047918</v>
      </c>
      <c r="AV254" s="231">
        <f t="shared" ca="1" si="204"/>
        <v>1605.9857562151242</v>
      </c>
      <c r="AW254" s="231"/>
      <c r="AX254" s="231">
        <f t="shared" ca="1" si="205"/>
        <v>4263.0098291490249</v>
      </c>
      <c r="AY254" s="231">
        <f t="shared" ca="1" si="206"/>
        <v>532.87622864362811</v>
      </c>
      <c r="AZ254" s="231"/>
      <c r="BA254" s="232">
        <f t="shared" ca="1" si="174"/>
        <v>24596.353415626771</v>
      </c>
      <c r="BB254" s="231">
        <f t="shared" ca="1" si="175"/>
        <v>40.557303354473532</v>
      </c>
      <c r="BC254" s="231">
        <f t="shared" ca="1" si="207"/>
        <v>3764.3224572929566</v>
      </c>
      <c r="BD254" s="231">
        <f t="shared" ca="1" si="208"/>
        <v>20206.719200885578</v>
      </c>
      <c r="BE254" s="231">
        <f t="shared" ca="1" si="209"/>
        <v>701.62219447519362</v>
      </c>
      <c r="BF254" s="231">
        <f t="shared" ca="1" si="176"/>
        <v>4246.1070500375572</v>
      </c>
      <c r="BG254" s="231">
        <f t="shared" ca="1" si="177"/>
        <v>28959.32820604576</v>
      </c>
      <c r="BH254" s="232">
        <f t="shared" ca="1" si="178"/>
        <v>53555.681621672535</v>
      </c>
      <c r="BI254" s="244">
        <f t="shared" ca="1" si="210"/>
        <v>1.1480606567741711</v>
      </c>
      <c r="BJ254" s="243">
        <f t="shared" ca="1" si="211"/>
        <v>1.5116171337701461</v>
      </c>
      <c r="BK254" s="242">
        <f t="shared" ca="1" si="212"/>
        <v>2.659677790544317</v>
      </c>
      <c r="BL254" s="241">
        <f t="shared" ca="1" si="213"/>
        <v>0.82660367287740322</v>
      </c>
      <c r="BM254" s="243">
        <f t="shared" ca="1" si="214"/>
        <v>0.6696463902601747</v>
      </c>
      <c r="BN254" s="243">
        <f t="shared" si="179"/>
        <v>0</v>
      </c>
      <c r="BO254" s="242">
        <f t="shared" ca="1" si="180"/>
        <v>1.4962500631375779</v>
      </c>
      <c r="BP254" s="67"/>
      <c r="BQ254" s="67"/>
      <c r="BR254" s="67"/>
      <c r="BS254" s="67"/>
      <c r="BT254" s="67"/>
      <c r="BU254" s="67"/>
    </row>
    <row r="255" spans="1:73" ht="12" customHeight="1" x14ac:dyDescent="0.15">
      <c r="A255" s="213">
        <f t="shared" si="181"/>
        <v>249</v>
      </c>
      <c r="B255" s="67">
        <f t="shared" si="182"/>
        <v>996</v>
      </c>
      <c r="C255" s="224">
        <f t="shared" si="183"/>
        <v>229.84615384615384</v>
      </c>
      <c r="D255" s="225">
        <f ca="1">IFERROR(OFFSET(extrapolation!V264,0,OS_dist_choice-1,1,1),0)</f>
        <v>4.5702447607473752E-2</v>
      </c>
      <c r="E255" s="225">
        <f ca="1">IFERROR(OFFSET(extrapolation!J264,0,PFS_dist_choice-1,1,1),0)</f>
        <v>1.9772848323695896E-2</v>
      </c>
      <c r="F255" s="214"/>
      <c r="G255" s="226">
        <f t="shared" ca="1" si="184"/>
        <v>19.772848323695897</v>
      </c>
      <c r="H255" s="224">
        <f t="shared" ca="1" si="185"/>
        <v>25.929599283777861</v>
      </c>
      <c r="I255" s="224">
        <f t="shared" ca="1" si="162"/>
        <v>954.2975523925262</v>
      </c>
      <c r="J255" s="227">
        <f t="shared" ca="1" si="163"/>
        <v>1000</v>
      </c>
      <c r="K255" s="238">
        <f t="shared" ca="1" si="186"/>
        <v>8.1375459919090787E-2</v>
      </c>
      <c r="L255" s="239">
        <f t="shared" ca="1" si="187"/>
        <v>0.25803006665830708</v>
      </c>
      <c r="M255" s="238">
        <f t="shared" ca="1" si="188"/>
        <v>19.81353605365544</v>
      </c>
      <c r="N255" s="238">
        <f t="shared" ca="1" si="189"/>
        <v>26.017926587147485</v>
      </c>
      <c r="O255" s="239">
        <f t="shared" ca="1" si="190"/>
        <v>954.16853735919699</v>
      </c>
      <c r="P255" s="217"/>
      <c r="Q255" s="217"/>
      <c r="R255" s="224"/>
      <c r="S255" s="230">
        <f t="shared" ca="1" si="191"/>
        <v>29979.600537527047</v>
      </c>
      <c r="T255" s="231">
        <f t="shared" ca="1" si="192"/>
        <v>1866.0963167554585</v>
      </c>
      <c r="U255" s="231">
        <f t="shared" ca="1" si="215"/>
        <v>2810.9476633932554</v>
      </c>
      <c r="V255" s="231"/>
      <c r="W255" s="231">
        <f t="shared" ca="1" si="193"/>
        <v>7461.4606612297803</v>
      </c>
      <c r="X255" s="231">
        <f t="shared" ca="1" si="194"/>
        <v>932.68258265372253</v>
      </c>
      <c r="Y255" s="231"/>
      <c r="Z255" s="232">
        <f t="shared" ca="1" si="164"/>
        <v>43050.787761559266</v>
      </c>
      <c r="AA255" s="231">
        <f t="shared" ca="1" si="165"/>
        <v>70.705697624362188</v>
      </c>
      <c r="AB255" s="231">
        <f t="shared" ca="1" si="195"/>
        <v>6570.9484643597179</v>
      </c>
      <c r="AC255" s="231">
        <f t="shared" ca="1" si="196"/>
        <v>35272.565517219657</v>
      </c>
      <c r="AD255" s="231">
        <f t="shared" ca="1" si="197"/>
        <v>1224.7418582367936</v>
      </c>
      <c r="AE255" s="231">
        <f t="shared" ca="1" si="166"/>
        <v>7392.6955595921545</v>
      </c>
      <c r="AF255" s="231">
        <f t="shared" ca="1" si="167"/>
        <v>50531.657097032679</v>
      </c>
      <c r="AG255" s="232">
        <f t="shared" ca="1" si="168"/>
        <v>93582.444858591945</v>
      </c>
      <c r="AH255" s="244">
        <f t="shared" ca="1" si="198"/>
        <v>1.5189021478503828</v>
      </c>
      <c r="AI255" s="243">
        <f t="shared" ca="1" si="199"/>
        <v>1.9945296220126751</v>
      </c>
      <c r="AJ255" s="242">
        <f t="shared" ca="1" si="200"/>
        <v>3.5134317698630579</v>
      </c>
      <c r="AK255" s="241">
        <f t="shared" ca="1" si="201"/>
        <v>1.0936095464522755</v>
      </c>
      <c r="AL255" s="243">
        <f t="shared" ca="1" si="202"/>
        <v>0.88357662255161507</v>
      </c>
      <c r="AM255" s="243"/>
      <c r="AN255" s="242">
        <f t="shared" ca="1" si="169"/>
        <v>1.9771861690038905</v>
      </c>
      <c r="AO255" s="224"/>
      <c r="AP255" s="235">
        <f t="shared" si="203"/>
        <v>19.153846153846153</v>
      </c>
      <c r="AQ255" s="235">
        <f t="shared" si="170"/>
        <v>0.56769853430208295</v>
      </c>
      <c r="AR255" s="235">
        <f t="shared" si="171"/>
        <v>0.75188326999654842</v>
      </c>
      <c r="AT255" s="230">
        <f t="shared" ca="1" si="172"/>
        <v>17019.375284116042</v>
      </c>
      <c r="AU255" s="231">
        <f t="shared" ca="1" si="173"/>
        <v>1059.3801438885894</v>
      </c>
      <c r="AV255" s="231">
        <f t="shared" ca="1" si="204"/>
        <v>1595.7708685082159</v>
      </c>
      <c r="AW255" s="231"/>
      <c r="AX255" s="231">
        <f t="shared" ca="1" si="205"/>
        <v>4235.8602811327974</v>
      </c>
      <c r="AY255" s="231">
        <f t="shared" ca="1" si="206"/>
        <v>529.48253514159967</v>
      </c>
      <c r="AZ255" s="231"/>
      <c r="BA255" s="232">
        <f t="shared" ca="1" si="174"/>
        <v>24439.869112787244</v>
      </c>
      <c r="BB255" s="231">
        <f t="shared" ca="1" si="175"/>
        <v>40.139520908156683</v>
      </c>
      <c r="BC255" s="231">
        <f t="shared" ca="1" si="207"/>
        <v>3730.3178121915348</v>
      </c>
      <c r="BD255" s="231">
        <f t="shared" ca="1" si="208"/>
        <v>20024.183745199793</v>
      </c>
      <c r="BE255" s="231">
        <f t="shared" ca="1" si="209"/>
        <v>695.28415781943716</v>
      </c>
      <c r="BF255" s="231">
        <f t="shared" ca="1" si="176"/>
        <v>4196.8224337219826</v>
      </c>
      <c r="BG255" s="231">
        <f t="shared" ca="1" si="177"/>
        <v>28686.747669840901</v>
      </c>
      <c r="BH255" s="232">
        <f t="shared" ca="1" si="178"/>
        <v>53126.616782628145</v>
      </c>
      <c r="BI255" s="244">
        <f t="shared" ca="1" si="210"/>
        <v>1.1420371137305267</v>
      </c>
      <c r="BJ255" s="243">
        <f t="shared" ca="1" si="211"/>
        <v>1.49965345430387</v>
      </c>
      <c r="BK255" s="242">
        <f t="shared" ca="1" si="212"/>
        <v>2.6416905680343965</v>
      </c>
      <c r="BL255" s="241">
        <f t="shared" ca="1" si="213"/>
        <v>0.82226672188597916</v>
      </c>
      <c r="BM255" s="243">
        <f t="shared" ca="1" si="214"/>
        <v>0.66434648025661436</v>
      </c>
      <c r="BN255" s="243">
        <f t="shared" si="179"/>
        <v>0</v>
      </c>
      <c r="BO255" s="242">
        <f t="shared" ca="1" si="180"/>
        <v>1.4866132021425935</v>
      </c>
      <c r="BP255" s="67"/>
      <c r="BQ255" s="67"/>
      <c r="BR255" s="67"/>
      <c r="BS255" s="67"/>
      <c r="BT255" s="67"/>
      <c r="BU255" s="67"/>
    </row>
    <row r="256" spans="1:73" ht="12" customHeight="1" x14ac:dyDescent="0.15">
      <c r="A256" s="213">
        <f t="shared" si="181"/>
        <v>250</v>
      </c>
      <c r="B256" s="67">
        <f t="shared" si="182"/>
        <v>1000</v>
      </c>
      <c r="C256" s="224">
        <f t="shared" si="183"/>
        <v>230.76923076923077</v>
      </c>
      <c r="D256" s="225">
        <f ca="1">IFERROR(OFFSET(extrapolation!V265,0,OS_dist_choice-1,1,1),0)</f>
        <v>4.5446823077700094E-2</v>
      </c>
      <c r="E256" s="225">
        <f ca="1">IFERROR(OFFSET(extrapolation!J265,0,PFS_dist_choice-1,1,1),0)</f>
        <v>1.9692125206849622E-2</v>
      </c>
      <c r="F256" s="214"/>
      <c r="G256" s="226">
        <f t="shared" ca="1" si="184"/>
        <v>19.692125206849621</v>
      </c>
      <c r="H256" s="224">
        <f t="shared" ca="1" si="185"/>
        <v>25.754697870850464</v>
      </c>
      <c r="I256" s="224">
        <f t="shared" ca="1" si="162"/>
        <v>954.55317692229994</v>
      </c>
      <c r="J256" s="227">
        <f t="shared" ca="1" si="163"/>
        <v>1000</v>
      </c>
      <c r="K256" s="238">
        <f t="shared" ca="1" si="186"/>
        <v>8.0723116846275644E-2</v>
      </c>
      <c r="L256" s="239">
        <f t="shared" ca="1" si="187"/>
        <v>0.25562452977374051</v>
      </c>
      <c r="M256" s="238">
        <f t="shared" ca="1" si="188"/>
        <v>19.73248676527276</v>
      </c>
      <c r="N256" s="238">
        <f t="shared" ca="1" si="189"/>
        <v>25.842148577314163</v>
      </c>
      <c r="O256" s="239">
        <f t="shared" ca="1" si="190"/>
        <v>954.42536465741307</v>
      </c>
      <c r="P256" s="217"/>
      <c r="Q256" s="217"/>
      <c r="R256" s="224"/>
      <c r="S256" s="230">
        <f t="shared" ca="1" si="191"/>
        <v>29857.208115475478</v>
      </c>
      <c r="T256" s="231">
        <f t="shared" ca="1" si="192"/>
        <v>1858.477934792586</v>
      </c>
      <c r="U256" s="231">
        <f t="shared" ca="1" si="215"/>
        <v>2799.4719036561555</v>
      </c>
      <c r="V256" s="231"/>
      <c r="W256" s="231">
        <f t="shared" ca="1" si="193"/>
        <v>7430.9387960134773</v>
      </c>
      <c r="X256" s="231">
        <f t="shared" ca="1" si="194"/>
        <v>928.86734950168466</v>
      </c>
      <c r="Y256" s="231"/>
      <c r="Z256" s="232">
        <f t="shared" ca="1" si="164"/>
        <v>42874.964099439385</v>
      </c>
      <c r="AA256" s="231">
        <f t="shared" ca="1" si="165"/>
        <v>70.138888268081132</v>
      </c>
      <c r="AB256" s="231">
        <f t="shared" ca="1" si="195"/>
        <v>6526.5549097882695</v>
      </c>
      <c r="AC256" s="231">
        <f t="shared" ca="1" si="196"/>
        <v>35034.2628474214</v>
      </c>
      <c r="AD256" s="231">
        <f t="shared" ca="1" si="197"/>
        <v>1216.4674599799096</v>
      </c>
      <c r="AE256" s="231">
        <f t="shared" ca="1" si="166"/>
        <v>7323.7756772106959</v>
      </c>
      <c r="AF256" s="231">
        <f t="shared" ca="1" si="167"/>
        <v>50171.199782668358</v>
      </c>
      <c r="AG256" s="232">
        <f t="shared" ca="1" si="168"/>
        <v>93046.163882107736</v>
      </c>
      <c r="AH256" s="244">
        <f t="shared" ca="1" si="198"/>
        <v>1.5126889238265222</v>
      </c>
      <c r="AI256" s="243">
        <f t="shared" ca="1" si="199"/>
        <v>1.9810545110603601</v>
      </c>
      <c r="AJ256" s="242">
        <f t="shared" ca="1" si="200"/>
        <v>3.4937434348868823</v>
      </c>
      <c r="AK256" s="241">
        <f t="shared" ca="1" si="201"/>
        <v>1.0891360251550959</v>
      </c>
      <c r="AL256" s="243">
        <f t="shared" ca="1" si="202"/>
        <v>0.87760714839973952</v>
      </c>
      <c r="AM256" s="243"/>
      <c r="AN256" s="242">
        <f t="shared" ca="1" si="169"/>
        <v>1.9667431735548355</v>
      </c>
      <c r="AO256" s="224"/>
      <c r="AP256" s="235">
        <f t="shared" si="203"/>
        <v>19.23076923076923</v>
      </c>
      <c r="AQ256" s="235">
        <f t="shared" si="170"/>
        <v>0.56640919385536859</v>
      </c>
      <c r="AR256" s="235">
        <f t="shared" si="171"/>
        <v>0.75102264763591908</v>
      </c>
      <c r="AT256" s="230">
        <f t="shared" ca="1" si="172"/>
        <v>16911.397179458436</v>
      </c>
      <c r="AU256" s="231">
        <f t="shared" ca="1" si="173"/>
        <v>1052.6589888438589</v>
      </c>
      <c r="AV256" s="231">
        <f t="shared" ca="1" si="204"/>
        <v>1585.6466241706371</v>
      </c>
      <c r="AW256" s="231"/>
      <c r="AX256" s="231">
        <f t="shared" ca="1" si="205"/>
        <v>4208.9520530385771</v>
      </c>
      <c r="AY256" s="231">
        <f t="shared" ca="1" si="206"/>
        <v>526.11900662982214</v>
      </c>
      <c r="AZ256" s="231"/>
      <c r="BA256" s="232">
        <f t="shared" ca="1" si="174"/>
        <v>24284.77385214133</v>
      </c>
      <c r="BB256" s="231">
        <f t="shared" ca="1" si="175"/>
        <v>39.727311161835601</v>
      </c>
      <c r="BC256" s="231">
        <f t="shared" ca="1" si="207"/>
        <v>3696.7007051059713</v>
      </c>
      <c r="BD256" s="231">
        <f t="shared" ca="1" si="208"/>
        <v>19843.728576725047</v>
      </c>
      <c r="BE256" s="231">
        <f t="shared" ca="1" si="209"/>
        <v>689.01835335850842</v>
      </c>
      <c r="BF256" s="231">
        <f t="shared" ca="1" si="176"/>
        <v>4148.2538773064662</v>
      </c>
      <c r="BG256" s="231">
        <f t="shared" ca="1" si="177"/>
        <v>28417.428823657829</v>
      </c>
      <c r="BH256" s="232">
        <f t="shared" ca="1" si="178"/>
        <v>52702.202675799155</v>
      </c>
      <c r="BI256" s="244">
        <f t="shared" ca="1" si="210"/>
        <v>1.1360636406217239</v>
      </c>
      <c r="BJ256" s="243">
        <f t="shared" ca="1" si="211"/>
        <v>1.4878168040076327</v>
      </c>
      <c r="BK256" s="242">
        <f t="shared" ca="1" si="212"/>
        <v>2.6238804446293567</v>
      </c>
      <c r="BL256" s="241">
        <f t="shared" ca="1" si="213"/>
        <v>0.81796582124764106</v>
      </c>
      <c r="BM256" s="243">
        <f t="shared" ca="1" si="214"/>
        <v>0.65910284417538134</v>
      </c>
      <c r="BN256" s="243">
        <f t="shared" si="179"/>
        <v>0</v>
      </c>
      <c r="BO256" s="242">
        <f t="shared" ca="1" si="180"/>
        <v>1.4770686654230225</v>
      </c>
      <c r="BP256" s="67"/>
      <c r="BQ256" s="67"/>
      <c r="BR256" s="67"/>
      <c r="BS256" s="67"/>
      <c r="BT256" s="67"/>
      <c r="BU256" s="67"/>
    </row>
    <row r="257" spans="1:73" ht="12" customHeight="1" x14ac:dyDescent="0.15">
      <c r="A257" s="213">
        <f t="shared" si="181"/>
        <v>251</v>
      </c>
      <c r="B257" s="67">
        <f t="shared" si="182"/>
        <v>1004</v>
      </c>
      <c r="C257" s="224">
        <f t="shared" si="183"/>
        <v>231.69230769230768</v>
      </c>
      <c r="D257" s="225">
        <f ca="1">IFERROR(OFFSET(extrapolation!V266,0,OS_dist_choice-1,1,1),0)</f>
        <v>4.5193572929949924E-2</v>
      </c>
      <c r="E257" s="225">
        <f ca="1">IFERROR(OFFSET(extrapolation!J266,0,PFS_dist_choice-1,1,1),0)</f>
        <v>1.9612046665613839E-2</v>
      </c>
      <c r="F257" s="214"/>
      <c r="G257" s="226">
        <f t="shared" ca="1" si="184"/>
        <v>19.612046665613839</v>
      </c>
      <c r="H257" s="224">
        <f t="shared" ca="1" si="185"/>
        <v>25.581526264336048</v>
      </c>
      <c r="I257" s="224">
        <f t="shared" ca="1" si="162"/>
        <v>954.80642707005006</v>
      </c>
      <c r="J257" s="227">
        <f t="shared" ca="1" si="163"/>
        <v>1000</v>
      </c>
      <c r="K257" s="238">
        <f t="shared" ca="1" si="186"/>
        <v>8.0078541235781842E-2</v>
      </c>
      <c r="L257" s="239">
        <f t="shared" ca="1" si="187"/>
        <v>0.25325014775012278</v>
      </c>
      <c r="M257" s="238">
        <f t="shared" ca="1" si="188"/>
        <v>19.652085936231728</v>
      </c>
      <c r="N257" s="238">
        <f t="shared" ca="1" si="189"/>
        <v>25.668112067593256</v>
      </c>
      <c r="O257" s="239">
        <f t="shared" ca="1" si="190"/>
        <v>954.679801996175</v>
      </c>
      <c r="P257" s="217"/>
      <c r="Q257" s="217"/>
      <c r="R257" s="224"/>
      <c r="S257" s="230">
        <f t="shared" ca="1" si="191"/>
        <v>29735.792999222369</v>
      </c>
      <c r="T257" s="231">
        <f t="shared" ca="1" si="192"/>
        <v>1850.9203857533735</v>
      </c>
      <c r="U257" s="231">
        <f t="shared" ca="1" si="215"/>
        <v>2788.0877780769943</v>
      </c>
      <c r="V257" s="231"/>
      <c r="W257" s="231">
        <f t="shared" ca="1" si="193"/>
        <v>7400.6611302098891</v>
      </c>
      <c r="X257" s="231">
        <f t="shared" ca="1" si="194"/>
        <v>925.08264127623613</v>
      </c>
      <c r="Y257" s="231"/>
      <c r="Z257" s="232">
        <f t="shared" ca="1" si="164"/>
        <v>42700.544934538855</v>
      </c>
      <c r="AA257" s="231">
        <f t="shared" ca="1" si="165"/>
        <v>69.578827922407783</v>
      </c>
      <c r="AB257" s="231">
        <f t="shared" ca="1" si="195"/>
        <v>6482.601179176314</v>
      </c>
      <c r="AC257" s="231">
        <f t="shared" ca="1" si="196"/>
        <v>34798.321133505146</v>
      </c>
      <c r="AD257" s="231">
        <f t="shared" ca="1" si="197"/>
        <v>1208.2750393578174</v>
      </c>
      <c r="AE257" s="231">
        <f t="shared" ca="1" si="166"/>
        <v>7255.7483977928332</v>
      </c>
      <c r="AF257" s="231">
        <f t="shared" ca="1" si="167"/>
        <v>49814.524577754521</v>
      </c>
      <c r="AG257" s="232">
        <f t="shared" ca="1" si="168"/>
        <v>92515.069512293383</v>
      </c>
      <c r="AH257" s="244">
        <f t="shared" ca="1" si="198"/>
        <v>1.5065254105803925</v>
      </c>
      <c r="AI257" s="243">
        <f t="shared" ca="1" si="199"/>
        <v>1.9677129031967451</v>
      </c>
      <c r="AJ257" s="242">
        <f t="shared" ca="1" si="200"/>
        <v>3.4742383137771373</v>
      </c>
      <c r="AK257" s="241">
        <f t="shared" ca="1" si="201"/>
        <v>1.0846982956178826</v>
      </c>
      <c r="AL257" s="243">
        <f t="shared" ca="1" si="202"/>
        <v>0.87169681611615812</v>
      </c>
      <c r="AM257" s="243"/>
      <c r="AN257" s="242">
        <f t="shared" ca="1" si="169"/>
        <v>1.9563951117340408</v>
      </c>
      <c r="AO257" s="224"/>
      <c r="AP257" s="235">
        <f t="shared" si="203"/>
        <v>19.307692307692307</v>
      </c>
      <c r="AQ257" s="235">
        <f t="shared" si="170"/>
        <v>0.5651227817212835</v>
      </c>
      <c r="AR257" s="235">
        <f t="shared" si="171"/>
        <v>0.75016301036283883</v>
      </c>
      <c r="AT257" s="230">
        <f t="shared" ca="1" si="172"/>
        <v>16804.374056408811</v>
      </c>
      <c r="AU257" s="231">
        <f t="shared" ca="1" si="173"/>
        <v>1045.9972771415776</v>
      </c>
      <c r="AV257" s="231">
        <f t="shared" ca="1" si="204"/>
        <v>1575.6119208299835</v>
      </c>
      <c r="AW257" s="231"/>
      <c r="AX257" s="231">
        <f t="shared" ca="1" si="205"/>
        <v>4182.2822044807899</v>
      </c>
      <c r="AY257" s="231">
        <f t="shared" ca="1" si="206"/>
        <v>522.78527556009874</v>
      </c>
      <c r="AZ257" s="231"/>
      <c r="BA257" s="232">
        <f t="shared" ca="1" si="174"/>
        <v>24131.05073442126</v>
      </c>
      <c r="BB257" s="231">
        <f t="shared" ca="1" si="175"/>
        <v>39.320580784417601</v>
      </c>
      <c r="BC257" s="231">
        <f t="shared" ca="1" si="207"/>
        <v>3663.465611165791</v>
      </c>
      <c r="BD257" s="231">
        <f t="shared" ca="1" si="208"/>
        <v>19665.324038196955</v>
      </c>
      <c r="BE257" s="231">
        <f t="shared" ca="1" si="209"/>
        <v>682.82375132628306</v>
      </c>
      <c r="BF257" s="231">
        <f t="shared" ca="1" si="176"/>
        <v>4100.3887180304318</v>
      </c>
      <c r="BG257" s="231">
        <f t="shared" ca="1" si="177"/>
        <v>28151.322699503879</v>
      </c>
      <c r="BH257" s="232">
        <f t="shared" ca="1" si="178"/>
        <v>52282.373433925146</v>
      </c>
      <c r="BI257" s="244">
        <f t="shared" ca="1" si="210"/>
        <v>1.130139637189099</v>
      </c>
      <c r="BJ257" s="243">
        <f t="shared" ca="1" si="211"/>
        <v>1.4761054349918716</v>
      </c>
      <c r="BK257" s="242">
        <f t="shared" ca="1" si="212"/>
        <v>2.6062450721809705</v>
      </c>
      <c r="BL257" s="241">
        <f t="shared" ca="1" si="213"/>
        <v>0.81370053877615123</v>
      </c>
      <c r="BM257" s="243">
        <f t="shared" ca="1" si="214"/>
        <v>0.65391470770139914</v>
      </c>
      <c r="BN257" s="243">
        <f t="shared" si="179"/>
        <v>0</v>
      </c>
      <c r="BO257" s="242">
        <f t="shared" ca="1" si="180"/>
        <v>1.4676152464775505</v>
      </c>
      <c r="BP257" s="67"/>
      <c r="BQ257" s="67"/>
      <c r="BR257" s="67"/>
      <c r="BS257" s="67"/>
      <c r="BT257" s="67"/>
      <c r="BU257" s="67"/>
    </row>
    <row r="258" spans="1:73" ht="12" customHeight="1" x14ac:dyDescent="0.15">
      <c r="A258" s="213">
        <f t="shared" si="181"/>
        <v>252</v>
      </c>
      <c r="B258" s="67">
        <f t="shared" si="182"/>
        <v>1008</v>
      </c>
      <c r="C258" s="224">
        <f t="shared" si="183"/>
        <v>232.61538461538458</v>
      </c>
      <c r="D258" s="225">
        <f ca="1">IFERROR(OFFSET(extrapolation!V267,0,OS_dist_choice-1,1,1),0)</f>
        <v>4.4942666523616337E-2</v>
      </c>
      <c r="E258" s="225">
        <f ca="1">IFERROR(OFFSET(extrapolation!J267,0,PFS_dist_choice-1,1,1),0)</f>
        <v>1.9532605055012628E-2</v>
      </c>
      <c r="F258" s="214"/>
      <c r="G258" s="226">
        <f t="shared" ca="1" si="184"/>
        <v>19.532605055012628</v>
      </c>
      <c r="H258" s="224">
        <f t="shared" ca="1" si="185"/>
        <v>25.410061468603772</v>
      </c>
      <c r="I258" s="224">
        <f t="shared" ca="1" si="162"/>
        <v>955.05733347638363</v>
      </c>
      <c r="J258" s="227">
        <f t="shared" ca="1" si="163"/>
        <v>1000</v>
      </c>
      <c r="K258" s="238">
        <f t="shared" ca="1" si="186"/>
        <v>7.9441610601211465E-2</v>
      </c>
      <c r="L258" s="239">
        <f t="shared" ca="1" si="187"/>
        <v>0.25090640633356998</v>
      </c>
      <c r="M258" s="238">
        <f t="shared" ca="1" si="188"/>
        <v>19.572325860313235</v>
      </c>
      <c r="N258" s="238">
        <f t="shared" ca="1" si="189"/>
        <v>25.49579386646991</v>
      </c>
      <c r="O258" s="239">
        <f t="shared" ca="1" si="190"/>
        <v>954.93188027321685</v>
      </c>
      <c r="P258" s="217"/>
      <c r="Q258" s="217"/>
      <c r="R258" s="224"/>
      <c r="S258" s="230">
        <f t="shared" ca="1" si="191"/>
        <v>29615.343597452167</v>
      </c>
      <c r="T258" s="231">
        <f t="shared" ca="1" si="192"/>
        <v>1843.4229481301666</v>
      </c>
      <c r="U258" s="231">
        <f t="shared" ca="1" si="215"/>
        <v>2776.7941998307047</v>
      </c>
      <c r="V258" s="231"/>
      <c r="W258" s="231">
        <f t="shared" ca="1" si="193"/>
        <v>7370.6247617801992</v>
      </c>
      <c r="X258" s="231">
        <f t="shared" ca="1" si="194"/>
        <v>921.32809522252489</v>
      </c>
      <c r="Y258" s="231"/>
      <c r="Z258" s="232">
        <f t="shared" ca="1" si="164"/>
        <v>42527.513602415762</v>
      </c>
      <c r="AA258" s="231">
        <f t="shared" ca="1" si="165"/>
        <v>69.025410161077744</v>
      </c>
      <c r="AB258" s="231">
        <f t="shared" ca="1" si="195"/>
        <v>6439.0814153988258</v>
      </c>
      <c r="AC258" s="231">
        <f t="shared" ca="1" si="196"/>
        <v>34564.708934678543</v>
      </c>
      <c r="AD258" s="231">
        <f t="shared" ca="1" si="197"/>
        <v>1200.1635046763381</v>
      </c>
      <c r="AE258" s="231">
        <f t="shared" ca="1" si="166"/>
        <v>7188.5989876974336</v>
      </c>
      <c r="AF258" s="231">
        <f t="shared" ca="1" si="167"/>
        <v>49461.57825261222</v>
      </c>
      <c r="AG258" s="232">
        <f t="shared" ca="1" si="168"/>
        <v>91989.091855027975</v>
      </c>
      <c r="AH258" s="244">
        <f t="shared" ca="1" si="198"/>
        <v>1.5004110173546079</v>
      </c>
      <c r="AI258" s="243">
        <f t="shared" ca="1" si="199"/>
        <v>1.9545030205644285</v>
      </c>
      <c r="AJ258" s="242">
        <f t="shared" ca="1" si="200"/>
        <v>3.4549140379190364</v>
      </c>
      <c r="AK258" s="241">
        <f t="shared" ca="1" si="201"/>
        <v>1.0802959324953176</v>
      </c>
      <c r="AL258" s="243">
        <f t="shared" ca="1" si="202"/>
        <v>0.86584483811004187</v>
      </c>
      <c r="AM258" s="243"/>
      <c r="AN258" s="242">
        <f t="shared" ca="1" si="169"/>
        <v>1.9461407706053595</v>
      </c>
      <c r="AO258" s="224"/>
      <c r="AP258" s="235">
        <f t="shared" si="203"/>
        <v>19.384615384615383</v>
      </c>
      <c r="AQ258" s="235">
        <f t="shared" si="170"/>
        <v>0.56383929124912879</v>
      </c>
      <c r="AR258" s="235">
        <f t="shared" si="171"/>
        <v>0.7493043570497544</v>
      </c>
      <c r="AT258" s="230">
        <f t="shared" ca="1" si="172"/>
        <v>16698.294344086855</v>
      </c>
      <c r="AU258" s="231">
        <f t="shared" ca="1" si="173"/>
        <v>1039.3942885460926</v>
      </c>
      <c r="AV258" s="231">
        <f t="shared" ca="1" si="204"/>
        <v>1565.6656735772362</v>
      </c>
      <c r="AW258" s="231"/>
      <c r="AX258" s="231">
        <f t="shared" ca="1" si="205"/>
        <v>4155.8478417454262</v>
      </c>
      <c r="AY258" s="231">
        <f t="shared" ca="1" si="206"/>
        <v>519.48098021817827</v>
      </c>
      <c r="AZ258" s="231"/>
      <c r="BA258" s="232">
        <f t="shared" ca="1" si="174"/>
        <v>23978.683128173787</v>
      </c>
      <c r="BB258" s="231">
        <f t="shared" ca="1" si="175"/>
        <v>38.91923834340249</v>
      </c>
      <c r="BC258" s="231">
        <f t="shared" ca="1" si="207"/>
        <v>3630.607101553911</v>
      </c>
      <c r="BD258" s="231">
        <f t="shared" ca="1" si="208"/>
        <v>19488.940987961578</v>
      </c>
      <c r="BE258" s="231">
        <f t="shared" ca="1" si="209"/>
        <v>676.69933985977696</v>
      </c>
      <c r="BF258" s="231">
        <f t="shared" ca="1" si="176"/>
        <v>4053.2145582975259</v>
      </c>
      <c r="BG258" s="231">
        <f t="shared" ca="1" si="177"/>
        <v>27888.381226016198</v>
      </c>
      <c r="BH258" s="232">
        <f t="shared" ca="1" si="178"/>
        <v>51867.064354189977</v>
      </c>
      <c r="BI258" s="244">
        <f t="shared" ca="1" si="210"/>
        <v>1.1242645126692623</v>
      </c>
      <c r="BJ258" s="243">
        <f t="shared" ca="1" si="211"/>
        <v>1.4645176291758319</v>
      </c>
      <c r="BK258" s="242">
        <f t="shared" ca="1" si="212"/>
        <v>2.5887821418450945</v>
      </c>
      <c r="BL258" s="241">
        <f t="shared" ca="1" si="213"/>
        <v>0.80947044912186883</v>
      </c>
      <c r="BM258" s="243">
        <f t="shared" ca="1" si="214"/>
        <v>0.64878130972489356</v>
      </c>
      <c r="BN258" s="243">
        <f t="shared" si="179"/>
        <v>0</v>
      </c>
      <c r="BO258" s="242">
        <f t="shared" ca="1" si="180"/>
        <v>1.4582517588467625</v>
      </c>
      <c r="BP258" s="67"/>
      <c r="BQ258" s="67"/>
      <c r="BR258" s="67"/>
      <c r="BS258" s="67"/>
      <c r="BT258" s="67"/>
      <c r="BU258" s="67"/>
    </row>
    <row r="259" spans="1:73" ht="12" customHeight="1" x14ac:dyDescent="0.15">
      <c r="A259" s="213">
        <f t="shared" si="181"/>
        <v>253</v>
      </c>
      <c r="B259" s="67">
        <f t="shared" si="182"/>
        <v>1012</v>
      </c>
      <c r="C259" s="224">
        <f t="shared" si="183"/>
        <v>233.53846153846152</v>
      </c>
      <c r="D259" s="225">
        <f ca="1">IFERROR(OFFSET(extrapolation!V268,0,OS_dist_choice-1,1,1),0)</f>
        <v>4.4694073722066303E-2</v>
      </c>
      <c r="E259" s="225">
        <f ca="1">IFERROR(OFFSET(extrapolation!J268,0,PFS_dist_choice-1,1,1),0)</f>
        <v>1.9453792850155614E-2</v>
      </c>
      <c r="F259" s="214"/>
      <c r="G259" s="226">
        <f t="shared" ca="1" si="184"/>
        <v>19.453792850155615</v>
      </c>
      <c r="H259" s="224">
        <f t="shared" ca="1" si="185"/>
        <v>25.240280871910727</v>
      </c>
      <c r="I259" s="224">
        <f t="shared" ca="1" si="162"/>
        <v>955.30592627793362</v>
      </c>
      <c r="J259" s="227">
        <f t="shared" ca="1" si="163"/>
        <v>1000</v>
      </c>
      <c r="K259" s="238">
        <f t="shared" ca="1" si="186"/>
        <v>7.8812204857012347E-2</v>
      </c>
      <c r="L259" s="239">
        <f t="shared" ca="1" si="187"/>
        <v>0.24859280154998942</v>
      </c>
      <c r="M259" s="238">
        <f t="shared" ca="1" si="188"/>
        <v>19.493198952584123</v>
      </c>
      <c r="N259" s="238">
        <f t="shared" ca="1" si="189"/>
        <v>25.325171170257249</v>
      </c>
      <c r="O259" s="239">
        <f t="shared" ca="1" si="190"/>
        <v>955.18162987715868</v>
      </c>
      <c r="P259" s="217"/>
      <c r="Q259" s="217"/>
      <c r="R259" s="224"/>
      <c r="S259" s="230">
        <f t="shared" ca="1" si="191"/>
        <v>29495.848500923083</v>
      </c>
      <c r="T259" s="231">
        <f t="shared" ca="1" si="192"/>
        <v>1835.9849117485899</v>
      </c>
      <c r="U259" s="231">
        <f t="shared" ca="1" si="215"/>
        <v>2765.5900991638223</v>
      </c>
      <c r="V259" s="231"/>
      <c r="W259" s="231">
        <f t="shared" ca="1" si="193"/>
        <v>7340.8268343599393</v>
      </c>
      <c r="X259" s="231">
        <f t="shared" ca="1" si="194"/>
        <v>917.60335429499241</v>
      </c>
      <c r="Y259" s="231"/>
      <c r="Z259" s="232">
        <f t="shared" ca="1" si="164"/>
        <v>42355.853700490428</v>
      </c>
      <c r="AA259" s="231">
        <f t="shared" ca="1" si="165"/>
        <v>68.478530643878969</v>
      </c>
      <c r="AB259" s="231">
        <f t="shared" ca="1" si="195"/>
        <v>6395.9898592785421</v>
      </c>
      <c r="AC259" s="231">
        <f t="shared" ca="1" si="196"/>
        <v>34333.395335928566</v>
      </c>
      <c r="AD259" s="231">
        <f t="shared" ca="1" si="197"/>
        <v>1192.1317824975195</v>
      </c>
      <c r="AE259" s="231">
        <f t="shared" ca="1" si="166"/>
        <v>7122.3130078047234</v>
      </c>
      <c r="AF259" s="231">
        <f t="shared" ca="1" si="167"/>
        <v>49112.308516153229</v>
      </c>
      <c r="AG259" s="232">
        <f t="shared" ca="1" si="168"/>
        <v>91468.162216643657</v>
      </c>
      <c r="AH259" s="244">
        <f t="shared" ca="1" si="198"/>
        <v>1.4943451626895425</v>
      </c>
      <c r="AI259" s="243">
        <f t="shared" ca="1" si="199"/>
        <v>1.9414231150368322</v>
      </c>
      <c r="AJ259" s="242">
        <f t="shared" ca="1" si="200"/>
        <v>3.4357682777263747</v>
      </c>
      <c r="AK259" s="241">
        <f t="shared" ca="1" si="201"/>
        <v>1.0759285171364705</v>
      </c>
      <c r="AL259" s="243">
        <f t="shared" ca="1" si="202"/>
        <v>0.86005043996131669</v>
      </c>
      <c r="AM259" s="243"/>
      <c r="AN259" s="242">
        <f t="shared" ca="1" si="169"/>
        <v>1.9359789570977872</v>
      </c>
      <c r="AO259" s="224"/>
      <c r="AP259" s="235">
        <f t="shared" si="203"/>
        <v>19.46153846153846</v>
      </c>
      <c r="AQ259" s="235">
        <f t="shared" si="170"/>
        <v>0.56255871580331052</v>
      </c>
      <c r="AR259" s="235">
        <f t="shared" si="171"/>
        <v>0.74844668657040325</v>
      </c>
      <c r="AT259" s="230">
        <f t="shared" ca="1" si="172"/>
        <v>16593.146654208293</v>
      </c>
      <c r="AU259" s="231">
        <f t="shared" ca="1" si="173"/>
        <v>1032.849314187541</v>
      </c>
      <c r="AV259" s="231">
        <f t="shared" ca="1" si="204"/>
        <v>1555.80681462395</v>
      </c>
      <c r="AW259" s="231"/>
      <c r="AX259" s="231">
        <f t="shared" ca="1" si="205"/>
        <v>4129.6461168720089</v>
      </c>
      <c r="AY259" s="231">
        <f t="shared" ca="1" si="206"/>
        <v>516.20576460900111</v>
      </c>
      <c r="AZ259" s="231"/>
      <c r="BA259" s="232">
        <f t="shared" ca="1" si="174"/>
        <v>23827.654664500791</v>
      </c>
      <c r="BB259" s="231">
        <f t="shared" ca="1" si="175"/>
        <v>38.523194259118199</v>
      </c>
      <c r="BC259" s="231">
        <f t="shared" ca="1" si="207"/>
        <v>3598.1198415267336</v>
      </c>
      <c r="BD259" s="231">
        <f t="shared" ca="1" si="208"/>
        <v>19314.550789347344</v>
      </c>
      <c r="BE259" s="231">
        <f t="shared" ca="1" si="209"/>
        <v>670.64412463011604</v>
      </c>
      <c r="BF259" s="231">
        <f t="shared" ca="1" si="176"/>
        <v>4006.7192592198389</v>
      </c>
      <c r="BG259" s="231">
        <f t="shared" ca="1" si="177"/>
        <v>27628.557208983151</v>
      </c>
      <c r="BH259" s="232">
        <f t="shared" ca="1" si="178"/>
        <v>51456.211873483946</v>
      </c>
      <c r="BI259" s="244">
        <f t="shared" ca="1" si="210"/>
        <v>1.1184376856074982</v>
      </c>
      <c r="BJ259" s="243">
        <f t="shared" ca="1" si="211"/>
        <v>1.4530516976805079</v>
      </c>
      <c r="BK259" s="242">
        <f t="shared" ca="1" si="212"/>
        <v>2.5714893832880064</v>
      </c>
      <c r="BL259" s="241">
        <f t="shared" ca="1" si="213"/>
        <v>0.80527513363739867</v>
      </c>
      <c r="BM259" s="243">
        <f t="shared" ca="1" si="214"/>
        <v>0.64370190207246503</v>
      </c>
      <c r="BN259" s="243">
        <f t="shared" si="179"/>
        <v>0</v>
      </c>
      <c r="BO259" s="242">
        <f t="shared" ca="1" si="180"/>
        <v>1.4489770357098637</v>
      </c>
      <c r="BP259" s="67"/>
      <c r="BQ259" s="67"/>
      <c r="BR259" s="67"/>
      <c r="BS259" s="67"/>
      <c r="BT259" s="67"/>
      <c r="BU259" s="67"/>
    </row>
    <row r="260" spans="1:73" ht="12" customHeight="1" x14ac:dyDescent="0.15">
      <c r="A260" s="213">
        <f t="shared" si="181"/>
        <v>254</v>
      </c>
      <c r="B260" s="67">
        <f t="shared" si="182"/>
        <v>1016</v>
      </c>
      <c r="C260" s="224">
        <f t="shared" si="183"/>
        <v>234.46153846153848</v>
      </c>
      <c r="D260" s="225">
        <f ca="1">IFERROR(OFFSET(extrapolation!V269,0,OS_dist_choice-1,1,1),0)</f>
        <v>4.4447764882600688E-2</v>
      </c>
      <c r="E260" s="225">
        <f ca="1">IFERROR(OFFSET(extrapolation!J269,0,PFS_dist_choice-1,1,1),0)</f>
        <v>1.937560264389291E-2</v>
      </c>
      <c r="F260" s="214"/>
      <c r="G260" s="226">
        <f t="shared" ca="1" si="184"/>
        <v>19.375602643892911</v>
      </c>
      <c r="H260" s="224">
        <f t="shared" ca="1" si="185"/>
        <v>25.072162238707847</v>
      </c>
      <c r="I260" s="224">
        <f t="shared" ca="1" si="162"/>
        <v>955.55223511739928</v>
      </c>
      <c r="J260" s="227">
        <f t="shared" ca="1" si="163"/>
        <v>1000</v>
      </c>
      <c r="K260" s="238">
        <f t="shared" ca="1" si="186"/>
        <v>7.819020626270401E-2</v>
      </c>
      <c r="L260" s="239">
        <f t="shared" ca="1" si="187"/>
        <v>0.24630883946565518</v>
      </c>
      <c r="M260" s="238">
        <f t="shared" ca="1" si="188"/>
        <v>19.414697747024263</v>
      </c>
      <c r="N260" s="238">
        <f t="shared" ca="1" si="189"/>
        <v>25.156221555309287</v>
      </c>
      <c r="O260" s="239">
        <f t="shared" ca="1" si="190"/>
        <v>955.42908069766645</v>
      </c>
      <c r="P260" s="217"/>
      <c r="Q260" s="217"/>
      <c r="R260" s="224"/>
      <c r="S260" s="230">
        <f t="shared" ca="1" si="191"/>
        <v>29377.296478911489</v>
      </c>
      <c r="T260" s="231">
        <f t="shared" ca="1" si="192"/>
        <v>1828.6055775462271</v>
      </c>
      <c r="U260" s="231">
        <f t="shared" ca="1" si="215"/>
        <v>2754.4744230611036</v>
      </c>
      <c r="V260" s="231"/>
      <c r="W260" s="231">
        <f t="shared" ca="1" si="193"/>
        <v>7311.2645363653855</v>
      </c>
      <c r="X260" s="231">
        <f t="shared" ca="1" si="194"/>
        <v>913.90806704567319</v>
      </c>
      <c r="Y260" s="231"/>
      <c r="Z260" s="232">
        <f t="shared" ca="1" si="164"/>
        <v>42185.54908292988</v>
      </c>
      <c r="AA260" s="231">
        <f t="shared" ca="1" si="165"/>
        <v>67.938087068190796</v>
      </c>
      <c r="AB260" s="231">
        <f t="shared" ca="1" si="195"/>
        <v>6353.3208476192931</v>
      </c>
      <c r="AC260" s="231">
        <f t="shared" ca="1" si="196"/>
        <v>34104.34993746454</v>
      </c>
      <c r="AD260" s="231">
        <f t="shared" ca="1" si="197"/>
        <v>1184.1788172730742</v>
      </c>
      <c r="AE260" s="231">
        <f t="shared" ca="1" si="166"/>
        <v>7056.8763066566598</v>
      </c>
      <c r="AF260" s="231">
        <f t="shared" ca="1" si="167"/>
        <v>48766.663996081756</v>
      </c>
      <c r="AG260" s="232">
        <f t="shared" ca="1" si="168"/>
        <v>90952.213079011635</v>
      </c>
      <c r="AH260" s="244">
        <f t="shared" ca="1" si="198"/>
        <v>1.488327274241422</v>
      </c>
      <c r="AI260" s="243">
        <f t="shared" ca="1" si="199"/>
        <v>1.9284714676212458</v>
      </c>
      <c r="AJ260" s="242">
        <f t="shared" ca="1" si="200"/>
        <v>3.4167987418626677</v>
      </c>
      <c r="AK260" s="241">
        <f t="shared" ca="1" si="201"/>
        <v>1.0715956374538238</v>
      </c>
      <c r="AL260" s="243">
        <f t="shared" ca="1" si="202"/>
        <v>0.85431286015621188</v>
      </c>
      <c r="AM260" s="243"/>
      <c r="AN260" s="242">
        <f t="shared" ca="1" si="169"/>
        <v>1.9259084976100356</v>
      </c>
      <c r="AO260" s="224"/>
      <c r="AP260" s="235">
        <f t="shared" si="203"/>
        <v>19.53846153846154</v>
      </c>
      <c r="AQ260" s="235">
        <f t="shared" si="170"/>
        <v>0.56128104876330565</v>
      </c>
      <c r="AR260" s="235">
        <f t="shared" si="171"/>
        <v>0.74758999779981206</v>
      </c>
      <c r="AT260" s="230">
        <f t="shared" ca="1" si="172"/>
        <v>16488.919777514006</v>
      </c>
      <c r="AU260" s="231">
        <f t="shared" ca="1" si="173"/>
        <v>1026.3616563395765</v>
      </c>
      <c r="AV260" s="231">
        <f t="shared" ca="1" si="204"/>
        <v>1546.0342929674375</v>
      </c>
      <c r="AW260" s="231"/>
      <c r="AX260" s="231">
        <f t="shared" ca="1" si="205"/>
        <v>4103.6742267571271</v>
      </c>
      <c r="AY260" s="231">
        <f t="shared" ca="1" si="206"/>
        <v>512.95927834464089</v>
      </c>
      <c r="AZ260" s="231"/>
      <c r="BA260" s="232">
        <f t="shared" ca="1" si="174"/>
        <v>23677.94923192279</v>
      </c>
      <c r="BB260" s="231">
        <f t="shared" ca="1" si="175"/>
        <v>38.1323607606069</v>
      </c>
      <c r="BC260" s="231">
        <f t="shared" ca="1" si="207"/>
        <v>3565.998588481531</v>
      </c>
      <c r="BD260" s="231">
        <f t="shared" ca="1" si="208"/>
        <v>19142.125300290874</v>
      </c>
      <c r="BE260" s="231">
        <f t="shared" ca="1" si="209"/>
        <v>664.65712848232192</v>
      </c>
      <c r="BF260" s="231">
        <f t="shared" ca="1" si="176"/>
        <v>3960.8909343931728</v>
      </c>
      <c r="BG260" s="231">
        <f t="shared" ca="1" si="177"/>
        <v>27371.804312408505</v>
      </c>
      <c r="BH260" s="232">
        <f t="shared" ca="1" si="178"/>
        <v>51049.753544331295</v>
      </c>
      <c r="BI260" s="244">
        <f t="shared" ca="1" si="210"/>
        <v>1.1126585836755449</v>
      </c>
      <c r="BJ260" s="243">
        <f t="shared" ca="1" si="211"/>
        <v>1.4417059802359675</v>
      </c>
      <c r="BK260" s="242">
        <f t="shared" ca="1" si="212"/>
        <v>2.5543645639115122</v>
      </c>
      <c r="BL260" s="241">
        <f t="shared" ca="1" si="213"/>
        <v>0.80111418024639236</v>
      </c>
      <c r="BM260" s="243">
        <f t="shared" ca="1" si="214"/>
        <v>0.63867574924453363</v>
      </c>
      <c r="BN260" s="243">
        <f t="shared" si="179"/>
        <v>0</v>
      </c>
      <c r="BO260" s="242">
        <f t="shared" ca="1" si="180"/>
        <v>1.4397899294909258</v>
      </c>
      <c r="BP260" s="67"/>
      <c r="BQ260" s="67"/>
      <c r="BR260" s="67"/>
      <c r="BS260" s="67"/>
      <c r="BT260" s="67"/>
      <c r="BU260" s="67"/>
    </row>
    <row r="261" spans="1:73" ht="12" customHeight="1" x14ac:dyDescent="0.15">
      <c r="A261" s="213">
        <f t="shared" si="181"/>
        <v>255</v>
      </c>
      <c r="B261" s="67">
        <f t="shared" si="182"/>
        <v>1020</v>
      </c>
      <c r="C261" s="224">
        <f t="shared" si="183"/>
        <v>235.38461538461542</v>
      </c>
      <c r="D261" s="225">
        <f ca="1">IFERROR(OFFSET(extrapolation!V270,0,OS_dist_choice-1,1,1),0)</f>
        <v>4.4203710846648495E-2</v>
      </c>
      <c r="E261" s="225">
        <f ca="1">IFERROR(OFFSET(extrapolation!J270,0,PFS_dist_choice-1,1,1),0)</f>
        <v>1.9298027144525089E-2</v>
      </c>
      <c r="F261" s="214"/>
      <c r="G261" s="226">
        <f t="shared" ca="1" si="184"/>
        <v>19.29802714452509</v>
      </c>
      <c r="H261" s="224">
        <f t="shared" ca="1" si="185"/>
        <v>24.905683702123383</v>
      </c>
      <c r="I261" s="224">
        <f t="shared" ca="1" si="162"/>
        <v>955.79628915335149</v>
      </c>
      <c r="J261" s="227">
        <f t="shared" ca="1" si="163"/>
        <v>1000</v>
      </c>
      <c r="K261" s="238">
        <f t="shared" ca="1" si="186"/>
        <v>7.7575499367821266E-2</v>
      </c>
      <c r="L261" s="239">
        <f t="shared" ca="1" si="187"/>
        <v>0.24405403595221742</v>
      </c>
      <c r="M261" s="238">
        <f t="shared" ca="1" si="188"/>
        <v>19.336814894208999</v>
      </c>
      <c r="N261" s="238">
        <f t="shared" ca="1" si="189"/>
        <v>24.988922970415615</v>
      </c>
      <c r="O261" s="239">
        <f t="shared" ca="1" si="190"/>
        <v>955.67426213537533</v>
      </c>
      <c r="P261" s="217"/>
      <c r="Q261" s="217"/>
      <c r="R261" s="224"/>
      <c r="S261" s="230">
        <f t="shared" ca="1" si="191"/>
        <v>29259.676475739798</v>
      </c>
      <c r="T261" s="231">
        <f t="shared" ca="1" si="192"/>
        <v>1821.2842573564965</v>
      </c>
      <c r="U261" s="231">
        <f t="shared" ca="1" si="215"/>
        <v>2743.4461349199755</v>
      </c>
      <c r="V261" s="231"/>
      <c r="W261" s="231">
        <f t="shared" ca="1" si="193"/>
        <v>7281.9351001208015</v>
      </c>
      <c r="X261" s="231">
        <f t="shared" ca="1" si="194"/>
        <v>910.24188751510019</v>
      </c>
      <c r="Y261" s="231"/>
      <c r="Z261" s="232">
        <f t="shared" ca="1" si="164"/>
        <v>42016.58385565217</v>
      </c>
      <c r="AA261" s="231">
        <f t="shared" ca="1" si="165"/>
        <v>67.403979121146264</v>
      </c>
      <c r="AB261" s="231">
        <f t="shared" ca="1" si="195"/>
        <v>6311.0688112852495</v>
      </c>
      <c r="AC261" s="231">
        <f t="shared" ca="1" si="196"/>
        <v>33877.542844407581</v>
      </c>
      <c r="AD261" s="231">
        <f t="shared" ca="1" si="197"/>
        <v>1176.3035709863743</v>
      </c>
      <c r="AE261" s="231">
        <f t="shared" ca="1" si="166"/>
        <v>6992.2750137243211</v>
      </c>
      <c r="AF261" s="231">
        <f t="shared" ca="1" si="167"/>
        <v>48424.594219524675</v>
      </c>
      <c r="AG261" s="232">
        <f t="shared" ca="1" si="168"/>
        <v>90441.178075176838</v>
      </c>
      <c r="AH261" s="244">
        <f t="shared" ca="1" si="198"/>
        <v>1.4823567886046598</v>
      </c>
      <c r="AI261" s="243">
        <f t="shared" ca="1" si="199"/>
        <v>1.9156463878758034</v>
      </c>
      <c r="AJ261" s="242">
        <f t="shared" ca="1" si="200"/>
        <v>3.3980031764804632</v>
      </c>
      <c r="AK261" s="241">
        <f t="shared" ca="1" si="201"/>
        <v>1.067296887795355</v>
      </c>
      <c r="AL261" s="243">
        <f t="shared" ca="1" si="202"/>
        <v>0.84863134982898092</v>
      </c>
      <c r="AM261" s="243"/>
      <c r="AN261" s="242">
        <f t="shared" ca="1" si="169"/>
        <v>1.9159282376243358</v>
      </c>
      <c r="AO261" s="224"/>
      <c r="AP261" s="235">
        <f t="shared" si="203"/>
        <v>19.615384615384617</v>
      </c>
      <c r="AQ261" s="235">
        <f t="shared" si="170"/>
        <v>0.56000628352362702</v>
      </c>
      <c r="AR261" s="235">
        <f t="shared" si="171"/>
        <v>0.74673428961429489</v>
      </c>
      <c r="AT261" s="230">
        <f t="shared" ca="1" si="172"/>
        <v>16385.60268028274</v>
      </c>
      <c r="AU261" s="231">
        <f t="shared" ca="1" si="173"/>
        <v>1019.9306282023007</v>
      </c>
      <c r="AV261" s="231">
        <f t="shared" ca="1" si="204"/>
        <v>1536.3470740637945</v>
      </c>
      <c r="AW261" s="231"/>
      <c r="AX261" s="231">
        <f t="shared" ca="1" si="205"/>
        <v>4077.9294122789011</v>
      </c>
      <c r="AY261" s="231">
        <f t="shared" ca="1" si="206"/>
        <v>509.74117653486263</v>
      </c>
      <c r="AZ261" s="231"/>
      <c r="BA261" s="232">
        <f t="shared" ca="1" si="174"/>
        <v>23529.550971362598</v>
      </c>
      <c r="BB261" s="231">
        <f t="shared" ca="1" si="175"/>
        <v>37.746651842337272</v>
      </c>
      <c r="BC261" s="231">
        <f t="shared" ca="1" si="207"/>
        <v>3534.2381900697274</v>
      </c>
      <c r="BD261" s="231">
        <f t="shared" ca="1" si="208"/>
        <v>18971.636863209133</v>
      </c>
      <c r="BE261" s="231">
        <f t="shared" ca="1" si="209"/>
        <v>658.73739108365044</v>
      </c>
      <c r="BF261" s="231">
        <f t="shared" ca="1" si="176"/>
        <v>3915.7179438108751</v>
      </c>
      <c r="BG261" s="231">
        <f t="shared" ca="1" si="177"/>
        <v>27118.077040015727</v>
      </c>
      <c r="BH261" s="232">
        <f t="shared" ca="1" si="178"/>
        <v>50647.628011378321</v>
      </c>
      <c r="BI261" s="244">
        <f t="shared" ca="1" si="210"/>
        <v>1.1069266434936282</v>
      </c>
      <c r="BJ261" s="243">
        <f t="shared" ca="1" si="211"/>
        <v>1.430478844602628</v>
      </c>
      <c r="BK261" s="242">
        <f t="shared" ca="1" si="212"/>
        <v>2.5374054880962564</v>
      </c>
      <c r="BL261" s="241">
        <f t="shared" ca="1" si="213"/>
        <v>0.79698718331541218</v>
      </c>
      <c r="BM261" s="243">
        <f t="shared" ca="1" si="214"/>
        <v>0.63370212815896421</v>
      </c>
      <c r="BN261" s="243">
        <f t="shared" si="179"/>
        <v>0</v>
      </c>
      <c r="BO261" s="242">
        <f t="shared" ca="1" si="180"/>
        <v>1.4306893114743764</v>
      </c>
      <c r="BP261" s="67"/>
      <c r="BQ261" s="67"/>
      <c r="BR261" s="67"/>
      <c r="BS261" s="67"/>
      <c r="BT261" s="67"/>
      <c r="BU261" s="67"/>
    </row>
    <row r="262" spans="1:73" ht="12" customHeight="1" x14ac:dyDescent="0.15">
      <c r="A262" s="213">
        <f t="shared" si="181"/>
        <v>256</v>
      </c>
      <c r="B262" s="67">
        <f t="shared" si="182"/>
        <v>1024</v>
      </c>
      <c r="C262" s="224">
        <f t="shared" si="183"/>
        <v>236.30769230769232</v>
      </c>
      <c r="D262" s="225">
        <f ca="1">IFERROR(OFFSET(extrapolation!V271,0,OS_dist_choice-1,1,1),0)</f>
        <v>4.3961882930189239E-2</v>
      </c>
      <c r="E262" s="225">
        <f ca="1">IFERROR(OFFSET(extrapolation!J271,0,PFS_dist_choice-1,1,1),0)</f>
        <v>1.9221059173566091E-2</v>
      </c>
      <c r="F262" s="214"/>
      <c r="G262" s="226">
        <f t="shared" ca="1" si="184"/>
        <v>19.22105917356609</v>
      </c>
      <c r="H262" s="224">
        <f t="shared" ca="1" si="185"/>
        <v>24.740823756623058</v>
      </c>
      <c r="I262" s="224">
        <f t="shared" ca="1" si="162"/>
        <v>956.03811706981082</v>
      </c>
      <c r="J262" s="227">
        <f t="shared" ref="J262:J266" ca="1" si="216">G262+H262+I262</f>
        <v>1000</v>
      </c>
      <c r="K262" s="238">
        <f t="shared" ca="1" si="186"/>
        <v>7.6967970959000098E-2</v>
      </c>
      <c r="L262" s="239">
        <f t="shared" ca="1" si="187"/>
        <v>0.24182791645932866</v>
      </c>
      <c r="M262" s="238">
        <f t="shared" ca="1" si="188"/>
        <v>19.259543159045592</v>
      </c>
      <c r="N262" s="238">
        <f t="shared" ca="1" si="189"/>
        <v>24.823253729373221</v>
      </c>
      <c r="O262" s="239">
        <f t="shared" ca="1" si="190"/>
        <v>955.9172031115811</v>
      </c>
      <c r="P262" s="217"/>
      <c r="Q262" s="217"/>
      <c r="R262" s="224"/>
      <c r="S262" s="230">
        <f t="shared" ca="1" si="191"/>
        <v>29142.977607384575</v>
      </c>
      <c r="T262" s="231">
        <f t="shared" ca="1" si="192"/>
        <v>1814.0202736975209</v>
      </c>
      <c r="U262" s="231">
        <f t="shared" ca="1" si="215"/>
        <v>2732.5042142325019</v>
      </c>
      <c r="V262" s="231"/>
      <c r="W262" s="231">
        <f t="shared" ca="1" si="193"/>
        <v>7252.8358010060256</v>
      </c>
      <c r="X262" s="231">
        <f t="shared" ca="1" si="194"/>
        <v>906.6044751257532</v>
      </c>
      <c r="Y262" s="231"/>
      <c r="Z262" s="232">
        <f t="shared" ref="Z262:Z266" ca="1" si="217">SUM(S262:Y262)</f>
        <v>41848.942371446377</v>
      </c>
      <c r="AA262" s="231">
        <f t="shared" ca="1" si="165"/>
        <v>66.8761084336561</v>
      </c>
      <c r="AB262" s="231">
        <f t="shared" ca="1" si="195"/>
        <v>6269.2282733248994</v>
      </c>
      <c r="AC262" s="231">
        <f t="shared" ca="1" si="196"/>
        <v>33652.944656720232</v>
      </c>
      <c r="AD262" s="231">
        <f t="shared" ca="1" si="197"/>
        <v>1168.5050228027856</v>
      </c>
      <c r="AE262" s="231">
        <f t="shared" ca="1" si="166"/>
        <v>6928.4955328935339</v>
      </c>
      <c r="AF262" s="231">
        <f t="shared" ref="AF262:AF266" ca="1" si="218">SUM(AA262:AE262)</f>
        <v>48086.0495941751</v>
      </c>
      <c r="AG262" s="232">
        <f t="shared" ref="AG262:AG266" ca="1" si="219">Z262+AF262</f>
        <v>89934.991965621477</v>
      </c>
      <c r="AH262" s="244">
        <f t="shared" ca="1" si="198"/>
        <v>1.4764331511383342</v>
      </c>
      <c r="AI262" s="243">
        <f t="shared" ca="1" si="199"/>
        <v>1.9029462133400417</v>
      </c>
      <c r="AJ262" s="242">
        <f t="shared" ca="1" si="200"/>
        <v>3.3793793644783756</v>
      </c>
      <c r="AK262" s="241">
        <f t="shared" ca="1" si="201"/>
        <v>1.0630318688196005</v>
      </c>
      <c r="AL262" s="243">
        <f t="shared" ca="1" si="202"/>
        <v>0.84300517250963847</v>
      </c>
      <c r="AM262" s="243"/>
      <c r="AN262" s="242">
        <f t="shared" ref="AN262:AN266" ca="1" si="220">AK262+AL262-AM262</f>
        <v>1.9060370413292391</v>
      </c>
      <c r="AO262" s="224"/>
      <c r="AP262" s="235">
        <f t="shared" si="203"/>
        <v>19.692307692307693</v>
      </c>
      <c r="AQ262" s="235">
        <f t="shared" ref="AQ262:AQ266" si="221">1/(1+cDR)^AP262</f>
        <v>0.55873441349379016</v>
      </c>
      <c r="AR262" s="235">
        <f t="shared" si="171"/>
        <v>0.74587956089145246</v>
      </c>
      <c r="AT262" s="230">
        <f t="shared" ca="1" si="172"/>
        <v>16283.184500924681</v>
      </c>
      <c r="AU262" s="231">
        <f t="shared" ca="1" si="173"/>
        <v>1013.5555536902291</v>
      </c>
      <c r="AV262" s="231">
        <f t="shared" ca="1" si="204"/>
        <v>1526.7441395085068</v>
      </c>
      <c r="AW262" s="231"/>
      <c r="AX262" s="231">
        <f t="shared" ca="1" si="205"/>
        <v>4052.4089574418654</v>
      </c>
      <c r="AY262" s="231">
        <f t="shared" ca="1" si="206"/>
        <v>506.55111968023317</v>
      </c>
      <c r="AZ262" s="231"/>
      <c r="BA262" s="232">
        <f t="shared" ca="1" si="174"/>
        <v>23382.444271245517</v>
      </c>
      <c r="BB262" s="231">
        <f t="shared" ca="1" si="175"/>
        <v>37.365983222425953</v>
      </c>
      <c r="BC262" s="231">
        <f t="shared" ca="1" si="207"/>
        <v>3502.8335823548746</v>
      </c>
      <c r="BD262" s="231">
        <f t="shared" ca="1" si="208"/>
        <v>18803.058295111558</v>
      </c>
      <c r="BE262" s="231">
        <f t="shared" ca="1" si="209"/>
        <v>652.88396858026226</v>
      </c>
      <c r="BF262" s="231">
        <f t="shared" ca="1" si="176"/>
        <v>3871.188887965614</v>
      </c>
      <c r="BG262" s="231">
        <f t="shared" ca="1" si="177"/>
        <v>26867.33071723473</v>
      </c>
      <c r="BH262" s="232">
        <f t="shared" ca="1" si="178"/>
        <v>50249.774988480247</v>
      </c>
      <c r="BI262" s="244">
        <f t="shared" ca="1" si="210"/>
        <v>1.1012413104566441</v>
      </c>
      <c r="BJ262" s="243">
        <f t="shared" ca="1" si="211"/>
        <v>1.4193686860061225</v>
      </c>
      <c r="BK262" s="242">
        <f t="shared" ca="1" si="212"/>
        <v>2.5206099964627664</v>
      </c>
      <c r="BL262" s="241">
        <f t="shared" ca="1" si="213"/>
        <v>0.79289374352878372</v>
      </c>
      <c r="BM262" s="243">
        <f t="shared" ca="1" si="214"/>
        <v>0.62878032790071225</v>
      </c>
      <c r="BN262" s="243">
        <f t="shared" si="179"/>
        <v>0</v>
      </c>
      <c r="BO262" s="242">
        <f t="shared" ca="1" si="180"/>
        <v>1.4216740714294962</v>
      </c>
      <c r="BP262" s="67"/>
      <c r="BQ262" s="67"/>
      <c r="BR262" s="67"/>
      <c r="BS262" s="67"/>
      <c r="BT262" s="67"/>
      <c r="BU262" s="67"/>
    </row>
    <row r="263" spans="1:73" ht="12" customHeight="1" x14ac:dyDescent="0.15">
      <c r="A263" s="213">
        <f t="shared" si="181"/>
        <v>257</v>
      </c>
      <c r="B263" s="67">
        <f t="shared" ref="B263:B266" si="222">A263*cycle_length_days/7</f>
        <v>1028</v>
      </c>
      <c r="C263" s="224">
        <f t="shared" ref="C263:C266" si="223">B263/52*12</f>
        <v>237.23076923076923</v>
      </c>
      <c r="D263" s="225">
        <f ca="1">IFERROR(OFFSET(extrapolation!V272,0,OS_dist_choice-1,1,1),0)</f>
        <v>4.3722252914397075E-2</v>
      </c>
      <c r="E263" s="225">
        <f ca="1">IFERROR(OFFSET(extrapolation!J272,0,PFS_dist_choice-1,1,1),0)</f>
        <v>1.9144691663558144E-2</v>
      </c>
      <c r="F263" s="214"/>
      <c r="G263" s="226">
        <f t="shared" ca="1" si="184"/>
        <v>19.144691663558145</v>
      </c>
      <c r="H263" s="224">
        <f t="shared" ref="H263:H266" ca="1" si="224">cohort_size-G263-I263</f>
        <v>24.577561250838926</v>
      </c>
      <c r="I263" s="224">
        <f t="shared" ca="1" si="162"/>
        <v>956.27774708560298</v>
      </c>
      <c r="J263" s="227">
        <f t="shared" ca="1" si="216"/>
        <v>1000</v>
      </c>
      <c r="K263" s="238">
        <f t="shared" ca="1" si="186"/>
        <v>7.6367510007944617E-2</v>
      </c>
      <c r="L263" s="239">
        <f t="shared" ca="1" si="187"/>
        <v>0.2396300157921587</v>
      </c>
      <c r="M263" s="238">
        <f t="shared" ca="1" si="188"/>
        <v>19.182875418562119</v>
      </c>
      <c r="N263" s="238">
        <f t="shared" ca="1" si="189"/>
        <v>24.659192503730992</v>
      </c>
      <c r="O263" s="239">
        <f t="shared" ca="1" si="190"/>
        <v>956.15793207770685</v>
      </c>
      <c r="P263" s="217"/>
      <c r="Q263" s="217"/>
      <c r="R263" s="224"/>
      <c r="S263" s="230">
        <f t="shared" ca="1" si="191"/>
        <v>29027.189158163525</v>
      </c>
      <c r="T263" s="231">
        <f t="shared" ca="1" si="192"/>
        <v>1806.8129595659079</v>
      </c>
      <c r="U263" s="231">
        <f t="shared" ca="1" si="215"/>
        <v>2721.6476562747525</v>
      </c>
      <c r="V263" s="231"/>
      <c r="W263" s="231">
        <f t="shared" ca="1" si="193"/>
        <v>7223.9639566237975</v>
      </c>
      <c r="X263" s="231">
        <f t="shared" ca="1" si="194"/>
        <v>902.99549457797468</v>
      </c>
      <c r="Y263" s="231"/>
      <c r="Z263" s="232">
        <f t="shared" ca="1" si="217"/>
        <v>41682.609225205961</v>
      </c>
      <c r="AA263" s="231">
        <f t="shared" ca="1" si="165"/>
        <v>66.354378535198023</v>
      </c>
      <c r="AB263" s="231">
        <f t="shared" ca="1" si="195"/>
        <v>6227.793847138636</v>
      </c>
      <c r="AC263" s="231">
        <f t="shared" ca="1" si="196"/>
        <v>33430.526459370121</v>
      </c>
      <c r="AD263" s="231">
        <f t="shared" ca="1" si="197"/>
        <v>1160.7821687281289</v>
      </c>
      <c r="AE263" s="231">
        <f t="shared" ca="1" si="166"/>
        <v>6865.5245360905583</v>
      </c>
      <c r="AF263" s="231">
        <f t="shared" ca="1" si="218"/>
        <v>47750.981389862645</v>
      </c>
      <c r="AG263" s="232">
        <f t="shared" ca="1" si="219"/>
        <v>89433.590615068606</v>
      </c>
      <c r="AH263" s="244">
        <f t="shared" ca="1" si="198"/>
        <v>1.4705558157966856</v>
      </c>
      <c r="AI263" s="243">
        <f t="shared" ca="1" si="199"/>
        <v>1.8903693089786935</v>
      </c>
      <c r="AJ263" s="242">
        <f t="shared" ref="AJ263:AJ266" ca="1" si="225">AH263+AI263</f>
        <v>3.3609251247753793</v>
      </c>
      <c r="AK263" s="241">
        <f t="shared" ca="1" si="201"/>
        <v>1.0588001873736137</v>
      </c>
      <c r="AL263" s="243">
        <f t="shared" ca="1" si="202"/>
        <v>0.83743360387756127</v>
      </c>
      <c r="AM263" s="243"/>
      <c r="AN263" s="242">
        <f t="shared" ca="1" si="220"/>
        <v>1.8962337912511749</v>
      </c>
      <c r="AO263" s="224"/>
      <c r="AP263" s="235">
        <f t="shared" si="203"/>
        <v>19.76923076923077</v>
      </c>
      <c r="AQ263" s="235">
        <f t="shared" si="221"/>
        <v>0.55746543209827815</v>
      </c>
      <c r="AR263" s="235">
        <f t="shared" si="171"/>
        <v>0.74502581051016981</v>
      </c>
      <c r="AT263" s="230">
        <f t="shared" ca="1" si="172"/>
        <v>16181.654546654085</v>
      </c>
      <c r="AU263" s="231">
        <f t="shared" ca="1" si="173"/>
        <v>1007.2357672251776</v>
      </c>
      <c r="AV263" s="231">
        <f t="shared" ca="1" si="204"/>
        <v>1517.2244867244708</v>
      </c>
      <c r="AW263" s="231"/>
      <c r="AX263" s="231">
        <f t="shared" ca="1" si="205"/>
        <v>4027.1101885416724</v>
      </c>
      <c r="AY263" s="231">
        <f t="shared" ca="1" si="206"/>
        <v>503.38877356770905</v>
      </c>
      <c r="AZ263" s="231"/>
      <c r="BA263" s="232">
        <f t="shared" ca="1" si="174"/>
        <v>23236.613762713117</v>
      </c>
      <c r="BB263" s="231">
        <f t="shared" ca="1" si="175"/>
        <v>36.99027230173688</v>
      </c>
      <c r="BC263" s="231">
        <f t="shared" ca="1" si="207"/>
        <v>3471.7797880141379</v>
      </c>
      <c r="BD263" s="231">
        <f t="shared" ca="1" si="208"/>
        <v>18636.362877945685</v>
      </c>
      <c r="BE263" s="231">
        <f t="shared" ca="1" si="209"/>
        <v>647.09593326200275</v>
      </c>
      <c r="BF263" s="231">
        <f t="shared" ca="1" si="176"/>
        <v>3827.2926020930536</v>
      </c>
      <c r="BG263" s="231">
        <f t="shared" ca="1" si="177"/>
        <v>26619.521473616616</v>
      </c>
      <c r="BH263" s="232">
        <f t="shared" ca="1" si="178"/>
        <v>49856.135236329734</v>
      </c>
      <c r="BI263" s="244">
        <f t="shared" ca="1" si="210"/>
        <v>1.0956020385643697</v>
      </c>
      <c r="BJ263" s="243">
        <f t="shared" ca="1" si="211"/>
        <v>1.4083739265854007</v>
      </c>
      <c r="BK263" s="242">
        <f t="shared" ca="1" si="212"/>
        <v>2.5039759651497704</v>
      </c>
      <c r="BL263" s="241">
        <f t="shared" ca="1" si="213"/>
        <v>0.78883346776634622</v>
      </c>
      <c r="BM263" s="243">
        <f t="shared" ca="1" si="214"/>
        <v>0.62390964947733252</v>
      </c>
      <c r="BN263" s="243">
        <f t="shared" si="179"/>
        <v>0</v>
      </c>
      <c r="BO263" s="242">
        <f t="shared" ca="1" si="180"/>
        <v>1.4127431172436786</v>
      </c>
      <c r="BP263" s="67"/>
      <c r="BQ263" s="67"/>
      <c r="BR263" s="67"/>
      <c r="BS263" s="67"/>
      <c r="BT263" s="67"/>
      <c r="BU263" s="67"/>
    </row>
    <row r="264" spans="1:73" ht="12" customHeight="1" x14ac:dyDescent="0.15">
      <c r="A264" s="213">
        <f t="shared" si="181"/>
        <v>258</v>
      </c>
      <c r="B264" s="67">
        <f t="shared" si="222"/>
        <v>1032</v>
      </c>
      <c r="C264" s="224">
        <f t="shared" si="223"/>
        <v>238.15384615384616</v>
      </c>
      <c r="D264" s="225">
        <f ca="1">IFERROR(OFFSET(extrapolation!V273,0,OS_dist_choice-1,1,1),0)</f>
        <v>4.3484793036500935E-2</v>
      </c>
      <c r="E264" s="225">
        <f ca="1">IFERROR(OFFSET(extrapolation!J273,0,PFS_dist_choice-1,1,1),0)</f>
        <v>1.9068917655936778E-2</v>
      </c>
      <c r="F264" s="214"/>
      <c r="G264" s="226">
        <f t="shared" ca="1" si="184"/>
        <v>19.068917655936779</v>
      </c>
      <c r="H264" s="224">
        <f t="shared" ca="1" si="224"/>
        <v>24.415875380564216</v>
      </c>
      <c r="I264" s="224">
        <f t="shared" ca="1" si="162"/>
        <v>956.51520696349905</v>
      </c>
      <c r="J264" s="227">
        <f t="shared" ca="1" si="216"/>
        <v>1000</v>
      </c>
      <c r="K264" s="238">
        <f t="shared" ca="1" si="186"/>
        <v>7.5774007621365769E-2</v>
      </c>
      <c r="L264" s="239">
        <f t="shared" ca="1" si="187"/>
        <v>0.2374598778960717</v>
      </c>
      <c r="M264" s="238">
        <f t="shared" ca="1" si="188"/>
        <v>19.106804659747461</v>
      </c>
      <c r="N264" s="238">
        <f t="shared" ca="1" si="189"/>
        <v>24.496718315701571</v>
      </c>
      <c r="O264" s="239">
        <f t="shared" ca="1" si="190"/>
        <v>956.39647702455102</v>
      </c>
      <c r="P264" s="217"/>
      <c r="Q264" s="217"/>
      <c r="R264" s="224"/>
      <c r="S264" s="230">
        <f t="shared" ca="1" si="191"/>
        <v>28912.300577498405</v>
      </c>
      <c r="T264" s="231">
        <f t="shared" ca="1" si="192"/>
        <v>1799.6616582352558</v>
      </c>
      <c r="U264" s="231">
        <f t="shared" ca="1" si="215"/>
        <v>2710.8754718032842</v>
      </c>
      <c r="V264" s="231"/>
      <c r="W264" s="231">
        <f t="shared" ca="1" si="193"/>
        <v>7195.316925986338</v>
      </c>
      <c r="X264" s="231">
        <f t="shared" ca="1" si="194"/>
        <v>899.41461574829225</v>
      </c>
      <c r="Y264" s="231"/>
      <c r="Z264" s="232">
        <f t="shared" ca="1" si="217"/>
        <v>41517.569249271568</v>
      </c>
      <c r="AA264" s="231">
        <f t="shared" ca="1" si="165"/>
        <v>65.838694810319481</v>
      </c>
      <c r="AB264" s="231">
        <f t="shared" ca="1" si="195"/>
        <v>6186.7602346886188</v>
      </c>
      <c r="AC264" s="231">
        <f t="shared" ca="1" si="196"/>
        <v>33210.259812720578</v>
      </c>
      <c r="AD264" s="231">
        <f t="shared" ca="1" si="197"/>
        <v>1153.1340212750201</v>
      </c>
      <c r="AE264" s="231">
        <f t="shared" ca="1" si="166"/>
        <v>6803.348957112973</v>
      </c>
      <c r="AF264" s="231">
        <f t="shared" ca="1" si="218"/>
        <v>47419.341720607517</v>
      </c>
      <c r="AG264" s="232">
        <f t="shared" ca="1" si="219"/>
        <v>88936.910969879085</v>
      </c>
      <c r="AH264" s="244">
        <f t="shared" ca="1" si="198"/>
        <v>1.4647242449635287</v>
      </c>
      <c r="AI264" s="243">
        <f t="shared" ca="1" si="199"/>
        <v>1.8779140666383134</v>
      </c>
      <c r="AJ264" s="242">
        <f t="shared" ca="1" si="225"/>
        <v>3.3426383116018421</v>
      </c>
      <c r="AK264" s="241">
        <f t="shared" ca="1" si="201"/>
        <v>1.0546014563737407</v>
      </c>
      <c r="AL264" s="243">
        <f t="shared" ca="1" si="202"/>
        <v>0.83191593152077281</v>
      </c>
      <c r="AM264" s="243"/>
      <c r="AN264" s="242">
        <f t="shared" ca="1" si="220"/>
        <v>1.8865173878945134</v>
      </c>
      <c r="AO264" s="224"/>
      <c r="AP264" s="235">
        <f t="shared" si="203"/>
        <v>19.846153846153847</v>
      </c>
      <c r="AQ264" s="235">
        <f t="shared" si="221"/>
        <v>0.55619933277650879</v>
      </c>
      <c r="AR264" s="235">
        <f t="shared" si="171"/>
        <v>0.74417303735061546</v>
      </c>
      <c r="AT264" s="230">
        <f t="shared" ca="1" si="172"/>
        <v>16081.002290238483</v>
      </c>
      <c r="AU264" s="231">
        <f t="shared" ca="1" si="173"/>
        <v>1000.9706135339147</v>
      </c>
      <c r="AV264" s="231">
        <f t="shared" ca="1" si="204"/>
        <v>1507.7871286571901</v>
      </c>
      <c r="AW264" s="231"/>
      <c r="AX264" s="231">
        <f t="shared" ca="1" si="205"/>
        <v>4002.0304733491216</v>
      </c>
      <c r="AY264" s="231">
        <f t="shared" ca="1" si="206"/>
        <v>500.2538091686402</v>
      </c>
      <c r="AZ264" s="231"/>
      <c r="BA264" s="232">
        <f t="shared" ca="1" si="174"/>
        <v>23092.044314947347</v>
      </c>
      <c r="BB264" s="231">
        <f t="shared" ca="1" si="175"/>
        <v>36.61943812437589</v>
      </c>
      <c r="BC264" s="231">
        <f t="shared" ca="1" si="207"/>
        <v>3441.0719145820467</v>
      </c>
      <c r="BD264" s="231">
        <f t="shared" ca="1" si="208"/>
        <v>18471.524349169689</v>
      </c>
      <c r="BE264" s="231">
        <f t="shared" ca="1" si="209"/>
        <v>641.37237323505872</v>
      </c>
      <c r="BF264" s="231">
        <f t="shared" ca="1" si="176"/>
        <v>3784.0181505919927</v>
      </c>
      <c r="BG264" s="231">
        <f t="shared" ca="1" si="177"/>
        <v>26374.606225703166</v>
      </c>
      <c r="BH264" s="232">
        <f t="shared" ca="1" si="178"/>
        <v>49466.650540650509</v>
      </c>
      <c r="BI264" s="244">
        <f t="shared" ca="1" si="210"/>
        <v>1.0900082902555961</v>
      </c>
      <c r="BJ264" s="243">
        <f t="shared" ca="1" si="211"/>
        <v>1.3974930148536797</v>
      </c>
      <c r="BK264" s="242">
        <f t="shared" ca="1" si="212"/>
        <v>2.487501305109276</v>
      </c>
      <c r="BL264" s="241">
        <f t="shared" ca="1" si="213"/>
        <v>0.78480596898402921</v>
      </c>
      <c r="BM264" s="243">
        <f t="shared" ca="1" si="214"/>
        <v>0.61908940558018011</v>
      </c>
      <c r="BN264" s="243">
        <f t="shared" si="179"/>
        <v>0</v>
      </c>
      <c r="BO264" s="242">
        <f t="shared" ca="1" si="180"/>
        <v>1.4038953745642093</v>
      </c>
      <c r="BP264" s="67"/>
      <c r="BQ264" s="67"/>
      <c r="BR264" s="67"/>
      <c r="BS264" s="67"/>
      <c r="BT264" s="67"/>
      <c r="BU264" s="67"/>
    </row>
    <row r="265" spans="1:73" ht="12" customHeight="1" x14ac:dyDescent="0.15">
      <c r="A265" s="213">
        <f t="shared" si="181"/>
        <v>259</v>
      </c>
      <c r="B265" s="67">
        <f t="shared" si="222"/>
        <v>1036</v>
      </c>
      <c r="C265" s="224">
        <f t="shared" si="223"/>
        <v>239.07692307692309</v>
      </c>
      <c r="D265" s="225">
        <f ca="1">IFERROR(OFFSET(extrapolation!V274,0,OS_dist_choice-1,1,1),0)</f>
        <v>4.3249475980854761E-2</v>
      </c>
      <c r="E265" s="225">
        <f ca="1">IFERROR(OFFSET(extrapolation!J274,0,PFS_dist_choice-1,1,1),0)</f>
        <v>1.8993730298945081E-2</v>
      </c>
      <c r="F265" s="214"/>
      <c r="G265" s="226">
        <f t="shared" ca="1" si="184"/>
        <v>18.993730298945081</v>
      </c>
      <c r="H265" s="224">
        <f t="shared" ca="1" si="224"/>
        <v>24.255745681909616</v>
      </c>
      <c r="I265" s="224">
        <f t="shared" ca="1" si="162"/>
        <v>956.75052401914525</v>
      </c>
      <c r="J265" s="227">
        <f t="shared" ca="1" si="216"/>
        <v>1000</v>
      </c>
      <c r="K265" s="238">
        <f t="shared" ca="1" si="186"/>
        <v>7.5187356991698095E-2</v>
      </c>
      <c r="L265" s="239">
        <f t="shared" ca="1" si="187"/>
        <v>0.23531705564619187</v>
      </c>
      <c r="M265" s="238">
        <f t="shared" ca="1" si="188"/>
        <v>19.03132397744093</v>
      </c>
      <c r="N265" s="238">
        <f t="shared" ca="1" si="189"/>
        <v>24.335810531236916</v>
      </c>
      <c r="O265" s="239">
        <f t="shared" ca="1" si="190"/>
        <v>956.63286549132215</v>
      </c>
      <c r="P265" s="217"/>
      <c r="Q265" s="217"/>
      <c r="R265" s="224"/>
      <c r="S265" s="230">
        <f t="shared" ca="1" si="191"/>
        <v>28798.301476752651</v>
      </c>
      <c r="T265" s="231">
        <f t="shared" ca="1" si="192"/>
        <v>1792.5657230593083</v>
      </c>
      <c r="U265" s="231">
        <f t="shared" ca="1" si="215"/>
        <v>2700.1866867586305</v>
      </c>
      <c r="V265" s="231"/>
      <c r="W265" s="231">
        <f t="shared" ca="1" si="193"/>
        <v>7166.8921087206154</v>
      </c>
      <c r="X265" s="231">
        <f t="shared" ca="1" si="194"/>
        <v>895.86151359007692</v>
      </c>
      <c r="Y265" s="231"/>
      <c r="Z265" s="232">
        <f t="shared" ca="1" si="217"/>
        <v>41353.807508881284</v>
      </c>
      <c r="AA265" s="231">
        <f t="shared" ca="1" si="165"/>
        <v>65.328964455816219</v>
      </c>
      <c r="AB265" s="231">
        <f t="shared" ca="1" si="195"/>
        <v>6146.1222247499691</v>
      </c>
      <c r="AC265" s="231">
        <f t="shared" ca="1" si="196"/>
        <v>32992.116743143168</v>
      </c>
      <c r="AD265" s="231">
        <f t="shared" ca="1" si="197"/>
        <v>1145.5596091369155</v>
      </c>
      <c r="AE265" s="231">
        <f t="shared" ca="1" si="166"/>
        <v>6741.9559856006281</v>
      </c>
      <c r="AF265" s="231">
        <f t="shared" ca="1" si="218"/>
        <v>47091.083527086499</v>
      </c>
      <c r="AG265" s="232">
        <f t="shared" ca="1" si="219"/>
        <v>88444.891035967783</v>
      </c>
      <c r="AH265" s="244">
        <f t="shared" ca="1" si="198"/>
        <v>1.4589379092904751</v>
      </c>
      <c r="AI265" s="243">
        <f t="shared" ca="1" si="199"/>
        <v>1.8655789045164508</v>
      </c>
      <c r="AJ265" s="242">
        <f t="shared" ca="1" si="225"/>
        <v>3.3245168138069259</v>
      </c>
      <c r="AK265" s="241">
        <f t="shared" ca="1" si="201"/>
        <v>1.050435294689142</v>
      </c>
      <c r="AL265" s="243">
        <f t="shared" ca="1" si="202"/>
        <v>0.82645145470078774</v>
      </c>
      <c r="AM265" s="243"/>
      <c r="AN265" s="242">
        <f t="shared" ca="1" si="220"/>
        <v>1.8768867493899297</v>
      </c>
      <c r="AO265" s="224"/>
      <c r="AP265" s="235">
        <f t="shared" si="203"/>
        <v>19.923076923076923</v>
      </c>
      <c r="AQ265" s="235">
        <f t="shared" si="221"/>
        <v>0.55493610898279944</v>
      </c>
      <c r="AR265" s="235">
        <f t="shared" si="171"/>
        <v>0.74332124029423952</v>
      </c>
      <c r="AT265" s="230">
        <f t="shared" ca="1" si="172"/>
        <v>15981.217366822722</v>
      </c>
      <c r="AU265" s="231">
        <f t="shared" ca="1" si="173"/>
        <v>994.75944745047104</v>
      </c>
      <c r="AV265" s="231">
        <f t="shared" ca="1" si="204"/>
        <v>1498.4310934769915</v>
      </c>
      <c r="AW265" s="231"/>
      <c r="AX265" s="231">
        <f t="shared" ca="1" si="205"/>
        <v>3977.1672203129488</v>
      </c>
      <c r="AY265" s="231">
        <f t="shared" ca="1" si="206"/>
        <v>497.14590253911859</v>
      </c>
      <c r="AZ265" s="231"/>
      <c r="BA265" s="232">
        <f t="shared" ca="1" si="174"/>
        <v>22948.721030602253</v>
      </c>
      <c r="BB265" s="231">
        <f t="shared" ca="1" si="175"/>
        <v>36.253401338986258</v>
      </c>
      <c r="BC265" s="231">
        <f t="shared" ca="1" si="207"/>
        <v>3410.7051527354547</v>
      </c>
      <c r="BD265" s="231">
        <f t="shared" ca="1" si="208"/>
        <v>18308.51689254614</v>
      </c>
      <c r="BE265" s="231">
        <f t="shared" ca="1" si="209"/>
        <v>635.71239210229646</v>
      </c>
      <c r="BF265" s="231">
        <f t="shared" ca="1" si="176"/>
        <v>3741.3548215825072</v>
      </c>
      <c r="BG265" s="231">
        <f t="shared" ca="1" si="177"/>
        <v>26132.542660305386</v>
      </c>
      <c r="BH265" s="232">
        <f t="shared" ca="1" si="178"/>
        <v>49081.263690907639</v>
      </c>
      <c r="BI265" s="244">
        <f t="shared" ca="1" si="210"/>
        <v>1.0844595362460807</v>
      </c>
      <c r="BJ265" s="243">
        <f t="shared" ca="1" si="211"/>
        <v>1.3867244251719368</v>
      </c>
      <c r="BK265" s="242">
        <f t="shared" ca="1" si="212"/>
        <v>2.4711839614180175</v>
      </c>
      <c r="BL265" s="241">
        <f t="shared" ca="1" si="213"/>
        <v>0.78081086609717798</v>
      </c>
      <c r="BM265" s="243">
        <f t="shared" ca="1" si="214"/>
        <v>0.61431892035116809</v>
      </c>
      <c r="BN265" s="243">
        <f t="shared" si="179"/>
        <v>0</v>
      </c>
      <c r="BO265" s="242">
        <f t="shared" ca="1" si="180"/>
        <v>1.3951297864483461</v>
      </c>
      <c r="BP265" s="67"/>
      <c r="BQ265" s="67"/>
      <c r="BR265" s="67"/>
      <c r="BS265" s="67"/>
      <c r="BT265" s="67"/>
      <c r="BU265" s="67"/>
    </row>
    <row r="266" spans="1:73" ht="12.75" customHeight="1" thickBot="1" x14ac:dyDescent="0.2">
      <c r="A266" s="213">
        <f t="shared" si="181"/>
        <v>260</v>
      </c>
      <c r="B266" s="67">
        <f t="shared" si="222"/>
        <v>1040</v>
      </c>
      <c r="C266" s="224">
        <f t="shared" si="223"/>
        <v>240</v>
      </c>
      <c r="D266" s="225">
        <f ca="1">IFERROR(OFFSET(extrapolation!V275,0,OS_dist_choice-1,1,1),0)</f>
        <v>4.3016274870213055E-2</v>
      </c>
      <c r="E266" s="225">
        <f ca="1">IFERROR(OFFSET(extrapolation!J275,0,PFS_dist_choice-1,1,1),0)</f>
        <v>1.8919122845595479E-2</v>
      </c>
      <c r="F266" s="214"/>
      <c r="G266" s="226">
        <f t="shared" ca="1" si="184"/>
        <v>18.919122845595478</v>
      </c>
      <c r="H266" s="224">
        <f t="shared" ca="1" si="224"/>
        <v>24.097152024617685</v>
      </c>
      <c r="I266" s="224">
        <f t="shared" ca="1" si="162"/>
        <v>956.98372512978688</v>
      </c>
      <c r="J266" s="227">
        <f t="shared" ca="1" si="216"/>
        <v>1000</v>
      </c>
      <c r="K266" s="238">
        <f t="shared" ca="1" si="186"/>
        <v>7.4607453349603503E-2</v>
      </c>
      <c r="L266" s="239">
        <f t="shared" ca="1" si="187"/>
        <v>0.23320111064163029</v>
      </c>
      <c r="M266" s="238">
        <f t="shared" ca="1" si="188"/>
        <v>18.956426572270281</v>
      </c>
      <c r="N266" s="238">
        <f t="shared" ca="1" si="189"/>
        <v>24.176448853263651</v>
      </c>
      <c r="O266" s="239">
        <f t="shared" ca="1" si="190"/>
        <v>956.86712457446606</v>
      </c>
      <c r="P266" s="217"/>
      <c r="Q266" s="217"/>
      <c r="R266" s="224"/>
      <c r="S266" s="245">
        <f t="shared" ca="1" si="191"/>
        <v>28685.181626141002</v>
      </c>
      <c r="T266" s="245">
        <f t="shared" ca="1" si="192"/>
        <v>1785.5245172795951</v>
      </c>
      <c r="U266" s="245">
        <f t="shared" ca="1" si="215"/>
        <v>2689.5803419755439</v>
      </c>
      <c r="V266" s="245"/>
      <c r="W266" s="245">
        <f t="shared" ca="1" si="193"/>
        <v>7138.6869442918314</v>
      </c>
      <c r="X266" s="245">
        <f t="shared" ca="1" si="194"/>
        <v>892.33586803647893</v>
      </c>
      <c r="Y266" s="245"/>
      <c r="Z266" s="246">
        <f t="shared" ca="1" si="217"/>
        <v>41191.309297724452</v>
      </c>
      <c r="AA266" s="245">
        <f t="shared" ca="1" si="165"/>
        <v>64.825096439463692</v>
      </c>
      <c r="AB266" s="245">
        <f t="shared" ca="1" si="195"/>
        <v>6105.8746912023307</v>
      </c>
      <c r="AC266" s="245">
        <f t="shared" ca="1" si="196"/>
        <v>32776.06973384678</v>
      </c>
      <c r="AD266" s="245">
        <f t="shared" ca="1" si="197"/>
        <v>1138.0579768696798</v>
      </c>
      <c r="AE266" s="245">
        <f t="shared" ca="1" si="166"/>
        <v>6681.3330611401316</v>
      </c>
      <c r="AF266" s="245">
        <f t="shared" ca="1" si="218"/>
        <v>46766.160559498385</v>
      </c>
      <c r="AG266" s="246">
        <f t="shared" ca="1" si="219"/>
        <v>87957.469857222837</v>
      </c>
      <c r="AH266" s="247">
        <f t="shared" ca="1" si="198"/>
        <v>1.453196287538858</v>
      </c>
      <c r="AI266" s="248">
        <f t="shared" ca="1" si="199"/>
        <v>1.8533622666430725</v>
      </c>
      <c r="AJ266" s="249">
        <f t="shared" ca="1" si="225"/>
        <v>3.3065585541819305</v>
      </c>
      <c r="AK266" s="250">
        <f t="shared" ca="1" si="201"/>
        <v>1.0463013270279777</v>
      </c>
      <c r="AL266" s="248">
        <f t="shared" ca="1" si="202"/>
        <v>0.82103948412288108</v>
      </c>
      <c r="AM266" s="248"/>
      <c r="AN266" s="249">
        <f t="shared" ca="1" si="220"/>
        <v>1.8673408111508589</v>
      </c>
      <c r="AO266" s="224"/>
      <c r="AP266" s="235">
        <f t="shared" si="203"/>
        <v>20</v>
      </c>
      <c r="AQ266" s="235">
        <f t="shared" si="221"/>
        <v>0.55367575418633497</v>
      </c>
      <c r="AR266" s="235">
        <f t="shared" si="171"/>
        <v>0.74247041822377313</v>
      </c>
      <c r="AT266" s="245">
        <f t="shared" ca="1" si="172"/>
        <v>15882.289570825618</v>
      </c>
      <c r="AU266" s="245">
        <f t="shared" ca="1" si="173"/>
        <v>988.60163372297154</v>
      </c>
      <c r="AV266" s="245">
        <f t="shared" ca="1" si="204"/>
        <v>1489.15542428805</v>
      </c>
      <c r="AW266" s="245"/>
      <c r="AX266" s="245">
        <f t="shared" ca="1" si="205"/>
        <v>3952.5178777809228</v>
      </c>
      <c r="AY266" s="245">
        <f t="shared" ca="1" si="206"/>
        <v>494.06473472261536</v>
      </c>
      <c r="AZ266" s="245"/>
      <c r="BA266" s="246">
        <f t="shared" ca="1" si="174"/>
        <v>22806.629241340179</v>
      </c>
      <c r="BB266" s="245">
        <f t="shared" ca="1" si="175"/>
        <v>35.892084161321961</v>
      </c>
      <c r="BC266" s="245">
        <f t="shared" ca="1" si="207"/>
        <v>3380.6747746187057</v>
      </c>
      <c r="BD266" s="245">
        <f t="shared" ca="1" si="208"/>
        <v>18147.315129151524</v>
      </c>
      <c r="BE266" s="245">
        <f t="shared" ca="1" si="209"/>
        <v>630.11510865109449</v>
      </c>
      <c r="BF266" s="245">
        <f t="shared" ca="1" si="176"/>
        <v>3699.2921215968563</v>
      </c>
      <c r="BG266" s="245">
        <f t="shared" ca="1" si="177"/>
        <v>25893.2892181795</v>
      </c>
      <c r="BH266" s="246">
        <f t="shared" ca="1" si="178"/>
        <v>48699.918459519678</v>
      </c>
      <c r="BI266" s="247">
        <f t="shared" ca="1" si="210"/>
        <v>1.0789552553702104</v>
      </c>
      <c r="BJ266" s="248">
        <f t="shared" ca="1" si="211"/>
        <v>1.3760666572346421</v>
      </c>
      <c r="BK266" s="249">
        <f t="shared" ca="1" si="212"/>
        <v>2.4550219126048525</v>
      </c>
      <c r="BL266" s="250">
        <f t="shared" ca="1" si="213"/>
        <v>0.7768477838665514</v>
      </c>
      <c r="BM266" s="248">
        <f t="shared" ca="1" si="214"/>
        <v>0.60959752915494647</v>
      </c>
      <c r="BN266" s="248">
        <f t="shared" si="179"/>
        <v>0</v>
      </c>
      <c r="BO266" s="249">
        <f t="shared" ca="1" si="180"/>
        <v>1.386445313021498</v>
      </c>
      <c r="BP266" s="67"/>
      <c r="BQ266" s="67"/>
      <c r="BR266" s="67"/>
      <c r="BS266" s="67"/>
      <c r="BT266" s="67"/>
      <c r="BU266" s="67"/>
    </row>
    <row r="267" spans="1:73" ht="12" customHeight="1" x14ac:dyDescent="0.15">
      <c r="A267" s="213"/>
      <c r="B267" s="67"/>
      <c r="C267" s="214"/>
      <c r="D267" s="214"/>
      <c r="E267" s="214"/>
      <c r="F267" s="214"/>
      <c r="G267" s="226"/>
      <c r="H267" s="224"/>
      <c r="I267" s="224"/>
      <c r="J267" s="216"/>
      <c r="K267" s="217"/>
      <c r="L267" s="216"/>
      <c r="M267" s="217"/>
      <c r="N267" s="217"/>
      <c r="O267" s="216"/>
      <c r="P267" s="217"/>
      <c r="Q267" s="217"/>
      <c r="R267" s="224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251"/>
      <c r="AH267" s="251"/>
      <c r="AI267" s="251"/>
      <c r="AJ267" s="127"/>
      <c r="AK267" s="127"/>
      <c r="AL267" s="127"/>
      <c r="AM267" s="127"/>
      <c r="AN267" s="127"/>
      <c r="AO267" s="224"/>
      <c r="BG267" s="67"/>
      <c r="BH267" s="251"/>
      <c r="BI267" s="251"/>
      <c r="BJ267" s="251"/>
      <c r="BK267" s="127"/>
      <c r="BL267" s="127"/>
      <c r="BM267" s="127"/>
      <c r="BN267" s="127"/>
      <c r="BO267" s="127"/>
      <c r="BP267" s="67"/>
      <c r="BQ267" s="67"/>
      <c r="BR267" s="67"/>
      <c r="BS267" s="67"/>
      <c r="BT267" s="67"/>
      <c r="BU267" s="67"/>
    </row>
    <row r="268" spans="1:73" ht="12" customHeight="1" x14ac:dyDescent="0.15">
      <c r="A268" s="67"/>
      <c r="B268" s="67"/>
      <c r="C268" s="67"/>
      <c r="D268" s="67"/>
      <c r="E268" s="67"/>
      <c r="F268" s="67"/>
      <c r="G268" s="252"/>
      <c r="H268" s="67"/>
      <c r="I268" s="67"/>
      <c r="J268" s="216"/>
      <c r="K268" s="217"/>
      <c r="L268" s="216"/>
      <c r="M268" s="217"/>
      <c r="N268" s="217"/>
      <c r="O268" s="216"/>
      <c r="P268" s="217"/>
      <c r="Q268" s="217"/>
      <c r="R268" s="224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67"/>
      <c r="AE268" s="67"/>
      <c r="AF268" s="67"/>
      <c r="AG268" s="67"/>
      <c r="AH268" s="67"/>
      <c r="AI268" s="67"/>
      <c r="AJ268" s="67"/>
      <c r="AK268" s="67"/>
      <c r="AL268" s="67"/>
      <c r="AM268" s="67"/>
      <c r="AO268" s="224"/>
      <c r="BG268" s="67"/>
      <c r="BH268" s="67"/>
      <c r="BI268" s="67"/>
      <c r="BJ268" s="67"/>
      <c r="BK268" s="67"/>
      <c r="BL268" s="67"/>
      <c r="BM268" s="67"/>
      <c r="BN268" s="67"/>
      <c r="BO268" s="67"/>
      <c r="BP268" s="67"/>
      <c r="BQ268" s="67"/>
      <c r="BR268" s="67"/>
      <c r="BS268" s="67"/>
      <c r="BT268" s="67"/>
      <c r="BU268" s="67"/>
    </row>
    <row r="269" spans="1:73" ht="12.75" customHeight="1" x14ac:dyDescent="0.15">
      <c r="A269" s="67"/>
      <c r="B269" s="67"/>
      <c r="C269" s="67"/>
      <c r="D269" s="67"/>
      <c r="E269" s="67"/>
      <c r="F269" s="67"/>
      <c r="G269" s="253">
        <f ca="1">COUNTIF(G6:G266,"&lt;0")</f>
        <v>0</v>
      </c>
      <c r="H269" s="254">
        <f ca="1">COUNTIF(H6:H266,"&lt;0")</f>
        <v>0</v>
      </c>
      <c r="I269" s="254">
        <f ca="1">COUNTIF(I6:I266,"&lt;0")</f>
        <v>0</v>
      </c>
      <c r="J269" s="255"/>
      <c r="K269" s="256">
        <f ca="1">SUM(K6:K266)/cohort_size</f>
        <v>0.9810808771544054</v>
      </c>
      <c r="L269" s="255">
        <f ca="1">SUM(L6:L266)/cohort_size</f>
        <v>0.95698372512978691</v>
      </c>
      <c r="M269" s="256">
        <f ca="1">SUM(M6:M266)/cohort_size</f>
        <v>22.301387586367003</v>
      </c>
      <c r="N269" s="256">
        <f ca="1">SUM(N6:N266)/cohort_size</f>
        <v>32.753198368242181</v>
      </c>
      <c r="O269" s="255">
        <f ca="1">SUM(O6:O266)/cohort_size</f>
        <v>204.94541404539083</v>
      </c>
      <c r="P269" s="256"/>
      <c r="Q269" s="256"/>
      <c r="R269" s="224"/>
      <c r="S269" s="257">
        <f t="shared" ref="S269:AN269" ca="1" si="226">SUM(S6:S266)/cohort_size</f>
        <v>34838.695569817748</v>
      </c>
      <c r="T269" s="257">
        <f t="shared" ca="1" si="226"/>
        <v>2245.4333065709116</v>
      </c>
      <c r="U269" s="257">
        <f t="shared" ca="1" si="226"/>
        <v>3109.8311520634561</v>
      </c>
      <c r="V269" s="257">
        <f t="shared" si="226"/>
        <v>13289.272776</v>
      </c>
      <c r="W269" s="257">
        <f t="shared" ca="1" si="226"/>
        <v>8398.3457428244274</v>
      </c>
      <c r="X269" s="257">
        <f t="shared" ca="1" si="226"/>
        <v>1049.7932178530534</v>
      </c>
      <c r="Y269" s="257">
        <f t="shared" si="226"/>
        <v>163.35390045807998</v>
      </c>
      <c r="Z269" s="257">
        <f t="shared" ca="1" si="226"/>
        <v>63094.725665587677</v>
      </c>
      <c r="AA269" s="257">
        <f t="shared" ca="1" si="226"/>
        <v>852.44381923117703</v>
      </c>
      <c r="AB269" s="257">
        <f t="shared" ca="1" si="226"/>
        <v>8271.9727031202419</v>
      </c>
      <c r="AC269" s="257">
        <f t="shared" ca="1" si="226"/>
        <v>44403.589635502009</v>
      </c>
      <c r="AD269" s="257">
        <f t="shared" ca="1" si="226"/>
        <v>1541.7913067882641</v>
      </c>
      <c r="AE269" s="257">
        <f t="shared" ca="1" si="226"/>
        <v>27418.081260807099</v>
      </c>
      <c r="AF269" s="257">
        <f t="shared" ca="1" si="226"/>
        <v>82487.878725449016</v>
      </c>
      <c r="AG269" s="257">
        <f t="shared" ca="1" si="226"/>
        <v>145582.60439103644</v>
      </c>
      <c r="AH269" s="258">
        <f t="shared" ca="1" si="226"/>
        <v>1.7096204036092419</v>
      </c>
      <c r="AI269" s="258">
        <f t="shared" ca="1" si="226"/>
        <v>2.510854358140401</v>
      </c>
      <c r="AJ269" s="258">
        <f t="shared" ca="1" si="226"/>
        <v>4.2204747617496432</v>
      </c>
      <c r="AK269" s="258">
        <f t="shared" ca="1" si="226"/>
        <v>1.2309266905986536</v>
      </c>
      <c r="AL269" s="258">
        <f t="shared" ca="1" si="226"/>
        <v>1.112308480656198</v>
      </c>
      <c r="AM269" s="258">
        <f t="shared" si="226"/>
        <v>2.3877618069815189E-3</v>
      </c>
      <c r="AN269" s="258">
        <f t="shared" ca="1" si="226"/>
        <v>2.3408474094478708</v>
      </c>
      <c r="AO269" s="224"/>
      <c r="AT269" s="257">
        <f t="shared" ref="AT269:BO269" ca="1" si="227">SUM(AT6:AT266)/cohort_size</f>
        <v>31082.016817286247</v>
      </c>
      <c r="AU269" s="257">
        <f t="shared" ca="1" si="227"/>
        <v>2011.596822507114</v>
      </c>
      <c r="AV269" s="257">
        <f t="shared" ca="1" si="227"/>
        <v>2757.5765957862013</v>
      </c>
      <c r="AW269" s="257">
        <f t="shared" si="227"/>
        <v>13289.272776</v>
      </c>
      <c r="AX269" s="257">
        <f t="shared" ca="1" si="227"/>
        <v>7458.1853841059374</v>
      </c>
      <c r="AY269" s="257">
        <f t="shared" ca="1" si="227"/>
        <v>932.27317301324217</v>
      </c>
      <c r="AZ269" s="257">
        <f t="shared" si="227"/>
        <v>163.35390045807998</v>
      </c>
      <c r="BA269" s="257">
        <f t="shared" ca="1" si="227"/>
        <v>57694.275469156797</v>
      </c>
      <c r="BB269" s="257">
        <f t="shared" ca="1" si="227"/>
        <v>819.67634129090015</v>
      </c>
      <c r="BC269" s="257">
        <f t="shared" ca="1" si="227"/>
        <v>7122.5084233145435</v>
      </c>
      <c r="BD269" s="257">
        <f t="shared" ca="1" si="227"/>
        <v>38233.315383761888</v>
      </c>
      <c r="BE269" s="257">
        <f t="shared" ca="1" si="227"/>
        <v>1327.5456730472913</v>
      </c>
      <c r="BF269" s="257">
        <f t="shared" ca="1" si="227"/>
        <v>24808.994539784424</v>
      </c>
      <c r="BG269" s="257">
        <f t="shared" ca="1" si="227"/>
        <v>72312.040361199077</v>
      </c>
      <c r="BH269" s="257">
        <f t="shared" ca="1" si="227"/>
        <v>130006.3158303559</v>
      </c>
      <c r="BI269" s="258">
        <f t="shared" ca="1" si="227"/>
        <v>1.6063447801132436</v>
      </c>
      <c r="BJ269" s="258">
        <f t="shared" ca="1" si="227"/>
        <v>2.3234792202169485</v>
      </c>
      <c r="BK269" s="258">
        <f t="shared" ca="1" si="227"/>
        <v>3.9298240003301932</v>
      </c>
      <c r="BL269" s="258">
        <f t="shared" ca="1" si="227"/>
        <v>1.1565682416815364</v>
      </c>
      <c r="BM269" s="258">
        <f t="shared" ca="1" si="227"/>
        <v>1.0293012945561084</v>
      </c>
      <c r="BN269" s="258">
        <f t="shared" si="227"/>
        <v>2.3877618069815189E-3</v>
      </c>
      <c r="BO269" s="258">
        <f t="shared" ca="1" si="227"/>
        <v>2.1834817744306618</v>
      </c>
      <c r="BP269" s="67"/>
      <c r="BQ269" s="67"/>
      <c r="BR269" s="67"/>
      <c r="BS269" s="67"/>
      <c r="BT269" s="67"/>
      <c r="BU269" s="67"/>
    </row>
    <row r="270" spans="1:73" ht="12" customHeight="1" x14ac:dyDescent="0.15">
      <c r="A270" s="67"/>
      <c r="B270" s="67"/>
      <c r="C270" s="67"/>
      <c r="D270" s="67"/>
      <c r="E270" s="67"/>
      <c r="F270" s="67"/>
      <c r="G270" s="259"/>
      <c r="H270" s="259"/>
      <c r="I270" s="259"/>
      <c r="J270" s="186"/>
      <c r="K270" s="186"/>
      <c r="L270" s="186"/>
      <c r="M270" s="186"/>
      <c r="N270" s="186"/>
      <c r="O270" s="186"/>
      <c r="P270" s="186"/>
      <c r="Q270" s="186"/>
      <c r="R270" s="224"/>
      <c r="S270" s="568" t="s">
        <v>696</v>
      </c>
      <c r="T270" s="517"/>
      <c r="U270" s="517"/>
      <c r="V270" s="517"/>
      <c r="W270" s="517"/>
      <c r="X270" s="517"/>
      <c r="Y270" s="517"/>
      <c r="Z270" s="517"/>
      <c r="AA270" s="517"/>
      <c r="AB270" s="517"/>
      <c r="AC270" s="517"/>
      <c r="AD270" s="517"/>
      <c r="AE270" s="517"/>
      <c r="AF270" s="517"/>
      <c r="AG270" s="517"/>
      <c r="AH270" s="517"/>
      <c r="AI270" s="517"/>
      <c r="AJ270" s="517"/>
      <c r="AK270" s="517"/>
      <c r="AL270" s="517"/>
      <c r="AM270" s="517"/>
      <c r="AN270" s="529"/>
      <c r="AT270" s="268" t="s">
        <v>696</v>
      </c>
      <c r="AU270" s="268"/>
      <c r="AV270" s="268"/>
      <c r="AW270" s="268"/>
      <c r="AX270" s="268"/>
      <c r="AY270" s="268"/>
      <c r="AZ270" s="268"/>
      <c r="BA270" s="268"/>
      <c r="BB270" s="268"/>
      <c r="BC270" s="268"/>
      <c r="BD270" s="268"/>
      <c r="BE270" s="268"/>
      <c r="BF270" s="268"/>
      <c r="BG270" s="268"/>
      <c r="BH270" s="268"/>
      <c r="BI270" s="268"/>
      <c r="BJ270" s="268"/>
      <c r="BK270" s="268"/>
      <c r="BL270" s="268"/>
      <c r="BM270" s="268"/>
      <c r="BN270" s="268"/>
      <c r="BO270" s="268"/>
      <c r="BP270" s="67"/>
      <c r="BQ270" s="67"/>
      <c r="BR270" s="67"/>
      <c r="BS270" s="67"/>
      <c r="BT270" s="67"/>
      <c r="BU270" s="67"/>
    </row>
    <row r="271" spans="1:73" ht="12.75" customHeight="1" x14ac:dyDescent="0.15">
      <c r="A271" s="67"/>
      <c r="B271" s="67"/>
      <c r="C271" s="67"/>
      <c r="D271" s="67"/>
      <c r="E271" s="67"/>
      <c r="F271" s="67"/>
      <c r="G271" s="259"/>
      <c r="H271" s="259"/>
      <c r="I271" s="259"/>
      <c r="J271" s="186"/>
      <c r="K271" s="186"/>
      <c r="L271" s="186"/>
      <c r="M271" s="186"/>
      <c r="N271" s="186"/>
      <c r="O271" s="186"/>
      <c r="P271" s="186"/>
      <c r="Q271" s="186"/>
      <c r="R271" s="224"/>
      <c r="S271" s="517"/>
      <c r="T271" s="517"/>
      <c r="U271" s="517"/>
      <c r="V271" s="517"/>
      <c r="W271" s="517"/>
      <c r="X271" s="517"/>
      <c r="Y271" s="517"/>
      <c r="Z271" s="517"/>
      <c r="AA271" s="517"/>
      <c r="AB271" s="517"/>
      <c r="AC271" s="517"/>
      <c r="AD271" s="517"/>
      <c r="AE271" s="517"/>
      <c r="AF271" s="517"/>
      <c r="AG271" s="517"/>
      <c r="AH271" s="517"/>
      <c r="AI271" s="517"/>
      <c r="AJ271" s="517"/>
      <c r="AK271" s="517"/>
      <c r="AL271" s="517"/>
      <c r="AM271" s="517"/>
      <c r="AN271" s="529"/>
      <c r="AT271" s="268"/>
      <c r="AU271" s="268"/>
      <c r="AV271" s="268"/>
      <c r="AW271" s="268"/>
      <c r="AX271" s="268"/>
      <c r="AY271" s="268"/>
      <c r="AZ271" s="268"/>
      <c r="BA271" s="268"/>
      <c r="BB271" s="268"/>
      <c r="BC271" s="268"/>
      <c r="BD271" s="268"/>
      <c r="BE271" s="268"/>
      <c r="BF271" s="268"/>
      <c r="BG271" s="268"/>
      <c r="BH271" s="268"/>
      <c r="BI271" s="268"/>
      <c r="BJ271" s="268"/>
      <c r="BK271" s="268"/>
      <c r="BL271" s="268"/>
      <c r="BM271" s="268"/>
      <c r="BN271" s="268"/>
      <c r="BO271" s="268"/>
      <c r="BP271" s="67"/>
      <c r="BQ271" s="67"/>
      <c r="BR271" s="67"/>
      <c r="BS271" s="67"/>
      <c r="BT271" s="67"/>
      <c r="BU271" s="67"/>
    </row>
    <row r="272" spans="1:73" ht="62.25" customHeight="1" x14ac:dyDescent="0.15">
      <c r="A272" s="67"/>
      <c r="B272" s="67"/>
      <c r="C272" s="67"/>
      <c r="D272" s="67"/>
      <c r="E272" s="67"/>
      <c r="F272" s="67"/>
      <c r="G272" s="67"/>
      <c r="H272" s="67"/>
      <c r="I272" s="67"/>
      <c r="J272" s="186"/>
      <c r="K272" s="186"/>
      <c r="L272" s="186"/>
      <c r="M272" s="186"/>
      <c r="N272" s="186"/>
      <c r="O272" s="186"/>
      <c r="P272" s="186"/>
      <c r="Q272" s="186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224"/>
      <c r="AT272" s="260" t="s">
        <v>672</v>
      </c>
      <c r="AU272" s="260" t="s">
        <v>673</v>
      </c>
      <c r="AV272" s="260" t="s">
        <v>674</v>
      </c>
      <c r="AW272" s="260" t="s">
        <v>675</v>
      </c>
      <c r="AX272" s="260" t="s">
        <v>676</v>
      </c>
      <c r="AY272" s="260" t="s">
        <v>677</v>
      </c>
      <c r="AZ272" s="260" t="s">
        <v>678</v>
      </c>
      <c r="BA272" s="261" t="s">
        <v>679</v>
      </c>
      <c r="BB272" s="260" t="s">
        <v>680</v>
      </c>
      <c r="BC272" s="260" t="s">
        <v>681</v>
      </c>
      <c r="BD272" s="260" t="s">
        <v>682</v>
      </c>
      <c r="BE272" s="260" t="s">
        <v>683</v>
      </c>
      <c r="BF272" s="260" t="s">
        <v>684</v>
      </c>
      <c r="BG272" s="261" t="s">
        <v>685</v>
      </c>
      <c r="BH272" s="261" t="s">
        <v>686</v>
      </c>
      <c r="BI272" s="260" t="s">
        <v>687</v>
      </c>
      <c r="BJ272" s="260" t="s">
        <v>688</v>
      </c>
      <c r="BK272" s="261" t="s">
        <v>689</v>
      </c>
      <c r="BL272" s="260" t="s">
        <v>690</v>
      </c>
      <c r="BM272" s="260" t="s">
        <v>691</v>
      </c>
      <c r="BN272" s="260" t="s">
        <v>692</v>
      </c>
      <c r="BO272" s="261" t="s">
        <v>693</v>
      </c>
      <c r="BP272" s="67"/>
      <c r="BQ272" s="67"/>
      <c r="BR272" s="67"/>
      <c r="BS272" s="67"/>
      <c r="BT272" s="67"/>
      <c r="BU272" s="67"/>
    </row>
    <row r="273" spans="1:69" ht="12" customHeight="1" x14ac:dyDescent="0.15">
      <c r="A273" s="67"/>
      <c r="B273" s="67"/>
      <c r="C273" s="67"/>
      <c r="D273" s="67"/>
      <c r="E273" s="67"/>
      <c r="F273" s="67"/>
      <c r="G273" s="67"/>
      <c r="H273" s="214"/>
      <c r="I273" s="214"/>
      <c r="J273" s="186"/>
      <c r="K273" s="186"/>
      <c r="L273" s="186"/>
      <c r="M273" s="186"/>
      <c r="N273" s="186"/>
      <c r="O273" s="186"/>
      <c r="P273" s="186"/>
      <c r="Q273" s="186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  <c r="AL273" s="67"/>
      <c r="AM273" s="224"/>
      <c r="BG273" s="67"/>
      <c r="BH273" s="67"/>
      <c r="BI273" s="67"/>
      <c r="BJ273" s="67"/>
      <c r="BK273" s="67"/>
      <c r="BL273" s="67"/>
      <c r="BM273" s="67"/>
      <c r="BN273" s="67"/>
      <c r="BO273" s="67"/>
      <c r="BP273" s="67"/>
      <c r="BQ273" s="67"/>
    </row>
    <row r="274" spans="1:69" ht="12" customHeight="1" x14ac:dyDescent="0.15">
      <c r="A274" s="67"/>
      <c r="B274" s="67"/>
      <c r="C274" s="67"/>
      <c r="D274" s="67"/>
      <c r="E274" s="67"/>
      <c r="F274" s="67"/>
      <c r="G274" s="67"/>
      <c r="H274" s="214"/>
      <c r="I274" s="214"/>
      <c r="J274" s="186"/>
      <c r="K274" s="186"/>
      <c r="L274" s="186"/>
      <c r="M274" s="186"/>
      <c r="N274" s="186"/>
      <c r="O274" s="186"/>
      <c r="P274" s="186"/>
      <c r="Q274" s="186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224"/>
      <c r="BG274" s="67"/>
      <c r="BH274" s="67"/>
      <c r="BI274" s="67"/>
      <c r="BJ274" s="67"/>
      <c r="BK274" s="67"/>
      <c r="BL274" s="67"/>
      <c r="BM274" s="67"/>
      <c r="BN274" s="67"/>
      <c r="BO274" s="67"/>
      <c r="BP274" s="67"/>
      <c r="BQ274" s="67"/>
    </row>
    <row r="275" spans="1:69" ht="12" customHeight="1" x14ac:dyDescent="0.15">
      <c r="A275" s="67"/>
      <c r="B275" s="67"/>
      <c r="C275" s="67"/>
      <c r="D275" s="67"/>
      <c r="E275" s="67"/>
      <c r="F275" s="67"/>
      <c r="G275" s="67"/>
      <c r="H275" s="214"/>
      <c r="I275" s="214"/>
      <c r="J275" s="186"/>
      <c r="K275" s="186"/>
      <c r="L275" s="186"/>
      <c r="M275" s="186"/>
      <c r="N275" s="186"/>
      <c r="O275" s="186"/>
      <c r="P275" s="186"/>
      <c r="Q275" s="186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224"/>
      <c r="BG275" s="67"/>
      <c r="BH275" s="67"/>
      <c r="BI275" s="67"/>
      <c r="BJ275" s="67"/>
      <c r="BK275" s="67"/>
      <c r="BL275" s="67"/>
      <c r="BM275" s="67"/>
      <c r="BN275" s="67"/>
      <c r="BO275" s="67"/>
      <c r="BP275" s="67"/>
      <c r="BQ275" s="67"/>
    </row>
    <row r="276" spans="1:69" ht="12" customHeight="1" x14ac:dyDescent="0.15">
      <c r="A276" s="67"/>
      <c r="B276" s="67"/>
      <c r="C276" s="67"/>
      <c r="D276" s="67"/>
      <c r="E276" s="67"/>
      <c r="F276" s="67"/>
      <c r="G276" s="67"/>
      <c r="H276" s="214"/>
      <c r="I276" s="214"/>
      <c r="J276" s="186"/>
      <c r="K276" s="186"/>
      <c r="L276" s="186"/>
      <c r="M276" s="186"/>
      <c r="N276" s="186"/>
      <c r="O276" s="186"/>
      <c r="P276" s="186"/>
      <c r="Q276" s="186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  <c r="AL276" s="67"/>
      <c r="AM276" s="67"/>
      <c r="BG276" s="67"/>
      <c r="BH276" s="67"/>
      <c r="BI276" s="67"/>
      <c r="BJ276" s="67"/>
      <c r="BK276" s="67"/>
      <c r="BL276" s="67"/>
      <c r="BM276" s="67"/>
      <c r="BN276" s="67"/>
      <c r="BO276" s="67"/>
      <c r="BP276" s="67"/>
      <c r="BQ276" s="67"/>
    </row>
    <row r="277" spans="1:69" ht="12" customHeight="1" x14ac:dyDescent="0.15">
      <c r="A277" s="67"/>
      <c r="B277" s="67"/>
      <c r="C277" s="67"/>
      <c r="D277" s="67"/>
      <c r="E277" s="67"/>
      <c r="F277" s="67"/>
      <c r="G277" s="67"/>
      <c r="H277" s="214"/>
      <c r="I277" s="214"/>
      <c r="J277" s="186"/>
      <c r="K277" s="186"/>
      <c r="L277" s="186"/>
      <c r="M277" s="186"/>
      <c r="N277" s="186"/>
      <c r="O277" s="186"/>
      <c r="P277" s="186"/>
      <c r="Q277" s="186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7"/>
      <c r="AM277" s="67"/>
      <c r="BG277" s="67"/>
      <c r="BH277" s="67"/>
      <c r="BI277" s="67"/>
      <c r="BJ277" s="67"/>
      <c r="BK277" s="67"/>
      <c r="BL277" s="67"/>
      <c r="BM277" s="67"/>
      <c r="BN277" s="67"/>
      <c r="BO277" s="67"/>
      <c r="BP277" s="67"/>
      <c r="BQ277" s="67"/>
    </row>
    <row r="278" spans="1:69" ht="12" customHeight="1" x14ac:dyDescent="0.15">
      <c r="A278" s="67"/>
      <c r="B278" s="67"/>
      <c r="C278" s="67"/>
      <c r="D278" s="67"/>
      <c r="E278" s="67"/>
      <c r="F278" s="67"/>
      <c r="G278" s="67"/>
      <c r="H278" s="214"/>
      <c r="I278" s="214"/>
      <c r="J278" s="186"/>
      <c r="K278" s="186"/>
      <c r="L278" s="186"/>
      <c r="M278" s="186"/>
      <c r="N278" s="186"/>
      <c r="O278" s="186"/>
      <c r="P278" s="186"/>
      <c r="Q278" s="186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  <c r="AL278" s="67"/>
      <c r="AM278" s="67"/>
      <c r="BG278" s="67"/>
      <c r="BH278" s="67"/>
      <c r="BI278" s="67"/>
      <c r="BJ278" s="67"/>
      <c r="BK278" s="67"/>
      <c r="BL278" s="67"/>
      <c r="BM278" s="67"/>
      <c r="BN278" s="67"/>
      <c r="BO278" s="67"/>
      <c r="BP278" s="67"/>
      <c r="BQ278" s="67"/>
    </row>
    <row r="279" spans="1:69" ht="12" customHeight="1" x14ac:dyDescent="0.15">
      <c r="A279" s="67"/>
      <c r="B279" s="67"/>
      <c r="C279" s="67"/>
      <c r="D279" s="67"/>
      <c r="E279" s="67"/>
      <c r="F279" s="67"/>
      <c r="G279" s="67"/>
      <c r="H279" s="67"/>
      <c r="I279" s="67"/>
      <c r="J279" s="186"/>
      <c r="K279" s="186"/>
      <c r="L279" s="186"/>
      <c r="M279" s="186"/>
      <c r="N279" s="186"/>
      <c r="O279" s="186"/>
      <c r="P279" s="186"/>
      <c r="Q279" s="186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BG279" s="67"/>
      <c r="BH279" s="67"/>
      <c r="BI279" s="67"/>
      <c r="BJ279" s="67"/>
      <c r="BK279" s="67"/>
      <c r="BL279" s="67"/>
      <c r="BM279" s="67"/>
      <c r="BN279" s="67"/>
      <c r="BO279" s="67"/>
      <c r="BP279" s="67"/>
      <c r="BQ279" s="67"/>
    </row>
    <row r="280" spans="1:69" ht="12" customHeight="1" x14ac:dyDescent="0.15">
      <c r="A280" s="67"/>
      <c r="B280" s="67"/>
      <c r="C280" s="67"/>
      <c r="D280" s="67"/>
      <c r="E280" s="67"/>
      <c r="F280" s="67"/>
      <c r="G280" s="67"/>
      <c r="H280" s="67"/>
      <c r="I280" s="67"/>
      <c r="J280" s="186"/>
      <c r="K280" s="186"/>
      <c r="L280" s="186"/>
      <c r="M280" s="186"/>
      <c r="N280" s="186"/>
      <c r="O280" s="186"/>
      <c r="P280" s="186"/>
      <c r="Q280" s="186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BG280" s="67"/>
      <c r="BH280" s="67"/>
      <c r="BI280" s="67"/>
      <c r="BJ280" s="67"/>
      <c r="BK280" s="67"/>
      <c r="BL280" s="67"/>
      <c r="BM280" s="67"/>
      <c r="BN280" s="67"/>
      <c r="BO280" s="67"/>
      <c r="BP280" s="67"/>
      <c r="BQ280" s="67"/>
    </row>
    <row r="281" spans="1:69" ht="12" customHeight="1" x14ac:dyDescent="0.15">
      <c r="A281" s="67"/>
      <c r="B281" s="67"/>
      <c r="C281" s="67"/>
      <c r="D281" s="67"/>
      <c r="E281" s="67"/>
      <c r="F281" s="67"/>
      <c r="G281" s="67"/>
      <c r="H281" s="67"/>
      <c r="I281" s="67"/>
      <c r="J281" s="186"/>
      <c r="K281" s="186"/>
      <c r="L281" s="186"/>
      <c r="M281" s="186"/>
      <c r="N281" s="186"/>
      <c r="O281" s="186"/>
      <c r="P281" s="186"/>
      <c r="Q281" s="186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BG281" s="67"/>
      <c r="BH281" s="67"/>
      <c r="BI281" s="67"/>
      <c r="BJ281" s="67"/>
      <c r="BK281" s="67"/>
      <c r="BL281" s="67"/>
      <c r="BM281" s="67"/>
      <c r="BN281" s="67"/>
      <c r="BO281" s="67"/>
      <c r="BP281" s="67"/>
      <c r="BQ281" s="67"/>
    </row>
    <row r="282" spans="1:69" ht="12" customHeight="1" x14ac:dyDescent="0.15">
      <c r="A282" s="67"/>
      <c r="B282" s="67"/>
      <c r="C282" s="67"/>
      <c r="D282" s="67"/>
      <c r="E282" s="67"/>
      <c r="F282" s="67"/>
      <c r="G282" s="67"/>
      <c r="H282" s="214"/>
      <c r="I282" s="67"/>
      <c r="J282" s="186"/>
      <c r="K282" s="186"/>
      <c r="L282" s="186"/>
      <c r="M282" s="186"/>
      <c r="N282" s="186"/>
      <c r="O282" s="186"/>
      <c r="P282" s="186"/>
      <c r="Q282" s="186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BG282" s="67"/>
      <c r="BH282" s="67"/>
      <c r="BI282" s="67"/>
      <c r="BJ282" s="67"/>
      <c r="BK282" s="67"/>
      <c r="BL282" s="67"/>
      <c r="BM282" s="67"/>
      <c r="BN282" s="67"/>
      <c r="BO282" s="67"/>
      <c r="BP282" s="67"/>
      <c r="BQ282" s="67"/>
    </row>
    <row r="283" spans="1:69" ht="12" customHeight="1" x14ac:dyDescent="0.15">
      <c r="A283" s="67"/>
      <c r="B283" s="67"/>
      <c r="C283" s="67"/>
      <c r="D283" s="67"/>
      <c r="E283" s="67"/>
      <c r="F283" s="67"/>
      <c r="G283" s="67"/>
      <c r="H283" s="214"/>
      <c r="I283" s="67"/>
      <c r="J283" s="186"/>
      <c r="K283" s="186"/>
      <c r="L283" s="186"/>
      <c r="M283" s="186"/>
      <c r="N283" s="186"/>
      <c r="O283" s="186"/>
      <c r="P283" s="186"/>
      <c r="Q283" s="186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7"/>
      <c r="AJ283" s="67"/>
      <c r="AK283" s="67"/>
      <c r="AL283" s="67"/>
      <c r="AM283" s="67"/>
      <c r="BG283" s="67"/>
      <c r="BH283" s="67"/>
      <c r="BI283" s="67"/>
      <c r="BJ283" s="67"/>
      <c r="BK283" s="67"/>
      <c r="BL283" s="67"/>
      <c r="BM283" s="67"/>
      <c r="BN283" s="67"/>
      <c r="BO283" s="67"/>
      <c r="BP283" s="67"/>
      <c r="BQ283" s="67"/>
    </row>
    <row r="284" spans="1:69" ht="12" customHeight="1" x14ac:dyDescent="0.15">
      <c r="A284" s="67"/>
      <c r="B284" s="67"/>
      <c r="C284" s="67"/>
      <c r="D284" s="67"/>
      <c r="E284" s="67"/>
      <c r="F284" s="67"/>
      <c r="G284" s="67"/>
      <c r="H284" s="214"/>
      <c r="I284" s="67"/>
      <c r="J284" s="186"/>
      <c r="K284" s="186"/>
      <c r="L284" s="186"/>
      <c r="M284" s="186"/>
      <c r="N284" s="186"/>
      <c r="O284" s="186"/>
      <c r="P284" s="186"/>
      <c r="Q284" s="186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7"/>
      <c r="AJ284" s="67"/>
      <c r="AK284" s="67"/>
      <c r="AL284" s="67"/>
      <c r="AM284" s="67"/>
      <c r="BG284" s="67"/>
      <c r="BH284" s="67"/>
      <c r="BI284" s="67"/>
      <c r="BJ284" s="67"/>
      <c r="BK284" s="67"/>
      <c r="BL284" s="67"/>
      <c r="BM284" s="67"/>
      <c r="BN284" s="67"/>
      <c r="BO284" s="67"/>
      <c r="BP284" s="67"/>
      <c r="BQ284" s="67"/>
    </row>
    <row r="285" spans="1:69" ht="12" customHeight="1" x14ac:dyDescent="0.15">
      <c r="A285" s="67"/>
      <c r="B285" s="67"/>
      <c r="C285" s="67"/>
      <c r="D285" s="67"/>
      <c r="E285" s="67"/>
      <c r="F285" s="67"/>
      <c r="G285" s="67"/>
      <c r="H285" s="214"/>
      <c r="I285" s="67"/>
      <c r="J285" s="186"/>
      <c r="K285" s="186"/>
      <c r="L285" s="186"/>
      <c r="M285" s="186"/>
      <c r="N285" s="186"/>
      <c r="O285" s="186"/>
      <c r="P285" s="186"/>
      <c r="Q285" s="186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7"/>
      <c r="AJ285" s="67"/>
      <c r="AK285" s="67"/>
      <c r="AL285" s="67"/>
      <c r="AM285" s="67"/>
      <c r="BG285" s="67"/>
      <c r="BH285" s="67"/>
      <c r="BI285" s="67"/>
      <c r="BJ285" s="67"/>
      <c r="BK285" s="67"/>
      <c r="BL285" s="67"/>
      <c r="BM285" s="67"/>
      <c r="BN285" s="67"/>
      <c r="BO285" s="67"/>
      <c r="BP285" s="67"/>
      <c r="BQ285" s="67"/>
    </row>
    <row r="286" spans="1:69" ht="12" customHeight="1" x14ac:dyDescent="0.15">
      <c r="A286" s="67"/>
      <c r="B286" s="67"/>
      <c r="C286" s="67"/>
      <c r="D286" s="67"/>
      <c r="E286" s="67"/>
      <c r="F286" s="67"/>
      <c r="G286" s="67"/>
      <c r="H286" s="214"/>
      <c r="I286" s="67"/>
      <c r="J286" s="186"/>
      <c r="K286" s="186"/>
      <c r="L286" s="186"/>
      <c r="M286" s="186"/>
      <c r="N286" s="186"/>
      <c r="O286" s="186"/>
      <c r="P286" s="186"/>
      <c r="Q286" s="186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7"/>
      <c r="AJ286" s="67"/>
      <c r="AK286" s="67"/>
      <c r="AL286" s="67"/>
      <c r="AM286" s="67"/>
      <c r="BG286" s="67"/>
      <c r="BH286" s="67"/>
      <c r="BI286" s="67"/>
      <c r="BJ286" s="67"/>
      <c r="BK286" s="67"/>
      <c r="BL286" s="67"/>
      <c r="BM286" s="67"/>
      <c r="BN286" s="67"/>
      <c r="BO286" s="67"/>
      <c r="BP286" s="67"/>
      <c r="BQ286" s="67"/>
    </row>
    <row r="287" spans="1:69" ht="12" customHeight="1" x14ac:dyDescent="0.15">
      <c r="A287" s="67"/>
      <c r="B287" s="67"/>
      <c r="C287" s="67"/>
      <c r="D287" s="67"/>
      <c r="E287" s="67"/>
      <c r="F287" s="67"/>
      <c r="G287" s="67"/>
      <c r="H287" s="214"/>
      <c r="I287" s="67"/>
      <c r="J287" s="186"/>
      <c r="K287" s="186"/>
      <c r="L287" s="186"/>
      <c r="M287" s="186"/>
      <c r="N287" s="186"/>
      <c r="O287" s="186"/>
      <c r="P287" s="186"/>
      <c r="Q287" s="186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  <c r="AJ287" s="67"/>
      <c r="AK287" s="67"/>
      <c r="AL287" s="67"/>
      <c r="AM287" s="67"/>
      <c r="BG287" s="67"/>
      <c r="BH287" s="67"/>
      <c r="BI287" s="67"/>
      <c r="BJ287" s="67"/>
      <c r="BK287" s="67"/>
      <c r="BL287" s="67"/>
      <c r="BM287" s="67"/>
      <c r="BN287" s="67"/>
      <c r="BO287" s="67"/>
      <c r="BP287" s="67"/>
      <c r="BQ287" s="67"/>
    </row>
    <row r="288" spans="1:69" ht="12" customHeight="1" x14ac:dyDescent="0.15">
      <c r="A288" s="67"/>
      <c r="B288" s="67"/>
      <c r="C288" s="67"/>
      <c r="D288" s="67"/>
      <c r="E288" s="67"/>
      <c r="F288" s="67"/>
      <c r="G288" s="67"/>
      <c r="H288" s="67"/>
      <c r="I288" s="67"/>
      <c r="J288" s="186"/>
      <c r="K288" s="186"/>
      <c r="L288" s="186"/>
      <c r="M288" s="186"/>
      <c r="N288" s="186"/>
      <c r="O288" s="186"/>
      <c r="P288" s="186"/>
      <c r="Q288" s="186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  <c r="AJ288" s="67"/>
      <c r="AK288" s="67"/>
      <c r="AL288" s="67"/>
      <c r="AM288" s="67"/>
      <c r="BG288" s="67"/>
      <c r="BH288" s="67"/>
      <c r="BI288" s="67"/>
      <c r="BJ288" s="67"/>
      <c r="BK288" s="67"/>
      <c r="BL288" s="67"/>
      <c r="BM288" s="67"/>
      <c r="BN288" s="67"/>
      <c r="BO288" s="67"/>
      <c r="BP288" s="67"/>
      <c r="BQ288" s="67"/>
    </row>
    <row r="289" spans="1:69" ht="12" customHeight="1" x14ac:dyDescent="0.15">
      <c r="A289" s="67"/>
      <c r="B289" s="67"/>
      <c r="C289" s="67"/>
      <c r="D289" s="67"/>
      <c r="E289" s="67"/>
      <c r="F289" s="67"/>
      <c r="G289" s="67"/>
      <c r="H289" s="67"/>
      <c r="I289" s="67"/>
      <c r="J289" s="186"/>
      <c r="K289" s="186"/>
      <c r="L289" s="186"/>
      <c r="M289" s="186"/>
      <c r="N289" s="186"/>
      <c r="O289" s="186"/>
      <c r="P289" s="186"/>
      <c r="Q289" s="186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  <c r="BG289" s="67"/>
      <c r="BH289" s="67"/>
      <c r="BI289" s="67"/>
      <c r="BJ289" s="67"/>
      <c r="BK289" s="67"/>
      <c r="BL289" s="67"/>
      <c r="BM289" s="67"/>
      <c r="BN289" s="67"/>
      <c r="BO289" s="67"/>
      <c r="BP289" s="67"/>
      <c r="BQ289" s="67"/>
    </row>
    <row r="290" spans="1:69" ht="12" customHeight="1" x14ac:dyDescent="0.15">
      <c r="A290" s="67"/>
      <c r="B290" s="67"/>
      <c r="C290" s="67"/>
      <c r="D290" s="67"/>
      <c r="E290" s="67"/>
      <c r="F290" s="67"/>
      <c r="G290" s="67"/>
      <c r="H290" s="67"/>
      <c r="I290" s="67"/>
      <c r="J290" s="186"/>
      <c r="K290" s="186"/>
      <c r="L290" s="186"/>
      <c r="M290" s="186"/>
      <c r="N290" s="186"/>
      <c r="O290" s="186"/>
      <c r="P290" s="186"/>
      <c r="Q290" s="186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7"/>
      <c r="BG290" s="67"/>
      <c r="BH290" s="67"/>
      <c r="BI290" s="67"/>
      <c r="BJ290" s="67"/>
      <c r="BK290" s="67"/>
      <c r="BL290" s="67"/>
      <c r="BM290" s="67"/>
      <c r="BN290" s="67"/>
      <c r="BO290" s="67"/>
      <c r="BP290" s="67"/>
      <c r="BQ290" s="67"/>
    </row>
    <row r="291" spans="1:69" ht="12" customHeight="1" x14ac:dyDescent="0.15">
      <c r="A291" s="67"/>
      <c r="B291" s="67"/>
      <c r="C291" s="67"/>
      <c r="D291" s="67"/>
      <c r="E291" s="67"/>
      <c r="F291" s="67"/>
      <c r="G291" s="67"/>
      <c r="H291" s="67"/>
      <c r="I291" s="67"/>
      <c r="J291" s="186"/>
      <c r="K291" s="186"/>
      <c r="L291" s="186"/>
      <c r="M291" s="186"/>
      <c r="N291" s="186"/>
      <c r="O291" s="186"/>
      <c r="P291" s="186"/>
      <c r="Q291" s="186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  <c r="AC291" s="67"/>
      <c r="AD291" s="67"/>
      <c r="AE291" s="67"/>
      <c r="AF291" s="67"/>
      <c r="AG291" s="67"/>
      <c r="AH291" s="67"/>
      <c r="AI291" s="67"/>
      <c r="AJ291" s="67"/>
      <c r="AK291" s="67"/>
      <c r="AL291" s="67"/>
      <c r="AM291" s="67"/>
      <c r="BG291" s="67"/>
      <c r="BH291" s="67"/>
      <c r="BI291" s="67"/>
      <c r="BJ291" s="67"/>
      <c r="BK291" s="67"/>
      <c r="BL291" s="67"/>
      <c r="BM291" s="67"/>
      <c r="BN291" s="67"/>
      <c r="BO291" s="67"/>
      <c r="BP291" s="67"/>
      <c r="BQ291" s="67"/>
    </row>
    <row r="292" spans="1:69" ht="12" customHeight="1" x14ac:dyDescent="0.15">
      <c r="A292" s="67"/>
      <c r="B292" s="67"/>
      <c r="C292" s="67"/>
      <c r="D292" s="67"/>
      <c r="E292" s="67"/>
      <c r="F292" s="67"/>
      <c r="G292" s="67"/>
      <c r="H292" s="67"/>
      <c r="I292" s="67"/>
      <c r="J292" s="186"/>
      <c r="K292" s="186"/>
      <c r="L292" s="186"/>
      <c r="M292" s="186"/>
      <c r="N292" s="186"/>
      <c r="O292" s="186"/>
      <c r="P292" s="186"/>
      <c r="Q292" s="186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7"/>
      <c r="AJ292" s="67"/>
      <c r="AK292" s="67"/>
      <c r="AL292" s="67"/>
      <c r="AM292" s="67"/>
      <c r="BG292" s="67"/>
      <c r="BH292" s="67"/>
      <c r="BI292" s="67"/>
      <c r="BJ292" s="67"/>
      <c r="BK292" s="67"/>
      <c r="BL292" s="67"/>
      <c r="BM292" s="67"/>
      <c r="BN292" s="67"/>
      <c r="BO292" s="67"/>
      <c r="BP292" s="67"/>
      <c r="BQ292" s="67"/>
    </row>
    <row r="293" spans="1:69" ht="12" customHeight="1" x14ac:dyDescent="0.15">
      <c r="A293" s="67"/>
      <c r="B293" s="67"/>
      <c r="C293" s="67"/>
      <c r="D293" s="67"/>
      <c r="E293" s="67"/>
      <c r="F293" s="67"/>
      <c r="G293" s="67"/>
      <c r="H293" s="67"/>
      <c r="I293" s="67"/>
      <c r="J293" s="186"/>
      <c r="K293" s="186"/>
      <c r="L293" s="186"/>
      <c r="M293" s="186"/>
      <c r="N293" s="186"/>
      <c r="O293" s="186"/>
      <c r="P293" s="186"/>
      <c r="Q293" s="186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  <c r="AL293" s="67"/>
      <c r="AM293" s="67"/>
      <c r="BG293" s="67"/>
      <c r="BH293" s="67"/>
      <c r="BI293" s="67"/>
      <c r="BJ293" s="67"/>
      <c r="BK293" s="67"/>
      <c r="BL293" s="67"/>
      <c r="BM293" s="67"/>
      <c r="BN293" s="67"/>
      <c r="BO293" s="67"/>
      <c r="BP293" s="67"/>
      <c r="BQ293" s="67"/>
    </row>
    <row r="294" spans="1:69" ht="12" customHeight="1" x14ac:dyDescent="0.15">
      <c r="A294" s="67"/>
      <c r="B294" s="67"/>
      <c r="C294" s="67"/>
      <c r="D294" s="67"/>
      <c r="E294" s="67"/>
      <c r="F294" s="67"/>
      <c r="G294" s="67"/>
      <c r="H294" s="67"/>
      <c r="I294" s="67"/>
      <c r="J294" s="186"/>
      <c r="K294" s="186"/>
      <c r="L294" s="186"/>
      <c r="M294" s="186"/>
      <c r="N294" s="186"/>
      <c r="O294" s="186"/>
      <c r="P294" s="186"/>
      <c r="Q294" s="186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7"/>
      <c r="BG294" s="67"/>
      <c r="BH294" s="67"/>
      <c r="BI294" s="67"/>
      <c r="BJ294" s="67"/>
      <c r="BK294" s="67"/>
      <c r="BL294" s="67"/>
      <c r="BM294" s="67"/>
      <c r="BN294" s="67"/>
      <c r="BO294" s="67"/>
      <c r="BP294" s="67"/>
      <c r="BQ294" s="67"/>
    </row>
    <row r="295" spans="1:69" ht="12" customHeight="1" x14ac:dyDescent="0.15">
      <c r="A295" s="67"/>
      <c r="B295" s="67"/>
      <c r="C295" s="67"/>
      <c r="D295" s="67"/>
      <c r="E295" s="67"/>
      <c r="F295" s="67"/>
      <c r="G295" s="67"/>
      <c r="H295" s="67"/>
      <c r="I295" s="67"/>
      <c r="J295" s="186"/>
      <c r="K295" s="186"/>
      <c r="L295" s="186"/>
      <c r="M295" s="186"/>
      <c r="N295" s="186"/>
      <c r="O295" s="186"/>
      <c r="P295" s="186"/>
      <c r="Q295" s="186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BG295" s="67"/>
      <c r="BH295" s="67"/>
      <c r="BI295" s="67"/>
      <c r="BJ295" s="67"/>
      <c r="BK295" s="67"/>
      <c r="BL295" s="67"/>
      <c r="BM295" s="67"/>
      <c r="BN295" s="67"/>
      <c r="BO295" s="67"/>
      <c r="BP295" s="67"/>
      <c r="BQ295" s="67"/>
    </row>
    <row r="296" spans="1:69" ht="12" customHeight="1" x14ac:dyDescent="0.15">
      <c r="A296" s="67"/>
      <c r="B296" s="67"/>
      <c r="C296" s="67"/>
      <c r="D296" s="67"/>
      <c r="E296" s="67"/>
      <c r="F296" s="67"/>
      <c r="G296" s="67"/>
      <c r="H296" s="67"/>
      <c r="I296" s="67"/>
      <c r="J296" s="186"/>
      <c r="K296" s="186"/>
      <c r="L296" s="186"/>
      <c r="M296" s="186"/>
      <c r="N296" s="186"/>
      <c r="O296" s="186"/>
      <c r="P296" s="186"/>
      <c r="Q296" s="186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BG296" s="67"/>
      <c r="BH296" s="67"/>
      <c r="BI296" s="67"/>
      <c r="BJ296" s="67"/>
      <c r="BK296" s="67"/>
      <c r="BL296" s="67"/>
      <c r="BM296" s="67"/>
      <c r="BN296" s="67"/>
      <c r="BO296" s="67"/>
      <c r="BP296" s="67"/>
      <c r="BQ296" s="67"/>
    </row>
    <row r="297" spans="1:69" ht="12" customHeight="1" x14ac:dyDescent="0.15">
      <c r="A297" s="67"/>
      <c r="B297" s="67"/>
      <c r="C297" s="67"/>
      <c r="D297" s="67"/>
      <c r="E297" s="67"/>
      <c r="F297" s="67"/>
      <c r="G297" s="67"/>
      <c r="H297" s="67"/>
      <c r="I297" s="67"/>
      <c r="J297" s="186"/>
      <c r="K297" s="186"/>
      <c r="L297" s="186"/>
      <c r="M297" s="186"/>
      <c r="N297" s="186"/>
      <c r="O297" s="186"/>
      <c r="P297" s="186"/>
      <c r="Q297" s="186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BG297" s="67"/>
      <c r="BH297" s="67"/>
      <c r="BI297" s="67"/>
      <c r="BJ297" s="67"/>
      <c r="BK297" s="67"/>
      <c r="BL297" s="67"/>
      <c r="BM297" s="67"/>
      <c r="BN297" s="67"/>
      <c r="BO297" s="67"/>
      <c r="BP297" s="67"/>
      <c r="BQ297" s="67"/>
    </row>
    <row r="298" spans="1:69" ht="12" customHeight="1" x14ac:dyDescent="0.15">
      <c r="A298" s="67"/>
      <c r="B298" s="67"/>
      <c r="C298" s="67"/>
      <c r="D298" s="67"/>
      <c r="E298" s="67"/>
      <c r="F298" s="67"/>
      <c r="G298" s="67"/>
      <c r="H298" s="67"/>
      <c r="I298" s="67"/>
      <c r="J298" s="186"/>
      <c r="K298" s="186"/>
      <c r="L298" s="186"/>
      <c r="M298" s="186"/>
      <c r="N298" s="186"/>
      <c r="O298" s="186"/>
      <c r="P298" s="186"/>
      <c r="Q298" s="186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BG298" s="67"/>
      <c r="BH298" s="67"/>
      <c r="BI298" s="67"/>
      <c r="BJ298" s="67"/>
      <c r="BK298" s="67"/>
      <c r="BL298" s="67"/>
      <c r="BM298" s="67"/>
      <c r="BN298" s="67"/>
      <c r="BO298" s="67"/>
      <c r="BP298" s="67"/>
      <c r="BQ298" s="67"/>
    </row>
    <row r="299" spans="1:69" ht="12" customHeight="1" x14ac:dyDescent="0.15">
      <c r="A299" s="67"/>
      <c r="B299" s="67"/>
      <c r="C299" s="67"/>
      <c r="D299" s="67"/>
      <c r="E299" s="67"/>
      <c r="F299" s="67"/>
      <c r="G299" s="67"/>
      <c r="H299" s="67"/>
      <c r="I299" s="67"/>
      <c r="J299" s="186"/>
      <c r="K299" s="186"/>
      <c r="L299" s="186"/>
      <c r="M299" s="186"/>
      <c r="N299" s="186"/>
      <c r="O299" s="186"/>
      <c r="P299" s="186"/>
      <c r="Q299" s="186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BG299" s="67"/>
      <c r="BH299" s="67"/>
      <c r="BI299" s="67"/>
      <c r="BJ299" s="67"/>
      <c r="BK299" s="67"/>
      <c r="BL299" s="67"/>
      <c r="BM299" s="67"/>
      <c r="BN299" s="67"/>
      <c r="BO299" s="67"/>
      <c r="BP299" s="67"/>
      <c r="BQ299" s="67"/>
    </row>
    <row r="300" spans="1:69" ht="12" customHeight="1" x14ac:dyDescent="0.15">
      <c r="A300" s="67"/>
      <c r="B300" s="67"/>
      <c r="C300" s="67"/>
      <c r="D300" s="67"/>
      <c r="E300" s="67"/>
      <c r="F300" s="67"/>
      <c r="G300" s="67"/>
      <c r="H300" s="67"/>
      <c r="I300" s="67"/>
      <c r="J300" s="186"/>
      <c r="K300" s="186"/>
      <c r="L300" s="186"/>
      <c r="M300" s="186"/>
      <c r="N300" s="186"/>
      <c r="O300" s="186"/>
      <c r="P300" s="186"/>
      <c r="Q300" s="186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7"/>
      <c r="AJ300" s="67"/>
      <c r="AK300" s="67"/>
      <c r="AL300" s="67"/>
      <c r="AM300" s="67"/>
      <c r="BG300" s="67"/>
      <c r="BH300" s="67"/>
      <c r="BI300" s="67"/>
      <c r="BJ300" s="67"/>
      <c r="BK300" s="67"/>
      <c r="BL300" s="67"/>
      <c r="BM300" s="67"/>
      <c r="BN300" s="67"/>
      <c r="BO300" s="67"/>
      <c r="BP300" s="67"/>
      <c r="BQ300" s="67"/>
    </row>
    <row r="301" spans="1:69" ht="12" customHeight="1" x14ac:dyDescent="0.15">
      <c r="A301" s="67"/>
      <c r="B301" s="67"/>
      <c r="C301" s="67"/>
      <c r="D301" s="67"/>
      <c r="E301" s="67"/>
      <c r="F301" s="67"/>
      <c r="G301" s="67"/>
      <c r="H301" s="67"/>
      <c r="I301" s="67"/>
      <c r="J301" s="186"/>
      <c r="K301" s="186"/>
      <c r="L301" s="186"/>
      <c r="M301" s="186"/>
      <c r="N301" s="186"/>
      <c r="O301" s="186"/>
      <c r="P301" s="186"/>
      <c r="Q301" s="186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  <c r="AL301" s="67"/>
      <c r="AM301" s="67"/>
      <c r="BG301" s="67"/>
      <c r="BH301" s="67"/>
      <c r="BI301" s="67"/>
      <c r="BJ301" s="67"/>
      <c r="BK301" s="67"/>
      <c r="BL301" s="67"/>
      <c r="BM301" s="67"/>
      <c r="BN301" s="67"/>
      <c r="BO301" s="67"/>
      <c r="BP301" s="67"/>
      <c r="BQ301" s="67"/>
    </row>
    <row r="302" spans="1:69" ht="12" customHeight="1" x14ac:dyDescent="0.15">
      <c r="A302" s="67"/>
      <c r="B302" s="67"/>
      <c r="C302" s="67"/>
      <c r="D302" s="67"/>
      <c r="E302" s="67"/>
      <c r="F302" s="67"/>
      <c r="G302" s="67"/>
      <c r="H302" s="67"/>
      <c r="I302" s="67"/>
      <c r="J302" s="186"/>
      <c r="K302" s="186"/>
      <c r="L302" s="186"/>
      <c r="M302" s="186"/>
      <c r="N302" s="186"/>
      <c r="O302" s="186"/>
      <c r="P302" s="186"/>
      <c r="Q302" s="186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7"/>
      <c r="AJ302" s="67"/>
      <c r="AK302" s="67"/>
      <c r="AL302" s="67"/>
      <c r="AM302" s="67"/>
      <c r="BG302" s="67"/>
      <c r="BH302" s="67"/>
      <c r="BI302" s="67"/>
      <c r="BJ302" s="67"/>
      <c r="BK302" s="67"/>
      <c r="BL302" s="67"/>
      <c r="BM302" s="67"/>
      <c r="BN302" s="67"/>
      <c r="BO302" s="67"/>
      <c r="BP302" s="67"/>
      <c r="BQ302" s="67"/>
    </row>
    <row r="303" spans="1:69" ht="12" customHeight="1" x14ac:dyDescent="0.15">
      <c r="A303" s="67"/>
      <c r="B303" s="67"/>
      <c r="C303" s="67"/>
      <c r="D303" s="67"/>
      <c r="E303" s="67"/>
      <c r="F303" s="67"/>
      <c r="G303" s="67"/>
      <c r="H303" s="67"/>
      <c r="I303" s="67"/>
      <c r="J303" s="186"/>
      <c r="K303" s="186"/>
      <c r="L303" s="186"/>
      <c r="M303" s="186"/>
      <c r="N303" s="186"/>
      <c r="O303" s="186"/>
      <c r="P303" s="186"/>
      <c r="Q303" s="186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  <c r="AJ303" s="67"/>
      <c r="AK303" s="67"/>
      <c r="AL303" s="67"/>
      <c r="AM303" s="67"/>
      <c r="BG303" s="67"/>
      <c r="BH303" s="67"/>
      <c r="BI303" s="67"/>
      <c r="BJ303" s="67"/>
      <c r="BK303" s="67"/>
      <c r="BL303" s="67"/>
      <c r="BM303" s="67"/>
      <c r="BN303" s="67"/>
      <c r="BO303" s="67"/>
      <c r="BP303" s="67"/>
      <c r="BQ303" s="67"/>
    </row>
    <row r="304" spans="1:69" ht="12" customHeight="1" x14ac:dyDescent="0.15">
      <c r="A304" s="67"/>
      <c r="B304" s="67"/>
      <c r="C304" s="67"/>
      <c r="D304" s="67"/>
      <c r="E304" s="67"/>
      <c r="F304" s="67"/>
      <c r="G304" s="67"/>
      <c r="H304" s="67"/>
      <c r="I304" s="67"/>
      <c r="J304" s="186"/>
      <c r="K304" s="186"/>
      <c r="L304" s="186"/>
      <c r="M304" s="186"/>
      <c r="N304" s="186"/>
      <c r="O304" s="186"/>
      <c r="P304" s="186"/>
      <c r="Q304" s="186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/>
      <c r="AJ304" s="67"/>
      <c r="AK304" s="67"/>
      <c r="AL304" s="67"/>
      <c r="AM304" s="67"/>
      <c r="BG304" s="67"/>
      <c r="BH304" s="67"/>
      <c r="BI304" s="67"/>
      <c r="BJ304" s="67"/>
      <c r="BK304" s="67"/>
      <c r="BL304" s="67"/>
      <c r="BM304" s="67"/>
      <c r="BN304" s="67"/>
      <c r="BO304" s="67"/>
      <c r="BP304" s="67"/>
      <c r="BQ304" s="67"/>
    </row>
    <row r="305" spans="1:69" ht="12" customHeight="1" x14ac:dyDescent="0.15">
      <c r="A305" s="67"/>
      <c r="B305" s="67"/>
      <c r="C305" s="67"/>
      <c r="D305" s="67"/>
      <c r="E305" s="67"/>
      <c r="F305" s="67"/>
      <c r="G305" s="67"/>
      <c r="H305" s="67"/>
      <c r="I305" s="67"/>
      <c r="J305" s="186"/>
      <c r="K305" s="186"/>
      <c r="L305" s="186"/>
      <c r="M305" s="186"/>
      <c r="N305" s="186"/>
      <c r="O305" s="186"/>
      <c r="P305" s="186"/>
      <c r="Q305" s="186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67"/>
      <c r="BG305" s="67"/>
      <c r="BH305" s="67"/>
      <c r="BI305" s="67"/>
      <c r="BJ305" s="67"/>
      <c r="BK305" s="67"/>
      <c r="BL305" s="67"/>
      <c r="BM305" s="67"/>
      <c r="BN305" s="67"/>
      <c r="BO305" s="67"/>
      <c r="BP305" s="67"/>
      <c r="BQ305" s="67"/>
    </row>
    <row r="306" spans="1:69" ht="12" customHeight="1" x14ac:dyDescent="0.15">
      <c r="A306" s="67"/>
      <c r="B306" s="67"/>
      <c r="C306" s="67"/>
      <c r="D306" s="67"/>
      <c r="E306" s="67"/>
      <c r="F306" s="67"/>
      <c r="G306" s="67"/>
      <c r="H306" s="67"/>
      <c r="I306" s="67"/>
      <c r="J306" s="186"/>
      <c r="K306" s="186"/>
      <c r="L306" s="186"/>
      <c r="M306" s="186"/>
      <c r="N306" s="186"/>
      <c r="O306" s="186"/>
      <c r="P306" s="186"/>
      <c r="Q306" s="186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7"/>
      <c r="AJ306" s="67"/>
      <c r="AK306" s="67"/>
      <c r="AL306" s="67"/>
      <c r="AM306" s="67"/>
      <c r="BG306" s="67"/>
      <c r="BH306" s="67"/>
      <c r="BI306" s="67"/>
      <c r="BJ306" s="67"/>
      <c r="BK306" s="67"/>
      <c r="BL306" s="67"/>
      <c r="BM306" s="67"/>
      <c r="BN306" s="67"/>
      <c r="BO306" s="67"/>
      <c r="BP306" s="67"/>
      <c r="BQ306" s="67"/>
    </row>
    <row r="307" spans="1:69" ht="12" customHeight="1" x14ac:dyDescent="0.15">
      <c r="A307" s="67"/>
      <c r="B307" s="67"/>
      <c r="C307" s="67"/>
      <c r="D307" s="67"/>
      <c r="E307" s="67"/>
      <c r="F307" s="67"/>
      <c r="G307" s="67"/>
      <c r="H307" s="67"/>
      <c r="I307" s="67"/>
      <c r="J307" s="186"/>
      <c r="K307" s="186"/>
      <c r="L307" s="186"/>
      <c r="M307" s="186"/>
      <c r="N307" s="186"/>
      <c r="O307" s="186"/>
      <c r="P307" s="186"/>
      <c r="Q307" s="186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  <c r="AL307" s="67"/>
      <c r="AM307" s="67"/>
      <c r="BG307" s="67"/>
      <c r="BH307" s="67"/>
      <c r="BI307" s="67"/>
      <c r="BJ307" s="67"/>
      <c r="BK307" s="67"/>
      <c r="BL307" s="67"/>
      <c r="BM307" s="67"/>
      <c r="BN307" s="67"/>
      <c r="BO307" s="67"/>
      <c r="BP307" s="67"/>
      <c r="BQ307" s="67"/>
    </row>
    <row r="308" spans="1:69" ht="12" customHeight="1" x14ac:dyDescent="0.15">
      <c r="A308" s="67"/>
      <c r="B308" s="67"/>
      <c r="C308" s="67"/>
      <c r="D308" s="67"/>
      <c r="E308" s="67"/>
      <c r="F308" s="67"/>
      <c r="G308" s="67"/>
      <c r="H308" s="67"/>
      <c r="I308" s="67"/>
      <c r="J308" s="186"/>
      <c r="K308" s="186"/>
      <c r="L308" s="186"/>
      <c r="M308" s="186"/>
      <c r="N308" s="186"/>
      <c r="O308" s="186"/>
      <c r="P308" s="186"/>
      <c r="Q308" s="186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  <c r="AJ308" s="67"/>
      <c r="AK308" s="67"/>
      <c r="AL308" s="67"/>
      <c r="AM308" s="67"/>
      <c r="BG308" s="67"/>
      <c r="BH308" s="67"/>
      <c r="BI308" s="67"/>
      <c r="BJ308" s="67"/>
    </row>
    <row r="309" spans="1:69" ht="12" customHeight="1" x14ac:dyDescent="0.15">
      <c r="A309" s="67"/>
      <c r="B309" s="67"/>
      <c r="C309" s="67"/>
      <c r="D309" s="67"/>
      <c r="E309" s="67"/>
      <c r="F309" s="67"/>
      <c r="G309" s="67"/>
      <c r="H309" s="67"/>
      <c r="I309" s="67"/>
      <c r="J309" s="186"/>
      <c r="K309" s="186"/>
      <c r="L309" s="186"/>
      <c r="M309" s="186"/>
      <c r="N309" s="186"/>
      <c r="O309" s="186"/>
      <c r="P309" s="186"/>
      <c r="Q309" s="186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BG309" s="67"/>
      <c r="BH309" s="67"/>
      <c r="BI309" s="67"/>
      <c r="BJ309" s="67"/>
    </row>
    <row r="310" spans="1:69" ht="12" customHeight="1" x14ac:dyDescent="0.15">
      <c r="A310" s="67"/>
      <c r="B310" s="67"/>
      <c r="C310" s="67"/>
      <c r="D310" s="67"/>
      <c r="E310" s="67"/>
      <c r="F310" s="67"/>
      <c r="G310" s="67"/>
      <c r="H310" s="67"/>
      <c r="I310" s="67"/>
      <c r="J310" s="186"/>
      <c r="K310" s="186"/>
      <c r="L310" s="186"/>
      <c r="M310" s="186"/>
      <c r="N310" s="186"/>
      <c r="O310" s="186"/>
      <c r="P310" s="186"/>
      <c r="Q310" s="186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  <c r="AJ310" s="67"/>
      <c r="AK310" s="67"/>
      <c r="AL310" s="67"/>
      <c r="AM310" s="67"/>
      <c r="BG310" s="67"/>
      <c r="BH310" s="67"/>
      <c r="BI310" s="67"/>
      <c r="BJ310" s="67"/>
    </row>
    <row r="311" spans="1:69" ht="12" customHeight="1" x14ac:dyDescent="0.15">
      <c r="A311" s="67"/>
      <c r="B311" s="67"/>
      <c r="C311" s="67"/>
      <c r="D311" s="67"/>
      <c r="E311" s="67"/>
      <c r="F311" s="67"/>
      <c r="G311" s="67"/>
      <c r="H311" s="67"/>
      <c r="I311" s="67"/>
      <c r="J311" s="186"/>
      <c r="K311" s="186"/>
      <c r="L311" s="186"/>
      <c r="M311" s="186"/>
      <c r="N311" s="186"/>
      <c r="O311" s="186"/>
      <c r="P311" s="186"/>
      <c r="Q311" s="186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7"/>
      <c r="BG311" s="67"/>
      <c r="BH311" s="67"/>
      <c r="BI311" s="67"/>
      <c r="BJ311" s="67"/>
    </row>
    <row r="312" spans="1:69" ht="12" customHeight="1" x14ac:dyDescent="0.15">
      <c r="A312" s="67"/>
      <c r="B312" s="67"/>
      <c r="C312" s="67"/>
      <c r="D312" s="67"/>
      <c r="E312" s="67"/>
      <c r="F312" s="67"/>
      <c r="G312" s="67"/>
      <c r="H312" s="67"/>
      <c r="I312" s="67"/>
      <c r="J312" s="186"/>
      <c r="K312" s="186"/>
      <c r="L312" s="186"/>
      <c r="M312" s="186"/>
      <c r="N312" s="186"/>
      <c r="O312" s="186"/>
      <c r="P312" s="186"/>
      <c r="Q312" s="186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67"/>
      <c r="AE312" s="67"/>
      <c r="AF312" s="67"/>
      <c r="AG312" s="67"/>
      <c r="AH312" s="67"/>
      <c r="AI312" s="67"/>
      <c r="AJ312" s="67"/>
      <c r="AK312" s="67"/>
      <c r="AL312" s="67"/>
      <c r="AM312" s="67"/>
      <c r="BG312" s="67"/>
      <c r="BH312" s="67"/>
      <c r="BI312" s="67"/>
      <c r="BJ312" s="67"/>
    </row>
    <row r="313" spans="1:69" ht="12" customHeight="1" x14ac:dyDescent="0.15">
      <c r="A313" s="67"/>
      <c r="B313" s="67"/>
      <c r="C313" s="67"/>
      <c r="D313" s="67"/>
      <c r="E313" s="67"/>
      <c r="F313" s="67"/>
      <c r="G313" s="67"/>
      <c r="H313" s="67"/>
      <c r="I313" s="67"/>
      <c r="J313" s="186"/>
      <c r="K313" s="186"/>
      <c r="L313" s="186"/>
      <c r="M313" s="186"/>
      <c r="N313" s="186"/>
      <c r="O313" s="186"/>
      <c r="P313" s="186"/>
      <c r="Q313" s="186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67"/>
      <c r="AE313" s="67"/>
      <c r="AF313" s="67"/>
      <c r="AG313" s="67"/>
      <c r="AH313" s="67"/>
      <c r="AI313" s="67"/>
      <c r="AJ313" s="67"/>
      <c r="AK313" s="67"/>
      <c r="AL313" s="67"/>
      <c r="AM313" s="67"/>
    </row>
    <row r="314" spans="1:69" ht="12" customHeight="1" x14ac:dyDescent="0.15">
      <c r="A314" s="67"/>
      <c r="B314" s="67"/>
      <c r="C314" s="67"/>
      <c r="D314" s="67"/>
      <c r="E314" s="67"/>
      <c r="F314" s="67"/>
      <c r="G314" s="67"/>
      <c r="H314" s="67"/>
      <c r="I314" s="67"/>
      <c r="J314" s="186"/>
      <c r="K314" s="186"/>
      <c r="L314" s="186"/>
      <c r="M314" s="186"/>
      <c r="N314" s="186"/>
      <c r="O314" s="186"/>
      <c r="P314" s="186"/>
      <c r="Q314" s="186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  <c r="AJ314" s="67"/>
      <c r="AK314" s="67"/>
      <c r="AL314" s="67"/>
      <c r="AM314" s="67"/>
    </row>
    <row r="315" spans="1:69" ht="12" customHeight="1" x14ac:dyDescent="0.15">
      <c r="A315" s="67"/>
      <c r="B315" s="67"/>
      <c r="C315" s="67"/>
      <c r="D315" s="67"/>
      <c r="E315" s="67"/>
      <c r="F315" s="67"/>
      <c r="G315" s="67"/>
      <c r="H315" s="67"/>
      <c r="I315" s="67"/>
      <c r="J315" s="186"/>
      <c r="K315" s="186"/>
      <c r="L315" s="186"/>
      <c r="M315" s="186"/>
      <c r="N315" s="186"/>
      <c r="O315" s="186"/>
      <c r="P315" s="186"/>
      <c r="Q315" s="186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</row>
    <row r="316" spans="1:69" ht="12" customHeight="1" x14ac:dyDescent="0.15">
      <c r="A316" s="67"/>
      <c r="B316" s="67"/>
      <c r="C316" s="67"/>
      <c r="D316" s="67"/>
      <c r="E316" s="67"/>
      <c r="F316" s="67"/>
      <c r="G316" s="67"/>
      <c r="H316" s="67"/>
      <c r="I316" s="67"/>
      <c r="J316" s="186"/>
      <c r="K316" s="186"/>
      <c r="L316" s="186"/>
      <c r="M316" s="186"/>
      <c r="N316" s="186"/>
      <c r="O316" s="186"/>
      <c r="P316" s="186"/>
      <c r="Q316" s="186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</row>
    <row r="317" spans="1:69" ht="12" customHeight="1" x14ac:dyDescent="0.15">
      <c r="A317" s="67"/>
      <c r="B317" s="67"/>
      <c r="C317" s="67"/>
      <c r="D317" s="67"/>
      <c r="E317" s="67"/>
      <c r="F317" s="67"/>
      <c r="G317" s="67"/>
      <c r="H317" s="67"/>
      <c r="I317" s="67"/>
      <c r="J317" s="186"/>
      <c r="K317" s="186"/>
      <c r="L317" s="186"/>
      <c r="M317" s="186"/>
      <c r="N317" s="186"/>
      <c r="O317" s="186"/>
      <c r="P317" s="186"/>
      <c r="Q317" s="186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</row>
    <row r="318" spans="1:69" ht="12" customHeight="1" x14ac:dyDescent="0.15">
      <c r="A318" s="67"/>
      <c r="B318" s="67"/>
      <c r="C318" s="67"/>
      <c r="D318" s="67"/>
      <c r="E318" s="67"/>
      <c r="F318" s="67"/>
      <c r="G318" s="67"/>
      <c r="H318" s="67"/>
      <c r="I318" s="67"/>
      <c r="J318" s="186"/>
      <c r="K318" s="186"/>
      <c r="L318" s="186"/>
      <c r="M318" s="186"/>
      <c r="N318" s="186"/>
      <c r="O318" s="186"/>
      <c r="P318" s="186"/>
      <c r="Q318" s="186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</row>
    <row r="319" spans="1:69" ht="12" customHeight="1" x14ac:dyDescent="0.15">
      <c r="A319" s="67"/>
      <c r="B319" s="67"/>
      <c r="C319" s="67"/>
      <c r="D319" s="67"/>
      <c r="E319" s="67"/>
      <c r="F319" s="67"/>
      <c r="G319" s="67"/>
      <c r="H319" s="67"/>
      <c r="I319" s="67"/>
      <c r="J319" s="186"/>
      <c r="K319" s="186"/>
      <c r="L319" s="186"/>
      <c r="M319" s="186"/>
      <c r="N319" s="186"/>
      <c r="O319" s="186"/>
      <c r="P319" s="186"/>
      <c r="Q319" s="186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</row>
    <row r="320" spans="1:69" ht="12" customHeight="1" x14ac:dyDescent="0.15">
      <c r="A320" s="67"/>
      <c r="B320" s="67"/>
      <c r="C320" s="67"/>
      <c r="D320" s="67"/>
      <c r="E320" s="67"/>
      <c r="F320" s="67"/>
      <c r="G320" s="67"/>
      <c r="H320" s="67"/>
      <c r="I320" s="67"/>
      <c r="J320" s="186"/>
      <c r="K320" s="186"/>
      <c r="L320" s="186"/>
      <c r="M320" s="186"/>
      <c r="N320" s="186"/>
      <c r="O320" s="186"/>
      <c r="P320" s="186"/>
      <c r="Q320" s="186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</row>
    <row r="321" spans="1:39" ht="12" customHeight="1" x14ac:dyDescent="0.15">
      <c r="A321" s="67"/>
      <c r="B321" s="67"/>
      <c r="C321" s="67"/>
      <c r="D321" s="67"/>
      <c r="E321" s="67"/>
      <c r="F321" s="67"/>
      <c r="G321" s="67"/>
      <c r="H321" s="67"/>
      <c r="I321" s="67"/>
      <c r="J321" s="186"/>
      <c r="K321" s="186"/>
      <c r="L321" s="186"/>
      <c r="M321" s="186"/>
      <c r="N321" s="186"/>
      <c r="O321" s="186"/>
      <c r="P321" s="186"/>
      <c r="Q321" s="186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  <c r="AJ321" s="67"/>
      <c r="AK321" s="67"/>
      <c r="AL321" s="67"/>
      <c r="AM321" s="67"/>
    </row>
    <row r="322" spans="1:39" ht="12" customHeight="1" x14ac:dyDescent="0.15">
      <c r="A322" s="67"/>
      <c r="B322" s="67"/>
      <c r="C322" s="67"/>
      <c r="D322" s="67"/>
      <c r="E322" s="67"/>
      <c r="F322" s="67"/>
      <c r="G322" s="67"/>
      <c r="H322" s="67"/>
      <c r="I322" s="67"/>
      <c r="J322" s="186"/>
      <c r="K322" s="186"/>
      <c r="L322" s="186"/>
      <c r="M322" s="186"/>
      <c r="N322" s="186"/>
      <c r="O322" s="186"/>
      <c r="P322" s="186"/>
      <c r="Q322" s="186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7"/>
      <c r="AJ322" s="67"/>
      <c r="AK322" s="67"/>
      <c r="AL322" s="67"/>
      <c r="AM322" s="67"/>
    </row>
    <row r="323" spans="1:39" ht="12" customHeight="1" x14ac:dyDescent="0.15">
      <c r="A323" s="67"/>
      <c r="B323" s="67"/>
      <c r="C323" s="67"/>
      <c r="D323" s="67"/>
      <c r="E323" s="67"/>
      <c r="F323" s="67"/>
      <c r="G323" s="67"/>
      <c r="H323" s="67"/>
      <c r="I323" s="67"/>
      <c r="J323" s="186"/>
      <c r="K323" s="186"/>
      <c r="L323" s="186"/>
      <c r="M323" s="186"/>
      <c r="N323" s="186"/>
      <c r="O323" s="186"/>
      <c r="P323" s="186"/>
      <c r="Q323" s="186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  <c r="AJ323" s="67"/>
      <c r="AK323" s="67"/>
      <c r="AL323" s="67"/>
      <c r="AM323" s="67"/>
    </row>
    <row r="324" spans="1:39" ht="12" customHeight="1" x14ac:dyDescent="0.15">
      <c r="A324" s="67"/>
      <c r="B324" s="67"/>
      <c r="C324" s="67"/>
      <c r="D324" s="67"/>
      <c r="E324" s="67"/>
      <c r="F324" s="67"/>
      <c r="G324" s="67"/>
      <c r="H324" s="67"/>
      <c r="I324" s="67"/>
      <c r="J324" s="186"/>
      <c r="K324" s="186"/>
      <c r="L324" s="186"/>
      <c r="M324" s="186"/>
      <c r="N324" s="186"/>
      <c r="O324" s="186"/>
      <c r="P324" s="186"/>
      <c r="Q324" s="186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  <c r="AL324" s="67"/>
      <c r="AM324" s="67"/>
    </row>
    <row r="325" spans="1:39" ht="12" customHeight="1" x14ac:dyDescent="0.15">
      <c r="A325" s="67"/>
      <c r="B325" s="67"/>
      <c r="C325" s="67"/>
      <c r="D325" s="67"/>
      <c r="E325" s="67"/>
      <c r="F325" s="67"/>
      <c r="G325" s="67"/>
      <c r="H325" s="67"/>
      <c r="I325" s="67"/>
      <c r="J325" s="186"/>
      <c r="K325" s="186"/>
      <c r="L325" s="186"/>
      <c r="M325" s="186"/>
      <c r="N325" s="186"/>
      <c r="O325" s="186"/>
      <c r="P325" s="186"/>
      <c r="Q325" s="186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7"/>
    </row>
    <row r="326" spans="1:39" ht="12" customHeight="1" x14ac:dyDescent="0.15">
      <c r="A326" s="67"/>
      <c r="B326" s="67"/>
      <c r="C326" s="67"/>
      <c r="D326" s="67"/>
      <c r="E326" s="67"/>
      <c r="F326" s="67"/>
      <c r="G326" s="67"/>
      <c r="H326" s="67"/>
      <c r="I326" s="67"/>
      <c r="J326" s="186"/>
      <c r="K326" s="186"/>
      <c r="L326" s="186"/>
      <c r="M326" s="186"/>
      <c r="N326" s="186"/>
      <c r="O326" s="186"/>
      <c r="P326" s="186"/>
      <c r="Q326" s="186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  <c r="AL326" s="67"/>
      <c r="AM326" s="67"/>
    </row>
    <row r="327" spans="1:39" ht="12" customHeight="1" x14ac:dyDescent="0.15">
      <c r="A327" s="67"/>
      <c r="B327" s="67"/>
      <c r="C327" s="67"/>
      <c r="D327" s="67"/>
      <c r="E327" s="67"/>
      <c r="F327" s="67"/>
      <c r="G327" s="67"/>
      <c r="H327" s="67"/>
      <c r="I327" s="67"/>
      <c r="J327" s="186"/>
      <c r="K327" s="186"/>
      <c r="L327" s="186"/>
      <c r="M327" s="186"/>
      <c r="N327" s="186"/>
      <c r="O327" s="186"/>
      <c r="P327" s="186"/>
      <c r="Q327" s="186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  <c r="AJ327" s="67"/>
      <c r="AK327" s="67"/>
      <c r="AL327" s="67"/>
      <c r="AM327" s="67"/>
    </row>
    <row r="328" spans="1:39" ht="12" customHeight="1" x14ac:dyDescent="0.15">
      <c r="A328" s="67"/>
      <c r="B328" s="67"/>
      <c r="C328" s="67"/>
      <c r="D328" s="67"/>
      <c r="E328" s="67"/>
      <c r="F328" s="67"/>
      <c r="G328" s="67"/>
      <c r="H328" s="67"/>
      <c r="I328" s="67"/>
      <c r="J328" s="186"/>
      <c r="K328" s="186"/>
      <c r="L328" s="186"/>
      <c r="M328" s="186"/>
      <c r="N328" s="186"/>
      <c r="O328" s="186"/>
      <c r="P328" s="186"/>
      <c r="Q328" s="186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  <c r="AJ328" s="67"/>
      <c r="AK328" s="67"/>
      <c r="AL328" s="67"/>
      <c r="AM328" s="67"/>
    </row>
    <row r="329" spans="1:39" ht="12" customHeight="1" x14ac:dyDescent="0.15">
      <c r="A329" s="67"/>
      <c r="B329" s="67"/>
      <c r="C329" s="67"/>
      <c r="D329" s="67"/>
      <c r="E329" s="67"/>
      <c r="F329" s="67"/>
      <c r="G329" s="67"/>
      <c r="H329" s="67"/>
      <c r="I329" s="67"/>
      <c r="J329" s="186"/>
      <c r="K329" s="186"/>
      <c r="L329" s="186"/>
      <c r="M329" s="186"/>
      <c r="N329" s="186"/>
      <c r="O329" s="186"/>
      <c r="P329" s="186"/>
      <c r="Q329" s="186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  <c r="AL329" s="67"/>
      <c r="AM329" s="67"/>
    </row>
    <row r="330" spans="1:39" ht="12" customHeight="1" x14ac:dyDescent="0.15">
      <c r="A330" s="67"/>
      <c r="B330" s="67"/>
      <c r="C330" s="67"/>
      <c r="D330" s="67"/>
      <c r="E330" s="67"/>
      <c r="F330" s="67"/>
      <c r="G330" s="67"/>
      <c r="H330" s="67"/>
      <c r="I330" s="67"/>
      <c r="J330" s="186"/>
      <c r="K330" s="186"/>
      <c r="L330" s="186"/>
      <c r="M330" s="186"/>
      <c r="N330" s="186"/>
      <c r="O330" s="186"/>
      <c r="P330" s="186"/>
      <c r="Q330" s="186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7"/>
      <c r="AJ330" s="67"/>
      <c r="AK330" s="67"/>
      <c r="AL330" s="67"/>
      <c r="AM330" s="67"/>
    </row>
    <row r="331" spans="1:39" ht="12" customHeight="1" x14ac:dyDescent="0.15">
      <c r="A331" s="67"/>
      <c r="B331" s="67"/>
      <c r="C331" s="67"/>
      <c r="D331" s="67"/>
      <c r="E331" s="67"/>
      <c r="F331" s="67"/>
      <c r="G331" s="67"/>
      <c r="H331" s="67"/>
      <c r="I331" s="67"/>
      <c r="J331" s="186"/>
      <c r="K331" s="186"/>
      <c r="L331" s="186"/>
      <c r="M331" s="186"/>
      <c r="N331" s="186"/>
      <c r="O331" s="186"/>
      <c r="P331" s="186"/>
      <c r="Q331" s="186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7"/>
      <c r="AJ331" s="67"/>
      <c r="AK331" s="67"/>
      <c r="AL331" s="67"/>
      <c r="AM331" s="67"/>
    </row>
    <row r="332" spans="1:39" ht="12" customHeight="1" x14ac:dyDescent="0.15">
      <c r="A332" s="67"/>
      <c r="B332" s="67"/>
      <c r="C332" s="67"/>
      <c r="D332" s="67"/>
      <c r="E332" s="67"/>
      <c r="F332" s="67"/>
      <c r="G332" s="67"/>
      <c r="H332" s="67"/>
      <c r="I332" s="67"/>
      <c r="J332" s="186"/>
      <c r="K332" s="186"/>
      <c r="L332" s="186"/>
      <c r="M332" s="186"/>
      <c r="N332" s="186"/>
      <c r="O332" s="186"/>
      <c r="P332" s="186"/>
      <c r="Q332" s="186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67"/>
      <c r="AE332" s="67"/>
      <c r="AF332" s="67"/>
      <c r="AG332" s="67"/>
      <c r="AH332" s="67"/>
      <c r="AI332" s="67"/>
      <c r="AJ332" s="67"/>
      <c r="AK332" s="67"/>
      <c r="AL332" s="67"/>
      <c r="AM332" s="67"/>
    </row>
    <row r="333" spans="1:39" ht="12" customHeight="1" x14ac:dyDescent="0.15">
      <c r="A333" s="67"/>
      <c r="B333" s="67"/>
      <c r="C333" s="67"/>
      <c r="D333" s="67"/>
      <c r="E333" s="67"/>
      <c r="F333" s="67"/>
      <c r="G333" s="67"/>
      <c r="H333" s="67"/>
      <c r="I333" s="67"/>
      <c r="J333" s="186"/>
      <c r="K333" s="186"/>
      <c r="L333" s="186"/>
      <c r="M333" s="186"/>
      <c r="N333" s="186"/>
      <c r="O333" s="186"/>
      <c r="P333" s="186"/>
      <c r="Q333" s="186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7"/>
      <c r="AJ333" s="67"/>
      <c r="AK333" s="67"/>
      <c r="AL333" s="67"/>
      <c r="AM333" s="67"/>
    </row>
    <row r="334" spans="1:39" ht="12" customHeight="1" x14ac:dyDescent="0.15">
      <c r="A334" s="67"/>
      <c r="B334" s="67"/>
      <c r="C334" s="67"/>
      <c r="D334" s="67"/>
      <c r="E334" s="67"/>
      <c r="F334" s="67"/>
      <c r="G334" s="67"/>
      <c r="H334" s="67"/>
      <c r="I334" s="67"/>
      <c r="J334" s="186"/>
      <c r="K334" s="186"/>
      <c r="L334" s="186"/>
      <c r="M334" s="186"/>
      <c r="N334" s="186"/>
      <c r="O334" s="186"/>
      <c r="P334" s="186"/>
      <c r="Q334" s="186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7"/>
      <c r="AH334" s="67"/>
      <c r="AI334" s="67"/>
      <c r="AJ334" s="67"/>
      <c r="AK334" s="67"/>
      <c r="AL334" s="67"/>
      <c r="AM334" s="67"/>
    </row>
    <row r="335" spans="1:39" ht="12" customHeight="1" x14ac:dyDescent="0.15">
      <c r="A335" s="67"/>
      <c r="B335" s="67"/>
      <c r="C335" s="67"/>
      <c r="D335" s="67"/>
      <c r="E335" s="67"/>
      <c r="F335" s="67"/>
      <c r="G335" s="67"/>
      <c r="H335" s="67"/>
      <c r="I335" s="67"/>
      <c r="J335" s="186"/>
      <c r="K335" s="186"/>
      <c r="L335" s="186"/>
      <c r="M335" s="186"/>
      <c r="N335" s="186"/>
      <c r="O335" s="186"/>
      <c r="P335" s="186"/>
      <c r="Q335" s="186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7"/>
      <c r="AJ335" s="67"/>
      <c r="AK335" s="67"/>
      <c r="AL335" s="67"/>
      <c r="AM335" s="67"/>
    </row>
    <row r="336" spans="1:39" ht="12" customHeight="1" x14ac:dyDescent="0.15">
      <c r="A336" s="67"/>
      <c r="B336" s="67"/>
      <c r="C336" s="67"/>
      <c r="D336" s="67"/>
      <c r="E336" s="67"/>
      <c r="F336" s="67"/>
      <c r="G336" s="67"/>
      <c r="H336" s="67"/>
      <c r="I336" s="67"/>
      <c r="J336" s="186"/>
      <c r="K336" s="186"/>
      <c r="L336" s="186"/>
      <c r="M336" s="186"/>
      <c r="N336" s="186"/>
      <c r="O336" s="186"/>
      <c r="P336" s="186"/>
      <c r="Q336" s="186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67"/>
      <c r="AE336" s="67"/>
      <c r="AF336" s="67"/>
      <c r="AG336" s="67"/>
      <c r="AH336" s="67"/>
      <c r="AI336" s="67"/>
      <c r="AJ336" s="67"/>
      <c r="AK336" s="67"/>
      <c r="AL336" s="67"/>
      <c r="AM336" s="67"/>
    </row>
    <row r="337" spans="1:39" ht="12" customHeight="1" x14ac:dyDescent="0.15">
      <c r="A337" s="67"/>
      <c r="B337" s="67"/>
      <c r="C337" s="67"/>
      <c r="D337" s="67"/>
      <c r="E337" s="67"/>
      <c r="F337" s="67"/>
      <c r="G337" s="67"/>
      <c r="H337" s="67"/>
      <c r="I337" s="67"/>
      <c r="J337" s="186"/>
      <c r="K337" s="186"/>
      <c r="L337" s="186"/>
      <c r="M337" s="186"/>
      <c r="N337" s="186"/>
      <c r="O337" s="186"/>
      <c r="P337" s="186"/>
      <c r="Q337" s="186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  <c r="AJ337" s="67"/>
      <c r="AK337" s="67"/>
      <c r="AL337" s="67"/>
      <c r="AM337" s="67"/>
    </row>
    <row r="338" spans="1:39" ht="12" customHeight="1" x14ac:dyDescent="0.15">
      <c r="A338" s="67"/>
      <c r="B338" s="67"/>
      <c r="C338" s="67"/>
      <c r="D338" s="67"/>
      <c r="E338" s="67"/>
      <c r="F338" s="67"/>
      <c r="G338" s="67"/>
      <c r="H338" s="67"/>
      <c r="I338" s="67"/>
      <c r="J338" s="186"/>
      <c r="K338" s="186"/>
      <c r="L338" s="186"/>
      <c r="M338" s="186"/>
      <c r="N338" s="186"/>
      <c r="O338" s="186"/>
      <c r="P338" s="186"/>
      <c r="Q338" s="186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7"/>
    </row>
    <row r="339" spans="1:39" ht="12" customHeight="1" x14ac:dyDescent="0.15">
      <c r="A339" s="67"/>
      <c r="B339" s="67"/>
      <c r="C339" s="67"/>
      <c r="D339" s="67"/>
      <c r="E339" s="67"/>
      <c r="F339" s="67"/>
      <c r="G339" s="67"/>
      <c r="H339" s="67"/>
      <c r="I339" s="67"/>
      <c r="J339" s="186"/>
      <c r="K339" s="186"/>
      <c r="L339" s="186"/>
      <c r="M339" s="186"/>
      <c r="N339" s="186"/>
      <c r="O339" s="186"/>
      <c r="P339" s="186"/>
      <c r="Q339" s="186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</row>
    <row r="340" spans="1:39" ht="12" customHeight="1" x14ac:dyDescent="0.15">
      <c r="A340" s="67"/>
      <c r="B340" s="67"/>
      <c r="C340" s="67"/>
      <c r="D340" s="67"/>
      <c r="E340" s="67"/>
      <c r="F340" s="67"/>
      <c r="G340" s="67"/>
      <c r="H340" s="67"/>
      <c r="I340" s="67"/>
      <c r="J340" s="186"/>
      <c r="K340" s="186"/>
      <c r="L340" s="186"/>
      <c r="M340" s="186"/>
      <c r="N340" s="186"/>
      <c r="O340" s="186"/>
      <c r="P340" s="186"/>
      <c r="Q340" s="186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</row>
    <row r="341" spans="1:39" ht="12" customHeight="1" x14ac:dyDescent="0.15">
      <c r="A341" s="67"/>
      <c r="B341" s="67"/>
      <c r="C341" s="67"/>
      <c r="D341" s="67"/>
      <c r="E341" s="67"/>
      <c r="F341" s="67"/>
      <c r="G341" s="67"/>
      <c r="H341" s="67"/>
      <c r="I341" s="67"/>
      <c r="J341" s="186"/>
      <c r="K341" s="186"/>
      <c r="L341" s="186"/>
      <c r="M341" s="186"/>
      <c r="N341" s="186"/>
      <c r="O341" s="186"/>
      <c r="P341" s="186"/>
      <c r="Q341" s="186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</row>
    <row r="342" spans="1:39" ht="12" customHeight="1" x14ac:dyDescent="0.15">
      <c r="A342" s="67"/>
      <c r="B342" s="67"/>
      <c r="C342" s="67"/>
      <c r="D342" s="67"/>
      <c r="E342" s="67"/>
      <c r="F342" s="67"/>
      <c r="G342" s="67"/>
      <c r="H342" s="67"/>
      <c r="I342" s="67"/>
      <c r="J342" s="186"/>
      <c r="K342" s="186"/>
      <c r="L342" s="186"/>
      <c r="M342" s="186"/>
      <c r="N342" s="186"/>
      <c r="O342" s="186"/>
      <c r="P342" s="186"/>
      <c r="Q342" s="186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</row>
    <row r="343" spans="1:39" ht="12" customHeight="1" x14ac:dyDescent="0.15">
      <c r="A343" s="67"/>
      <c r="B343" s="67"/>
      <c r="C343" s="67"/>
      <c r="D343" s="67"/>
      <c r="E343" s="67"/>
      <c r="F343" s="67"/>
      <c r="G343" s="67"/>
      <c r="H343" s="67"/>
      <c r="I343" s="67"/>
      <c r="J343" s="186"/>
      <c r="K343" s="186"/>
      <c r="L343" s="186"/>
      <c r="M343" s="186"/>
      <c r="N343" s="186"/>
      <c r="O343" s="186"/>
      <c r="P343" s="186"/>
      <c r="Q343" s="186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</row>
    <row r="344" spans="1:39" ht="12" customHeight="1" x14ac:dyDescent="0.15">
      <c r="A344" s="67"/>
      <c r="B344" s="67"/>
      <c r="C344" s="67"/>
      <c r="D344" s="67"/>
      <c r="E344" s="67"/>
      <c r="F344" s="67"/>
      <c r="G344" s="67"/>
      <c r="H344" s="67"/>
      <c r="I344" s="67"/>
      <c r="J344" s="186"/>
      <c r="K344" s="186"/>
      <c r="L344" s="186"/>
      <c r="M344" s="186"/>
      <c r="N344" s="186"/>
      <c r="O344" s="186"/>
      <c r="P344" s="186"/>
      <c r="Q344" s="186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</row>
    <row r="345" spans="1:39" ht="12" customHeight="1" x14ac:dyDescent="0.15">
      <c r="A345" s="67"/>
      <c r="B345" s="67"/>
      <c r="C345" s="67"/>
      <c r="D345" s="67"/>
      <c r="E345" s="67"/>
      <c r="F345" s="67"/>
      <c r="G345" s="67"/>
      <c r="H345" s="67"/>
      <c r="I345" s="67"/>
      <c r="J345" s="186"/>
      <c r="K345" s="186"/>
      <c r="L345" s="186"/>
      <c r="M345" s="186"/>
      <c r="N345" s="186"/>
      <c r="O345" s="186"/>
      <c r="P345" s="186"/>
      <c r="Q345" s="186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</row>
    <row r="346" spans="1:39" ht="12" customHeight="1" x14ac:dyDescent="0.15">
      <c r="A346" s="67"/>
      <c r="B346" s="67"/>
      <c r="C346" s="67"/>
      <c r="D346" s="67"/>
      <c r="E346" s="67"/>
      <c r="F346" s="67"/>
      <c r="G346" s="67"/>
      <c r="H346" s="67"/>
      <c r="I346" s="67"/>
      <c r="J346" s="186"/>
      <c r="K346" s="186"/>
      <c r="L346" s="186"/>
      <c r="M346" s="186"/>
      <c r="N346" s="186"/>
      <c r="O346" s="186"/>
      <c r="P346" s="186"/>
      <c r="Q346" s="186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7"/>
      <c r="AJ346" s="67"/>
      <c r="AK346" s="67"/>
      <c r="AL346" s="67"/>
      <c r="AM346" s="67"/>
    </row>
    <row r="347" spans="1:39" ht="12" customHeight="1" x14ac:dyDescent="0.15">
      <c r="A347" s="67"/>
      <c r="B347" s="67"/>
      <c r="C347" s="67"/>
      <c r="D347" s="67"/>
      <c r="E347" s="67"/>
      <c r="F347" s="67"/>
      <c r="G347" s="67"/>
      <c r="H347" s="67"/>
      <c r="I347" s="67"/>
      <c r="J347" s="186"/>
      <c r="K347" s="186"/>
      <c r="L347" s="186"/>
      <c r="M347" s="186"/>
      <c r="N347" s="186"/>
      <c r="O347" s="186"/>
      <c r="P347" s="186"/>
      <c r="Q347" s="186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7"/>
      <c r="AJ347" s="67"/>
      <c r="AK347" s="67"/>
      <c r="AL347" s="67"/>
      <c r="AM347" s="67"/>
    </row>
    <row r="348" spans="1:39" ht="12" customHeight="1" x14ac:dyDescent="0.15">
      <c r="A348" s="67"/>
      <c r="B348" s="67"/>
      <c r="C348" s="67"/>
      <c r="D348" s="67"/>
      <c r="E348" s="67"/>
      <c r="F348" s="67"/>
      <c r="G348" s="67"/>
      <c r="H348" s="67"/>
      <c r="I348" s="67"/>
      <c r="J348" s="186"/>
      <c r="K348" s="186"/>
      <c r="L348" s="186"/>
      <c r="M348" s="186"/>
      <c r="N348" s="186"/>
      <c r="O348" s="186"/>
      <c r="P348" s="186"/>
      <c r="Q348" s="186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  <c r="AC348" s="67"/>
      <c r="AD348" s="67"/>
      <c r="AE348" s="67"/>
      <c r="AF348" s="67"/>
      <c r="AG348" s="67"/>
      <c r="AH348" s="67"/>
      <c r="AI348" s="67"/>
      <c r="AJ348" s="67"/>
      <c r="AK348" s="67"/>
      <c r="AL348" s="67"/>
      <c r="AM348" s="67"/>
    </row>
    <row r="349" spans="1:39" ht="12" customHeight="1" x14ac:dyDescent="0.15">
      <c r="A349" s="67"/>
      <c r="B349" s="67"/>
      <c r="C349" s="67"/>
      <c r="D349" s="67"/>
      <c r="E349" s="67"/>
      <c r="F349" s="67"/>
      <c r="G349" s="67"/>
      <c r="H349" s="67"/>
      <c r="I349" s="67"/>
      <c r="J349" s="186"/>
      <c r="K349" s="186"/>
      <c r="L349" s="186"/>
      <c r="M349" s="186"/>
      <c r="N349" s="186"/>
      <c r="O349" s="186"/>
      <c r="P349" s="186"/>
      <c r="Q349" s="186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  <c r="AD349" s="67"/>
      <c r="AE349" s="67"/>
      <c r="AF349" s="67"/>
      <c r="AG349" s="67"/>
      <c r="AH349" s="67"/>
      <c r="AI349" s="67"/>
      <c r="AJ349" s="67"/>
      <c r="AK349" s="67"/>
      <c r="AL349" s="67"/>
      <c r="AM349" s="67"/>
    </row>
    <row r="350" spans="1:39" ht="12" customHeight="1" x14ac:dyDescent="0.15">
      <c r="A350" s="67"/>
      <c r="B350" s="67"/>
      <c r="C350" s="67"/>
      <c r="D350" s="67"/>
      <c r="E350" s="67"/>
      <c r="F350" s="67"/>
      <c r="G350" s="67"/>
      <c r="H350" s="67"/>
      <c r="I350" s="67"/>
      <c r="J350" s="186"/>
      <c r="K350" s="186"/>
      <c r="L350" s="186"/>
      <c r="M350" s="186"/>
      <c r="N350" s="186"/>
      <c r="O350" s="186"/>
      <c r="P350" s="186"/>
      <c r="Q350" s="186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  <c r="AL350" s="67"/>
      <c r="AM350" s="67"/>
    </row>
    <row r="351" spans="1:39" ht="12" customHeight="1" x14ac:dyDescent="0.15">
      <c r="A351" s="67"/>
      <c r="B351" s="67"/>
      <c r="C351" s="67"/>
      <c r="D351" s="67"/>
      <c r="E351" s="67"/>
      <c r="F351" s="67"/>
      <c r="G351" s="67"/>
      <c r="H351" s="67"/>
      <c r="I351" s="67"/>
      <c r="J351" s="186"/>
      <c r="K351" s="186"/>
      <c r="L351" s="186"/>
      <c r="M351" s="186"/>
      <c r="N351" s="186"/>
      <c r="O351" s="186"/>
      <c r="P351" s="186"/>
      <c r="Q351" s="186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</row>
    <row r="352" spans="1:39" ht="12" customHeight="1" x14ac:dyDescent="0.15">
      <c r="A352" s="67"/>
      <c r="B352" s="67"/>
      <c r="C352" s="67"/>
      <c r="D352" s="67"/>
      <c r="E352" s="67"/>
      <c r="F352" s="67"/>
      <c r="G352" s="67"/>
      <c r="H352" s="67"/>
      <c r="I352" s="67"/>
      <c r="J352" s="186"/>
      <c r="K352" s="186"/>
      <c r="L352" s="186"/>
      <c r="M352" s="186"/>
      <c r="N352" s="186"/>
      <c r="O352" s="186"/>
      <c r="P352" s="186"/>
      <c r="Q352" s="186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</row>
    <row r="353" spans="1:39" ht="12" customHeight="1" x14ac:dyDescent="0.15">
      <c r="A353" s="67"/>
      <c r="B353" s="67"/>
      <c r="C353" s="67"/>
      <c r="D353" s="67"/>
      <c r="E353" s="67"/>
      <c r="F353" s="67"/>
      <c r="G353" s="67"/>
      <c r="H353" s="67"/>
      <c r="I353" s="67"/>
      <c r="J353" s="186"/>
      <c r="K353" s="186"/>
      <c r="L353" s="186"/>
      <c r="M353" s="186"/>
      <c r="N353" s="186"/>
      <c r="O353" s="186"/>
      <c r="P353" s="186"/>
      <c r="Q353" s="186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  <c r="AL353" s="67"/>
      <c r="AM353" s="67"/>
    </row>
    <row r="354" spans="1:39" ht="12" customHeight="1" x14ac:dyDescent="0.15">
      <c r="A354" s="67"/>
      <c r="B354" s="67"/>
      <c r="C354" s="67"/>
      <c r="D354" s="67"/>
      <c r="E354" s="67"/>
      <c r="F354" s="67"/>
      <c r="G354" s="67"/>
      <c r="H354" s="67"/>
      <c r="I354" s="67"/>
      <c r="J354" s="186"/>
      <c r="K354" s="186"/>
      <c r="L354" s="186"/>
      <c r="M354" s="186"/>
      <c r="N354" s="186"/>
      <c r="O354" s="186"/>
      <c r="P354" s="186"/>
      <c r="Q354" s="186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  <c r="AL354" s="67"/>
      <c r="AM354" s="67"/>
    </row>
    <row r="355" spans="1:39" ht="12" customHeight="1" x14ac:dyDescent="0.15">
      <c r="A355" s="67"/>
      <c r="B355" s="67"/>
      <c r="C355" s="67"/>
      <c r="D355" s="67"/>
      <c r="E355" s="67"/>
      <c r="F355" s="67"/>
      <c r="G355" s="67"/>
      <c r="H355" s="67"/>
      <c r="I355" s="67"/>
      <c r="J355" s="186"/>
      <c r="K355" s="186"/>
      <c r="L355" s="186"/>
      <c r="M355" s="186"/>
      <c r="N355" s="186"/>
      <c r="O355" s="186"/>
      <c r="P355" s="186"/>
      <c r="Q355" s="186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</row>
    <row r="356" spans="1:39" ht="12" customHeight="1" x14ac:dyDescent="0.15">
      <c r="A356" s="67"/>
      <c r="B356" s="67"/>
      <c r="C356" s="67"/>
      <c r="D356" s="67"/>
      <c r="E356" s="67"/>
      <c r="F356" s="67"/>
      <c r="G356" s="67"/>
      <c r="H356" s="67"/>
      <c r="I356" s="67"/>
      <c r="J356" s="186"/>
      <c r="K356" s="186"/>
      <c r="L356" s="186"/>
      <c r="M356" s="186"/>
      <c r="N356" s="186"/>
      <c r="O356" s="186"/>
      <c r="P356" s="186"/>
      <c r="Q356" s="186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  <c r="AL356" s="67"/>
      <c r="AM356" s="67"/>
    </row>
    <row r="357" spans="1:39" ht="12" customHeight="1" x14ac:dyDescent="0.15">
      <c r="A357" s="67"/>
      <c r="B357" s="67"/>
      <c r="C357" s="67"/>
      <c r="D357" s="67"/>
      <c r="E357" s="67"/>
      <c r="F357" s="67"/>
      <c r="G357" s="67"/>
      <c r="H357" s="67"/>
      <c r="I357" s="67"/>
      <c r="J357" s="186"/>
      <c r="K357" s="186"/>
      <c r="L357" s="186"/>
      <c r="M357" s="186"/>
      <c r="N357" s="186"/>
      <c r="O357" s="186"/>
      <c r="P357" s="186"/>
      <c r="Q357" s="186"/>
      <c r="R357" s="67"/>
      <c r="S357" s="67"/>
      <c r="T357" s="67"/>
      <c r="U357" s="67"/>
      <c r="V357" s="67"/>
      <c r="W357" s="67"/>
      <c r="X357" s="67"/>
      <c r="Y357" s="67"/>
      <c r="Z357" s="67"/>
      <c r="AA357" s="67"/>
      <c r="AB357" s="67"/>
      <c r="AC357" s="67"/>
      <c r="AD357" s="67"/>
      <c r="AE357" s="67"/>
      <c r="AF357" s="67"/>
      <c r="AG357" s="67"/>
      <c r="AH357" s="67"/>
      <c r="AI357" s="67"/>
      <c r="AJ357" s="67"/>
      <c r="AK357" s="67"/>
      <c r="AL357" s="67"/>
      <c r="AM357" s="67"/>
    </row>
    <row r="358" spans="1:39" ht="12" customHeight="1" x14ac:dyDescent="0.15">
      <c r="A358" s="67"/>
      <c r="B358" s="67"/>
      <c r="C358" s="67"/>
      <c r="D358" s="67"/>
      <c r="E358" s="67"/>
      <c r="F358" s="67"/>
      <c r="G358" s="67"/>
      <c r="H358" s="67"/>
      <c r="I358" s="67"/>
      <c r="J358" s="186"/>
      <c r="K358" s="186"/>
      <c r="L358" s="186"/>
      <c r="M358" s="186"/>
      <c r="N358" s="186"/>
      <c r="O358" s="186"/>
      <c r="P358" s="186"/>
      <c r="Q358" s="186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</row>
    <row r="359" spans="1:39" ht="12" customHeight="1" x14ac:dyDescent="0.15">
      <c r="A359" s="67"/>
      <c r="B359" s="67"/>
      <c r="C359" s="67"/>
      <c r="D359" s="67"/>
      <c r="E359" s="67"/>
      <c r="F359" s="67"/>
      <c r="G359" s="67"/>
      <c r="H359" s="67"/>
      <c r="I359" s="67"/>
      <c r="J359" s="186"/>
      <c r="K359" s="186"/>
      <c r="L359" s="186"/>
      <c r="M359" s="186"/>
      <c r="N359" s="186"/>
      <c r="O359" s="186"/>
      <c r="P359" s="186"/>
      <c r="Q359" s="186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</row>
    <row r="360" spans="1:39" ht="12" customHeight="1" x14ac:dyDescent="0.15">
      <c r="A360" s="67"/>
      <c r="B360" s="67"/>
      <c r="C360" s="67"/>
      <c r="D360" s="67"/>
      <c r="E360" s="67"/>
      <c r="F360" s="67"/>
      <c r="G360" s="67"/>
      <c r="H360" s="67"/>
      <c r="I360" s="67"/>
      <c r="J360" s="186"/>
      <c r="K360" s="186"/>
      <c r="L360" s="186"/>
      <c r="M360" s="186"/>
      <c r="N360" s="186"/>
      <c r="O360" s="186"/>
      <c r="P360" s="186"/>
      <c r="Q360" s="186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</row>
    <row r="361" spans="1:39" ht="12" customHeight="1" x14ac:dyDescent="0.15">
      <c r="A361" s="67"/>
      <c r="B361" s="67"/>
      <c r="C361" s="67"/>
      <c r="D361" s="67"/>
      <c r="E361" s="67"/>
      <c r="F361" s="67"/>
      <c r="G361" s="67"/>
      <c r="H361" s="67"/>
      <c r="I361" s="67"/>
      <c r="J361" s="186"/>
      <c r="K361" s="186"/>
      <c r="L361" s="186"/>
      <c r="M361" s="186"/>
      <c r="N361" s="186"/>
      <c r="O361" s="186"/>
      <c r="P361" s="186"/>
      <c r="Q361" s="186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7"/>
      <c r="AJ361" s="67"/>
      <c r="AK361" s="67"/>
      <c r="AL361" s="67"/>
      <c r="AM361" s="67"/>
    </row>
    <row r="362" spans="1:39" ht="12" customHeight="1" x14ac:dyDescent="0.15">
      <c r="A362" s="67"/>
      <c r="B362" s="67"/>
      <c r="C362" s="67"/>
      <c r="D362" s="67"/>
      <c r="E362" s="67"/>
      <c r="F362" s="67"/>
      <c r="G362" s="67"/>
      <c r="H362" s="67"/>
      <c r="I362" s="67"/>
      <c r="J362" s="186"/>
      <c r="K362" s="186"/>
      <c r="L362" s="186"/>
      <c r="M362" s="186"/>
      <c r="N362" s="186"/>
      <c r="O362" s="186"/>
      <c r="P362" s="186"/>
      <c r="Q362" s="186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</row>
    <row r="363" spans="1:39" ht="12" customHeight="1" x14ac:dyDescent="0.15">
      <c r="A363" s="67"/>
      <c r="B363" s="67"/>
      <c r="C363" s="67"/>
      <c r="D363" s="67"/>
      <c r="E363" s="67"/>
      <c r="F363" s="67"/>
      <c r="G363" s="67"/>
      <c r="H363" s="67"/>
      <c r="I363" s="67"/>
      <c r="J363" s="186"/>
      <c r="K363" s="186"/>
      <c r="L363" s="186"/>
      <c r="M363" s="186"/>
      <c r="N363" s="186"/>
      <c r="O363" s="186"/>
      <c r="P363" s="186"/>
      <c r="Q363" s="186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</row>
    <row r="364" spans="1:39" ht="12" customHeight="1" x14ac:dyDescent="0.15">
      <c r="A364" s="67"/>
      <c r="B364" s="67"/>
      <c r="C364" s="67"/>
      <c r="D364" s="67"/>
      <c r="E364" s="67"/>
      <c r="F364" s="67"/>
      <c r="G364" s="67"/>
      <c r="H364" s="67"/>
      <c r="I364" s="67"/>
      <c r="J364" s="186"/>
      <c r="K364" s="186"/>
      <c r="L364" s="186"/>
      <c r="M364" s="186"/>
      <c r="N364" s="186"/>
      <c r="O364" s="186"/>
      <c r="P364" s="186"/>
      <c r="Q364" s="186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  <c r="AJ364" s="67"/>
      <c r="AK364" s="67"/>
      <c r="AL364" s="67"/>
      <c r="AM364" s="67"/>
    </row>
    <row r="365" spans="1:39" ht="12" customHeight="1" x14ac:dyDescent="0.15">
      <c r="A365" s="67"/>
      <c r="B365" s="67"/>
      <c r="C365" s="67"/>
      <c r="D365" s="67"/>
      <c r="E365" s="67"/>
      <c r="F365" s="67"/>
      <c r="G365" s="67"/>
      <c r="H365" s="67"/>
      <c r="I365" s="67"/>
      <c r="J365" s="186"/>
      <c r="K365" s="186"/>
      <c r="L365" s="186"/>
      <c r="M365" s="186"/>
      <c r="N365" s="186"/>
      <c r="O365" s="186"/>
      <c r="P365" s="186"/>
      <c r="Q365" s="186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</row>
    <row r="366" spans="1:39" ht="12" customHeight="1" x14ac:dyDescent="0.15">
      <c r="A366" s="67"/>
      <c r="B366" s="67"/>
      <c r="C366" s="67"/>
      <c r="D366" s="67"/>
      <c r="E366" s="67"/>
      <c r="F366" s="67"/>
      <c r="G366" s="67"/>
      <c r="H366" s="67"/>
      <c r="I366" s="67"/>
      <c r="J366" s="186"/>
      <c r="K366" s="186"/>
      <c r="L366" s="186"/>
      <c r="M366" s="186"/>
      <c r="N366" s="186"/>
      <c r="O366" s="186"/>
      <c r="P366" s="186"/>
      <c r="Q366" s="186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</row>
    <row r="367" spans="1:39" ht="12" customHeight="1" x14ac:dyDescent="0.15">
      <c r="A367" s="67"/>
      <c r="B367" s="67"/>
      <c r="C367" s="67"/>
      <c r="D367" s="67"/>
      <c r="E367" s="67"/>
      <c r="F367" s="67"/>
      <c r="G367" s="67"/>
      <c r="H367" s="67"/>
      <c r="I367" s="67"/>
      <c r="J367" s="186"/>
      <c r="K367" s="186"/>
      <c r="L367" s="186"/>
      <c r="M367" s="186"/>
      <c r="N367" s="186"/>
      <c r="O367" s="186"/>
      <c r="P367" s="186"/>
      <c r="Q367" s="186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</row>
    <row r="368" spans="1:39" ht="12" customHeight="1" x14ac:dyDescent="0.15">
      <c r="A368" s="67"/>
      <c r="B368" s="67"/>
      <c r="C368" s="67"/>
      <c r="D368" s="67"/>
      <c r="E368" s="67"/>
      <c r="F368" s="67"/>
      <c r="G368" s="67"/>
      <c r="H368" s="67"/>
      <c r="I368" s="67"/>
      <c r="J368" s="186"/>
      <c r="K368" s="186"/>
      <c r="L368" s="186"/>
      <c r="M368" s="186"/>
      <c r="N368" s="186"/>
      <c r="O368" s="186"/>
      <c r="P368" s="186"/>
      <c r="Q368" s="186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</row>
    <row r="369" spans="1:39" ht="12" customHeight="1" x14ac:dyDescent="0.15">
      <c r="A369" s="67"/>
      <c r="B369" s="67"/>
      <c r="C369" s="67"/>
      <c r="D369" s="67"/>
      <c r="E369" s="67"/>
      <c r="F369" s="67"/>
      <c r="G369" s="67"/>
      <c r="H369" s="67"/>
      <c r="I369" s="67"/>
      <c r="J369" s="186"/>
      <c r="K369" s="186"/>
      <c r="L369" s="186"/>
      <c r="M369" s="186"/>
      <c r="N369" s="186"/>
      <c r="O369" s="186"/>
      <c r="P369" s="186"/>
      <c r="Q369" s="186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</row>
    <row r="370" spans="1:39" ht="12" customHeight="1" x14ac:dyDescent="0.15">
      <c r="A370" s="67"/>
      <c r="B370" s="67"/>
      <c r="C370" s="67"/>
      <c r="D370" s="67"/>
      <c r="E370" s="67"/>
      <c r="F370" s="67"/>
      <c r="G370" s="67"/>
      <c r="H370" s="67"/>
      <c r="I370" s="67"/>
      <c r="J370" s="186"/>
      <c r="K370" s="186"/>
      <c r="L370" s="186"/>
      <c r="M370" s="186"/>
      <c r="N370" s="186"/>
      <c r="O370" s="186"/>
      <c r="P370" s="186"/>
      <c r="Q370" s="186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</row>
    <row r="371" spans="1:39" ht="12" customHeight="1" x14ac:dyDescent="0.15">
      <c r="A371" s="67"/>
      <c r="B371" s="67"/>
      <c r="C371" s="67"/>
      <c r="D371" s="67"/>
      <c r="E371" s="67"/>
      <c r="F371" s="67"/>
      <c r="G371" s="67"/>
      <c r="H371" s="67"/>
      <c r="I371" s="67"/>
      <c r="J371" s="186"/>
      <c r="K371" s="186"/>
      <c r="L371" s="186"/>
      <c r="M371" s="186"/>
      <c r="N371" s="186"/>
      <c r="O371" s="186"/>
      <c r="P371" s="186"/>
      <c r="Q371" s="186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  <c r="AD371" s="67"/>
      <c r="AE371" s="67"/>
      <c r="AF371" s="67"/>
      <c r="AG371" s="67"/>
      <c r="AH371" s="67"/>
      <c r="AI371" s="67"/>
      <c r="AJ371" s="67"/>
      <c r="AK371" s="67"/>
      <c r="AL371" s="67"/>
      <c r="AM371" s="67"/>
    </row>
    <row r="372" spans="1:39" ht="12" customHeight="1" x14ac:dyDescent="0.15">
      <c r="A372" s="67"/>
      <c r="B372" s="67"/>
      <c r="C372" s="67"/>
      <c r="D372" s="67"/>
      <c r="E372" s="67"/>
      <c r="F372" s="67"/>
      <c r="G372" s="67"/>
      <c r="H372" s="67"/>
      <c r="I372" s="67"/>
      <c r="J372" s="186"/>
      <c r="K372" s="186"/>
      <c r="L372" s="186"/>
      <c r="M372" s="186"/>
      <c r="N372" s="186"/>
      <c r="O372" s="186"/>
      <c r="P372" s="186"/>
      <c r="Q372" s="186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</row>
    <row r="373" spans="1:39" ht="12" customHeight="1" x14ac:dyDescent="0.15">
      <c r="A373" s="67"/>
      <c r="B373" s="67"/>
      <c r="C373" s="67"/>
      <c r="D373" s="67"/>
      <c r="E373" s="67"/>
      <c r="F373" s="67"/>
      <c r="G373" s="67"/>
      <c r="H373" s="67"/>
      <c r="I373" s="67"/>
      <c r="J373" s="186"/>
      <c r="K373" s="186"/>
      <c r="L373" s="186"/>
      <c r="M373" s="186"/>
      <c r="N373" s="186"/>
      <c r="O373" s="186"/>
      <c r="P373" s="186"/>
      <c r="Q373" s="186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</row>
    <row r="374" spans="1:39" ht="12" customHeight="1" x14ac:dyDescent="0.15">
      <c r="A374" s="67"/>
      <c r="B374" s="67"/>
      <c r="C374" s="67"/>
      <c r="D374" s="67"/>
      <c r="E374" s="67"/>
      <c r="F374" s="67"/>
      <c r="G374" s="67"/>
      <c r="H374" s="67"/>
      <c r="I374" s="67"/>
      <c r="J374" s="186"/>
      <c r="K374" s="186"/>
      <c r="L374" s="186"/>
      <c r="M374" s="186"/>
      <c r="N374" s="186"/>
      <c r="O374" s="186"/>
      <c r="P374" s="186"/>
      <c r="Q374" s="186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</row>
    <row r="375" spans="1:39" ht="12" customHeight="1" x14ac:dyDescent="0.15">
      <c r="A375" s="67"/>
      <c r="B375" s="67"/>
      <c r="C375" s="67"/>
      <c r="D375" s="67"/>
      <c r="E375" s="67"/>
      <c r="F375" s="67"/>
      <c r="G375" s="67"/>
      <c r="H375" s="67"/>
      <c r="I375" s="67"/>
      <c r="J375" s="186"/>
      <c r="K375" s="186"/>
      <c r="L375" s="186"/>
      <c r="M375" s="186"/>
      <c r="N375" s="186"/>
      <c r="O375" s="186"/>
      <c r="P375" s="186"/>
      <c r="Q375" s="186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</row>
    <row r="376" spans="1:39" ht="12" customHeight="1" x14ac:dyDescent="0.15">
      <c r="A376" s="67"/>
      <c r="B376" s="67"/>
      <c r="C376" s="67"/>
      <c r="D376" s="67"/>
      <c r="E376" s="67"/>
      <c r="F376" s="67"/>
      <c r="G376" s="67"/>
      <c r="H376" s="67"/>
      <c r="I376" s="67"/>
      <c r="J376" s="186"/>
      <c r="K376" s="186"/>
      <c r="L376" s="186"/>
      <c r="M376" s="186"/>
      <c r="N376" s="186"/>
      <c r="O376" s="186"/>
      <c r="P376" s="186"/>
      <c r="Q376" s="186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7"/>
      <c r="AJ376" s="67"/>
      <c r="AK376" s="67"/>
      <c r="AL376" s="67"/>
      <c r="AM376" s="67"/>
    </row>
    <row r="377" spans="1:39" ht="12" customHeight="1" x14ac:dyDescent="0.15">
      <c r="A377" s="67"/>
      <c r="B377" s="67"/>
      <c r="C377" s="67"/>
      <c r="D377" s="67"/>
      <c r="E377" s="67"/>
      <c r="F377" s="67"/>
      <c r="G377" s="67"/>
      <c r="H377" s="67"/>
      <c r="I377" s="67"/>
      <c r="J377" s="186"/>
      <c r="K377" s="186"/>
      <c r="L377" s="186"/>
      <c r="M377" s="186"/>
      <c r="N377" s="186"/>
      <c r="O377" s="186"/>
      <c r="P377" s="186"/>
      <c r="Q377" s="186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7"/>
      <c r="AH377" s="67"/>
      <c r="AI377" s="67"/>
      <c r="AJ377" s="67"/>
      <c r="AK377" s="67"/>
      <c r="AL377" s="67"/>
      <c r="AM377" s="67"/>
    </row>
    <row r="378" spans="1:39" ht="12" customHeight="1" x14ac:dyDescent="0.15">
      <c r="A378" s="67"/>
      <c r="B378" s="67"/>
      <c r="C378" s="67"/>
      <c r="D378" s="67"/>
      <c r="E378" s="67"/>
      <c r="F378" s="67"/>
      <c r="G378" s="67"/>
      <c r="H378" s="67"/>
      <c r="I378" s="67"/>
      <c r="J378" s="186"/>
      <c r="K378" s="186"/>
      <c r="L378" s="186"/>
      <c r="M378" s="186"/>
      <c r="N378" s="186"/>
      <c r="O378" s="186"/>
      <c r="P378" s="186"/>
      <c r="Q378" s="186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  <c r="AC378" s="67"/>
      <c r="AD378" s="67"/>
      <c r="AE378" s="67"/>
      <c r="AF378" s="67"/>
      <c r="AG378" s="67"/>
      <c r="AH378" s="67"/>
      <c r="AI378" s="67"/>
      <c r="AJ378" s="67"/>
      <c r="AK378" s="67"/>
      <c r="AL378" s="67"/>
      <c r="AM378" s="67"/>
    </row>
    <row r="379" spans="1:39" ht="12" customHeight="1" x14ac:dyDescent="0.15">
      <c r="A379" s="67"/>
      <c r="B379" s="67"/>
      <c r="C379" s="67"/>
      <c r="D379" s="67"/>
      <c r="E379" s="67"/>
      <c r="F379" s="67"/>
      <c r="G379" s="67"/>
      <c r="H379" s="67"/>
      <c r="I379" s="67"/>
      <c r="J379" s="186"/>
      <c r="K379" s="186"/>
      <c r="L379" s="186"/>
      <c r="M379" s="186"/>
      <c r="N379" s="186"/>
      <c r="O379" s="186"/>
      <c r="P379" s="186"/>
      <c r="Q379" s="186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  <c r="AC379" s="67"/>
      <c r="AD379" s="67"/>
      <c r="AE379" s="67"/>
      <c r="AF379" s="67"/>
      <c r="AG379" s="67"/>
      <c r="AH379" s="67"/>
      <c r="AI379" s="67"/>
      <c r="AJ379" s="67"/>
      <c r="AK379" s="67"/>
      <c r="AL379" s="67"/>
      <c r="AM379" s="67"/>
    </row>
    <row r="380" spans="1:39" ht="12" customHeight="1" x14ac:dyDescent="0.15">
      <c r="A380" s="67"/>
      <c r="B380" s="67"/>
      <c r="C380" s="67"/>
      <c r="D380" s="67"/>
      <c r="E380" s="67"/>
      <c r="F380" s="67"/>
      <c r="G380" s="67"/>
      <c r="H380" s="67"/>
      <c r="I380" s="67"/>
      <c r="J380" s="186"/>
      <c r="K380" s="186"/>
      <c r="L380" s="186"/>
      <c r="M380" s="186"/>
      <c r="N380" s="186"/>
      <c r="O380" s="186"/>
      <c r="P380" s="186"/>
      <c r="Q380" s="186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  <c r="AL380" s="67"/>
      <c r="AM380" s="67"/>
    </row>
    <row r="381" spans="1:39" ht="12" customHeight="1" x14ac:dyDescent="0.15">
      <c r="A381" s="67"/>
      <c r="B381" s="67"/>
      <c r="C381" s="67"/>
      <c r="D381" s="67"/>
      <c r="E381" s="67"/>
      <c r="F381" s="67"/>
      <c r="G381" s="67"/>
      <c r="H381" s="67"/>
      <c r="I381" s="67"/>
      <c r="J381" s="186"/>
      <c r="K381" s="186"/>
      <c r="L381" s="186"/>
      <c r="M381" s="186"/>
      <c r="N381" s="186"/>
      <c r="O381" s="186"/>
      <c r="P381" s="186"/>
      <c r="Q381" s="186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  <c r="AL381" s="67"/>
      <c r="AM381" s="67"/>
    </row>
    <row r="382" spans="1:39" ht="12" customHeight="1" x14ac:dyDescent="0.15">
      <c r="A382" s="67"/>
      <c r="B382" s="67"/>
      <c r="C382" s="67"/>
      <c r="D382" s="67"/>
      <c r="E382" s="67"/>
      <c r="F382" s="67"/>
      <c r="G382" s="67"/>
      <c r="H382" s="67"/>
      <c r="I382" s="67"/>
      <c r="J382" s="186"/>
      <c r="K382" s="186"/>
      <c r="L382" s="186"/>
      <c r="M382" s="186"/>
      <c r="N382" s="186"/>
      <c r="O382" s="186"/>
      <c r="P382" s="186"/>
      <c r="Q382" s="186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  <c r="AL382" s="67"/>
      <c r="AM382" s="67"/>
    </row>
    <row r="383" spans="1:39" ht="12" customHeight="1" x14ac:dyDescent="0.15">
      <c r="A383" s="67"/>
      <c r="B383" s="67"/>
      <c r="C383" s="67"/>
      <c r="D383" s="67"/>
      <c r="E383" s="67"/>
      <c r="F383" s="67"/>
      <c r="G383" s="67"/>
      <c r="H383" s="67"/>
      <c r="I383" s="67"/>
      <c r="J383" s="186"/>
      <c r="K383" s="186"/>
      <c r="L383" s="186"/>
      <c r="M383" s="186"/>
      <c r="N383" s="186"/>
      <c r="O383" s="186"/>
      <c r="P383" s="186"/>
      <c r="Q383" s="186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7"/>
    </row>
    <row r="384" spans="1:39" ht="12" customHeight="1" x14ac:dyDescent="0.15">
      <c r="A384" s="67"/>
      <c r="B384" s="67"/>
      <c r="C384" s="67"/>
      <c r="D384" s="67"/>
      <c r="E384" s="67"/>
      <c r="F384" s="67"/>
      <c r="G384" s="67"/>
      <c r="H384" s="67"/>
      <c r="I384" s="67"/>
      <c r="J384" s="186"/>
      <c r="K384" s="186"/>
      <c r="L384" s="186"/>
      <c r="M384" s="186"/>
      <c r="N384" s="186"/>
      <c r="O384" s="186"/>
      <c r="P384" s="186"/>
      <c r="Q384" s="186"/>
      <c r="R384" s="67"/>
      <c r="S384" s="67"/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67"/>
      <c r="AE384" s="67"/>
      <c r="AF384" s="67"/>
      <c r="AG384" s="67"/>
      <c r="AH384" s="67"/>
      <c r="AI384" s="67"/>
      <c r="AJ384" s="67"/>
      <c r="AK384" s="67"/>
      <c r="AL384" s="67"/>
      <c r="AM384" s="67"/>
    </row>
    <row r="385" spans="1:39" ht="12" customHeight="1" x14ac:dyDescent="0.15">
      <c r="A385" s="67"/>
      <c r="B385" s="67"/>
      <c r="C385" s="67"/>
      <c r="D385" s="67"/>
      <c r="E385" s="67"/>
      <c r="F385" s="67"/>
      <c r="G385" s="67"/>
      <c r="H385" s="67"/>
      <c r="I385" s="67"/>
      <c r="J385" s="186"/>
      <c r="K385" s="186"/>
      <c r="L385" s="186"/>
      <c r="M385" s="186"/>
      <c r="N385" s="186"/>
      <c r="O385" s="186"/>
      <c r="P385" s="186"/>
      <c r="Q385" s="186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</row>
    <row r="386" spans="1:39" ht="12" customHeight="1" x14ac:dyDescent="0.15">
      <c r="A386" s="67"/>
      <c r="B386" s="67"/>
      <c r="C386" s="67"/>
      <c r="D386" s="67"/>
      <c r="E386" s="67"/>
      <c r="F386" s="67"/>
      <c r="G386" s="67"/>
      <c r="H386" s="67"/>
      <c r="I386" s="67"/>
      <c r="J386" s="186"/>
      <c r="K386" s="186"/>
      <c r="L386" s="186"/>
      <c r="M386" s="186"/>
      <c r="N386" s="186"/>
      <c r="O386" s="186"/>
      <c r="P386" s="186"/>
      <c r="Q386" s="186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  <c r="AL386" s="67"/>
      <c r="AM386" s="67"/>
    </row>
    <row r="387" spans="1:39" ht="12" customHeight="1" x14ac:dyDescent="0.15">
      <c r="A387" s="67"/>
      <c r="B387" s="67"/>
      <c r="C387" s="67"/>
      <c r="D387" s="67"/>
      <c r="E387" s="67"/>
      <c r="F387" s="67"/>
      <c r="G387" s="67"/>
      <c r="H387" s="67"/>
      <c r="I387" s="67"/>
      <c r="J387" s="186"/>
      <c r="K387" s="186"/>
      <c r="L387" s="186"/>
      <c r="M387" s="186"/>
      <c r="N387" s="186"/>
      <c r="O387" s="186"/>
      <c r="P387" s="186"/>
      <c r="Q387" s="186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</row>
    <row r="388" spans="1:39" ht="12" customHeight="1" x14ac:dyDescent="0.15">
      <c r="A388" s="67"/>
      <c r="B388" s="67"/>
      <c r="C388" s="67"/>
      <c r="D388" s="67"/>
      <c r="E388" s="67"/>
      <c r="F388" s="67"/>
      <c r="G388" s="67"/>
      <c r="H388" s="67"/>
      <c r="I388" s="67"/>
      <c r="J388" s="186"/>
      <c r="K388" s="186"/>
      <c r="L388" s="186"/>
      <c r="M388" s="186"/>
      <c r="N388" s="186"/>
      <c r="O388" s="186"/>
      <c r="P388" s="186"/>
      <c r="Q388" s="186"/>
      <c r="R388" s="67"/>
      <c r="S388" s="67"/>
      <c r="T388" s="67"/>
      <c r="U388" s="67"/>
      <c r="V388" s="67"/>
      <c r="W388" s="67"/>
      <c r="X388" s="67"/>
      <c r="Y388" s="67"/>
      <c r="Z388" s="67"/>
      <c r="AA388" s="67"/>
      <c r="AB388" s="67"/>
      <c r="AC388" s="67"/>
      <c r="AD388" s="67"/>
      <c r="AE388" s="67"/>
      <c r="AF388" s="67"/>
      <c r="AG388" s="67"/>
      <c r="AH388" s="67"/>
      <c r="AI388" s="67"/>
      <c r="AJ388" s="67"/>
      <c r="AK388" s="67"/>
      <c r="AL388" s="67"/>
      <c r="AM388" s="67"/>
    </row>
    <row r="389" spans="1:39" ht="12" customHeight="1" x14ac:dyDescent="0.15">
      <c r="A389" s="67"/>
      <c r="B389" s="67"/>
      <c r="C389" s="67"/>
      <c r="D389" s="67"/>
      <c r="E389" s="67"/>
      <c r="F389" s="67"/>
      <c r="G389" s="67"/>
      <c r="H389" s="67"/>
      <c r="I389" s="67"/>
      <c r="J389" s="186"/>
      <c r="K389" s="186"/>
      <c r="L389" s="186"/>
      <c r="M389" s="186"/>
      <c r="N389" s="186"/>
      <c r="O389" s="186"/>
      <c r="P389" s="186"/>
      <c r="Q389" s="186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  <c r="AD389" s="67"/>
      <c r="AE389" s="67"/>
      <c r="AF389" s="67"/>
      <c r="AG389" s="67"/>
      <c r="AH389" s="67"/>
      <c r="AI389" s="67"/>
      <c r="AJ389" s="67"/>
      <c r="AK389" s="67"/>
      <c r="AL389" s="67"/>
      <c r="AM389" s="67"/>
    </row>
    <row r="390" spans="1:39" ht="12" customHeight="1" x14ac:dyDescent="0.15">
      <c r="A390" s="67"/>
      <c r="B390" s="67"/>
      <c r="C390" s="67"/>
      <c r="D390" s="67"/>
      <c r="E390" s="67"/>
      <c r="F390" s="67"/>
      <c r="G390" s="67"/>
      <c r="H390" s="67"/>
      <c r="I390" s="67"/>
      <c r="J390" s="186"/>
      <c r="K390" s="186"/>
      <c r="L390" s="186"/>
      <c r="M390" s="186"/>
      <c r="N390" s="186"/>
      <c r="O390" s="186"/>
      <c r="P390" s="186"/>
      <c r="Q390" s="186"/>
      <c r="R390" s="67"/>
      <c r="S390" s="67"/>
      <c r="T390" s="67"/>
      <c r="U390" s="67"/>
      <c r="V390" s="67"/>
      <c r="W390" s="67"/>
      <c r="X390" s="67"/>
      <c r="Y390" s="67"/>
      <c r="Z390" s="67"/>
      <c r="AA390" s="67"/>
      <c r="AB390" s="67"/>
      <c r="AC390" s="67"/>
      <c r="AD390" s="67"/>
      <c r="AE390" s="67"/>
      <c r="AF390" s="67"/>
      <c r="AG390" s="67"/>
      <c r="AH390" s="67"/>
      <c r="AI390" s="67"/>
      <c r="AJ390" s="67"/>
      <c r="AK390" s="67"/>
      <c r="AL390" s="67"/>
      <c r="AM390" s="67"/>
    </row>
    <row r="391" spans="1:39" ht="12" customHeight="1" x14ac:dyDescent="0.15">
      <c r="A391" s="67"/>
      <c r="B391" s="67"/>
      <c r="C391" s="67"/>
      <c r="D391" s="67"/>
      <c r="E391" s="67"/>
      <c r="F391" s="67"/>
      <c r="G391" s="67"/>
      <c r="H391" s="67"/>
      <c r="I391" s="67"/>
      <c r="J391" s="186"/>
      <c r="K391" s="186"/>
      <c r="L391" s="186"/>
      <c r="M391" s="186"/>
      <c r="N391" s="186"/>
      <c r="O391" s="186"/>
      <c r="P391" s="186"/>
      <c r="Q391" s="186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7"/>
    </row>
    <row r="392" spans="1:39" ht="12" customHeight="1" x14ac:dyDescent="0.15">
      <c r="A392" s="67"/>
      <c r="B392" s="67"/>
      <c r="C392" s="67"/>
      <c r="D392" s="67"/>
      <c r="E392" s="67"/>
      <c r="F392" s="67"/>
      <c r="G392" s="67"/>
      <c r="H392" s="67"/>
      <c r="I392" s="67"/>
      <c r="J392" s="186"/>
      <c r="K392" s="186"/>
      <c r="L392" s="186"/>
      <c r="M392" s="186"/>
      <c r="N392" s="186"/>
      <c r="O392" s="186"/>
      <c r="P392" s="186"/>
      <c r="Q392" s="186"/>
      <c r="R392" s="67"/>
      <c r="S392" s="67"/>
      <c r="T392" s="67"/>
      <c r="U392" s="67"/>
      <c r="V392" s="67"/>
      <c r="W392" s="67"/>
      <c r="X392" s="67"/>
      <c r="Y392" s="67"/>
      <c r="Z392" s="67"/>
      <c r="AA392" s="67"/>
      <c r="AB392" s="67"/>
      <c r="AC392" s="67"/>
      <c r="AD392" s="67"/>
      <c r="AE392" s="67"/>
      <c r="AF392" s="67"/>
      <c r="AG392" s="67"/>
      <c r="AH392" s="67"/>
      <c r="AI392" s="67"/>
      <c r="AJ392" s="67"/>
      <c r="AK392" s="67"/>
      <c r="AL392" s="67"/>
      <c r="AM392" s="67"/>
    </row>
    <row r="393" spans="1:39" ht="12" customHeight="1" x14ac:dyDescent="0.15">
      <c r="A393" s="67"/>
      <c r="B393" s="67"/>
      <c r="C393" s="67"/>
      <c r="D393" s="67"/>
      <c r="E393" s="67"/>
      <c r="F393" s="67"/>
      <c r="G393" s="67"/>
      <c r="H393" s="67"/>
      <c r="I393" s="67"/>
      <c r="J393" s="186"/>
      <c r="K393" s="186"/>
      <c r="L393" s="186"/>
      <c r="M393" s="186"/>
      <c r="N393" s="186"/>
      <c r="O393" s="186"/>
      <c r="P393" s="186"/>
      <c r="Q393" s="186"/>
      <c r="R393" s="67"/>
      <c r="S393" s="67"/>
      <c r="T393" s="67"/>
      <c r="U393" s="67"/>
      <c r="V393" s="67"/>
      <c r="W393" s="67"/>
      <c r="X393" s="67"/>
      <c r="Y393" s="67"/>
      <c r="Z393" s="67"/>
      <c r="AA393" s="67"/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  <c r="AL393" s="67"/>
      <c r="AM393" s="67"/>
    </row>
    <row r="394" spans="1:39" ht="12" customHeight="1" x14ac:dyDescent="0.15">
      <c r="A394" s="67"/>
      <c r="B394" s="67"/>
      <c r="C394" s="67"/>
      <c r="D394" s="67"/>
      <c r="E394" s="67"/>
      <c r="F394" s="67"/>
      <c r="G394" s="67"/>
      <c r="H394" s="67"/>
      <c r="I394" s="67"/>
      <c r="J394" s="186"/>
      <c r="K394" s="186"/>
      <c r="L394" s="186"/>
      <c r="M394" s="186"/>
      <c r="N394" s="186"/>
      <c r="O394" s="186"/>
      <c r="P394" s="186"/>
      <c r="Q394" s="186"/>
      <c r="R394" s="67"/>
      <c r="S394" s="67"/>
      <c r="T394" s="67"/>
      <c r="U394" s="67"/>
      <c r="V394" s="67"/>
      <c r="W394" s="67"/>
      <c r="X394" s="67"/>
      <c r="Y394" s="67"/>
      <c r="Z394" s="67"/>
      <c r="AA394" s="67"/>
      <c r="AB394" s="67"/>
      <c r="AC394" s="67"/>
      <c r="AD394" s="67"/>
      <c r="AE394" s="67"/>
      <c r="AF394" s="67"/>
      <c r="AG394" s="67"/>
      <c r="AH394" s="67"/>
      <c r="AI394" s="67"/>
      <c r="AJ394" s="67"/>
      <c r="AK394" s="67"/>
      <c r="AL394" s="67"/>
      <c r="AM394" s="67"/>
    </row>
    <row r="395" spans="1:39" ht="12" customHeight="1" x14ac:dyDescent="0.15">
      <c r="A395" s="67"/>
      <c r="B395" s="67"/>
      <c r="C395" s="67"/>
      <c r="D395" s="67"/>
      <c r="E395" s="67"/>
      <c r="F395" s="67"/>
      <c r="G395" s="67"/>
      <c r="H395" s="67"/>
      <c r="I395" s="67"/>
      <c r="J395" s="186"/>
      <c r="K395" s="186"/>
      <c r="L395" s="186"/>
      <c r="M395" s="186"/>
      <c r="N395" s="186"/>
      <c r="O395" s="186"/>
      <c r="P395" s="186"/>
      <c r="Q395" s="186"/>
      <c r="R395" s="67"/>
      <c r="S395" s="67"/>
      <c r="T395" s="67"/>
      <c r="U395" s="67"/>
      <c r="V395" s="67"/>
      <c r="W395" s="67"/>
      <c r="X395" s="67"/>
      <c r="Y395" s="67"/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</row>
    <row r="396" spans="1:39" ht="12" customHeight="1" x14ac:dyDescent="0.15">
      <c r="A396" s="67"/>
      <c r="B396" s="67"/>
      <c r="C396" s="67"/>
      <c r="D396" s="67"/>
      <c r="E396" s="67"/>
      <c r="F396" s="67"/>
      <c r="G396" s="67"/>
      <c r="H396" s="67"/>
      <c r="I396" s="67"/>
      <c r="J396" s="186"/>
      <c r="K396" s="186"/>
      <c r="L396" s="186"/>
      <c r="M396" s="186"/>
      <c r="N396" s="186"/>
      <c r="O396" s="186"/>
      <c r="P396" s="186"/>
      <c r="Q396" s="186"/>
      <c r="R396" s="67"/>
      <c r="S396" s="67"/>
      <c r="T396" s="67"/>
      <c r="U396" s="67"/>
      <c r="V396" s="67"/>
      <c r="W396" s="67"/>
      <c r="X396" s="67"/>
      <c r="Y396" s="67"/>
      <c r="Z396" s="67"/>
      <c r="AA396" s="67"/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  <c r="AL396" s="67"/>
      <c r="AM396" s="67"/>
    </row>
    <row r="397" spans="1:39" ht="12" customHeight="1" x14ac:dyDescent="0.15">
      <c r="A397" s="67"/>
      <c r="B397" s="67"/>
      <c r="C397" s="67"/>
      <c r="D397" s="67"/>
      <c r="E397" s="67"/>
      <c r="F397" s="67"/>
      <c r="G397" s="67"/>
      <c r="H397" s="67"/>
      <c r="I397" s="67"/>
      <c r="J397" s="186"/>
      <c r="K397" s="186"/>
      <c r="L397" s="186"/>
      <c r="M397" s="186"/>
      <c r="N397" s="186"/>
      <c r="O397" s="186"/>
      <c r="P397" s="186"/>
      <c r="Q397" s="186"/>
      <c r="R397" s="67"/>
      <c r="S397" s="67"/>
      <c r="T397" s="67"/>
      <c r="U397" s="67"/>
      <c r="V397" s="67"/>
      <c r="W397" s="67"/>
      <c r="X397" s="67"/>
      <c r="Y397" s="67"/>
      <c r="Z397" s="67"/>
      <c r="AA397" s="67"/>
      <c r="AB397" s="67"/>
      <c r="AC397" s="67"/>
      <c r="AD397" s="67"/>
      <c r="AE397" s="67"/>
      <c r="AF397" s="67"/>
      <c r="AG397" s="67"/>
      <c r="AH397" s="67"/>
      <c r="AI397" s="67"/>
      <c r="AJ397" s="67"/>
      <c r="AK397" s="67"/>
      <c r="AL397" s="67"/>
      <c r="AM397" s="67"/>
    </row>
    <row r="398" spans="1:39" ht="12" customHeight="1" x14ac:dyDescent="0.15">
      <c r="A398" s="67"/>
      <c r="B398" s="67"/>
      <c r="C398" s="67"/>
      <c r="D398" s="67"/>
      <c r="E398" s="67"/>
      <c r="F398" s="67"/>
      <c r="G398" s="67"/>
      <c r="H398" s="67"/>
      <c r="I398" s="67"/>
      <c r="J398" s="186"/>
      <c r="K398" s="186"/>
      <c r="L398" s="186"/>
      <c r="M398" s="186"/>
      <c r="N398" s="186"/>
      <c r="O398" s="186"/>
      <c r="P398" s="186"/>
      <c r="Q398" s="186"/>
      <c r="R398" s="67"/>
      <c r="S398" s="67"/>
      <c r="T398" s="67"/>
      <c r="U398" s="67"/>
      <c r="V398" s="67"/>
      <c r="W398" s="67"/>
      <c r="X398" s="67"/>
      <c r="Y398" s="67"/>
      <c r="Z398" s="67"/>
      <c r="AA398" s="67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</row>
    <row r="399" spans="1:39" ht="12" customHeight="1" x14ac:dyDescent="0.15">
      <c r="A399" s="67"/>
      <c r="B399" s="67"/>
      <c r="C399" s="67"/>
      <c r="D399" s="67"/>
      <c r="E399" s="67"/>
      <c r="F399" s="67"/>
      <c r="G399" s="67"/>
      <c r="H399" s="67"/>
      <c r="I399" s="67"/>
      <c r="J399" s="186"/>
      <c r="K399" s="186"/>
      <c r="L399" s="186"/>
      <c r="M399" s="186"/>
      <c r="N399" s="186"/>
      <c r="O399" s="186"/>
      <c r="P399" s="186"/>
      <c r="Q399" s="186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</row>
    <row r="400" spans="1:39" ht="12" customHeight="1" x14ac:dyDescent="0.15">
      <c r="A400" s="67"/>
      <c r="B400" s="67"/>
      <c r="C400" s="67"/>
      <c r="D400" s="67"/>
      <c r="E400" s="67"/>
      <c r="F400" s="67"/>
      <c r="G400" s="67"/>
      <c r="H400" s="67"/>
      <c r="I400" s="67"/>
      <c r="J400" s="186"/>
      <c r="K400" s="186"/>
      <c r="L400" s="186"/>
      <c r="M400" s="186"/>
      <c r="N400" s="186"/>
      <c r="O400" s="186"/>
      <c r="P400" s="186"/>
      <c r="Q400" s="186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</row>
    <row r="401" spans="1:39" ht="12" customHeight="1" x14ac:dyDescent="0.15">
      <c r="A401" s="67"/>
      <c r="B401" s="67"/>
      <c r="C401" s="67"/>
      <c r="D401" s="67"/>
      <c r="E401" s="67"/>
      <c r="F401" s="67"/>
      <c r="G401" s="67"/>
      <c r="H401" s="67"/>
      <c r="I401" s="67"/>
      <c r="J401" s="186"/>
      <c r="K401" s="186"/>
      <c r="L401" s="186"/>
      <c r="M401" s="186"/>
      <c r="N401" s="186"/>
      <c r="O401" s="186"/>
      <c r="P401" s="186"/>
      <c r="Q401" s="186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  <c r="AD401" s="67"/>
      <c r="AE401" s="67"/>
      <c r="AF401" s="67"/>
      <c r="AG401" s="67"/>
      <c r="AH401" s="67"/>
      <c r="AI401" s="67"/>
      <c r="AJ401" s="67"/>
      <c r="AK401" s="67"/>
      <c r="AL401" s="67"/>
      <c r="AM401" s="67"/>
    </row>
    <row r="402" spans="1:39" ht="12" customHeight="1" x14ac:dyDescent="0.15">
      <c r="A402" s="67"/>
      <c r="B402" s="67"/>
      <c r="C402" s="67"/>
      <c r="D402" s="67"/>
      <c r="E402" s="67"/>
      <c r="F402" s="67"/>
      <c r="G402" s="67"/>
      <c r="H402" s="67"/>
      <c r="I402" s="67"/>
      <c r="J402" s="186"/>
      <c r="K402" s="186"/>
      <c r="L402" s="186"/>
      <c r="M402" s="186"/>
      <c r="N402" s="186"/>
      <c r="O402" s="186"/>
      <c r="P402" s="186"/>
      <c r="Q402" s="186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</row>
    <row r="403" spans="1:39" ht="12" customHeight="1" x14ac:dyDescent="0.15">
      <c r="A403" s="67"/>
      <c r="B403" s="67"/>
      <c r="C403" s="67"/>
      <c r="D403" s="67"/>
      <c r="E403" s="67"/>
      <c r="F403" s="67"/>
      <c r="G403" s="67"/>
      <c r="H403" s="67"/>
      <c r="I403" s="67"/>
      <c r="J403" s="186"/>
      <c r="K403" s="186"/>
      <c r="L403" s="186"/>
      <c r="M403" s="186"/>
      <c r="N403" s="186"/>
      <c r="O403" s="186"/>
      <c r="P403" s="186"/>
      <c r="Q403" s="186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  <c r="AL403" s="67"/>
      <c r="AM403" s="67"/>
    </row>
    <row r="404" spans="1:39" ht="12" customHeight="1" x14ac:dyDescent="0.15">
      <c r="A404" s="67"/>
      <c r="B404" s="67"/>
      <c r="C404" s="67"/>
      <c r="D404" s="67"/>
      <c r="E404" s="67"/>
      <c r="F404" s="67"/>
      <c r="G404" s="67"/>
      <c r="H404" s="67"/>
      <c r="I404" s="67"/>
      <c r="J404" s="186"/>
      <c r="K404" s="186"/>
      <c r="L404" s="186"/>
      <c r="M404" s="186"/>
      <c r="N404" s="186"/>
      <c r="O404" s="186"/>
      <c r="P404" s="186"/>
      <c r="Q404" s="186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  <c r="AC404" s="67"/>
      <c r="AD404" s="67"/>
      <c r="AE404" s="67"/>
      <c r="AF404" s="67"/>
      <c r="AG404" s="67"/>
      <c r="AH404" s="67"/>
      <c r="AI404" s="67"/>
      <c r="AJ404" s="67"/>
      <c r="AK404" s="67"/>
      <c r="AL404" s="67"/>
      <c r="AM404" s="67"/>
    </row>
    <row r="405" spans="1:39" ht="12" customHeight="1" x14ac:dyDescent="0.15">
      <c r="A405" s="67"/>
      <c r="B405" s="67"/>
      <c r="C405" s="67"/>
      <c r="D405" s="67"/>
      <c r="E405" s="67"/>
      <c r="F405" s="67"/>
      <c r="G405" s="67"/>
      <c r="H405" s="67"/>
      <c r="I405" s="67"/>
      <c r="J405" s="186"/>
      <c r="K405" s="186"/>
      <c r="L405" s="186"/>
      <c r="M405" s="186"/>
      <c r="N405" s="186"/>
      <c r="O405" s="186"/>
      <c r="P405" s="186"/>
      <c r="Q405" s="186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7"/>
    </row>
    <row r="406" spans="1:39" ht="12" customHeight="1" x14ac:dyDescent="0.15">
      <c r="A406" s="67"/>
      <c r="B406" s="67"/>
      <c r="C406" s="67"/>
      <c r="D406" s="67"/>
      <c r="E406" s="67"/>
      <c r="F406" s="67"/>
      <c r="G406" s="67"/>
      <c r="H406" s="67"/>
      <c r="I406" s="67"/>
      <c r="J406" s="186"/>
      <c r="K406" s="186"/>
      <c r="L406" s="186"/>
      <c r="M406" s="186"/>
      <c r="N406" s="186"/>
      <c r="O406" s="186"/>
      <c r="P406" s="186"/>
      <c r="Q406" s="186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</row>
    <row r="407" spans="1:39" ht="12" customHeight="1" x14ac:dyDescent="0.15">
      <c r="A407" s="67"/>
      <c r="B407" s="67"/>
      <c r="C407" s="67"/>
      <c r="D407" s="67"/>
      <c r="E407" s="67"/>
      <c r="F407" s="67"/>
      <c r="G407" s="67"/>
      <c r="H407" s="67"/>
      <c r="I407" s="67"/>
      <c r="J407" s="186"/>
      <c r="K407" s="186"/>
      <c r="L407" s="186"/>
      <c r="M407" s="186"/>
      <c r="N407" s="186"/>
      <c r="O407" s="186"/>
      <c r="P407" s="186"/>
      <c r="Q407" s="186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</row>
    <row r="408" spans="1:39" ht="12" customHeight="1" x14ac:dyDescent="0.15">
      <c r="A408" s="67"/>
      <c r="B408" s="67"/>
      <c r="C408" s="67"/>
      <c r="D408" s="67"/>
      <c r="E408" s="67"/>
      <c r="F408" s="67"/>
      <c r="G408" s="67"/>
      <c r="H408" s="67"/>
      <c r="I408" s="67"/>
      <c r="J408" s="186"/>
      <c r="K408" s="186"/>
      <c r="L408" s="186"/>
      <c r="M408" s="186"/>
      <c r="N408" s="186"/>
      <c r="O408" s="186"/>
      <c r="P408" s="186"/>
      <c r="Q408" s="186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</row>
    <row r="409" spans="1:39" ht="12" customHeight="1" x14ac:dyDescent="0.15">
      <c r="A409" s="67"/>
      <c r="B409" s="67"/>
      <c r="C409" s="67"/>
      <c r="D409" s="67"/>
      <c r="E409" s="67"/>
      <c r="F409" s="67"/>
      <c r="G409" s="67"/>
      <c r="H409" s="67"/>
      <c r="I409" s="67"/>
      <c r="J409" s="186"/>
      <c r="K409" s="186"/>
      <c r="L409" s="186"/>
      <c r="M409" s="186"/>
      <c r="N409" s="186"/>
      <c r="O409" s="186"/>
      <c r="P409" s="186"/>
      <c r="Q409" s="186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</row>
    <row r="410" spans="1:39" ht="12" customHeight="1" x14ac:dyDescent="0.15">
      <c r="A410" s="67"/>
      <c r="B410" s="67"/>
      <c r="C410" s="67"/>
      <c r="D410" s="67"/>
      <c r="E410" s="67"/>
      <c r="F410" s="67"/>
      <c r="G410" s="67"/>
      <c r="H410" s="67"/>
      <c r="I410" s="67"/>
      <c r="J410" s="186"/>
      <c r="K410" s="186"/>
      <c r="L410" s="186"/>
      <c r="M410" s="186"/>
      <c r="N410" s="186"/>
      <c r="O410" s="186"/>
      <c r="P410" s="186"/>
      <c r="Q410" s="186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  <c r="AD410" s="67"/>
      <c r="AE410" s="67"/>
      <c r="AF410" s="67"/>
      <c r="AG410" s="67"/>
      <c r="AH410" s="67"/>
      <c r="AI410" s="67"/>
      <c r="AJ410" s="67"/>
      <c r="AK410" s="67"/>
      <c r="AL410" s="67"/>
      <c r="AM410" s="67"/>
    </row>
    <row r="411" spans="1:39" ht="12" customHeight="1" x14ac:dyDescent="0.15">
      <c r="A411" s="67"/>
      <c r="B411" s="67"/>
      <c r="C411" s="67"/>
      <c r="D411" s="67"/>
      <c r="E411" s="67"/>
      <c r="F411" s="67"/>
      <c r="G411" s="67"/>
      <c r="H411" s="67"/>
      <c r="I411" s="67"/>
      <c r="J411" s="186"/>
      <c r="K411" s="186"/>
      <c r="L411" s="186"/>
      <c r="M411" s="186"/>
      <c r="N411" s="186"/>
      <c r="O411" s="186"/>
      <c r="P411" s="186"/>
      <c r="Q411" s="186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  <c r="AF411" s="67"/>
      <c r="AG411" s="67"/>
      <c r="AH411" s="67"/>
      <c r="AI411" s="67"/>
      <c r="AJ411" s="67"/>
      <c r="AK411" s="67"/>
      <c r="AL411" s="67"/>
      <c r="AM411" s="67"/>
    </row>
    <row r="412" spans="1:39" ht="12" customHeight="1" x14ac:dyDescent="0.15">
      <c r="A412" s="67"/>
      <c r="B412" s="67"/>
      <c r="C412" s="67"/>
      <c r="D412" s="67"/>
      <c r="E412" s="67"/>
      <c r="F412" s="67"/>
      <c r="G412" s="67"/>
      <c r="H412" s="67"/>
      <c r="I412" s="67"/>
      <c r="J412" s="186"/>
      <c r="K412" s="186"/>
      <c r="L412" s="186"/>
      <c r="M412" s="186"/>
      <c r="N412" s="186"/>
      <c r="O412" s="186"/>
      <c r="P412" s="186"/>
      <c r="Q412" s="186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</row>
    <row r="413" spans="1:39" ht="12" customHeight="1" x14ac:dyDescent="0.15">
      <c r="A413" s="67"/>
      <c r="B413" s="67"/>
      <c r="C413" s="67"/>
      <c r="D413" s="67"/>
      <c r="E413" s="67"/>
      <c r="F413" s="67"/>
      <c r="G413" s="67"/>
      <c r="H413" s="67"/>
      <c r="I413" s="67"/>
      <c r="J413" s="186"/>
      <c r="K413" s="186"/>
      <c r="L413" s="186"/>
      <c r="M413" s="186"/>
      <c r="N413" s="186"/>
      <c r="O413" s="186"/>
      <c r="P413" s="186"/>
      <c r="Q413" s="186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</row>
    <row r="414" spans="1:39" ht="12" customHeight="1" x14ac:dyDescent="0.15">
      <c r="A414" s="67"/>
      <c r="B414" s="67"/>
      <c r="C414" s="67"/>
      <c r="D414" s="67"/>
      <c r="E414" s="67"/>
      <c r="F414" s="67"/>
      <c r="G414" s="67"/>
      <c r="H414" s="67"/>
      <c r="I414" s="67"/>
      <c r="J414" s="186"/>
      <c r="K414" s="186"/>
      <c r="L414" s="186"/>
      <c r="M414" s="186"/>
      <c r="N414" s="186"/>
      <c r="O414" s="186"/>
      <c r="P414" s="186"/>
      <c r="Q414" s="186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</row>
    <row r="415" spans="1:39" ht="12" customHeight="1" x14ac:dyDescent="0.15">
      <c r="A415" s="67"/>
      <c r="B415" s="67"/>
      <c r="C415" s="67"/>
      <c r="D415" s="67"/>
      <c r="E415" s="67"/>
      <c r="F415" s="67"/>
      <c r="G415" s="67"/>
      <c r="H415" s="67"/>
      <c r="I415" s="67"/>
      <c r="J415" s="186"/>
      <c r="K415" s="186"/>
      <c r="L415" s="186"/>
      <c r="M415" s="186"/>
      <c r="N415" s="186"/>
      <c r="O415" s="186"/>
      <c r="P415" s="186"/>
      <c r="Q415" s="186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  <c r="AD415" s="67"/>
      <c r="AE415" s="67"/>
      <c r="AF415" s="67"/>
      <c r="AG415" s="67"/>
      <c r="AH415" s="67"/>
      <c r="AI415" s="67"/>
      <c r="AJ415" s="67"/>
      <c r="AK415" s="67"/>
      <c r="AL415" s="67"/>
      <c r="AM415" s="67"/>
    </row>
    <row r="416" spans="1:39" ht="12" customHeight="1" x14ac:dyDescent="0.15">
      <c r="A416" s="67"/>
      <c r="B416" s="67"/>
      <c r="C416" s="67"/>
      <c r="D416" s="67"/>
      <c r="E416" s="67"/>
      <c r="F416" s="67"/>
      <c r="G416" s="67"/>
      <c r="H416" s="67"/>
      <c r="I416" s="67"/>
      <c r="J416" s="186"/>
      <c r="K416" s="186"/>
      <c r="L416" s="186"/>
      <c r="M416" s="186"/>
      <c r="N416" s="186"/>
      <c r="O416" s="186"/>
      <c r="P416" s="186"/>
      <c r="Q416" s="186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/>
      <c r="AF416" s="67"/>
      <c r="AG416" s="67"/>
      <c r="AH416" s="67"/>
      <c r="AI416" s="67"/>
      <c r="AJ416" s="67"/>
      <c r="AK416" s="67"/>
      <c r="AL416" s="67"/>
      <c r="AM416" s="67"/>
    </row>
    <row r="417" spans="1:39" ht="12" customHeight="1" x14ac:dyDescent="0.15">
      <c r="A417" s="67"/>
      <c r="B417" s="67"/>
      <c r="C417" s="67"/>
      <c r="D417" s="67"/>
      <c r="E417" s="67"/>
      <c r="F417" s="67"/>
      <c r="G417" s="67"/>
      <c r="H417" s="67"/>
      <c r="I417" s="67"/>
      <c r="J417" s="186"/>
      <c r="K417" s="186"/>
      <c r="L417" s="186"/>
      <c r="M417" s="186"/>
      <c r="N417" s="186"/>
      <c r="O417" s="186"/>
      <c r="P417" s="186"/>
      <c r="Q417" s="186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67"/>
      <c r="AE417" s="67"/>
      <c r="AF417" s="67"/>
      <c r="AG417" s="67"/>
      <c r="AH417" s="67"/>
      <c r="AI417" s="67"/>
      <c r="AJ417" s="67"/>
      <c r="AK417" s="67"/>
      <c r="AL417" s="67"/>
      <c r="AM417" s="67"/>
    </row>
    <row r="418" spans="1:39" ht="12" customHeight="1" x14ac:dyDescent="0.15">
      <c r="A418" s="67"/>
      <c r="B418" s="67"/>
      <c r="C418" s="67"/>
      <c r="D418" s="67"/>
      <c r="E418" s="67"/>
      <c r="F418" s="67"/>
      <c r="G418" s="67"/>
      <c r="H418" s="67"/>
      <c r="I418" s="67"/>
      <c r="J418" s="186"/>
      <c r="K418" s="186"/>
      <c r="L418" s="186"/>
      <c r="M418" s="186"/>
      <c r="N418" s="186"/>
      <c r="O418" s="186"/>
      <c r="P418" s="186"/>
      <c r="Q418" s="186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67"/>
      <c r="AE418" s="67"/>
      <c r="AF418" s="67"/>
      <c r="AG418" s="67"/>
      <c r="AH418" s="67"/>
      <c r="AI418" s="67"/>
      <c r="AJ418" s="67"/>
      <c r="AK418" s="67"/>
      <c r="AL418" s="67"/>
      <c r="AM418" s="67"/>
    </row>
    <row r="419" spans="1:39" ht="12" customHeight="1" x14ac:dyDescent="0.15">
      <c r="A419" s="67"/>
      <c r="B419" s="67"/>
      <c r="C419" s="67"/>
      <c r="D419" s="67"/>
      <c r="E419" s="67"/>
      <c r="F419" s="67"/>
      <c r="G419" s="67"/>
      <c r="H419" s="67"/>
      <c r="I419" s="67"/>
      <c r="J419" s="186"/>
      <c r="K419" s="186"/>
      <c r="L419" s="186"/>
      <c r="M419" s="186"/>
      <c r="N419" s="186"/>
      <c r="O419" s="186"/>
      <c r="P419" s="186"/>
      <c r="Q419" s="186"/>
      <c r="R419" s="67"/>
      <c r="S419" s="67"/>
      <c r="T419" s="67"/>
      <c r="U419" s="67"/>
      <c r="V419" s="67"/>
      <c r="W419" s="67"/>
      <c r="X419" s="67"/>
      <c r="Y419" s="67"/>
      <c r="Z419" s="67"/>
      <c r="AA419" s="67"/>
      <c r="AB419" s="67"/>
      <c r="AC419" s="67"/>
      <c r="AD419" s="67"/>
      <c r="AE419" s="67"/>
      <c r="AF419" s="67"/>
      <c r="AG419" s="67"/>
      <c r="AH419" s="67"/>
      <c r="AI419" s="67"/>
      <c r="AJ419" s="67"/>
      <c r="AK419" s="67"/>
      <c r="AL419" s="67"/>
      <c r="AM419" s="67"/>
    </row>
    <row r="420" spans="1:39" ht="12" customHeight="1" x14ac:dyDescent="0.15">
      <c r="A420" s="67"/>
      <c r="B420" s="67"/>
      <c r="C420" s="67"/>
      <c r="D420" s="67"/>
      <c r="E420" s="67"/>
      <c r="F420" s="67"/>
      <c r="G420" s="67"/>
      <c r="H420" s="67"/>
      <c r="I420" s="67"/>
      <c r="J420" s="186"/>
      <c r="K420" s="186"/>
      <c r="L420" s="186"/>
      <c r="M420" s="186"/>
      <c r="N420" s="186"/>
      <c r="O420" s="186"/>
      <c r="P420" s="186"/>
      <c r="Q420" s="186"/>
      <c r="R420" s="67"/>
      <c r="S420" s="67"/>
      <c r="T420" s="67"/>
      <c r="U420" s="67"/>
      <c r="V420" s="67"/>
      <c r="W420" s="67"/>
      <c r="X420" s="67"/>
      <c r="Y420" s="67"/>
      <c r="Z420" s="67"/>
      <c r="AA420" s="67"/>
      <c r="AB420" s="67"/>
      <c r="AC420" s="67"/>
      <c r="AD420" s="67"/>
      <c r="AE420" s="67"/>
      <c r="AF420" s="67"/>
      <c r="AG420" s="67"/>
      <c r="AH420" s="67"/>
      <c r="AI420" s="67"/>
      <c r="AJ420" s="67"/>
      <c r="AK420" s="67"/>
      <c r="AL420" s="67"/>
      <c r="AM420" s="67"/>
    </row>
    <row r="421" spans="1:39" ht="12" customHeight="1" x14ac:dyDescent="0.15">
      <c r="A421" s="67"/>
      <c r="B421" s="67"/>
      <c r="C421" s="67"/>
      <c r="D421" s="67"/>
      <c r="E421" s="67"/>
      <c r="F421" s="67"/>
      <c r="G421" s="67"/>
      <c r="H421" s="67"/>
      <c r="I421" s="67"/>
      <c r="J421" s="186"/>
      <c r="K421" s="186"/>
      <c r="L421" s="186"/>
      <c r="M421" s="186"/>
      <c r="N421" s="186"/>
      <c r="O421" s="186"/>
      <c r="P421" s="186"/>
      <c r="Q421" s="186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67"/>
      <c r="AF421" s="67"/>
      <c r="AG421" s="67"/>
      <c r="AH421" s="67"/>
      <c r="AI421" s="67"/>
      <c r="AJ421" s="67"/>
      <c r="AK421" s="67"/>
      <c r="AL421" s="67"/>
      <c r="AM421" s="67"/>
    </row>
    <row r="422" spans="1:39" ht="12" customHeight="1" x14ac:dyDescent="0.15">
      <c r="A422" s="67"/>
      <c r="B422" s="67"/>
      <c r="C422" s="67"/>
      <c r="D422" s="67"/>
      <c r="E422" s="67"/>
      <c r="F422" s="67"/>
      <c r="G422" s="67"/>
      <c r="H422" s="67"/>
      <c r="I422" s="67"/>
      <c r="J422" s="186"/>
      <c r="K422" s="186"/>
      <c r="L422" s="186"/>
      <c r="M422" s="186"/>
      <c r="N422" s="186"/>
      <c r="O422" s="186"/>
      <c r="P422" s="186"/>
      <c r="Q422" s="186"/>
      <c r="R422" s="67"/>
      <c r="S422" s="67"/>
      <c r="T422" s="67"/>
      <c r="U422" s="67"/>
      <c r="V422" s="67"/>
      <c r="W422" s="67"/>
      <c r="X422" s="67"/>
      <c r="Y422" s="67"/>
      <c r="Z422" s="67"/>
      <c r="AA422" s="67"/>
      <c r="AB422" s="67"/>
      <c r="AC422" s="67"/>
      <c r="AD422" s="67"/>
      <c r="AE422" s="67"/>
      <c r="AF422" s="67"/>
      <c r="AG422" s="67"/>
      <c r="AH422" s="67"/>
      <c r="AI422" s="67"/>
      <c r="AJ422" s="67"/>
      <c r="AK422" s="67"/>
      <c r="AL422" s="67"/>
      <c r="AM422" s="67"/>
    </row>
    <row r="423" spans="1:39" ht="12" customHeight="1" x14ac:dyDescent="0.15">
      <c r="A423" s="67"/>
      <c r="B423" s="67"/>
      <c r="C423" s="67"/>
      <c r="D423" s="67"/>
      <c r="E423" s="67"/>
      <c r="F423" s="67"/>
      <c r="G423" s="67"/>
      <c r="H423" s="67"/>
      <c r="I423" s="67"/>
      <c r="J423" s="186"/>
      <c r="K423" s="186"/>
      <c r="L423" s="186"/>
      <c r="M423" s="186"/>
      <c r="N423" s="186"/>
      <c r="O423" s="186"/>
      <c r="P423" s="186"/>
      <c r="Q423" s="186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  <c r="AC423" s="67"/>
      <c r="AD423" s="67"/>
      <c r="AE423" s="67"/>
      <c r="AF423" s="67"/>
      <c r="AG423" s="67"/>
      <c r="AH423" s="67"/>
      <c r="AI423" s="67"/>
      <c r="AJ423" s="67"/>
      <c r="AK423" s="67"/>
      <c r="AL423" s="67"/>
      <c r="AM423" s="67"/>
    </row>
    <row r="424" spans="1:39" ht="12" customHeight="1" x14ac:dyDescent="0.15">
      <c r="A424" s="67"/>
      <c r="B424" s="67"/>
      <c r="C424" s="67"/>
      <c r="D424" s="67"/>
      <c r="E424" s="67"/>
      <c r="F424" s="67"/>
      <c r="G424" s="67"/>
      <c r="H424" s="67"/>
      <c r="I424" s="67"/>
      <c r="J424" s="186"/>
      <c r="K424" s="186"/>
      <c r="L424" s="186"/>
      <c r="M424" s="186"/>
      <c r="N424" s="186"/>
      <c r="O424" s="186"/>
      <c r="P424" s="186"/>
      <c r="Q424" s="186"/>
      <c r="R424" s="67"/>
      <c r="S424" s="67"/>
      <c r="T424" s="67"/>
      <c r="U424" s="67"/>
      <c r="V424" s="67"/>
      <c r="W424" s="67"/>
      <c r="X424" s="67"/>
      <c r="Y424" s="67"/>
      <c r="Z424" s="67"/>
      <c r="AA424" s="67"/>
      <c r="AB424" s="67"/>
      <c r="AC424" s="67"/>
      <c r="AD424" s="67"/>
      <c r="AE424" s="67"/>
      <c r="AF424" s="67"/>
      <c r="AG424" s="67"/>
      <c r="AH424" s="67"/>
      <c r="AI424" s="67"/>
      <c r="AJ424" s="67"/>
      <c r="AK424" s="67"/>
      <c r="AL424" s="67"/>
      <c r="AM424" s="67"/>
    </row>
    <row r="425" spans="1:39" ht="12" customHeight="1" x14ac:dyDescent="0.15">
      <c r="A425" s="67"/>
      <c r="B425" s="67"/>
      <c r="C425" s="67"/>
      <c r="D425" s="67"/>
      <c r="E425" s="67"/>
      <c r="F425" s="67"/>
      <c r="G425" s="67"/>
      <c r="H425" s="67"/>
      <c r="I425" s="67"/>
      <c r="J425" s="186"/>
      <c r="K425" s="186"/>
      <c r="L425" s="186"/>
      <c r="M425" s="186"/>
      <c r="N425" s="186"/>
      <c r="O425" s="186"/>
      <c r="P425" s="186"/>
      <c r="Q425" s="186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  <c r="AC425" s="67"/>
      <c r="AD425" s="67"/>
      <c r="AE425" s="67"/>
      <c r="AF425" s="67"/>
      <c r="AG425" s="67"/>
      <c r="AH425" s="67"/>
      <c r="AI425" s="67"/>
      <c r="AJ425" s="67"/>
      <c r="AK425" s="67"/>
      <c r="AL425" s="67"/>
      <c r="AM425" s="67"/>
    </row>
    <row r="426" spans="1:39" ht="12" customHeight="1" x14ac:dyDescent="0.15">
      <c r="A426" s="67"/>
      <c r="B426" s="67"/>
      <c r="C426" s="67"/>
      <c r="D426" s="67"/>
      <c r="E426" s="67"/>
      <c r="F426" s="67"/>
      <c r="G426" s="67"/>
      <c r="H426" s="67"/>
      <c r="I426" s="67"/>
      <c r="J426" s="186"/>
      <c r="K426" s="186"/>
      <c r="L426" s="186"/>
      <c r="M426" s="186"/>
      <c r="N426" s="186"/>
      <c r="O426" s="186"/>
      <c r="P426" s="186"/>
      <c r="Q426" s="186"/>
      <c r="R426" s="67"/>
      <c r="S426" s="67"/>
      <c r="T426" s="67"/>
      <c r="U426" s="67"/>
      <c r="V426" s="67"/>
      <c r="W426" s="67"/>
      <c r="X426" s="67"/>
      <c r="Y426" s="67"/>
      <c r="Z426" s="67"/>
      <c r="AA426" s="67"/>
      <c r="AB426" s="67"/>
      <c r="AC426" s="67"/>
      <c r="AD426" s="67"/>
      <c r="AE426" s="67"/>
      <c r="AF426" s="67"/>
      <c r="AG426" s="67"/>
      <c r="AH426" s="67"/>
      <c r="AI426" s="67"/>
      <c r="AJ426" s="67"/>
      <c r="AK426" s="67"/>
      <c r="AL426" s="67"/>
      <c r="AM426" s="67"/>
    </row>
    <row r="427" spans="1:39" ht="12" customHeight="1" x14ac:dyDescent="0.15">
      <c r="A427" s="67"/>
      <c r="B427" s="67"/>
      <c r="C427" s="67"/>
      <c r="D427" s="67"/>
      <c r="E427" s="67"/>
      <c r="F427" s="67"/>
      <c r="G427" s="67"/>
      <c r="H427" s="67"/>
      <c r="I427" s="67"/>
      <c r="J427" s="186"/>
      <c r="K427" s="186"/>
      <c r="L427" s="186"/>
      <c r="M427" s="186"/>
      <c r="N427" s="186"/>
      <c r="O427" s="186"/>
      <c r="P427" s="186"/>
      <c r="Q427" s="186"/>
      <c r="R427" s="67"/>
      <c r="S427" s="67"/>
      <c r="T427" s="67"/>
      <c r="U427" s="67"/>
      <c r="V427" s="67"/>
      <c r="W427" s="67"/>
      <c r="X427" s="67"/>
      <c r="Y427" s="67"/>
      <c r="Z427" s="67"/>
      <c r="AA427" s="67"/>
      <c r="AB427" s="67"/>
      <c r="AC427" s="67"/>
      <c r="AD427" s="67"/>
      <c r="AE427" s="67"/>
      <c r="AF427" s="67"/>
      <c r="AG427" s="67"/>
      <c r="AH427" s="67"/>
      <c r="AI427" s="67"/>
      <c r="AJ427" s="67"/>
      <c r="AK427" s="67"/>
      <c r="AL427" s="67"/>
      <c r="AM427" s="67"/>
    </row>
    <row r="428" spans="1:39" ht="12" customHeight="1" x14ac:dyDescent="0.15">
      <c r="A428" s="67"/>
      <c r="B428" s="67"/>
      <c r="C428" s="67"/>
      <c r="D428" s="67"/>
      <c r="E428" s="67"/>
      <c r="F428" s="67"/>
      <c r="G428" s="67"/>
      <c r="H428" s="67"/>
      <c r="I428" s="67"/>
      <c r="J428" s="186"/>
      <c r="K428" s="186"/>
      <c r="L428" s="186"/>
      <c r="M428" s="186"/>
      <c r="N428" s="186"/>
      <c r="O428" s="186"/>
      <c r="P428" s="186"/>
      <c r="Q428" s="186"/>
      <c r="R428" s="67"/>
      <c r="S428" s="67"/>
      <c r="T428" s="67"/>
      <c r="U428" s="67"/>
      <c r="V428" s="67"/>
      <c r="W428" s="67"/>
      <c r="X428" s="67"/>
      <c r="Y428" s="67"/>
      <c r="Z428" s="67"/>
      <c r="AA428" s="67"/>
      <c r="AB428" s="67"/>
      <c r="AC428" s="67"/>
      <c r="AD428" s="67"/>
      <c r="AE428" s="67"/>
      <c r="AF428" s="67"/>
      <c r="AG428" s="67"/>
      <c r="AH428" s="67"/>
      <c r="AI428" s="67"/>
      <c r="AJ428" s="67"/>
      <c r="AK428" s="67"/>
      <c r="AL428" s="67"/>
      <c r="AM428" s="67"/>
    </row>
    <row r="429" spans="1:39" ht="12" customHeight="1" x14ac:dyDescent="0.15">
      <c r="A429" s="67"/>
      <c r="B429" s="67"/>
      <c r="C429" s="67"/>
      <c r="D429" s="67"/>
      <c r="E429" s="67"/>
      <c r="F429" s="67"/>
      <c r="G429" s="67"/>
      <c r="H429" s="67"/>
      <c r="I429" s="67"/>
      <c r="J429" s="186"/>
      <c r="K429" s="186"/>
      <c r="L429" s="186"/>
      <c r="M429" s="186"/>
      <c r="N429" s="186"/>
      <c r="O429" s="186"/>
      <c r="P429" s="186"/>
      <c r="Q429" s="186"/>
      <c r="R429" s="67"/>
      <c r="S429" s="67"/>
      <c r="T429" s="67"/>
      <c r="U429" s="67"/>
      <c r="V429" s="67"/>
      <c r="W429" s="67"/>
      <c r="X429" s="67"/>
      <c r="Y429" s="67"/>
      <c r="Z429" s="67"/>
      <c r="AA429" s="67"/>
      <c r="AB429" s="67"/>
      <c r="AC429" s="67"/>
      <c r="AD429" s="67"/>
      <c r="AE429" s="67"/>
      <c r="AF429" s="67"/>
      <c r="AG429" s="67"/>
      <c r="AH429" s="67"/>
      <c r="AI429" s="67"/>
      <c r="AJ429" s="67"/>
      <c r="AK429" s="67"/>
      <c r="AL429" s="67"/>
      <c r="AM429" s="67"/>
    </row>
    <row r="430" spans="1:39" ht="12" customHeight="1" x14ac:dyDescent="0.15">
      <c r="A430" s="67"/>
      <c r="B430" s="67"/>
      <c r="C430" s="67"/>
      <c r="D430" s="67"/>
      <c r="E430" s="67"/>
      <c r="F430" s="67"/>
      <c r="G430" s="67"/>
      <c r="H430" s="67"/>
      <c r="I430" s="67"/>
      <c r="J430" s="186"/>
      <c r="K430" s="186"/>
      <c r="L430" s="186"/>
      <c r="M430" s="186"/>
      <c r="N430" s="186"/>
      <c r="O430" s="186"/>
      <c r="P430" s="186"/>
      <c r="Q430" s="186"/>
      <c r="R430" s="67"/>
      <c r="S430" s="67"/>
      <c r="T430" s="67"/>
      <c r="U430" s="67"/>
      <c r="V430" s="67"/>
      <c r="W430" s="67"/>
      <c r="X430" s="67"/>
      <c r="Y430" s="67"/>
      <c r="Z430" s="67"/>
      <c r="AA430" s="67"/>
      <c r="AB430" s="67"/>
      <c r="AC430" s="67"/>
      <c r="AD430" s="67"/>
      <c r="AE430" s="67"/>
      <c r="AF430" s="67"/>
      <c r="AG430" s="67"/>
      <c r="AH430" s="67"/>
      <c r="AI430" s="67"/>
      <c r="AJ430" s="67"/>
      <c r="AK430" s="67"/>
      <c r="AL430" s="67"/>
      <c r="AM430" s="67"/>
    </row>
    <row r="431" spans="1:39" ht="12" customHeight="1" x14ac:dyDescent="0.15">
      <c r="A431" s="67"/>
      <c r="B431" s="67"/>
      <c r="C431" s="67"/>
      <c r="D431" s="67"/>
      <c r="E431" s="67"/>
      <c r="F431" s="67"/>
      <c r="G431" s="67"/>
      <c r="H431" s="67"/>
      <c r="I431" s="67"/>
      <c r="J431" s="186"/>
      <c r="K431" s="186"/>
      <c r="L431" s="186"/>
      <c r="M431" s="186"/>
      <c r="N431" s="186"/>
      <c r="O431" s="186"/>
      <c r="P431" s="186"/>
      <c r="Q431" s="186"/>
      <c r="R431" s="67"/>
      <c r="S431" s="67"/>
      <c r="T431" s="67"/>
      <c r="U431" s="67"/>
      <c r="V431" s="67"/>
      <c r="W431" s="67"/>
      <c r="X431" s="67"/>
      <c r="Y431" s="67"/>
      <c r="Z431" s="67"/>
      <c r="AA431" s="67"/>
      <c r="AB431" s="67"/>
      <c r="AC431" s="67"/>
      <c r="AD431" s="67"/>
      <c r="AE431" s="67"/>
      <c r="AF431" s="67"/>
      <c r="AG431" s="67"/>
      <c r="AH431" s="67"/>
      <c r="AI431" s="67"/>
      <c r="AJ431" s="67"/>
      <c r="AK431" s="67"/>
      <c r="AL431" s="67"/>
      <c r="AM431" s="67"/>
    </row>
    <row r="432" spans="1:39" ht="12" customHeight="1" x14ac:dyDescent="0.15">
      <c r="A432" s="67"/>
      <c r="B432" s="67"/>
      <c r="C432" s="67"/>
      <c r="D432" s="67"/>
      <c r="E432" s="67"/>
      <c r="F432" s="67"/>
      <c r="G432" s="67"/>
      <c r="H432" s="67"/>
      <c r="I432" s="67"/>
      <c r="J432" s="186"/>
      <c r="K432" s="186"/>
      <c r="L432" s="186"/>
      <c r="M432" s="186"/>
      <c r="N432" s="186"/>
      <c r="O432" s="186"/>
      <c r="P432" s="186"/>
      <c r="Q432" s="186"/>
      <c r="R432" s="67"/>
      <c r="S432" s="67"/>
      <c r="T432" s="67"/>
      <c r="U432" s="67"/>
      <c r="V432" s="67"/>
      <c r="W432" s="67"/>
      <c r="X432" s="67"/>
      <c r="Y432" s="67"/>
      <c r="Z432" s="67"/>
      <c r="AA432" s="67"/>
      <c r="AB432" s="67"/>
      <c r="AC432" s="67"/>
      <c r="AD432" s="67"/>
      <c r="AE432" s="67"/>
      <c r="AF432" s="67"/>
      <c r="AG432" s="67"/>
      <c r="AH432" s="67"/>
      <c r="AI432" s="67"/>
      <c r="AJ432" s="67"/>
      <c r="AK432" s="67"/>
      <c r="AL432" s="67"/>
      <c r="AM432" s="67"/>
    </row>
    <row r="433" spans="1:39" ht="12" customHeight="1" x14ac:dyDescent="0.15">
      <c r="A433" s="67"/>
      <c r="B433" s="67"/>
      <c r="C433" s="67"/>
      <c r="D433" s="67"/>
      <c r="E433" s="67"/>
      <c r="F433" s="67"/>
      <c r="G433" s="67"/>
      <c r="H433" s="67"/>
      <c r="I433" s="67"/>
      <c r="J433" s="186"/>
      <c r="K433" s="186"/>
      <c r="L433" s="186"/>
      <c r="M433" s="186"/>
      <c r="N433" s="186"/>
      <c r="O433" s="186"/>
      <c r="P433" s="186"/>
      <c r="Q433" s="186"/>
      <c r="R433" s="67"/>
      <c r="S433" s="67"/>
      <c r="T433" s="67"/>
      <c r="U433" s="67"/>
      <c r="V433" s="67"/>
      <c r="W433" s="67"/>
      <c r="X433" s="67"/>
      <c r="Y433" s="67"/>
      <c r="Z433" s="67"/>
      <c r="AA433" s="67"/>
      <c r="AB433" s="67"/>
      <c r="AC433" s="67"/>
      <c r="AD433" s="67"/>
      <c r="AE433" s="67"/>
      <c r="AF433" s="67"/>
      <c r="AG433" s="67"/>
      <c r="AH433" s="67"/>
      <c r="AI433" s="67"/>
      <c r="AJ433" s="67"/>
      <c r="AK433" s="67"/>
      <c r="AL433" s="67"/>
      <c r="AM433" s="67"/>
    </row>
    <row r="434" spans="1:39" ht="12" customHeight="1" x14ac:dyDescent="0.15">
      <c r="A434" s="67"/>
      <c r="B434" s="67"/>
      <c r="C434" s="67"/>
      <c r="D434" s="67"/>
      <c r="E434" s="67"/>
      <c r="F434" s="67"/>
      <c r="G434" s="67"/>
      <c r="H434" s="67"/>
      <c r="I434" s="67"/>
      <c r="J434" s="186"/>
      <c r="K434" s="186"/>
      <c r="L434" s="186"/>
      <c r="M434" s="186"/>
      <c r="N434" s="186"/>
      <c r="O434" s="186"/>
      <c r="P434" s="186"/>
      <c r="Q434" s="186"/>
      <c r="R434" s="67"/>
      <c r="S434" s="67"/>
      <c r="T434" s="67"/>
      <c r="U434" s="67"/>
      <c r="V434" s="67"/>
      <c r="W434" s="67"/>
      <c r="X434" s="67"/>
      <c r="Y434" s="67"/>
      <c r="Z434" s="67"/>
      <c r="AA434" s="67"/>
      <c r="AB434" s="67"/>
      <c r="AC434" s="67"/>
      <c r="AD434" s="67"/>
      <c r="AE434" s="67"/>
      <c r="AF434" s="67"/>
      <c r="AG434" s="67"/>
      <c r="AH434" s="67"/>
      <c r="AI434" s="67"/>
      <c r="AJ434" s="67"/>
      <c r="AK434" s="67"/>
      <c r="AL434" s="67"/>
      <c r="AM434" s="67"/>
    </row>
    <row r="435" spans="1:39" ht="12" customHeight="1" x14ac:dyDescent="0.15">
      <c r="A435" s="67"/>
      <c r="B435" s="67"/>
      <c r="C435" s="67"/>
      <c r="D435" s="67"/>
      <c r="E435" s="67"/>
      <c r="F435" s="67"/>
      <c r="G435" s="67"/>
      <c r="H435" s="67"/>
      <c r="I435" s="67"/>
      <c r="J435" s="186"/>
      <c r="K435" s="186"/>
      <c r="L435" s="186"/>
      <c r="M435" s="186"/>
      <c r="N435" s="186"/>
      <c r="O435" s="186"/>
      <c r="P435" s="186"/>
      <c r="Q435" s="186"/>
      <c r="R435" s="67"/>
      <c r="S435" s="67"/>
      <c r="T435" s="67"/>
      <c r="U435" s="67"/>
      <c r="V435" s="67"/>
      <c r="W435" s="67"/>
      <c r="X435" s="67"/>
      <c r="Y435" s="67"/>
      <c r="Z435" s="67"/>
      <c r="AA435" s="67"/>
      <c r="AB435" s="67"/>
      <c r="AC435" s="67"/>
      <c r="AD435" s="67"/>
      <c r="AE435" s="67"/>
      <c r="AF435" s="67"/>
      <c r="AG435" s="67"/>
      <c r="AH435" s="67"/>
      <c r="AI435" s="67"/>
      <c r="AJ435" s="67"/>
      <c r="AK435" s="67"/>
      <c r="AL435" s="67"/>
      <c r="AM435" s="67"/>
    </row>
    <row r="436" spans="1:39" ht="12" customHeight="1" x14ac:dyDescent="0.15">
      <c r="A436" s="67"/>
      <c r="B436" s="67"/>
      <c r="C436" s="67"/>
      <c r="D436" s="67"/>
      <c r="E436" s="67"/>
      <c r="F436" s="67"/>
      <c r="G436" s="67"/>
      <c r="H436" s="67"/>
      <c r="I436" s="67"/>
      <c r="J436" s="186"/>
      <c r="K436" s="186"/>
      <c r="L436" s="186"/>
      <c r="M436" s="186"/>
      <c r="N436" s="186"/>
      <c r="O436" s="186"/>
      <c r="P436" s="186"/>
      <c r="Q436" s="186"/>
      <c r="R436" s="67"/>
      <c r="S436" s="67"/>
      <c r="T436" s="67"/>
      <c r="U436" s="67"/>
      <c r="V436" s="67"/>
      <c r="W436" s="67"/>
      <c r="X436" s="67"/>
      <c r="Y436" s="67"/>
      <c r="Z436" s="67"/>
      <c r="AA436" s="67"/>
      <c r="AB436" s="67"/>
      <c r="AC436" s="67"/>
      <c r="AD436" s="67"/>
      <c r="AE436" s="67"/>
      <c r="AF436" s="67"/>
      <c r="AG436" s="67"/>
      <c r="AH436" s="67"/>
      <c r="AI436" s="67"/>
      <c r="AJ436" s="67"/>
      <c r="AK436" s="67"/>
      <c r="AL436" s="67"/>
      <c r="AM436" s="67"/>
    </row>
  </sheetData>
  <mergeCells count="16">
    <mergeCell ref="AT3:BA3"/>
    <mergeCell ref="S3:Z3"/>
    <mergeCell ref="BM3:BO3"/>
    <mergeCell ref="A1:Q1"/>
    <mergeCell ref="G3:J3"/>
    <mergeCell ref="BB3:BH3"/>
    <mergeCell ref="AP3:AR3"/>
    <mergeCell ref="K3:L3"/>
    <mergeCell ref="S270:AN271"/>
    <mergeCell ref="M3:O3"/>
    <mergeCell ref="R1:AA1"/>
    <mergeCell ref="AL1:AM1"/>
    <mergeCell ref="AA3:AG3"/>
    <mergeCell ref="AK3:AN3"/>
    <mergeCell ref="AH3:AJ3"/>
    <mergeCell ref="AB1:AK1"/>
  </mergeCells>
  <pageMargins left="0.75" right="0.75" top="1" bottom="1" header="0.511811023622047" footer="0.511811023622047"/>
  <pageSetup paperSize="9" orientation="portrait" horizontalDpi="300" verticalDpi="300"/>
  <drawing r:id="rId1"/>
  <mc:AlternateContent xmlns:mc="http://schemas.openxmlformats.org/markup-compatibility/2006">
    <mc:Choice Requires="v">
      <legacyDrawing r:id="rId2"/>
    </mc:Choice>
  </mc:AlternateContent>
</worksheet>
</file>

<file path=xl/worksheets/sheet9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4E2ED"/>
  </sheetPr>
  <dimension ref="A1:BT490"/>
  <sheetViews>
    <sheetView topLeftCell="P2" zoomScale="86" zoomScaleNormal="65" workbookViewId="0">
      <selection activeCell="BF45" sqref="BF45:BG49"/>
    </sheetView>
  </sheetViews>
  <sheetFormatPr baseColWidth="10" defaultColWidth="8.83203125" defaultRowHeight="13" x14ac:dyDescent="0.15"/>
  <cols>
    <col min="1" max="1" width="10.5" style="269" customWidth="1"/>
    <col min="2" max="2" width="8.83203125" style="269" customWidth="1"/>
    <col min="3" max="3" width="10" style="269" customWidth="1"/>
    <col min="4" max="4" width="11.6640625" style="269" customWidth="1"/>
    <col min="5" max="5" width="9.5" style="269" customWidth="1"/>
    <col min="6" max="6" width="10.1640625" style="269" customWidth="1"/>
    <col min="7" max="7" width="10.5" style="269" customWidth="1"/>
    <col min="8" max="8" width="11.83203125" style="269" customWidth="1"/>
    <col min="9" max="9" width="13.6640625" style="269" customWidth="1"/>
    <col min="10" max="11" width="8.83203125" style="269" customWidth="1"/>
    <col min="12" max="12" width="11.33203125" style="269" customWidth="1"/>
    <col min="13" max="14" width="8.83203125" style="269" customWidth="1"/>
    <col min="15" max="15" width="11" style="269" customWidth="1"/>
    <col min="16" max="16" width="11.5" style="269" customWidth="1"/>
    <col min="17" max="19" width="8.83203125" style="269" customWidth="1"/>
    <col min="20" max="20" width="9.5" style="269" customWidth="1"/>
    <col min="21" max="21" width="10.6640625" style="269" customWidth="1"/>
    <col min="22" max="26" width="8.83203125" style="269" customWidth="1"/>
    <col min="27" max="33" width="10.83203125" style="269" customWidth="1"/>
    <col min="34" max="34" width="8.83203125" style="269" customWidth="1"/>
    <col min="35" max="35" width="25.6640625" style="269" customWidth="1"/>
    <col min="36" max="36" width="13.83203125" style="269" customWidth="1"/>
    <col min="37" max="37" width="13" style="269" customWidth="1"/>
    <col min="38" max="39" width="9.1640625" style="269" customWidth="1"/>
    <col min="40" max="40" width="12.33203125" style="269" customWidth="1"/>
    <col min="41" max="41" width="12.5" style="269" customWidth="1"/>
    <col min="42" max="42" width="10.5" style="269" customWidth="1"/>
    <col min="43" max="43" width="10.33203125" style="269" customWidth="1"/>
    <col min="44" max="44" width="12" style="269" customWidth="1"/>
    <col min="45" max="45" width="9.1640625" style="269" customWidth="1"/>
    <col min="46" max="46" width="10" style="269" customWidth="1"/>
    <col min="47" max="47" width="11.5" style="269" customWidth="1"/>
    <col min="48" max="48" width="13" style="269" customWidth="1"/>
    <col min="49" max="51" width="10.1640625" style="269" customWidth="1"/>
    <col min="52" max="52" width="8.83203125" style="269" customWidth="1"/>
    <col min="53" max="53" width="11" style="269" customWidth="1"/>
    <col min="54" max="58" width="8.83203125" style="269" customWidth="1"/>
    <col min="59" max="59" width="13.1640625" style="269" customWidth="1"/>
    <col min="60" max="61" width="8.83203125" style="269" customWidth="1"/>
    <col min="62" max="16384" width="8.83203125" style="269"/>
  </cols>
  <sheetData>
    <row r="1" spans="1:72" ht="15.75" customHeight="1" x14ac:dyDescent="0.2">
      <c r="C1" s="270"/>
    </row>
    <row r="2" spans="1:72" ht="19.5" customHeight="1" x14ac:dyDescent="0.25">
      <c r="C2" s="271"/>
      <c r="D2" s="272" t="s">
        <v>700</v>
      </c>
      <c r="E2" s="273"/>
      <c r="F2" s="273"/>
      <c r="G2" s="273"/>
      <c r="H2" s="274"/>
      <c r="J2" s="274"/>
      <c r="K2" s="274"/>
      <c r="L2" s="274"/>
      <c r="M2" s="274"/>
      <c r="N2" s="274"/>
      <c r="P2" s="274"/>
      <c r="Q2" s="274"/>
      <c r="R2" s="274"/>
      <c r="S2" s="274"/>
      <c r="T2" s="274"/>
      <c r="V2" s="274"/>
      <c r="W2" s="274"/>
      <c r="X2" s="274"/>
      <c r="Y2" s="274"/>
      <c r="Z2" s="274"/>
    </row>
    <row r="3" spans="1:72" ht="24" customHeight="1" x14ac:dyDescent="0.2">
      <c r="C3" s="275"/>
      <c r="D3" s="571" t="s">
        <v>665</v>
      </c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3"/>
      <c r="P3" s="571" t="s">
        <v>664</v>
      </c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3"/>
      <c r="AB3" s="276"/>
      <c r="AJ3" s="277"/>
      <c r="AK3" s="277"/>
      <c r="AL3" s="277"/>
      <c r="AM3" s="277"/>
      <c r="AN3" s="277"/>
      <c r="AO3" s="277"/>
      <c r="AP3" s="277"/>
      <c r="AQ3" s="277"/>
    </row>
    <row r="4" spans="1:72" ht="18" customHeight="1" x14ac:dyDescent="0.25">
      <c r="C4" s="278"/>
      <c r="D4" s="582" t="s">
        <v>485</v>
      </c>
      <c r="E4" s="583"/>
      <c r="F4" s="583"/>
      <c r="G4" s="583"/>
      <c r="H4" s="583"/>
      <c r="I4" s="584"/>
      <c r="J4" s="585" t="s">
        <v>701</v>
      </c>
      <c r="K4" s="583"/>
      <c r="L4" s="583"/>
      <c r="M4" s="583"/>
      <c r="N4" s="583"/>
      <c r="O4" s="583"/>
      <c r="P4" s="582" t="s">
        <v>485</v>
      </c>
      <c r="Q4" s="583"/>
      <c r="R4" s="583"/>
      <c r="S4" s="583"/>
      <c r="T4" s="583"/>
      <c r="U4" s="584"/>
      <c r="V4" s="585" t="s">
        <v>701</v>
      </c>
      <c r="W4" s="583"/>
      <c r="X4" s="583"/>
      <c r="Y4" s="583"/>
      <c r="Z4" s="583"/>
      <c r="AA4" s="583"/>
      <c r="AB4" s="279"/>
      <c r="BO4" s="280" t="s">
        <v>702</v>
      </c>
      <c r="BP4" s="281"/>
      <c r="BQ4" s="281"/>
      <c r="BR4" s="281"/>
      <c r="BS4" s="281"/>
      <c r="BT4" s="281"/>
    </row>
    <row r="5" spans="1:72" ht="28.5" customHeight="1" x14ac:dyDescent="0.2">
      <c r="C5" s="282"/>
      <c r="D5" s="283" t="s">
        <v>703</v>
      </c>
      <c r="E5" s="283" t="s">
        <v>704</v>
      </c>
      <c r="F5" s="283" t="s">
        <v>705</v>
      </c>
      <c r="G5" s="283" t="s">
        <v>706</v>
      </c>
      <c r="H5" s="283" t="s">
        <v>707</v>
      </c>
      <c r="I5" s="284" t="s">
        <v>708</v>
      </c>
      <c r="J5" s="283" t="s">
        <v>703</v>
      </c>
      <c r="K5" s="283" t="s">
        <v>704</v>
      </c>
      <c r="L5" s="283" t="s">
        <v>705</v>
      </c>
      <c r="M5" s="283" t="s">
        <v>706</v>
      </c>
      <c r="N5" s="283" t="s">
        <v>707</v>
      </c>
      <c r="O5" s="284" t="s">
        <v>708</v>
      </c>
      <c r="P5" s="283" t="s">
        <v>703</v>
      </c>
      <c r="Q5" s="283" t="s">
        <v>704</v>
      </c>
      <c r="R5" s="283" t="s">
        <v>705</v>
      </c>
      <c r="S5" s="283" t="s">
        <v>706</v>
      </c>
      <c r="T5" s="283" t="s">
        <v>707</v>
      </c>
      <c r="U5" s="284" t="s">
        <v>708</v>
      </c>
      <c r="V5" s="283" t="s">
        <v>703</v>
      </c>
      <c r="W5" s="283" t="s">
        <v>704</v>
      </c>
      <c r="X5" s="283" t="s">
        <v>705</v>
      </c>
      <c r="Y5" s="283" t="s">
        <v>706</v>
      </c>
      <c r="Z5" s="283" t="s">
        <v>707</v>
      </c>
      <c r="AA5" s="284" t="s">
        <v>708</v>
      </c>
      <c r="AB5" s="285"/>
      <c r="BO5" s="286"/>
      <c r="BP5" s="578" t="s">
        <v>665</v>
      </c>
      <c r="BQ5" s="579"/>
      <c r="BR5" s="287"/>
      <c r="BS5" s="578" t="s">
        <v>664</v>
      </c>
      <c r="BT5" s="579"/>
    </row>
    <row r="6" spans="1:72" ht="15" customHeight="1" x14ac:dyDescent="0.2">
      <c r="C6" s="288" t="s">
        <v>709</v>
      </c>
      <c r="D6" s="289">
        <f>+AJ42</f>
        <v>865.56780000000003</v>
      </c>
      <c r="E6" s="290">
        <f>+AK42</f>
        <v>867.01089999999999</v>
      </c>
      <c r="F6" s="291">
        <f>+AL42</f>
        <v>866.64300000000003</v>
      </c>
      <c r="G6" s="291">
        <f>+AM42</f>
        <v>860.93240000000003</v>
      </c>
      <c r="H6" s="291">
        <f>+AN42</f>
        <v>867.06780000000003</v>
      </c>
      <c r="I6" s="292">
        <f>AO46</f>
        <v>865.37390000000005</v>
      </c>
      <c r="J6" s="289">
        <f>+AP42</f>
        <v>977.75340000000006</v>
      </c>
      <c r="K6" s="290">
        <f>+AQ42</f>
        <v>979.56669999999997</v>
      </c>
      <c r="L6" s="291">
        <f>+AR42</f>
        <v>951.58590000000004</v>
      </c>
      <c r="M6" s="291">
        <f>+AS42</f>
        <v>956.23469999999998</v>
      </c>
      <c r="N6" s="291">
        <f>+AT42</f>
        <v>970.4615</v>
      </c>
      <c r="O6" s="292">
        <f>AU46</f>
        <v>945.32939999999996</v>
      </c>
      <c r="P6" s="289">
        <f>+AV42</f>
        <v>688.29430000000002</v>
      </c>
      <c r="Q6" s="290">
        <f>+AW42</f>
        <v>680.03650000000005</v>
      </c>
      <c r="R6" s="291">
        <f>+AX42</f>
        <v>687.47140000000002</v>
      </c>
      <c r="S6" s="291">
        <f>+AY42</f>
        <v>678.84659999999997</v>
      </c>
      <c r="T6" s="291">
        <f>+AZ42</f>
        <v>684.31359999999995</v>
      </c>
      <c r="U6" s="292">
        <f>BA46</f>
        <v>681.81330000000003</v>
      </c>
      <c r="V6" s="289">
        <f>+BB42</f>
        <v>756.21230000000003</v>
      </c>
      <c r="W6" s="290">
        <f>+BC42</f>
        <v>754.22609999999997</v>
      </c>
      <c r="X6" s="291">
        <f>+BD42</f>
        <v>753.91560000000004</v>
      </c>
      <c r="Y6" s="291">
        <f>+BE42</f>
        <v>753.51319999999998</v>
      </c>
      <c r="Z6" s="291">
        <f>+BF42</f>
        <v>756.46849999999995</v>
      </c>
      <c r="AA6" s="292">
        <f>BG46</f>
        <v>754.78440000000001</v>
      </c>
      <c r="AB6" s="293"/>
      <c r="BO6" s="294"/>
      <c r="BP6" s="295" t="s">
        <v>485</v>
      </c>
      <c r="BQ6" s="296" t="s">
        <v>710</v>
      </c>
      <c r="BR6" s="287"/>
      <c r="BS6" s="295" t="s">
        <v>485</v>
      </c>
      <c r="BT6" s="296" t="s">
        <v>701</v>
      </c>
    </row>
    <row r="7" spans="1:72" ht="15" customHeight="1" thickBot="1" x14ac:dyDescent="0.25">
      <c r="C7" s="278" t="s">
        <v>711</v>
      </c>
      <c r="D7" s="297">
        <f>IF(Analysis!$E$7=0,extrapolation!AJ43,extrapolation!AJ59)</f>
        <v>3.3178390000000002</v>
      </c>
      <c r="E7" s="298">
        <f>IF(Analysis!$E$7=0,extrapolation!AK43,extrapolation!AK59)</f>
        <v>3.3055620000000001</v>
      </c>
      <c r="F7" s="298">
        <f>IF(Analysis!$E$7=0,extrapolation!AL43,extrapolation!AL59)</f>
        <v>2.8949340000000001</v>
      </c>
      <c r="G7" s="298">
        <f>IF(Analysis!$E$7=0,extrapolation!AM43,extrapolation!AM59)</f>
        <v>2.879902</v>
      </c>
      <c r="H7" s="298">
        <f>IF(Analysis!$E$7=0,extrapolation!AN43,extrapolation!AN59)</f>
        <v>-3.2310059999999998</v>
      </c>
      <c r="I7" s="269">
        <f>IF(Analysis!$E$7=0,extrapolation!AO47,extrapolation!AJ73)</f>
        <v>3.0940129999999999</v>
      </c>
      <c r="J7" s="297">
        <f>IF(Analysis!$E$7=0,extrapolation!AP43,extrapolation!AP59)</f>
        <v>2.5611440000000001</v>
      </c>
      <c r="K7" s="298">
        <f>IF(Analysis!$E$7=0,extrapolation!AQ43,extrapolation!AQ59)</f>
        <v>2.555485</v>
      </c>
      <c r="L7" s="298">
        <f>IF(Analysis!$E$7=0,extrapolation!AR43,extrapolation!AR59)</f>
        <v>2.0467300000000002</v>
      </c>
      <c r="M7" s="298">
        <f>IF(Analysis!$E$7=0,extrapolation!AS43,extrapolation!AS59)</f>
        <v>2.017916</v>
      </c>
      <c r="N7" s="298">
        <f>IF(Analysis!$E$7=0,extrapolation!AT43,extrapolation!AT59)</f>
        <v>-2.2816519999999998</v>
      </c>
      <c r="O7" s="298">
        <f>IF(Analysis!$E$7=0,extrapolation!AU47,extrapolation!AK73)</f>
        <v>1.5728740000000001</v>
      </c>
      <c r="P7" s="297">
        <f>IF(Analysis!$E$7=0,extrapolation!AV43,extrapolation!AV59)</f>
        <v>4.0462819999999997</v>
      </c>
      <c r="Q7" s="298">
        <f>IF(Analysis!$E$7=0,extrapolation!AW43,extrapolation!AW59)</f>
        <v>3.8477890000000001</v>
      </c>
      <c r="R7" s="298">
        <f>IF(Analysis!$E$7=0,extrapolation!AX43,extrapolation!AX59)</f>
        <v>3.6592289999999998</v>
      </c>
      <c r="S7" s="298">
        <f>IF(Analysis!$E$7=0,extrapolation!AY43,extrapolation!AY59)</f>
        <v>3.586433</v>
      </c>
      <c r="T7" s="298">
        <f>IF(Analysis!$E$7=0,extrapolation!AZ43,extrapolation!AZ59)</f>
        <v>-4.4727009999999998</v>
      </c>
      <c r="U7" s="298">
        <f>IF(Analysis!$E$7=0,extrapolation!BA47,extrapolation!AL73)</f>
        <v>3.8176730000000001</v>
      </c>
      <c r="V7" s="297">
        <f>IF(Analysis!$E$7=0,extrapolation!BB43,extrapolation!BB59)</f>
        <v>3.773495</v>
      </c>
      <c r="W7" s="298">
        <f>IF(Analysis!$E$7=0,extrapolation!BC43,extrapolation!BC59)</f>
        <v>3.6834530000000001</v>
      </c>
      <c r="X7" s="298">
        <f>IF(Analysis!$E$7=0,extrapolation!BD43,extrapolation!BD59)</f>
        <v>3.3780410000000001</v>
      </c>
      <c r="Y7" s="298">
        <f>IF(Analysis!$E$7=0,extrapolation!BE43,extrapolation!BE59)</f>
        <v>3.3648980000000002</v>
      </c>
      <c r="Z7" s="298">
        <f>IF(Analysis!$E$7=0,extrapolation!BF43,extrapolation!BF59)</f>
        <v>-3.9763929999999998</v>
      </c>
      <c r="AA7" s="298">
        <f>IF(Analysis!$E$7=0,extrapolation!BG47,extrapolation!AM73)</f>
        <v>3.530087</v>
      </c>
      <c r="AB7" s="297"/>
      <c r="BO7" s="299" t="s">
        <v>712</v>
      </c>
      <c r="BP7" s="300" t="s">
        <v>713</v>
      </c>
      <c r="BQ7" s="301" t="s">
        <v>713</v>
      </c>
      <c r="BR7" s="299" t="s">
        <v>712</v>
      </c>
      <c r="BS7" s="302" t="s">
        <v>713</v>
      </c>
      <c r="BT7" s="302" t="s">
        <v>713</v>
      </c>
    </row>
    <row r="8" spans="1:72" ht="15" customHeight="1" thickBot="1" x14ac:dyDescent="0.2">
      <c r="C8" s="282" t="s">
        <v>714</v>
      </c>
      <c r="D8" s="303">
        <f>IF(Analysis!$E$7=0,AJ44,AJ60)</f>
        <v>0</v>
      </c>
      <c r="E8" s="304">
        <f>IF(Analysis!$E$7=0,AK44,AK60)</f>
        <v>6.3422999999999993E-2</v>
      </c>
      <c r="F8" s="304">
        <f>IF(Analysis!$E$7=0,AL44,AL60)</f>
        <v>0.260077</v>
      </c>
      <c r="G8" s="304">
        <f>IF(Analysis!$E$7=0,AM44,AM60)</f>
        <v>-0.33871800000000002</v>
      </c>
      <c r="H8" s="304">
        <f>IF(Analysis!$E$7=0,AN44,AN60)</f>
        <v>-6.8329999999999997E-3</v>
      </c>
      <c r="I8" s="269">
        <f>IF(Analysis!$E$7=0,AO48,AJ74)</f>
        <v>1.1228450000000001</v>
      </c>
      <c r="J8" s="303">
        <f>IF(Analysis!$E$7=0,AP44,AP60)</f>
        <v>0</v>
      </c>
      <c r="K8" s="304">
        <f>IF(Analysis!$E$7=0,AQ44,AQ60)</f>
        <v>-2.8864000000000001E-2</v>
      </c>
      <c r="L8" s="304">
        <f>IF(Analysis!$E$7=0,AR44,AR60)</f>
        <v>0.11647299999999999</v>
      </c>
      <c r="M8" s="304">
        <f>IF(Analysis!$E$7=0,AS44,AS60)</f>
        <v>-0.40165699999999999</v>
      </c>
      <c r="N8" s="304">
        <f>IF(Analysis!$E$7=0,AT44,AT60)</f>
        <v>-3.0977000000000001E-2</v>
      </c>
      <c r="O8" s="298">
        <f>IF(Analysis!$E$7=0,AU48,AK74)</f>
        <v>1.0509189999999999</v>
      </c>
      <c r="P8" s="303">
        <f>IF(Analysis!$E$7=0,AV44,AV60)</f>
        <v>0</v>
      </c>
      <c r="Q8" s="304">
        <f>IF(Analysis!$E$7=0,AW44,AW60)</f>
        <v>0.35889199999999999</v>
      </c>
      <c r="R8" s="304">
        <f>IF(Analysis!$E$7=0,AX44,AX60)</f>
        <v>0.143148</v>
      </c>
      <c r="S8" s="304">
        <f>IF(Analysis!$E$7=0,AY44,AY60)</f>
        <v>-0.53681500000000004</v>
      </c>
      <c r="T8" s="304">
        <f>IF(Analysis!$E$7=0,AZ44,AZ60)</f>
        <v>2.4731E-2</v>
      </c>
      <c r="U8" s="298">
        <f>IF(Analysis!$E$7=0,BA48,AL74)</f>
        <v>0.759351</v>
      </c>
      <c r="V8" s="303">
        <f>IF(Analysis!$E$7=0,BB44,BB60)</f>
        <v>0</v>
      </c>
      <c r="W8" s="304">
        <f>IF(Analysis!$E$7=0,BC44,BC60)</f>
        <v>0.200569</v>
      </c>
      <c r="X8" s="304">
        <f>IF(Analysis!$E$7=0,BD44,BD60)</f>
        <v>0.19791</v>
      </c>
      <c r="Y8" s="304">
        <f>IF(Analysis!$E$7=0,BE44,BE60)</f>
        <v>-0.38270900000000002</v>
      </c>
      <c r="Z8" s="304">
        <f>IF(Analysis!$E$7=0,BF44,BF60)</f>
        <v>1.3332E-2</v>
      </c>
      <c r="AA8" s="298">
        <f>IF(Analysis!$E$7=0,BG48,AM74)</f>
        <v>1.044635</v>
      </c>
      <c r="AB8" s="297"/>
      <c r="AC8" s="298"/>
      <c r="AD8" s="298"/>
      <c r="AE8" s="298"/>
      <c r="AF8" s="298"/>
      <c r="AG8" s="298"/>
      <c r="AH8" s="298"/>
      <c r="AI8" s="305"/>
      <c r="BO8" s="306">
        <v>0</v>
      </c>
      <c r="BP8" s="307">
        <v>1</v>
      </c>
      <c r="BQ8" s="308">
        <v>1</v>
      </c>
      <c r="BR8" s="306">
        <v>0</v>
      </c>
      <c r="BS8" s="307">
        <v>1</v>
      </c>
      <c r="BT8" s="308">
        <v>1</v>
      </c>
    </row>
    <row r="9" spans="1:72" ht="12.75" customHeight="1" thickBot="1" x14ac:dyDescent="0.2">
      <c r="C9" s="309"/>
      <c r="D9" s="309"/>
      <c r="E9" s="309"/>
      <c r="F9" s="309"/>
      <c r="G9" s="309"/>
      <c r="H9" s="309"/>
      <c r="I9" s="481">
        <f>IF(Analysis!$E$7=0,AO49,AJ75)</f>
        <v>0.46301900000000001</v>
      </c>
      <c r="J9" s="482"/>
      <c r="K9" s="274"/>
      <c r="L9" s="274"/>
      <c r="M9" s="274"/>
      <c r="N9" s="483"/>
      <c r="O9" s="491">
        <f>IF(Analysis!$E$7=0,AU49,AK75)</f>
        <v>-0.91485399999999995</v>
      </c>
      <c r="P9" s="274"/>
      <c r="Q9" s="274"/>
      <c r="R9" s="274"/>
      <c r="S9" s="274"/>
      <c r="T9" s="274"/>
      <c r="U9" s="491">
        <f>IF(Analysis!$E$7=0,BA49,AL75)</f>
        <v>0.83310899999999999</v>
      </c>
      <c r="V9" s="482"/>
      <c r="W9" s="309"/>
      <c r="X9" s="309"/>
      <c r="Y9" s="274"/>
      <c r="Z9" s="274"/>
      <c r="AA9" s="491">
        <f>IF(Analysis!$E$7=0,BG49,AM75)</f>
        <v>0.44684699999999999</v>
      </c>
      <c r="BO9" s="310">
        <v>0.75</v>
      </c>
      <c r="BP9" s="311">
        <v>0.98760000000000003</v>
      </c>
      <c r="BQ9" s="312">
        <v>1</v>
      </c>
      <c r="BR9" s="310">
        <v>1.5</v>
      </c>
      <c r="BS9" s="311">
        <v>0.98760000000000003</v>
      </c>
      <c r="BT9" s="312">
        <v>0.98770000000000002</v>
      </c>
    </row>
    <row r="10" spans="1:72" ht="12.75" customHeight="1" x14ac:dyDescent="0.15">
      <c r="BO10" s="310">
        <v>1.5</v>
      </c>
      <c r="BP10" s="311">
        <v>0.98129999999999995</v>
      </c>
      <c r="BQ10" s="312">
        <v>0.96340000000000003</v>
      </c>
      <c r="BR10" s="310">
        <v>3</v>
      </c>
      <c r="BS10" s="311">
        <v>0.98129999999999995</v>
      </c>
      <c r="BT10" s="312">
        <v>0.96889999999999998</v>
      </c>
    </row>
    <row r="11" spans="1:72" ht="19.5" customHeight="1" x14ac:dyDescent="0.25">
      <c r="D11" s="313"/>
      <c r="V11" s="280"/>
      <c r="BO11" s="310">
        <v>2.25</v>
      </c>
      <c r="BP11" s="311">
        <v>0.93669999999999998</v>
      </c>
      <c r="BQ11" s="312">
        <v>0.80489999999999995</v>
      </c>
      <c r="BR11" s="310">
        <v>4.5</v>
      </c>
      <c r="BS11" s="311">
        <v>0.97489999999999999</v>
      </c>
      <c r="BT11" s="312">
        <v>0.93110000000000004</v>
      </c>
    </row>
    <row r="12" spans="1:72" ht="15" customHeight="1" x14ac:dyDescent="0.2">
      <c r="D12" s="574" t="s">
        <v>665</v>
      </c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3"/>
      <c r="P12" s="574" t="s">
        <v>664</v>
      </c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3"/>
      <c r="AI12" s="305"/>
      <c r="AN12" s="298"/>
      <c r="AO12" s="298"/>
      <c r="AT12" s="298"/>
      <c r="AU12" s="298"/>
      <c r="BO12" s="310">
        <v>3</v>
      </c>
      <c r="BP12" s="311">
        <v>0.93669999999999998</v>
      </c>
      <c r="BQ12" s="312">
        <v>0.76219999999999999</v>
      </c>
      <c r="BR12" s="310">
        <v>6</v>
      </c>
      <c r="BS12" s="311">
        <v>0.96840000000000004</v>
      </c>
      <c r="BT12" s="312">
        <v>0.91820000000000002</v>
      </c>
    </row>
    <row r="13" spans="1:72" ht="15" customHeight="1" x14ac:dyDescent="0.2">
      <c r="D13" s="588" t="s">
        <v>485</v>
      </c>
      <c r="E13" s="576"/>
      <c r="F13" s="576"/>
      <c r="G13" s="576"/>
      <c r="H13" s="576"/>
      <c r="I13" s="587"/>
      <c r="J13" s="586" t="s">
        <v>701</v>
      </c>
      <c r="K13" s="576"/>
      <c r="L13" s="576"/>
      <c r="M13" s="576"/>
      <c r="N13" s="576"/>
      <c r="O13" s="587"/>
      <c r="P13" s="588" t="s">
        <v>485</v>
      </c>
      <c r="Q13" s="576"/>
      <c r="R13" s="576"/>
      <c r="S13" s="576"/>
      <c r="T13" s="576"/>
      <c r="U13" s="587"/>
      <c r="V13" s="586" t="s">
        <v>701</v>
      </c>
      <c r="W13" s="576"/>
      <c r="X13" s="576"/>
      <c r="Y13" s="576"/>
      <c r="Z13" s="576"/>
      <c r="AA13" s="587"/>
      <c r="AK13" s="314"/>
      <c r="AL13" s="314"/>
      <c r="AN13" s="315"/>
      <c r="AO13" s="315"/>
      <c r="AQ13" s="314"/>
      <c r="AR13" s="314"/>
      <c r="AT13" s="315"/>
      <c r="AU13" s="315"/>
      <c r="BO13" s="310">
        <v>3.75</v>
      </c>
      <c r="BP13" s="311">
        <v>0.91749999999999998</v>
      </c>
      <c r="BQ13" s="312">
        <v>0.69510000000000005</v>
      </c>
      <c r="BR13" s="310">
        <v>7.5</v>
      </c>
      <c r="BS13" s="311">
        <v>0.96840000000000004</v>
      </c>
      <c r="BT13" s="312">
        <v>0.86639999999999995</v>
      </c>
    </row>
    <row r="14" spans="1:72" ht="26.25" customHeight="1" x14ac:dyDescent="0.2">
      <c r="A14" s="316" t="s">
        <v>661</v>
      </c>
      <c r="B14" s="317" t="s">
        <v>715</v>
      </c>
      <c r="C14" s="318" t="s">
        <v>716</v>
      </c>
      <c r="D14" s="319" t="s">
        <v>703</v>
      </c>
      <c r="E14" s="320" t="s">
        <v>704</v>
      </c>
      <c r="F14" s="320" t="s">
        <v>705</v>
      </c>
      <c r="G14" s="320" t="s">
        <v>706</v>
      </c>
      <c r="H14" s="320" t="s">
        <v>707</v>
      </c>
      <c r="I14" s="321" t="s">
        <v>708</v>
      </c>
      <c r="J14" s="319" t="s">
        <v>703</v>
      </c>
      <c r="K14" s="320" t="s">
        <v>704</v>
      </c>
      <c r="L14" s="320" t="s">
        <v>705</v>
      </c>
      <c r="M14" s="320" t="s">
        <v>706</v>
      </c>
      <c r="N14" s="320" t="s">
        <v>707</v>
      </c>
      <c r="O14" s="321" t="s">
        <v>708</v>
      </c>
      <c r="P14" s="319" t="s">
        <v>703</v>
      </c>
      <c r="Q14" s="320" t="s">
        <v>704</v>
      </c>
      <c r="R14" s="320" t="s">
        <v>705</v>
      </c>
      <c r="S14" s="320" t="s">
        <v>706</v>
      </c>
      <c r="T14" s="320" t="s">
        <v>707</v>
      </c>
      <c r="U14" s="321" t="s">
        <v>708</v>
      </c>
      <c r="V14" s="319" t="s">
        <v>703</v>
      </c>
      <c r="W14" s="320" t="s">
        <v>704</v>
      </c>
      <c r="X14" s="320" t="s">
        <v>705</v>
      </c>
      <c r="Y14" s="320" t="s">
        <v>706</v>
      </c>
      <c r="Z14" s="320" t="s">
        <v>707</v>
      </c>
      <c r="AA14" s="321" t="s">
        <v>708</v>
      </c>
      <c r="BO14" s="310">
        <v>4.5</v>
      </c>
      <c r="BP14" s="311">
        <v>0.89180000000000004</v>
      </c>
      <c r="BQ14" s="312">
        <v>0.67069999999999996</v>
      </c>
      <c r="BR14" s="310">
        <v>9</v>
      </c>
      <c r="BS14" s="311">
        <v>0.94189999999999996</v>
      </c>
      <c r="BT14" s="312">
        <v>0.83379999999999999</v>
      </c>
    </row>
    <row r="15" spans="1:72" ht="12.75" customHeight="1" x14ac:dyDescent="0.15">
      <c r="A15" s="269">
        <v>0</v>
      </c>
      <c r="B15" s="322">
        <v>0</v>
      </c>
      <c r="C15" s="323">
        <v>0</v>
      </c>
      <c r="D15" s="324">
        <v>1</v>
      </c>
      <c r="E15" s="324">
        <v>1</v>
      </c>
      <c r="F15" s="324">
        <v>1</v>
      </c>
      <c r="G15" s="324">
        <v>1</v>
      </c>
      <c r="H15" s="324">
        <v>1</v>
      </c>
      <c r="I15" s="325">
        <v>1</v>
      </c>
      <c r="J15" s="324">
        <v>1</v>
      </c>
      <c r="K15" s="324">
        <v>1</v>
      </c>
      <c r="L15" s="324">
        <v>1</v>
      </c>
      <c r="M15" s="324">
        <v>1</v>
      </c>
      <c r="N15" s="324">
        <v>1</v>
      </c>
      <c r="O15" s="325">
        <v>1</v>
      </c>
      <c r="P15" s="324">
        <v>1</v>
      </c>
      <c r="Q15" s="324">
        <v>1</v>
      </c>
      <c r="R15" s="324">
        <v>1</v>
      </c>
      <c r="S15" s="324">
        <v>1</v>
      </c>
      <c r="T15" s="326">
        <v>1</v>
      </c>
      <c r="U15" s="325">
        <v>1</v>
      </c>
      <c r="V15" s="324">
        <v>1</v>
      </c>
      <c r="W15" s="324">
        <v>1</v>
      </c>
      <c r="X15" s="324">
        <v>1</v>
      </c>
      <c r="Y15" s="324">
        <v>1</v>
      </c>
      <c r="Z15" s="324">
        <v>1</v>
      </c>
      <c r="AA15" s="325">
        <v>1</v>
      </c>
      <c r="BO15" s="310">
        <v>5.25</v>
      </c>
      <c r="BP15" s="311">
        <v>0.87890000000000001</v>
      </c>
      <c r="BQ15" s="312">
        <v>0.65839999999999999</v>
      </c>
      <c r="BR15" s="310">
        <v>10.5</v>
      </c>
      <c r="BS15" s="311">
        <v>0.90210000000000001</v>
      </c>
      <c r="BT15" s="312">
        <v>0.80100000000000005</v>
      </c>
    </row>
    <row r="16" spans="1:72" ht="13.5" customHeight="1" x14ac:dyDescent="0.15">
      <c r="A16" s="269">
        <f t="shared" ref="A16:A79" si="0">+A15+1</f>
        <v>1</v>
      </c>
      <c r="B16" s="322">
        <f t="shared" ref="B16:B79" si="1">12*C16/52</f>
        <v>0.92307692307692313</v>
      </c>
      <c r="C16" s="323">
        <f t="shared" ref="C16:C79" si="2">+C15+4</f>
        <v>4</v>
      </c>
      <c r="D16" s="327">
        <f t="shared" ref="D16:D79" si="3">EXP(-(EXP(-$D$7)*$B16))</f>
        <v>0.9671090298826015</v>
      </c>
      <c r="E16" s="327">
        <f t="shared" ref="E16:E79" si="4">EXP(-EXP(-($E$7/EXP($E$8)))*$B16^(1/EXP($E$8)))</f>
        <v>0.95916919841281578</v>
      </c>
      <c r="F16" s="327">
        <f t="shared" ref="F16:F79" si="5">1 - _xlfn.NORM.S.DIST(((LN($B16) - $F$7)/EXP($F$8)), TRUE())</f>
        <v>0.98909566854713415</v>
      </c>
      <c r="G16" s="327">
        <f t="shared" ref="G16:G79" si="6">1/(1+EXP(-($G$7/EXP($G$8)))*$B16^(1/EXP($G$8)))</f>
        <v>0.98452965902187328</v>
      </c>
      <c r="H16" s="327">
        <f t="shared" ref="H16:H79" si="7">IF($H$8=0,EXP(-EXP($H$7)*$B16),EXP(-(EXP($H$7)/$H$8)*(EXP($H$8*$B16)-1)))</f>
        <v>0.96429009573892011</v>
      </c>
      <c r="I16" s="327">
        <f t="shared" ref="I16:I79" si="8">IF($I$9&gt;0,1-_xlfn.GAMMA.DIST(EXP($I$9*(LN($B16)-$I$7)/$I$8)/$I$9^2,1/$I$9^2,1,TRUE()),_xlfn.GAMMA.DIST(EXP($I$9*(LN($B16)-$I$7)/$I$8)/$I$9^2,1/$I$9^2,1,TRUE()))</f>
        <v>0.98449212806599118</v>
      </c>
      <c r="J16" s="327">
        <f t="shared" ref="J16:J79" si="9">EXP(-(EXP(-$J$7)*$B16))</f>
        <v>0.9312042529737572</v>
      </c>
      <c r="K16" s="327">
        <f t="shared" ref="K16:K79" si="10">EXP(-EXP(-($K$7/EXP($K$8)))*$B16^(1/EXP($K$8)))</f>
        <v>0.93579685349172459</v>
      </c>
      <c r="L16" s="327">
        <f t="shared" ref="L16:L79" si="11">1 - _xlfn.NORM.S.DIST(((LN($B16) - $L$7)/EXP($L$8)), TRUE())</f>
        <v>0.97081726354159614</v>
      </c>
      <c r="M16" s="327">
        <f t="shared" ref="M16:M79" si="12">1/(1+EXP(-($M$7/EXP($M$8)))*$B16^(1/EXP($M$8)))</f>
        <v>0.95831267452612723</v>
      </c>
      <c r="N16" s="327">
        <f t="shared" ref="N16:N79" si="13">IF($N$8=0,EXP(-EXP($N$7)*$B16),EXP(-(EXP($N$7)/$N$8)*(EXP($N$8*$B16)-1)))</f>
        <v>0.91126143204108367</v>
      </c>
      <c r="O16" s="328">
        <f t="shared" ref="O16:O79" si="14">IF($O$9&gt;0,1-_xlfn.GAMMA.DIST(EXP($O$9*(LN($B16)-$O$7)/$O$8)/$O$9^2,1/$O$9^2,1,TRUE()),_xlfn.GAMMA.DIST(EXP($O$9*(LN($B16)-$O$7)/$O$8)/$O$9^2,1/$O$9^2,1,TRUE()))</f>
        <v>0.98999998263377065</v>
      </c>
      <c r="P16" s="327">
        <f t="shared" ref="P16:P79" si="15">EXP(-(EXP(-$P$7)*$B16))</f>
        <v>0.98398748858943708</v>
      </c>
      <c r="Q16" s="327">
        <f t="shared" ref="Q16:Q79" si="16">EXP(-EXP(-($Q$7/EXP($Q$8)))*$B16^(1/EXP($Q$8)))</f>
        <v>0.9376752374650017</v>
      </c>
      <c r="R16" s="327">
        <f t="shared" ref="R16:R79" si="17">1 - _xlfn.NORM.S.DIST(((LN($B16) - $R$7)/EXP($R$8)), TRUE())</f>
        <v>0.99940350185864968</v>
      </c>
      <c r="S16" s="327">
        <f t="shared" ref="S16:S79" si="18">1/(1+EXP(-($S$7/EXP($S$8)))*$B16^(1/EXP($S$8)))</f>
        <v>0.99811452885906005</v>
      </c>
      <c r="T16" s="327">
        <f t="shared" ref="T16:T79" si="19">IF($T$8=0,EXP(-EXP($T$7)*$B16),EXP(-(EXP($T$7)/$T$8)*(EXP($T$8*$B16)-1)))</f>
        <v>0.98939715248499538</v>
      </c>
      <c r="U16" s="328">
        <f t="shared" ref="U16:U79" si="20">IF($U$9&gt;0,1-_xlfn.GAMMA.DIST(EXP($U$9*(LN($B16)-$U$7)/$U$8)/$U$9^2,1/$U$9^2,1,TRUE()),_xlfn.GAMMA.DIST(EXP($U$9*(LN($B16)-$U$7)/$U$8)/$U$9^2,1/$U$9^2,1,TRUE()))</f>
        <v>0.99723515639720628</v>
      </c>
      <c r="V16" s="327">
        <f t="shared" ref="V16:V79" si="21">EXP(-(EXP(-$V$7)*$B16))</f>
        <v>0.97901864865429911</v>
      </c>
      <c r="W16" s="327">
        <f t="shared" ref="W16:W79" si="22">EXP(-EXP(-($W$7/EXP($W$8)))*$B16^(1/EXP($W$8)))</f>
        <v>0.95506054328778112</v>
      </c>
      <c r="X16" s="327">
        <f t="shared" ref="X16:X79" si="23">1 - _xlfn.NORM.S.DIST(((LN($B16) - $X$7)/EXP($X$8)), TRUE())</f>
        <v>0.99772418126853313</v>
      </c>
      <c r="Y16" s="327">
        <f t="shared" ref="Y16:Y79" si="24">1/(1+EXP(-($Y$7/EXP($Y$8)))*$B16^(1/EXP($Y$8)))</f>
        <v>0.99363874963062504</v>
      </c>
      <c r="Z16" s="327">
        <f t="shared" ref="Z16:Z79" si="25">IF($Z$8=0,EXP(-EXP($Z$7)*$B16),EXP(-(EXP($Z$7)/$Z$8)*(EXP($Z$8*$B16)-1)))</f>
        <v>0.98273324509383964</v>
      </c>
      <c r="AA16" s="328">
        <f t="shared" ref="AA16:AA79" si="26">IF($AA$9&gt;0,1-_xlfn.GAMMA.DIST(EXP($AA$9*(LN($B16)-$AA$7)/$AA$8)/$AA$9^2,1/$AA$9^2,1,TRUE()),_xlfn.GAMMA.DIST(EXP($AA$9*(LN($B16)-$AA$7)/$AA$8)/$AA$9^2,1/$AA$9^2,1,TRUE()))</f>
        <v>0.99523264369591158</v>
      </c>
      <c r="AI16" s="305"/>
      <c r="AN16" s="298"/>
      <c r="AT16" s="298"/>
      <c r="BO16" s="310">
        <v>6</v>
      </c>
      <c r="BP16" s="311">
        <v>0.83360000000000001</v>
      </c>
      <c r="BQ16" s="312">
        <v>0.58460000000000001</v>
      </c>
      <c r="BR16" s="310">
        <v>12</v>
      </c>
      <c r="BS16" s="311">
        <v>0.88190000000000002</v>
      </c>
      <c r="BT16" s="312">
        <v>0.77470000000000006</v>
      </c>
    </row>
    <row r="17" spans="1:72" ht="12.75" customHeight="1" x14ac:dyDescent="0.15">
      <c r="A17" s="269">
        <f t="shared" si="0"/>
        <v>2</v>
      </c>
      <c r="B17" s="322">
        <f t="shared" si="1"/>
        <v>1.8461538461538463</v>
      </c>
      <c r="C17" s="323">
        <f t="shared" si="2"/>
        <v>8</v>
      </c>
      <c r="D17" s="327">
        <f t="shared" si="3"/>
        <v>0.93529987568046646</v>
      </c>
      <c r="E17" s="327">
        <f t="shared" si="4"/>
        <v>0.92320990566951699</v>
      </c>
      <c r="F17" s="327">
        <f t="shared" si="5"/>
        <v>0.9607344084051973</v>
      </c>
      <c r="G17" s="327">
        <f t="shared" si="6"/>
        <v>0.96009963193939218</v>
      </c>
      <c r="H17" s="327">
        <f t="shared" si="7"/>
        <v>0.93006800984444604</v>
      </c>
      <c r="I17" s="327">
        <f t="shared" si="8"/>
        <v>0.95763111028903325</v>
      </c>
      <c r="J17" s="327">
        <f t="shared" si="9"/>
        <v>0.86714136075641324</v>
      </c>
      <c r="K17" s="327">
        <f t="shared" si="10"/>
        <v>0.87333579895950308</v>
      </c>
      <c r="L17" s="327">
        <f t="shared" si="11"/>
        <v>0.89902300375305599</v>
      </c>
      <c r="M17" s="327">
        <f t="shared" si="12"/>
        <v>0.89082618056996854</v>
      </c>
      <c r="N17" s="327">
        <f t="shared" si="13"/>
        <v>0.83257547085521055</v>
      </c>
      <c r="O17" s="328">
        <f t="shared" si="14"/>
        <v>0.91091689025863065</v>
      </c>
      <c r="P17" s="327">
        <f t="shared" si="15"/>
        <v>0.96823137770054757</v>
      </c>
      <c r="Q17" s="327">
        <f t="shared" si="16"/>
        <v>0.90084033808040676</v>
      </c>
      <c r="R17" s="327">
        <f t="shared" si="17"/>
        <v>0.9958528647888073</v>
      </c>
      <c r="S17" s="327">
        <f t="shared" si="18"/>
        <v>0.99385545654162633</v>
      </c>
      <c r="T17" s="327">
        <f t="shared" si="19"/>
        <v>0.97866580739003806</v>
      </c>
      <c r="U17" s="328">
        <f t="shared" si="20"/>
        <v>0.99183998974945142</v>
      </c>
      <c r="V17" s="327">
        <f t="shared" si="21"/>
        <v>0.95847751441288997</v>
      </c>
      <c r="W17" s="327">
        <f t="shared" si="22"/>
        <v>0.9221228994066103</v>
      </c>
      <c r="X17" s="327">
        <f t="shared" si="23"/>
        <v>0.98834985612941362</v>
      </c>
      <c r="Y17" s="327">
        <f t="shared" si="24"/>
        <v>0.98261860727270411</v>
      </c>
      <c r="Z17" s="327">
        <f t="shared" si="25"/>
        <v>0.96555636417224311</v>
      </c>
      <c r="AA17" s="328">
        <f t="shared" si="26"/>
        <v>0.98436818734524389</v>
      </c>
      <c r="AK17" s="314"/>
      <c r="AL17" s="314"/>
      <c r="AN17" s="315"/>
      <c r="AO17" s="315"/>
      <c r="AQ17" s="314"/>
      <c r="AR17" s="314"/>
      <c r="AT17" s="315"/>
      <c r="AU17" s="315"/>
      <c r="BO17" s="310">
        <v>6.75</v>
      </c>
      <c r="BP17" s="311">
        <v>0.83360000000000001</v>
      </c>
      <c r="BQ17" s="312">
        <v>0.56000000000000005</v>
      </c>
      <c r="BR17" s="310">
        <v>13.5</v>
      </c>
      <c r="BS17" s="311">
        <v>0.85470000000000002</v>
      </c>
      <c r="BT17" s="312">
        <v>0.74809999999999999</v>
      </c>
    </row>
    <row r="18" spans="1:72" ht="12" customHeight="1" x14ac:dyDescent="0.15">
      <c r="A18" s="269">
        <f t="shared" si="0"/>
        <v>3</v>
      </c>
      <c r="B18" s="322">
        <f t="shared" si="1"/>
        <v>2.7692307692307692</v>
      </c>
      <c r="C18" s="323">
        <f t="shared" si="2"/>
        <v>12</v>
      </c>
      <c r="D18" s="327">
        <f t="shared" si="3"/>
        <v>0.90453695541865375</v>
      </c>
      <c r="E18" s="327">
        <f t="shared" si="4"/>
        <v>0.8896754099767723</v>
      </c>
      <c r="F18" s="327">
        <f t="shared" si="5"/>
        <v>0.92600424480244814</v>
      </c>
      <c r="G18" s="327">
        <f t="shared" si="6"/>
        <v>0.93161232311091102</v>
      </c>
      <c r="H18" s="327">
        <f t="shared" si="7"/>
        <v>0.89726427790347185</v>
      </c>
      <c r="I18" s="327">
        <f t="shared" si="8"/>
        <v>0.92709114128223813</v>
      </c>
      <c r="J18" s="327">
        <f t="shared" si="9"/>
        <v>0.80748572306582311</v>
      </c>
      <c r="K18" s="327">
        <f t="shared" si="10"/>
        <v>0.81417551857138404</v>
      </c>
      <c r="L18" s="327">
        <f t="shared" si="11"/>
        <v>0.81993526843734454</v>
      </c>
      <c r="M18" s="327">
        <f t="shared" si="12"/>
        <v>0.81657637138521344</v>
      </c>
      <c r="N18" s="327">
        <f t="shared" si="13"/>
        <v>0.76262282058563235</v>
      </c>
      <c r="O18" s="328">
        <f t="shared" si="14"/>
        <v>0.80785137835538534</v>
      </c>
      <c r="P18" s="327">
        <f t="shared" si="15"/>
        <v>0.95272756171705253</v>
      </c>
      <c r="Q18" s="327">
        <f t="shared" si="16"/>
        <v>0.87056466418419509</v>
      </c>
      <c r="R18" s="327">
        <f t="shared" si="17"/>
        <v>0.98894473059813959</v>
      </c>
      <c r="S18" s="327">
        <f t="shared" si="18"/>
        <v>0.98778088011988519</v>
      </c>
      <c r="T18" s="327">
        <f t="shared" si="19"/>
        <v>0.9678071112695863</v>
      </c>
      <c r="U18" s="328">
        <f t="shared" si="20"/>
        <v>0.9847267443455765</v>
      </c>
      <c r="V18" s="327">
        <f t="shared" si="21"/>
        <v>0.93836736092603912</v>
      </c>
      <c r="W18" s="327">
        <f t="shared" si="22"/>
        <v>0.89317220019609456</v>
      </c>
      <c r="X18" s="327">
        <f t="shared" si="23"/>
        <v>0.97355472268969567</v>
      </c>
      <c r="Y18" s="327">
        <f t="shared" si="24"/>
        <v>0.96894075826249171</v>
      </c>
      <c r="Z18" s="327">
        <f t="shared" si="25"/>
        <v>0.94847259702459141</v>
      </c>
      <c r="AA18" s="328">
        <f t="shared" si="26"/>
        <v>0.97001840978805032</v>
      </c>
      <c r="BO18" s="310">
        <v>7.5</v>
      </c>
      <c r="BP18" s="311">
        <v>0.76900000000000002</v>
      </c>
      <c r="BQ18" s="312">
        <v>0.48</v>
      </c>
      <c r="BR18" s="310">
        <v>15</v>
      </c>
      <c r="BS18" s="311">
        <v>0.81920000000000004</v>
      </c>
      <c r="BT18" s="312">
        <v>0.72070000000000001</v>
      </c>
    </row>
    <row r="19" spans="1:72" ht="12.75" customHeight="1" x14ac:dyDescent="0.15">
      <c r="A19" s="269">
        <f t="shared" si="0"/>
        <v>4</v>
      </c>
      <c r="B19" s="322">
        <f t="shared" si="1"/>
        <v>3.6923076923076925</v>
      </c>
      <c r="C19" s="323">
        <f t="shared" si="2"/>
        <v>16</v>
      </c>
      <c r="D19" s="327">
        <f t="shared" si="3"/>
        <v>0.87478585744789605</v>
      </c>
      <c r="E19" s="327">
        <f t="shared" si="4"/>
        <v>0.85801520966256295</v>
      </c>
      <c r="F19" s="327">
        <f t="shared" si="5"/>
        <v>0.88968633811184206</v>
      </c>
      <c r="G19" s="327">
        <f t="shared" si="6"/>
        <v>0.90097130118956348</v>
      </c>
      <c r="H19" s="327">
        <f t="shared" si="7"/>
        <v>0.86581299279723523</v>
      </c>
      <c r="I19" s="327">
        <f t="shared" si="8"/>
        <v>0.89534547522939456</v>
      </c>
      <c r="J19" s="327">
        <f t="shared" si="9"/>
        <v>0.75193413953448396</v>
      </c>
      <c r="K19" s="327">
        <f t="shared" si="10"/>
        <v>0.75849069367441024</v>
      </c>
      <c r="L19" s="327">
        <f t="shared" si="11"/>
        <v>0.74507324490971572</v>
      </c>
      <c r="M19" s="327">
        <f t="shared" si="12"/>
        <v>0.74334721460207032</v>
      </c>
      <c r="N19" s="327">
        <f t="shared" si="13"/>
        <v>0.70027783505213259</v>
      </c>
      <c r="O19" s="328">
        <f t="shared" si="14"/>
        <v>0.71463662836779152</v>
      </c>
      <c r="P19" s="327">
        <f t="shared" si="15"/>
        <v>0.93747200076390047</v>
      </c>
      <c r="Q19" s="327">
        <f t="shared" si="16"/>
        <v>0.84412020850196234</v>
      </c>
      <c r="R19" s="327">
        <f t="shared" si="17"/>
        <v>0.97928251386805909</v>
      </c>
      <c r="S19" s="327">
        <f t="shared" si="18"/>
        <v>0.98016677886859971</v>
      </c>
      <c r="T19" s="327">
        <f t="shared" si="19"/>
        <v>0.95682235121550607</v>
      </c>
      <c r="U19" s="328">
        <f t="shared" si="20"/>
        <v>0.97627925533274229</v>
      </c>
      <c r="V19" s="327">
        <f t="shared" si="21"/>
        <v>0.91867914563511177</v>
      </c>
      <c r="W19" s="327">
        <f t="shared" si="22"/>
        <v>0.86678753996248237</v>
      </c>
      <c r="X19" s="327">
        <f t="shared" si="23"/>
        <v>0.95541445373023237</v>
      </c>
      <c r="Y19" s="327">
        <f t="shared" si="24"/>
        <v>0.95340261486792255</v>
      </c>
      <c r="Z19" s="327">
        <f t="shared" si="25"/>
        <v>0.93148517122393459</v>
      </c>
      <c r="AA19" s="328">
        <f t="shared" si="26"/>
        <v>0.95349382461792187</v>
      </c>
      <c r="BO19" s="310">
        <v>8.25</v>
      </c>
      <c r="BP19" s="311">
        <v>0.74950000000000006</v>
      </c>
      <c r="BQ19" s="312">
        <v>0.4677</v>
      </c>
      <c r="BR19" s="310">
        <v>16.5</v>
      </c>
      <c r="BS19" s="311">
        <v>0.79759999999999998</v>
      </c>
      <c r="BT19" s="312">
        <v>0.69940000000000002</v>
      </c>
    </row>
    <row r="20" spans="1:72" ht="12.75" customHeight="1" x14ac:dyDescent="0.15">
      <c r="A20" s="269">
        <f t="shared" si="0"/>
        <v>5</v>
      </c>
      <c r="B20" s="322">
        <f t="shared" si="1"/>
        <v>4.615384615384615</v>
      </c>
      <c r="C20" s="323">
        <f t="shared" si="2"/>
        <v>20</v>
      </c>
      <c r="D20" s="327">
        <f t="shared" si="3"/>
        <v>0.84601330195145452</v>
      </c>
      <c r="E20" s="327">
        <f t="shared" si="4"/>
        <v>0.82794393606383898</v>
      </c>
      <c r="F20" s="327">
        <f t="shared" si="5"/>
        <v>0.85378820192216076</v>
      </c>
      <c r="G20" s="327">
        <f t="shared" si="6"/>
        <v>0.86932007507311704</v>
      </c>
      <c r="H20" s="327">
        <f t="shared" si="7"/>
        <v>0.83565160768159252</v>
      </c>
      <c r="I20" s="327">
        <f t="shared" si="8"/>
        <v>0.86353262148601784</v>
      </c>
      <c r="J20" s="327">
        <f t="shared" si="9"/>
        <v>0.70020426869067409</v>
      </c>
      <c r="K20" s="327">
        <f t="shared" si="10"/>
        <v>0.70624275055637542</v>
      </c>
      <c r="L20" s="327">
        <f t="shared" si="11"/>
        <v>0.67740551583237352</v>
      </c>
      <c r="M20" s="327">
        <f t="shared" si="12"/>
        <v>0.67480439248332991</v>
      </c>
      <c r="N20" s="327">
        <f t="shared" si="13"/>
        <v>0.64457740227925275</v>
      </c>
      <c r="O20" s="328">
        <f t="shared" si="14"/>
        <v>0.63658488601564045</v>
      </c>
      <c r="P20" s="327">
        <f t="shared" si="15"/>
        <v>0.9224607196545852</v>
      </c>
      <c r="Q20" s="327">
        <f t="shared" si="16"/>
        <v>0.82033628963969851</v>
      </c>
      <c r="R20" s="327">
        <f t="shared" si="17"/>
        <v>0.96753711697124478</v>
      </c>
      <c r="S20" s="327">
        <f t="shared" si="18"/>
        <v>0.97121423699787313</v>
      </c>
      <c r="T20" s="327">
        <f t="shared" si="19"/>
        <v>0.94571295918902842</v>
      </c>
      <c r="U20" s="328">
        <f t="shared" si="20"/>
        <v>0.96674303367445202</v>
      </c>
      <c r="V20" s="327">
        <f t="shared" si="21"/>
        <v>0.89940401570657325</v>
      </c>
      <c r="W20" s="327">
        <f t="shared" si="22"/>
        <v>0.84231618682915088</v>
      </c>
      <c r="X20" s="327">
        <f t="shared" si="23"/>
        <v>0.93533001266435145</v>
      </c>
      <c r="Y20" s="327">
        <f t="shared" si="24"/>
        <v>0.93651181659844984</v>
      </c>
      <c r="Z20" s="327">
        <f t="shared" si="25"/>
        <v>0.91459729987401683</v>
      </c>
      <c r="AA20" s="328">
        <f t="shared" si="26"/>
        <v>0.93558455497390514</v>
      </c>
      <c r="BO20" s="310">
        <v>9</v>
      </c>
      <c r="BP20" s="311">
        <v>0.72989999999999999</v>
      </c>
      <c r="BQ20" s="312">
        <v>0.45540000000000003</v>
      </c>
      <c r="BR20" s="310">
        <v>18</v>
      </c>
      <c r="BS20" s="311">
        <v>0.75270000000000004</v>
      </c>
      <c r="BT20" s="312">
        <v>0.67749999999999999</v>
      </c>
    </row>
    <row r="21" spans="1:72" ht="13.5" customHeight="1" x14ac:dyDescent="0.15">
      <c r="A21" s="269">
        <f t="shared" si="0"/>
        <v>6</v>
      </c>
      <c r="B21" s="322">
        <f t="shared" si="1"/>
        <v>5.5384615384615383</v>
      </c>
      <c r="C21" s="323">
        <f t="shared" si="2"/>
        <v>24</v>
      </c>
      <c r="D21" s="327">
        <f t="shared" si="3"/>
        <v>0.81818710371804759</v>
      </c>
      <c r="E21" s="327">
        <f t="shared" si="4"/>
        <v>0.79927725556792273</v>
      </c>
      <c r="F21" s="327">
        <f t="shared" si="5"/>
        <v>0.8191817730842047</v>
      </c>
      <c r="G21" s="327">
        <f t="shared" si="6"/>
        <v>0.83741738150018086</v>
      </c>
      <c r="H21" s="327">
        <f t="shared" si="7"/>
        <v>0.80672075065020921</v>
      </c>
      <c r="I21" s="327">
        <f t="shared" si="8"/>
        <v>0.83223943852583593</v>
      </c>
      <c r="J21" s="327">
        <f t="shared" si="9"/>
        <v>0.65203319295513518</v>
      </c>
      <c r="K21" s="327">
        <f t="shared" si="10"/>
        <v>0.65731638028343953</v>
      </c>
      <c r="L21" s="327">
        <f t="shared" si="11"/>
        <v>0.61721707510650914</v>
      </c>
      <c r="M21" s="327">
        <f t="shared" si="12"/>
        <v>0.61243354887736268</v>
      </c>
      <c r="N21" s="327">
        <f t="shared" si="13"/>
        <v>0.59469522372364325</v>
      </c>
      <c r="O21" s="328">
        <f t="shared" si="14"/>
        <v>0.57208877143015302</v>
      </c>
      <c r="P21" s="327">
        <f t="shared" si="15"/>
        <v>0.90768980685532008</v>
      </c>
      <c r="Q21" s="327">
        <f t="shared" si="16"/>
        <v>0.79856729364095458</v>
      </c>
      <c r="R21" s="327">
        <f t="shared" si="17"/>
        <v>0.95427176316416396</v>
      </c>
      <c r="S21" s="327">
        <f t="shared" si="18"/>
        <v>0.96108922335252966</v>
      </c>
      <c r="T21" s="327">
        <f t="shared" si="19"/>
        <v>0.93448051630623641</v>
      </c>
      <c r="U21" s="328">
        <f t="shared" si="20"/>
        <v>0.95629751380517369</v>
      </c>
      <c r="V21" s="327">
        <f t="shared" si="21"/>
        <v>0.88053330405129937</v>
      </c>
      <c r="W21" s="327">
        <f t="shared" si="22"/>
        <v>0.81937896054293846</v>
      </c>
      <c r="X21" s="327">
        <f t="shared" si="23"/>
        <v>0.91420696815435387</v>
      </c>
      <c r="Y21" s="327">
        <f t="shared" si="24"/>
        <v>0.91863764996582886</v>
      </c>
      <c r="Z21" s="327">
        <f t="shared" si="25"/>
        <v>0.89781217932349633</v>
      </c>
      <c r="AA21" s="328">
        <f t="shared" si="26"/>
        <v>0.91680818967069122</v>
      </c>
      <c r="AI21" s="329"/>
      <c r="AN21" s="298"/>
      <c r="AT21" s="298"/>
      <c r="BO21" s="310">
        <v>9.75</v>
      </c>
      <c r="BP21" s="311">
        <v>0.65169999999999995</v>
      </c>
      <c r="BQ21" s="312">
        <v>0.40610000000000002</v>
      </c>
      <c r="BR21" s="310">
        <v>19.5</v>
      </c>
      <c r="BS21" s="311">
        <v>0.7298</v>
      </c>
      <c r="BT21" s="312">
        <v>0.66949999999999998</v>
      </c>
    </row>
    <row r="22" spans="1:72" ht="12.75" customHeight="1" x14ac:dyDescent="0.15">
      <c r="A22" s="269">
        <f t="shared" si="0"/>
        <v>7</v>
      </c>
      <c r="B22" s="322">
        <f t="shared" si="1"/>
        <v>6.4615384615384617</v>
      </c>
      <c r="C22" s="323">
        <f t="shared" si="2"/>
        <v>28</v>
      </c>
      <c r="D22" s="327">
        <f t="shared" si="3"/>
        <v>0.79127613613921632</v>
      </c>
      <c r="E22" s="327">
        <f t="shared" si="4"/>
        <v>0.77188156915722028</v>
      </c>
      <c r="F22" s="327">
        <f t="shared" si="5"/>
        <v>0.78622826663622536</v>
      </c>
      <c r="G22" s="327">
        <f t="shared" si="6"/>
        <v>0.80578327765902802</v>
      </c>
      <c r="H22" s="327">
        <f t="shared" si="7"/>
        <v>0.7789640503445916</v>
      </c>
      <c r="I22" s="327">
        <f t="shared" si="8"/>
        <v>0.80178108562223127</v>
      </c>
      <c r="J22" s="327">
        <f t="shared" si="9"/>
        <v>0.6071760823598803</v>
      </c>
      <c r="K22" s="327">
        <f t="shared" si="10"/>
        <v>0.61156362975662726</v>
      </c>
      <c r="L22" s="327">
        <f t="shared" si="11"/>
        <v>0.5639444260202614</v>
      </c>
      <c r="M22" s="327">
        <f t="shared" si="12"/>
        <v>0.55655839259050022</v>
      </c>
      <c r="N22" s="327">
        <f t="shared" si="13"/>
        <v>0.5499204894215729</v>
      </c>
      <c r="O22" s="328">
        <f t="shared" si="14"/>
        <v>0.51854903389163953</v>
      </c>
      <c r="P22" s="327">
        <f t="shared" si="15"/>
        <v>0.89315541346579763</v>
      </c>
      <c r="Q22" s="327">
        <f t="shared" si="16"/>
        <v>0.77840686214092836</v>
      </c>
      <c r="R22" s="327">
        <f t="shared" si="17"/>
        <v>0.93992846886957604</v>
      </c>
      <c r="S22" s="327">
        <f t="shared" si="18"/>
        <v>0.94993700431866068</v>
      </c>
      <c r="T22" s="327">
        <f t="shared" si="19"/>
        <v>0.92312675706291114</v>
      </c>
      <c r="U22" s="328">
        <f t="shared" si="20"/>
        <v>0.94508330435543275</v>
      </c>
      <c r="V22" s="327">
        <f t="shared" si="21"/>
        <v>0.86205852542740824</v>
      </c>
      <c r="W22" s="327">
        <f t="shared" si="22"/>
        <v>0.79772646993808227</v>
      </c>
      <c r="X22" s="327">
        <f t="shared" si="23"/>
        <v>0.89263306501262274</v>
      </c>
      <c r="Y22" s="327">
        <f t="shared" si="24"/>
        <v>0.90006576278480666</v>
      </c>
      <c r="Z22" s="327">
        <f t="shared" si="25"/>
        <v>0.88113298684932706</v>
      </c>
      <c r="AA22" s="328">
        <f t="shared" si="26"/>
        <v>0.89752066975803391</v>
      </c>
      <c r="AK22" s="314"/>
      <c r="AL22" s="314"/>
      <c r="AN22" s="315"/>
      <c r="AO22" s="315"/>
      <c r="AQ22" s="314"/>
      <c r="AR22" s="314"/>
      <c r="AT22" s="315"/>
      <c r="AU22" s="315"/>
      <c r="BO22" s="310">
        <v>10.5</v>
      </c>
      <c r="BP22" s="311">
        <v>0.65169999999999995</v>
      </c>
      <c r="BQ22" s="312">
        <v>0.39369999999999999</v>
      </c>
      <c r="BR22" s="310">
        <v>21</v>
      </c>
      <c r="BS22" s="311">
        <v>0.69069999999999998</v>
      </c>
      <c r="BT22" s="312">
        <v>0.65310000000000001</v>
      </c>
    </row>
    <row r="23" spans="1:72" ht="12.75" customHeight="1" x14ac:dyDescent="0.15">
      <c r="A23" s="269">
        <f t="shared" si="0"/>
        <v>8</v>
      </c>
      <c r="B23" s="322">
        <f t="shared" si="1"/>
        <v>7.384615384615385</v>
      </c>
      <c r="C23" s="323">
        <f t="shared" si="2"/>
        <v>32</v>
      </c>
      <c r="D23" s="327">
        <f t="shared" si="3"/>
        <v>0.76525029639085085</v>
      </c>
      <c r="E23" s="327">
        <f t="shared" si="4"/>
        <v>0.74565296020026905</v>
      </c>
      <c r="F23" s="327">
        <f t="shared" si="5"/>
        <v>0.75504458076130776</v>
      </c>
      <c r="G23" s="327">
        <f t="shared" si="6"/>
        <v>0.77477554856248931</v>
      </c>
      <c r="H23" s="327">
        <f t="shared" si="7"/>
        <v>0.75232797182385713</v>
      </c>
      <c r="I23" s="327">
        <f t="shared" si="8"/>
        <v>0.77232524701462391</v>
      </c>
      <c r="J23" s="327">
        <f t="shared" si="9"/>
        <v>0.56540495019746484</v>
      </c>
      <c r="K23" s="327">
        <f t="shared" si="10"/>
        <v>0.56882286266719861</v>
      </c>
      <c r="L23" s="327">
        <f t="shared" si="11"/>
        <v>0.51680139125724667</v>
      </c>
      <c r="M23" s="327">
        <f t="shared" si="12"/>
        <v>0.5069171029416113</v>
      </c>
      <c r="N23" s="327">
        <f t="shared" si="13"/>
        <v>0.50964014618359021</v>
      </c>
      <c r="O23" s="328">
        <f t="shared" si="14"/>
        <v>0.47366762346994012</v>
      </c>
      <c r="P23" s="327">
        <f t="shared" si="15"/>
        <v>0.8788537522162706</v>
      </c>
      <c r="Q23" s="327">
        <f t="shared" si="16"/>
        <v>0.75957703676568122</v>
      </c>
      <c r="R23" s="327">
        <f t="shared" si="17"/>
        <v>0.92484702572958477</v>
      </c>
      <c r="S23" s="327">
        <f t="shared" si="18"/>
        <v>0.93788858717339307</v>
      </c>
      <c r="T23" s="327">
        <f t="shared" si="19"/>
        <v>0.91165357348370868</v>
      </c>
      <c r="U23" s="328">
        <f t="shared" si="20"/>
        <v>0.93321536718988363</v>
      </c>
      <c r="V23" s="327">
        <f t="shared" si="21"/>
        <v>0.843971372624859</v>
      </c>
      <c r="W23" s="327">
        <f t="shared" si="22"/>
        <v>0.77718135560596113</v>
      </c>
      <c r="X23" s="327">
        <f t="shared" si="23"/>
        <v>0.87099313286629165</v>
      </c>
      <c r="Y23" s="327">
        <f t="shared" si="24"/>
        <v>0.88102419253795661</v>
      </c>
      <c r="Z23" s="327">
        <f t="shared" si="25"/>
        <v>0.86456287831135981</v>
      </c>
      <c r="AA23" s="328">
        <f t="shared" si="26"/>
        <v>0.87797456029061516</v>
      </c>
      <c r="BO23" s="310">
        <v>11.25</v>
      </c>
      <c r="BP23" s="311">
        <v>0.62539999999999996</v>
      </c>
      <c r="BQ23" s="312">
        <v>0.3427</v>
      </c>
      <c r="BR23" s="310">
        <v>22.5</v>
      </c>
      <c r="BS23" s="311">
        <v>0.66700000000000004</v>
      </c>
      <c r="BT23" s="312">
        <v>0.60129999999999995</v>
      </c>
    </row>
    <row r="24" spans="1:72" ht="12" customHeight="1" x14ac:dyDescent="0.15">
      <c r="A24" s="269">
        <f t="shared" si="0"/>
        <v>9</v>
      </c>
      <c r="B24" s="322">
        <f t="shared" si="1"/>
        <v>8.3076923076923084</v>
      </c>
      <c r="C24" s="323">
        <f t="shared" si="2"/>
        <v>36</v>
      </c>
      <c r="D24" s="327">
        <f t="shared" si="3"/>
        <v>0.74008047175992897</v>
      </c>
      <c r="E24" s="327">
        <f t="shared" si="4"/>
        <v>0.72050669627367681</v>
      </c>
      <c r="F24" s="327">
        <f t="shared" si="5"/>
        <v>0.72562718818663408</v>
      </c>
      <c r="G24" s="327">
        <f t="shared" si="6"/>
        <v>0.74463664493153026</v>
      </c>
      <c r="H24" s="327">
        <f t="shared" si="7"/>
        <v>0.72676166205269621</v>
      </c>
      <c r="I24" s="327">
        <f t="shared" si="8"/>
        <v>0.74395461589286693</v>
      </c>
      <c r="J24" s="327">
        <f t="shared" si="9"/>
        <v>0.52650749427629462</v>
      </c>
      <c r="K24" s="327">
        <f t="shared" si="10"/>
        <v>0.52892823331956473</v>
      </c>
      <c r="L24" s="327">
        <f t="shared" si="11"/>
        <v>0.47500031873266413</v>
      </c>
      <c r="M24" s="327">
        <f t="shared" si="12"/>
        <v>0.46298462976631849</v>
      </c>
      <c r="N24" s="327">
        <f t="shared" si="13"/>
        <v>0.47332411141208219</v>
      </c>
      <c r="O24" s="328">
        <f t="shared" si="14"/>
        <v>0.43563237221878487</v>
      </c>
      <c r="P24" s="327">
        <f t="shared" si="15"/>
        <v>0.86478109648069146</v>
      </c>
      <c r="Q24" s="327">
        <f t="shared" si="16"/>
        <v>0.74187642178390145</v>
      </c>
      <c r="R24" s="327">
        <f t="shared" si="17"/>
        <v>0.90928709489404524</v>
      </c>
      <c r="S24" s="327">
        <f t="shared" si="18"/>
        <v>0.9250639391786466</v>
      </c>
      <c r="T24" s="327">
        <f t="shared" si="19"/>
        <v>0.90006301917976428</v>
      </c>
      <c r="U24" s="328">
        <f t="shared" si="20"/>
        <v>0.92079037772928507</v>
      </c>
      <c r="V24" s="327">
        <f t="shared" si="21"/>
        <v>0.82626371273010335</v>
      </c>
      <c r="W24" s="327">
        <f t="shared" si="22"/>
        <v>0.7576104927089522</v>
      </c>
      <c r="X24" s="327">
        <f t="shared" si="23"/>
        <v>0.84954033155216979</v>
      </c>
      <c r="Y24" s="327">
        <f t="shared" si="24"/>
        <v>0.86169802655988104</v>
      </c>
      <c r="Z24" s="327">
        <f t="shared" si="25"/>
        <v>0.84810498578035565</v>
      </c>
      <c r="AA24" s="328">
        <f t="shared" si="26"/>
        <v>0.85835284958621061</v>
      </c>
      <c r="BO24" s="310">
        <v>12</v>
      </c>
      <c r="BP24" s="311">
        <v>0.58589999999999998</v>
      </c>
      <c r="BQ24" s="312">
        <v>0.32329999999999998</v>
      </c>
      <c r="BR24" s="310">
        <v>24</v>
      </c>
      <c r="BS24" s="311">
        <v>0.65869999999999995</v>
      </c>
      <c r="BT24" s="312">
        <v>0.57430000000000003</v>
      </c>
    </row>
    <row r="25" spans="1:72" ht="12.75" customHeight="1" x14ac:dyDescent="0.15">
      <c r="A25" s="269">
        <f t="shared" si="0"/>
        <v>10</v>
      </c>
      <c r="B25" s="322">
        <f t="shared" si="1"/>
        <v>9.2307692307692299</v>
      </c>
      <c r="C25" s="323">
        <f t="shared" si="2"/>
        <v>40</v>
      </c>
      <c r="D25" s="327">
        <f t="shared" si="3"/>
        <v>0.71573850707880293</v>
      </c>
      <c r="E25" s="327">
        <f t="shared" si="4"/>
        <v>0.69637135227466329</v>
      </c>
      <c r="F25" s="327">
        <f t="shared" si="5"/>
        <v>0.69791342766572351</v>
      </c>
      <c r="G25" s="327">
        <f t="shared" si="6"/>
        <v>0.71552528580472197</v>
      </c>
      <c r="H25" s="327">
        <f t="shared" si="7"/>
        <v>0.70221680440836354</v>
      </c>
      <c r="I25" s="327">
        <f t="shared" si="8"/>
        <v>0.71670103662728879</v>
      </c>
      <c r="J25" s="327">
        <f t="shared" si="9"/>
        <v>0.49028601789264176</v>
      </c>
      <c r="K25" s="327">
        <f t="shared" si="10"/>
        <v>0.49171484584854669</v>
      </c>
      <c r="L25" s="327">
        <f t="shared" si="11"/>
        <v>0.43782634064724468</v>
      </c>
      <c r="M25" s="327">
        <f t="shared" si="12"/>
        <v>0.42414684976371647</v>
      </c>
      <c r="N25" s="327">
        <f t="shared" si="13"/>
        <v>0.44051290886132188</v>
      </c>
      <c r="O25" s="328">
        <f t="shared" si="14"/>
        <v>0.40305597090080963</v>
      </c>
      <c r="P25" s="327">
        <f t="shared" si="15"/>
        <v>0.85093377930565528</v>
      </c>
      <c r="Q25" s="327">
        <f t="shared" si="16"/>
        <v>0.72515278931733529</v>
      </c>
      <c r="R25" s="327">
        <f t="shared" si="17"/>
        <v>0.89344693187611623</v>
      </c>
      <c r="S25" s="327">
        <f t="shared" si="18"/>
        <v>0.91157371476622695</v>
      </c>
      <c r="T25" s="327">
        <f t="shared" si="19"/>
        <v>0.8883573132979431</v>
      </c>
      <c r="U25" s="328">
        <f t="shared" si="20"/>
        <v>0.90789125137612547</v>
      </c>
      <c r="V25" s="327">
        <f t="shared" si="21"/>
        <v>0.80892758346910987</v>
      </c>
      <c r="W25" s="327">
        <f t="shared" si="22"/>
        <v>0.73890993009217598</v>
      </c>
      <c r="X25" s="327">
        <f t="shared" si="23"/>
        <v>0.82844075743514944</v>
      </c>
      <c r="Y25" s="327">
        <f t="shared" si="24"/>
        <v>0.842238707678446</v>
      </c>
      <c r="Z25" s="327">
        <f t="shared" si="25"/>
        <v>0.83176241514169924</v>
      </c>
      <c r="AA25" s="328">
        <f t="shared" si="26"/>
        <v>0.8387899302153643</v>
      </c>
      <c r="AI25" s="305"/>
      <c r="AN25" s="298"/>
      <c r="AO25" s="298"/>
      <c r="AT25" s="298"/>
      <c r="AU25" s="298"/>
      <c r="BO25" s="310">
        <v>12.75</v>
      </c>
      <c r="BP25" s="311">
        <v>0.57920000000000005</v>
      </c>
      <c r="BQ25" s="312">
        <v>0.3039</v>
      </c>
      <c r="BR25" s="310">
        <v>25.5</v>
      </c>
      <c r="BS25" s="311">
        <v>0.65010000000000001</v>
      </c>
      <c r="BT25" s="312">
        <v>0.52769999999999995</v>
      </c>
    </row>
    <row r="26" spans="1:72" ht="19.5" customHeight="1" x14ac:dyDescent="0.15">
      <c r="A26" s="269">
        <f t="shared" si="0"/>
        <v>11</v>
      </c>
      <c r="B26" s="322">
        <f t="shared" si="1"/>
        <v>10.153846153846153</v>
      </c>
      <c r="C26" s="323">
        <f t="shared" si="2"/>
        <v>44</v>
      </c>
      <c r="D26" s="327">
        <f t="shared" si="3"/>
        <v>0.69219717323060259</v>
      </c>
      <c r="E26" s="327">
        <f t="shared" si="4"/>
        <v>0.67318523563634958</v>
      </c>
      <c r="F26" s="327">
        <f t="shared" si="5"/>
        <v>0.67181312896686529</v>
      </c>
      <c r="G26" s="327">
        <f t="shared" si="6"/>
        <v>0.6875388760043335</v>
      </c>
      <c r="H26" s="327">
        <f t="shared" si="7"/>
        <v>0.67864748164696265</v>
      </c>
      <c r="I26" s="327">
        <f t="shared" si="8"/>
        <v>0.69056528349002855</v>
      </c>
      <c r="J26" s="327">
        <f t="shared" si="9"/>
        <v>0.45655642503519561</v>
      </c>
      <c r="K26" s="327">
        <f t="shared" si="10"/>
        <v>0.457021697179263</v>
      </c>
      <c r="L26" s="327">
        <f t="shared" si="11"/>
        <v>0.4046559741707354</v>
      </c>
      <c r="M26" s="327">
        <f t="shared" si="12"/>
        <v>0.38979004952434249</v>
      </c>
      <c r="N26" s="327">
        <f t="shared" si="13"/>
        <v>0.41080730147569533</v>
      </c>
      <c r="O26" s="328">
        <f t="shared" si="14"/>
        <v>0.37487993780369006</v>
      </c>
      <c r="P26" s="327">
        <f t="shared" si="15"/>
        <v>0.83730819245489008</v>
      </c>
      <c r="Q26" s="327">
        <f t="shared" si="16"/>
        <v>0.70928728160157672</v>
      </c>
      <c r="R26" s="327">
        <f t="shared" si="17"/>
        <v>0.87747798723853021</v>
      </c>
      <c r="S26" s="327">
        <f t="shared" si="18"/>
        <v>0.89752024017351406</v>
      </c>
      <c r="T26" s="327">
        <f t="shared" si="19"/>
        <v>0.87653884434407026</v>
      </c>
      <c r="U26" s="328">
        <f t="shared" si="20"/>
        <v>0.89459012849046726</v>
      </c>
      <c r="V26" s="327">
        <f t="shared" si="21"/>
        <v>0.79195518962711564</v>
      </c>
      <c r="W26" s="327">
        <f t="shared" si="22"/>
        <v>0.72099600939134434</v>
      </c>
      <c r="X26" s="327">
        <f t="shared" si="23"/>
        <v>0.80780195225028117</v>
      </c>
      <c r="Y26" s="327">
        <f t="shared" si="24"/>
        <v>0.82277048793994101</v>
      </c>
      <c r="Z26" s="327">
        <f t="shared" si="25"/>
        <v>0.81553824367723282</v>
      </c>
      <c r="AA26" s="328">
        <f t="shared" si="26"/>
        <v>0.81938528889246898</v>
      </c>
      <c r="AK26" s="314"/>
      <c r="AL26" s="314"/>
      <c r="AN26" s="315"/>
      <c r="AO26" s="315"/>
      <c r="AQ26" s="314"/>
      <c r="AR26" s="314"/>
      <c r="AT26" s="315"/>
      <c r="AU26" s="315"/>
      <c r="BO26" s="310">
        <v>13.5</v>
      </c>
      <c r="BP26" s="311">
        <v>0.57250000000000001</v>
      </c>
      <c r="BQ26" s="312">
        <v>0.29070000000000001</v>
      </c>
      <c r="BR26" s="310">
        <v>27</v>
      </c>
      <c r="BS26" s="311">
        <v>0.63170000000000004</v>
      </c>
      <c r="BT26" s="312">
        <v>0.52769999999999995</v>
      </c>
    </row>
    <row r="27" spans="1:72" ht="19.5" customHeight="1" x14ac:dyDescent="0.15">
      <c r="A27" s="269">
        <f t="shared" si="0"/>
        <v>12</v>
      </c>
      <c r="B27" s="322">
        <f t="shared" si="1"/>
        <v>11.076923076923077</v>
      </c>
      <c r="C27" s="323">
        <f t="shared" si="2"/>
        <v>48</v>
      </c>
      <c r="D27" s="327">
        <f t="shared" si="3"/>
        <v>0.66943013669052709</v>
      </c>
      <c r="E27" s="327">
        <f t="shared" si="4"/>
        <v>0.65089407052531956</v>
      </c>
      <c r="F27" s="327">
        <f t="shared" si="5"/>
        <v>0.64722534603078663</v>
      </c>
      <c r="G27" s="327">
        <f t="shared" si="6"/>
        <v>0.66072988294979051</v>
      </c>
      <c r="H27" s="327">
        <f t="shared" si="7"/>
        <v>0.65601004680600961</v>
      </c>
      <c r="I27" s="327">
        <f t="shared" si="8"/>
        <v>0.66552901885796356</v>
      </c>
      <c r="J27" s="327">
        <f t="shared" si="9"/>
        <v>0.42514728471526847</v>
      </c>
      <c r="K27" s="327">
        <f t="shared" si="10"/>
        <v>0.42469338064478424</v>
      </c>
      <c r="L27" s="327">
        <f t="shared" si="11"/>
        <v>0.37495478954962536</v>
      </c>
      <c r="M27" s="327">
        <f t="shared" si="12"/>
        <v>0.35934323970066123</v>
      </c>
      <c r="N27" s="327">
        <f t="shared" si="13"/>
        <v>0.38385957559533679</v>
      </c>
      <c r="O27" s="328">
        <f t="shared" si="14"/>
        <v>0.35029156128653033</v>
      </c>
      <c r="P27" s="327">
        <f t="shared" si="15"/>
        <v>0.82390078546904832</v>
      </c>
      <c r="Q27" s="327">
        <f t="shared" si="16"/>
        <v>0.69418468186236237</v>
      </c>
      <c r="R27" s="327">
        <f t="shared" si="17"/>
        <v>0.8614959843434814</v>
      </c>
      <c r="S27" s="327">
        <f t="shared" si="18"/>
        <v>0.8829981171057053</v>
      </c>
      <c r="T27" s="327">
        <f t="shared" si="19"/>
        <v>0.86461017386159567</v>
      </c>
      <c r="U27" s="328">
        <f t="shared" si="20"/>
        <v>0.88095045055163645</v>
      </c>
      <c r="V27" s="327">
        <f t="shared" si="21"/>
        <v>0.77533889954349799</v>
      </c>
      <c r="W27" s="327">
        <f t="shared" si="22"/>
        <v>0.70379978316212211</v>
      </c>
      <c r="X27" s="327">
        <f t="shared" si="23"/>
        <v>0.78769152358506278</v>
      </c>
      <c r="Y27" s="327">
        <f t="shared" si="24"/>
        <v>0.80339520788041519</v>
      </c>
      <c r="Z27" s="327">
        <f t="shared" si="25"/>
        <v>0.79943551762773157</v>
      </c>
      <c r="AA27" s="328">
        <f t="shared" si="26"/>
        <v>0.80021278778653759</v>
      </c>
      <c r="BO27" s="310">
        <v>14.25</v>
      </c>
      <c r="BP27" s="311">
        <v>0.55859999999999999</v>
      </c>
      <c r="BQ27" s="312">
        <v>0.27039999999999997</v>
      </c>
      <c r="BR27" s="310">
        <v>28.5</v>
      </c>
      <c r="BS27" s="311">
        <v>0.60329999999999995</v>
      </c>
      <c r="BT27" s="312">
        <v>0.49469999999999997</v>
      </c>
    </row>
    <row r="28" spans="1:72" ht="15" customHeight="1" x14ac:dyDescent="0.15">
      <c r="A28" s="269">
        <f t="shared" si="0"/>
        <v>13</v>
      </c>
      <c r="B28" s="322">
        <f t="shared" si="1"/>
        <v>12</v>
      </c>
      <c r="C28" s="323">
        <f t="shared" si="2"/>
        <v>52</v>
      </c>
      <c r="D28" s="327">
        <f t="shared" si="3"/>
        <v>0.64741193006895292</v>
      </c>
      <c r="E28" s="327">
        <f t="shared" si="4"/>
        <v>0.62944942133264481</v>
      </c>
      <c r="F28" s="327">
        <f t="shared" si="5"/>
        <v>0.62404728307300661</v>
      </c>
      <c r="G28" s="327">
        <f t="shared" si="6"/>
        <v>0.63511799620189968</v>
      </c>
      <c r="H28" s="327">
        <f t="shared" si="7"/>
        <v>0.63426300155442428</v>
      </c>
      <c r="I28" s="327">
        <f t="shared" si="8"/>
        <v>0.64156225572253489</v>
      </c>
      <c r="J28" s="327">
        <f t="shared" si="9"/>
        <v>0.39589895966710287</v>
      </c>
      <c r="K28" s="327">
        <f t="shared" si="10"/>
        <v>0.39458105293167317</v>
      </c>
      <c r="L28" s="327">
        <f t="shared" si="11"/>
        <v>0.34826792740383139</v>
      </c>
      <c r="M28" s="327">
        <f t="shared" si="12"/>
        <v>0.33229495775293266</v>
      </c>
      <c r="N28" s="327">
        <f t="shared" si="13"/>
        <v>0.35936619441359252</v>
      </c>
      <c r="O28" s="328">
        <f t="shared" si="14"/>
        <v>0.32866057276181815</v>
      </c>
      <c r="P28" s="327">
        <f t="shared" si="15"/>
        <v>0.81070806474055346</v>
      </c>
      <c r="Q28" s="327">
        <f t="shared" si="16"/>
        <v>0.67976710617006242</v>
      </c>
      <c r="R28" s="327">
        <f t="shared" si="17"/>
        <v>0.84558926162808468</v>
      </c>
      <c r="S28" s="327">
        <f t="shared" si="18"/>
        <v>0.86809463262594599</v>
      </c>
      <c r="T28" s="327">
        <f t="shared" si="19"/>
        <v>0.85257403994626835</v>
      </c>
      <c r="U28" s="328">
        <f t="shared" si="20"/>
        <v>0.86702846633589348</v>
      </c>
      <c r="V28" s="327">
        <f t="shared" si="21"/>
        <v>0.7590712416801868</v>
      </c>
      <c r="W28" s="327">
        <f t="shared" si="22"/>
        <v>0.6872633266751742</v>
      </c>
      <c r="X28" s="327">
        <f t="shared" si="23"/>
        <v>0.76814955387190642</v>
      </c>
      <c r="Y28" s="327">
        <f t="shared" si="24"/>
        <v>0.78419600857296357</v>
      </c>
      <c r="Z28" s="327">
        <f t="shared" si="25"/>
        <v>0.78345724973866182</v>
      </c>
      <c r="AA28" s="328">
        <f t="shared" si="26"/>
        <v>0.78132715101108796</v>
      </c>
      <c r="BO28" s="310">
        <v>15</v>
      </c>
      <c r="BP28" s="311">
        <v>0.52990000000000004</v>
      </c>
      <c r="BQ28" s="312">
        <v>0.23569999999999999</v>
      </c>
      <c r="BR28" s="310">
        <v>30</v>
      </c>
      <c r="BS28" s="311">
        <v>0.57240000000000002</v>
      </c>
      <c r="BT28" s="312">
        <v>0.47220000000000001</v>
      </c>
    </row>
    <row r="29" spans="1:72" ht="15" customHeight="1" x14ac:dyDescent="0.15">
      <c r="A29" s="269">
        <f t="shared" si="0"/>
        <v>14</v>
      </c>
      <c r="B29" s="322">
        <f t="shared" si="1"/>
        <v>12.923076923076923</v>
      </c>
      <c r="C29" s="323">
        <f t="shared" si="2"/>
        <v>56</v>
      </c>
      <c r="D29" s="327">
        <f t="shared" si="3"/>
        <v>0.62611792362340768</v>
      </c>
      <c r="E29" s="327">
        <f t="shared" si="4"/>
        <v>0.60880757542306063</v>
      </c>
      <c r="F29" s="327">
        <f t="shared" si="5"/>
        <v>0.60217899490952531</v>
      </c>
      <c r="G29" s="327">
        <f t="shared" si="6"/>
        <v>0.61069923192839615</v>
      </c>
      <c r="H29" s="327">
        <f t="shared" si="7"/>
        <v>0.61336688153293506</v>
      </c>
      <c r="I29" s="327">
        <f t="shared" si="8"/>
        <v>0.61862812401586553</v>
      </c>
      <c r="J29" s="327">
        <f t="shared" si="9"/>
        <v>0.36866279498989218</v>
      </c>
      <c r="K29" s="327">
        <f t="shared" si="10"/>
        <v>0.36654294343254551</v>
      </c>
      <c r="L29" s="327">
        <f t="shared" si="11"/>
        <v>0.3242089963279644</v>
      </c>
      <c r="M29" s="327">
        <f t="shared" si="12"/>
        <v>0.30819680312047759</v>
      </c>
      <c r="N29" s="327">
        <f t="shared" si="13"/>
        <v>0.33706158981693141</v>
      </c>
      <c r="O29" s="328">
        <f t="shared" si="14"/>
        <v>0.30949270239361137</v>
      </c>
      <c r="P29" s="327">
        <f t="shared" si="15"/>
        <v>0.79772659260325995</v>
      </c>
      <c r="Q29" s="327">
        <f t="shared" si="16"/>
        <v>0.66596974027681155</v>
      </c>
      <c r="R29" s="327">
        <f t="shared" si="17"/>
        <v>0.82982505984323607</v>
      </c>
      <c r="S29" s="327">
        <f t="shared" si="18"/>
        <v>0.85289007618778256</v>
      </c>
      <c r="T29" s="327">
        <f t="shared" si="19"/>
        <v>0.8404333605765314</v>
      </c>
      <c r="U29" s="328">
        <f t="shared" si="20"/>
        <v>0.85287436261298011</v>
      </c>
      <c r="V29" s="327">
        <f t="shared" si="21"/>
        <v>0.74314490126207733</v>
      </c>
      <c r="W29" s="327">
        <f t="shared" si="22"/>
        <v>0.67133720074644454</v>
      </c>
      <c r="X29" s="327">
        <f t="shared" si="23"/>
        <v>0.74919701838708863</v>
      </c>
      <c r="Y29" s="327">
        <f t="shared" si="24"/>
        <v>0.76524031390197167</v>
      </c>
      <c r="Z29" s="327">
        <f t="shared" si="25"/>
        <v>0.76760641679197217</v>
      </c>
      <c r="AA29" s="328">
        <f t="shared" si="26"/>
        <v>0.76276861106708505</v>
      </c>
      <c r="AI29" s="305"/>
      <c r="AN29" s="298"/>
      <c r="AO29" s="298"/>
      <c r="AT29" s="298"/>
      <c r="AU29" s="298"/>
      <c r="BO29" s="310">
        <v>15.75</v>
      </c>
      <c r="BP29" s="311">
        <v>0.52259999999999995</v>
      </c>
      <c r="BQ29" s="312">
        <v>0.2288</v>
      </c>
      <c r="BR29" s="310">
        <v>31.5</v>
      </c>
      <c r="BS29" s="311">
        <v>0.56140000000000001</v>
      </c>
      <c r="BT29" s="312">
        <v>0.46039999999999998</v>
      </c>
    </row>
    <row r="30" spans="1:72" ht="15" customHeight="1" x14ac:dyDescent="0.15">
      <c r="A30" s="269">
        <f t="shared" si="0"/>
        <v>15</v>
      </c>
      <c r="B30" s="322">
        <f t="shared" si="1"/>
        <v>13.846153846153847</v>
      </c>
      <c r="C30" s="323">
        <f t="shared" si="2"/>
        <v>60</v>
      </c>
      <c r="D30" s="327">
        <f t="shared" si="3"/>
        <v>0.60552429770754257</v>
      </c>
      <c r="E30" s="327">
        <f t="shared" si="4"/>
        <v>0.58892872454028067</v>
      </c>
      <c r="F30" s="327">
        <f t="shared" si="5"/>
        <v>0.58152574943771951</v>
      </c>
      <c r="G30" s="327">
        <f t="shared" si="6"/>
        <v>0.58745277428790066</v>
      </c>
      <c r="H30" s="327">
        <f t="shared" si="7"/>
        <v>0.5932841482575224</v>
      </c>
      <c r="I30" s="327">
        <f t="shared" si="8"/>
        <v>0.59668596462939549</v>
      </c>
      <c r="J30" s="327">
        <f t="shared" si="9"/>
        <v>0.34330036260777991</v>
      </c>
      <c r="K30" s="327">
        <f t="shared" si="10"/>
        <v>0.34044457043584997</v>
      </c>
      <c r="L30" s="327">
        <f t="shared" si="11"/>
        <v>0.30244949578149505</v>
      </c>
      <c r="M30" s="327">
        <f t="shared" si="12"/>
        <v>0.28666048972439617</v>
      </c>
      <c r="N30" s="327">
        <f t="shared" si="13"/>
        <v>0.3167129031528052</v>
      </c>
      <c r="O30" s="328">
        <f t="shared" si="14"/>
        <v>0.29239594654832252</v>
      </c>
      <c r="P30" s="327">
        <f t="shared" si="15"/>
        <v>0.78495298643669076</v>
      </c>
      <c r="Q30" s="327">
        <f t="shared" si="16"/>
        <v>0.65273785842271703</v>
      </c>
      <c r="R30" s="327">
        <f t="shared" si="17"/>
        <v>0.81425428150278334</v>
      </c>
      <c r="S30" s="327">
        <f t="shared" si="18"/>
        <v>0.83745801888735083</v>
      </c>
      <c r="T30" s="327">
        <f t="shared" si="19"/>
        <v>0.82819123673849926</v>
      </c>
      <c r="U30" s="328">
        <f t="shared" si="20"/>
        <v>0.83853313736226465</v>
      </c>
      <c r="V30" s="327">
        <f t="shared" si="21"/>
        <v>0.72755271698793156</v>
      </c>
      <c r="W30" s="327">
        <f t="shared" si="22"/>
        <v>0.65597864745550605</v>
      </c>
      <c r="X30" s="327">
        <f t="shared" si="23"/>
        <v>0.73084158433536262</v>
      </c>
      <c r="Y30" s="327">
        <f t="shared" si="24"/>
        <v>0.74658228330658871</v>
      </c>
      <c r="Z30" s="327">
        <f t="shared" si="25"/>
        <v>0.75188595712678596</v>
      </c>
      <c r="AA30" s="328">
        <f t="shared" si="26"/>
        <v>0.74456630577058192</v>
      </c>
      <c r="AK30" s="314"/>
      <c r="AL30" s="314"/>
      <c r="AN30" s="315"/>
      <c r="AO30" s="315"/>
      <c r="AQ30" s="314"/>
      <c r="AR30" s="314"/>
      <c r="AT30" s="315"/>
      <c r="AU30" s="315"/>
      <c r="BO30" s="310">
        <v>16.5</v>
      </c>
      <c r="BP30" s="311">
        <v>0.52259999999999995</v>
      </c>
      <c r="BQ30" s="312">
        <v>0.2288</v>
      </c>
      <c r="BR30" s="310">
        <v>33</v>
      </c>
      <c r="BS30" s="311">
        <v>0.54869999999999997</v>
      </c>
      <c r="BT30" s="312">
        <v>0.44800000000000001</v>
      </c>
    </row>
    <row r="31" spans="1:72" ht="14.25" customHeight="1" x14ac:dyDescent="0.15">
      <c r="A31" s="269">
        <f t="shared" si="0"/>
        <v>16</v>
      </c>
      <c r="B31" s="322">
        <f t="shared" si="1"/>
        <v>14.76923076923077</v>
      </c>
      <c r="C31" s="323">
        <f t="shared" si="2"/>
        <v>64</v>
      </c>
      <c r="D31" s="327">
        <f t="shared" si="3"/>
        <v>0.58560801612628499</v>
      </c>
      <c r="E31" s="327">
        <f t="shared" si="4"/>
        <v>0.56977634795566257</v>
      </c>
      <c r="F31" s="327">
        <f t="shared" si="5"/>
        <v>0.56199908125772413</v>
      </c>
      <c r="G31" s="327">
        <f t="shared" si="6"/>
        <v>0.56534611815656188</v>
      </c>
      <c r="H31" s="327">
        <f t="shared" si="7"/>
        <v>0.57397908718616752</v>
      </c>
      <c r="I31" s="327">
        <f t="shared" si="8"/>
        <v>0.57569335777678177</v>
      </c>
      <c r="J31" s="327">
        <f t="shared" si="9"/>
        <v>0.31968275770779769</v>
      </c>
      <c r="K31" s="327">
        <f t="shared" si="10"/>
        <v>0.31615876572143231</v>
      </c>
      <c r="L31" s="327">
        <f t="shared" si="11"/>
        <v>0.28270949231543974</v>
      </c>
      <c r="M31" s="327">
        <f t="shared" si="12"/>
        <v>0.26735209247451769</v>
      </c>
      <c r="N31" s="327">
        <f t="shared" si="13"/>
        <v>0.29811551903565792</v>
      </c>
      <c r="O31" s="328">
        <f t="shared" si="14"/>
        <v>0.27705601522157774</v>
      </c>
      <c r="P31" s="327">
        <f t="shared" si="15"/>
        <v>0.7723839177846179</v>
      </c>
      <c r="Q31" s="327">
        <f t="shared" si="16"/>
        <v>0.64002467805966679</v>
      </c>
      <c r="R31" s="327">
        <f t="shared" si="17"/>
        <v>0.79891511538827942</v>
      </c>
      <c r="S31" s="327">
        <f t="shared" si="18"/>
        <v>0.82186558439142854</v>
      </c>
      <c r="T31" s="327">
        <f t="shared" si="19"/>
        <v>0.81585095532355378</v>
      </c>
      <c r="U31" s="328">
        <f t="shared" si="20"/>
        <v>0.82404529041102637</v>
      </c>
      <c r="V31" s="327">
        <f t="shared" si="21"/>
        <v>0.71228767781028846</v>
      </c>
      <c r="W31" s="327">
        <f t="shared" si="22"/>
        <v>0.64115027080651832</v>
      </c>
      <c r="X31" s="327">
        <f t="shared" si="23"/>
        <v>0.71308165829672054</v>
      </c>
      <c r="Y31" s="327">
        <f t="shared" si="24"/>
        <v>0.72826486126420209</v>
      </c>
      <c r="Z31" s="327">
        <f t="shared" si="25"/>
        <v>0.73629876815196127</v>
      </c>
      <c r="AA31" s="328">
        <f t="shared" si="26"/>
        <v>0.72674080449729594</v>
      </c>
      <c r="BO31" s="310">
        <v>17.25</v>
      </c>
      <c r="BP31" s="311">
        <v>0.50770000000000004</v>
      </c>
      <c r="BQ31" s="312">
        <v>0.2145</v>
      </c>
      <c r="BR31" s="310">
        <v>34.5</v>
      </c>
      <c r="BS31" s="311">
        <v>0.51039999999999996</v>
      </c>
      <c r="BT31" s="312">
        <v>0.44800000000000001</v>
      </c>
    </row>
    <row r="32" spans="1:72" ht="12" customHeight="1" x14ac:dyDescent="0.15">
      <c r="A32" s="269">
        <f t="shared" si="0"/>
        <v>17</v>
      </c>
      <c r="B32" s="322">
        <f t="shared" si="1"/>
        <v>15.692307692307692</v>
      </c>
      <c r="C32" s="323">
        <f t="shared" si="2"/>
        <v>68</v>
      </c>
      <c r="D32" s="327">
        <f t="shared" si="3"/>
        <v>0.5663468003673664</v>
      </c>
      <c r="E32" s="327">
        <f t="shared" si="4"/>
        <v>0.55131673634757861</v>
      </c>
      <c r="F32" s="327">
        <f t="shared" si="5"/>
        <v>0.54351711203230868</v>
      </c>
      <c r="G32" s="327">
        <f t="shared" si="6"/>
        <v>0.54433892717292442</v>
      </c>
      <c r="H32" s="327">
        <f t="shared" si="7"/>
        <v>0.55541771157489761</v>
      </c>
      <c r="I32" s="327">
        <f t="shared" si="8"/>
        <v>0.55560745735480332</v>
      </c>
      <c r="J32" s="327">
        <f t="shared" si="9"/>
        <v>0.29768994357988038</v>
      </c>
      <c r="K32" s="327">
        <f t="shared" si="10"/>
        <v>0.29356557272436468</v>
      </c>
      <c r="L32" s="327">
        <f t="shared" si="11"/>
        <v>0.2647496890292268</v>
      </c>
      <c r="M32" s="327">
        <f t="shared" si="12"/>
        <v>0.249985420494229</v>
      </c>
      <c r="N32" s="327">
        <f t="shared" si="13"/>
        <v>0.28108926357944525</v>
      </c>
      <c r="O32" s="328">
        <f t="shared" si="14"/>
        <v>0.26321832881287127</v>
      </c>
      <c r="P32" s="327">
        <f t="shared" si="15"/>
        <v>0.76001611148775639</v>
      </c>
      <c r="Q32" s="327">
        <f t="shared" si="16"/>
        <v>0.62778977802368496</v>
      </c>
      <c r="R32" s="327">
        <f t="shared" si="17"/>
        <v>0.7838358147917267</v>
      </c>
      <c r="S32" s="327">
        <f t="shared" si="18"/>
        <v>0.80617372619931027</v>
      </c>
      <c r="T32" s="327">
        <f t="shared" si="19"/>
        <v>0.80341599177579837</v>
      </c>
      <c r="U32" s="328">
        <f t="shared" si="20"/>
        <v>0.8094473808719469</v>
      </c>
      <c r="V32" s="327">
        <f t="shared" si="21"/>
        <v>0.6973429197829375</v>
      </c>
      <c r="W32" s="327">
        <f t="shared" si="22"/>
        <v>0.62681904884124584</v>
      </c>
      <c r="X32" s="327">
        <f t="shared" si="23"/>
        <v>0.69590924199496285</v>
      </c>
      <c r="Y32" s="327">
        <f t="shared" si="24"/>
        <v>0.71032150786069781</v>
      </c>
      <c r="Z32" s="327">
        <f t="shared" si="25"/>
        <v>0.72084770385360497</v>
      </c>
      <c r="AA32" s="328">
        <f t="shared" si="26"/>
        <v>0.70930601432207674</v>
      </c>
      <c r="BO32" s="310">
        <v>18</v>
      </c>
      <c r="BP32" s="311">
        <v>0.50009999999999999</v>
      </c>
      <c r="BQ32" s="312">
        <v>0.2074</v>
      </c>
      <c r="BR32" s="310">
        <v>36</v>
      </c>
      <c r="BS32" s="311">
        <v>0.48270000000000002</v>
      </c>
      <c r="BT32" s="312">
        <v>0.43480000000000002</v>
      </c>
    </row>
    <row r="33" spans="1:72" ht="12.75" customHeight="1" x14ac:dyDescent="0.15">
      <c r="A33" s="269">
        <f t="shared" si="0"/>
        <v>18</v>
      </c>
      <c r="B33" s="322">
        <f t="shared" si="1"/>
        <v>16.615384615384617</v>
      </c>
      <c r="C33" s="323">
        <f t="shared" si="2"/>
        <v>72</v>
      </c>
      <c r="D33" s="327">
        <f t="shared" si="3"/>
        <v>0.54771910468039897</v>
      </c>
      <c r="E33" s="327">
        <f t="shared" si="4"/>
        <v>0.53351861659551858</v>
      </c>
      <c r="F33" s="327">
        <f t="shared" si="5"/>
        <v>0.52600446586433069</v>
      </c>
      <c r="G33" s="327">
        <f t="shared" si="6"/>
        <v>0.52438591623944197</v>
      </c>
      <c r="H33" s="327">
        <f t="shared" si="7"/>
        <v>0.53756767177313736</v>
      </c>
      <c r="I33" s="327">
        <f t="shared" si="8"/>
        <v>0.53638586542371769</v>
      </c>
      <c r="J33" s="327">
        <f t="shared" si="9"/>
        <v>0.27721014152910239</v>
      </c>
      <c r="K33" s="327">
        <f t="shared" si="10"/>
        <v>0.27255206136407273</v>
      </c>
      <c r="L33" s="327">
        <f t="shared" si="11"/>
        <v>0.24836479699124614</v>
      </c>
      <c r="M33" s="327">
        <f t="shared" si="12"/>
        <v>0.23431548494988708</v>
      </c>
      <c r="N33" s="327">
        <f t="shared" si="13"/>
        <v>0.2654751606745141</v>
      </c>
      <c r="O33" s="328">
        <f t="shared" si="14"/>
        <v>0.25067468893907491</v>
      </c>
      <c r="P33" s="327">
        <f t="shared" si="15"/>
        <v>0.74784634483034707</v>
      </c>
      <c r="Q33" s="327">
        <f t="shared" si="16"/>
        <v>0.61599790741782745</v>
      </c>
      <c r="R33" s="327">
        <f t="shared" si="17"/>
        <v>0.7690368410573416</v>
      </c>
      <c r="S33" s="327">
        <f t="shared" si="18"/>
        <v>0.79043751722538458</v>
      </c>
      <c r="T33" s="327">
        <f t="shared" si="19"/>
        <v>0.79089001246584834</v>
      </c>
      <c r="U33" s="328">
        <f t="shared" si="20"/>
        <v>0.79477248499209452</v>
      </c>
      <c r="V33" s="327">
        <f t="shared" si="21"/>
        <v>0.68271172297453475</v>
      </c>
      <c r="W33" s="327">
        <f t="shared" si="22"/>
        <v>0.61295557866056982</v>
      </c>
      <c r="X33" s="327">
        <f t="shared" si="23"/>
        <v>0.6793119650233419</v>
      </c>
      <c r="Y33" s="327">
        <f t="shared" si="24"/>
        <v>0.69277766991479828</v>
      </c>
      <c r="Z33" s="327">
        <f t="shared" si="25"/>
        <v>0.70553557230072173</v>
      </c>
      <c r="AA33" s="328">
        <f t="shared" si="26"/>
        <v>0.69227063616993001</v>
      </c>
      <c r="BO33" s="310">
        <v>18.75</v>
      </c>
      <c r="BP33" s="311">
        <v>0.4924</v>
      </c>
      <c r="BQ33" s="312">
        <v>0.2074</v>
      </c>
      <c r="BR33" s="310">
        <v>37.5</v>
      </c>
      <c r="BS33" s="311">
        <v>0.46860000000000002</v>
      </c>
      <c r="BT33" s="312">
        <v>0.42120000000000002</v>
      </c>
    </row>
    <row r="34" spans="1:72" ht="18" customHeight="1" x14ac:dyDescent="0.15">
      <c r="A34" s="269">
        <f t="shared" si="0"/>
        <v>19</v>
      </c>
      <c r="B34" s="322">
        <f t="shared" si="1"/>
        <v>17.53846153846154</v>
      </c>
      <c r="C34" s="323">
        <f t="shared" si="2"/>
        <v>76</v>
      </c>
      <c r="D34" s="327">
        <f t="shared" si="3"/>
        <v>0.52970409197562773</v>
      </c>
      <c r="E34" s="327">
        <f t="shared" si="4"/>
        <v>0.51635285069125658</v>
      </c>
      <c r="F34" s="327">
        <f t="shared" si="5"/>
        <v>0.50939196935493736</v>
      </c>
      <c r="G34" s="327">
        <f t="shared" si="6"/>
        <v>0.5054389918940253</v>
      </c>
      <c r="H34" s="327">
        <f t="shared" si="7"/>
        <v>0.52039816963075647</v>
      </c>
      <c r="I34" s="327">
        <f t="shared" si="8"/>
        <v>0.51798719778869473</v>
      </c>
      <c r="J34" s="327">
        <f t="shared" si="9"/>
        <v>0.25813926275935734</v>
      </c>
      <c r="K34" s="327">
        <f t="shared" si="10"/>
        <v>0.2530120887408796</v>
      </c>
      <c r="L34" s="327">
        <f t="shared" si="11"/>
        <v>0.23337804070175761</v>
      </c>
      <c r="M34" s="327">
        <f t="shared" si="12"/>
        <v>0.22013250448798616</v>
      </c>
      <c r="N34" s="327">
        <f t="shared" si="13"/>
        <v>0.25113265809027413</v>
      </c>
      <c r="O34" s="328">
        <f t="shared" si="14"/>
        <v>0.23925330523117133</v>
      </c>
      <c r="P34" s="327">
        <f t="shared" si="15"/>
        <v>0.73587144670040328</v>
      </c>
      <c r="Q34" s="327">
        <f t="shared" si="16"/>
        <v>0.60461807214815666</v>
      </c>
      <c r="R34" s="327">
        <f t="shared" si="17"/>
        <v>0.75453252786925473</v>
      </c>
      <c r="S34" s="327">
        <f t="shared" si="18"/>
        <v>0.77470645264195559</v>
      </c>
      <c r="T34" s="327">
        <f t="shared" si="19"/>
        <v>0.77827687676672597</v>
      </c>
      <c r="U34" s="328">
        <f t="shared" si="20"/>
        <v>0.78005057793573074</v>
      </c>
      <c r="V34" s="327">
        <f t="shared" si="21"/>
        <v>0.66838750844697725</v>
      </c>
      <c r="W34" s="327">
        <f t="shared" si="22"/>
        <v>0.59953348907944248</v>
      </c>
      <c r="X34" s="327">
        <f t="shared" si="23"/>
        <v>0.6632745415223319</v>
      </c>
      <c r="Y34" s="327">
        <f t="shared" si="24"/>
        <v>0.67565203667793217</v>
      </c>
      <c r="Z34" s="327">
        <f t="shared" si="25"/>
        <v>0.69036513315229331</v>
      </c>
      <c r="AA34" s="328">
        <f t="shared" si="26"/>
        <v>0.67563928908980997</v>
      </c>
      <c r="BO34" s="310">
        <v>19.5</v>
      </c>
      <c r="BP34" s="311">
        <v>0.4924</v>
      </c>
      <c r="BQ34" s="312">
        <v>0.2074</v>
      </c>
      <c r="BR34" s="310">
        <v>39</v>
      </c>
      <c r="BS34" s="311">
        <v>0.43090000000000001</v>
      </c>
      <c r="BT34" s="312">
        <v>0.42120000000000002</v>
      </c>
    </row>
    <row r="35" spans="1:72" ht="20.25" customHeight="1" x14ac:dyDescent="0.15">
      <c r="A35" s="269">
        <f t="shared" si="0"/>
        <v>20</v>
      </c>
      <c r="B35" s="322">
        <f t="shared" si="1"/>
        <v>18.46153846153846</v>
      </c>
      <c r="C35" s="323">
        <f t="shared" si="2"/>
        <v>80</v>
      </c>
      <c r="D35" s="327">
        <f t="shared" si="3"/>
        <v>0.51228161051539367</v>
      </c>
      <c r="E35" s="327">
        <f t="shared" si="4"/>
        <v>0.49979219024085964</v>
      </c>
      <c r="F35" s="327">
        <f t="shared" si="5"/>
        <v>0.49361624658408465</v>
      </c>
      <c r="G35" s="327">
        <f t="shared" si="6"/>
        <v>0.48744882796767747</v>
      </c>
      <c r="H35" s="327">
        <f t="shared" si="7"/>
        <v>0.50387987771006415</v>
      </c>
      <c r="I35" s="327">
        <f t="shared" si="8"/>
        <v>0.5003714399955369</v>
      </c>
      <c r="J35" s="327">
        <f t="shared" si="9"/>
        <v>0.24038037934102385</v>
      </c>
      <c r="K35" s="327">
        <f t="shared" si="10"/>
        <v>0.23484602586411782</v>
      </c>
      <c r="L35" s="327">
        <f t="shared" si="11"/>
        <v>0.21963661844103333</v>
      </c>
      <c r="M35" s="327">
        <f t="shared" si="12"/>
        <v>0.20725661251331221</v>
      </c>
      <c r="N35" s="327">
        <f t="shared" si="13"/>
        <v>0.23793725006527661</v>
      </c>
      <c r="O35" s="328">
        <f t="shared" si="14"/>
        <v>0.22881125292946713</v>
      </c>
      <c r="P35" s="327">
        <f t="shared" si="15"/>
        <v>0.72408829676340569</v>
      </c>
      <c r="Q35" s="327">
        <f t="shared" si="16"/>
        <v>0.59362282304184832</v>
      </c>
      <c r="R35" s="327">
        <f t="shared" si="17"/>
        <v>0.74033238110215682</v>
      </c>
      <c r="S35" s="327">
        <f t="shared" si="18"/>
        <v>0.75902476408694297</v>
      </c>
      <c r="T35" s="327">
        <f t="shared" si="19"/>
        <v>0.76558063880696026</v>
      </c>
      <c r="U35" s="328">
        <f t="shared" si="20"/>
        <v>0.76530885636373647</v>
      </c>
      <c r="V35" s="327">
        <f t="shared" si="21"/>
        <v>0.65436383529717368</v>
      </c>
      <c r="W35" s="327">
        <f t="shared" si="22"/>
        <v>0.58652897648857172</v>
      </c>
      <c r="X35" s="327">
        <f t="shared" si="23"/>
        <v>0.64777981895465264</v>
      </c>
      <c r="Y35" s="327">
        <f t="shared" si="24"/>
        <v>0.65895761409044895</v>
      </c>
      <c r="Z35" s="327">
        <f t="shared" si="25"/>
        <v>0.67533909516916857</v>
      </c>
      <c r="AA35" s="328">
        <f t="shared" si="26"/>
        <v>0.65941338627180413</v>
      </c>
      <c r="BO35" s="310">
        <v>20.25</v>
      </c>
      <c r="BP35" s="311">
        <v>0.4924</v>
      </c>
      <c r="BQ35" s="312">
        <v>0.19939999999999999</v>
      </c>
      <c r="BR35" s="310">
        <v>40.5</v>
      </c>
      <c r="BS35" s="311">
        <v>0.43090000000000001</v>
      </c>
      <c r="BT35" s="312">
        <v>0.39779999999999999</v>
      </c>
    </row>
    <row r="36" spans="1:72" ht="12.75" customHeight="1" x14ac:dyDescent="0.15">
      <c r="A36" s="269">
        <f t="shared" si="0"/>
        <v>21</v>
      </c>
      <c r="B36" s="322">
        <f t="shared" si="1"/>
        <v>19.384615384615383</v>
      </c>
      <c r="C36" s="323">
        <f t="shared" si="2"/>
        <v>84</v>
      </c>
      <c r="D36" s="327">
        <f t="shared" si="3"/>
        <v>0.49543217137223905</v>
      </c>
      <c r="E36" s="327">
        <f t="shared" si="4"/>
        <v>0.48381107344441665</v>
      </c>
      <c r="F36" s="327">
        <f t="shared" si="5"/>
        <v>0.47861927295028894</v>
      </c>
      <c r="G36" s="327">
        <f t="shared" si="6"/>
        <v>0.47036601191120564</v>
      </c>
      <c r="H36" s="327">
        <f t="shared" si="7"/>
        <v>0.48798486301549532</v>
      </c>
      <c r="I36" s="327">
        <f t="shared" si="8"/>
        <v>0.48350016016961661</v>
      </c>
      <c r="J36" s="327">
        <f t="shared" si="9"/>
        <v>0.22384323157380645</v>
      </c>
      <c r="K36" s="327">
        <f t="shared" si="10"/>
        <v>0.21796046453280624</v>
      </c>
      <c r="L36" s="327">
        <f t="shared" si="11"/>
        <v>0.20700795288076002</v>
      </c>
      <c r="M36" s="327">
        <f t="shared" si="12"/>
        <v>0.19553328811297563</v>
      </c>
      <c r="N36" s="327">
        <f t="shared" si="13"/>
        <v>0.22577843526787922</v>
      </c>
      <c r="O36" s="328">
        <f t="shared" si="14"/>
        <v>0.21922870872165703</v>
      </c>
      <c r="P36" s="327">
        <f t="shared" si="15"/>
        <v>0.71249382464922661</v>
      </c>
      <c r="Q36" s="327">
        <f t="shared" si="16"/>
        <v>0.58298769310769438</v>
      </c>
      <c r="R36" s="327">
        <f t="shared" si="17"/>
        <v>0.72644209959653216</v>
      </c>
      <c r="S36" s="327">
        <f t="shared" si="18"/>
        <v>0.74343174188314831</v>
      </c>
      <c r="T36" s="327">
        <f t="shared" si="19"/>
        <v>0.75280554887539775</v>
      </c>
      <c r="U36" s="328">
        <f t="shared" si="20"/>
        <v>0.75057201415760155</v>
      </c>
      <c r="V36" s="327">
        <f t="shared" si="21"/>
        <v>0.64063439776088327</v>
      </c>
      <c r="W36" s="327">
        <f t="shared" si="22"/>
        <v>0.57392043295835138</v>
      </c>
      <c r="X36" s="327">
        <f t="shared" si="23"/>
        <v>0.63280953509525095</v>
      </c>
      <c r="Y36" s="327">
        <f t="shared" si="24"/>
        <v>0.64270264473261218</v>
      </c>
      <c r="Z36" s="327">
        <f t="shared" si="25"/>
        <v>0.66046011373425562</v>
      </c>
      <c r="AA36" s="328">
        <f t="shared" si="26"/>
        <v>0.64359182303320506</v>
      </c>
      <c r="BO36" s="310">
        <v>21</v>
      </c>
      <c r="BP36" s="311">
        <v>0.46010000000000001</v>
      </c>
      <c r="BQ36" s="312">
        <v>0.19939999999999999</v>
      </c>
      <c r="BR36" s="310">
        <v>42</v>
      </c>
      <c r="BS36" s="311">
        <v>0.43090000000000001</v>
      </c>
      <c r="BT36" s="312">
        <v>0.36720000000000003</v>
      </c>
    </row>
    <row r="37" spans="1:72" ht="12.75" customHeight="1" x14ac:dyDescent="0.2">
      <c r="A37" s="269">
        <f t="shared" si="0"/>
        <v>22</v>
      </c>
      <c r="B37" s="322">
        <f t="shared" si="1"/>
        <v>20.307692307692307</v>
      </c>
      <c r="C37" s="323">
        <f t="shared" si="2"/>
        <v>88</v>
      </c>
      <c r="D37" s="327">
        <f t="shared" si="3"/>
        <v>0.47913692662843682</v>
      </c>
      <c r="E37" s="327">
        <f t="shared" si="4"/>
        <v>0.46838545507619106</v>
      </c>
      <c r="F37" s="327">
        <f t="shared" si="5"/>
        <v>0.46434792445846507</v>
      </c>
      <c r="G37" s="327">
        <f t="shared" si="6"/>
        <v>0.45414186532603396</v>
      </c>
      <c r="H37" s="327">
        <f t="shared" si="7"/>
        <v>0.47268651497189612</v>
      </c>
      <c r="I37" s="327">
        <f t="shared" si="8"/>
        <v>0.46733662376106033</v>
      </c>
      <c r="J37" s="327">
        <f t="shared" si="9"/>
        <v>0.2084437692409182</v>
      </c>
      <c r="K37" s="327">
        <f t="shared" si="10"/>
        <v>0.20226791435309308</v>
      </c>
      <c r="L37" s="327">
        <f t="shared" si="11"/>
        <v>0.19537659009840846</v>
      </c>
      <c r="M37" s="327">
        <f t="shared" si="12"/>
        <v>0.18482946456849733</v>
      </c>
      <c r="N37" s="327">
        <f t="shared" si="13"/>
        <v>0.21455795907385106</v>
      </c>
      <c r="O37" s="328">
        <f t="shared" si="14"/>
        <v>0.21040450094084093</v>
      </c>
      <c r="P37" s="327">
        <f t="shared" si="15"/>
        <v>0.70108500915207528</v>
      </c>
      <c r="Q37" s="327">
        <f t="shared" si="16"/>
        <v>0.57269074700715772</v>
      </c>
      <c r="R37" s="327">
        <f t="shared" si="17"/>
        <v>0.71286438077150949</v>
      </c>
      <c r="S37" s="327">
        <f t="shared" si="18"/>
        <v>0.72796206131963059</v>
      </c>
      <c r="T37" s="327">
        <f t="shared" si="19"/>
        <v>0.73995605445170043</v>
      </c>
      <c r="U37" s="328">
        <f t="shared" si="20"/>
        <v>0.73586248050196668</v>
      </c>
      <c r="V37" s="327">
        <f t="shared" si="21"/>
        <v>0.62719302237732077</v>
      </c>
      <c r="W37" s="327">
        <f t="shared" si="22"/>
        <v>0.56168814454524318</v>
      </c>
      <c r="X37" s="327">
        <f t="shared" si="23"/>
        <v>0.61834486446433901</v>
      </c>
      <c r="Y37" s="327">
        <f t="shared" si="24"/>
        <v>0.62689139572106711</v>
      </c>
      <c r="Z37" s="327">
        <f t="shared" si="25"/>
        <v>0.6457307883845903</v>
      </c>
      <c r="AA37" s="328">
        <f t="shared" si="26"/>
        <v>0.62817152081222927</v>
      </c>
      <c r="AI37" s="330"/>
      <c r="AJ37" s="331"/>
      <c r="AK37" s="331"/>
      <c r="AO37" s="332"/>
      <c r="BO37" s="310">
        <v>21.75</v>
      </c>
      <c r="BP37" s="311">
        <v>0.44400000000000001</v>
      </c>
      <c r="BQ37" s="312">
        <v>0.19109999999999999</v>
      </c>
      <c r="BR37" s="310">
        <v>43.5</v>
      </c>
      <c r="BS37" s="311">
        <v>0.39779999999999999</v>
      </c>
      <c r="BT37" s="312">
        <v>0.36720000000000003</v>
      </c>
    </row>
    <row r="38" spans="1:72" ht="19.5" customHeight="1" x14ac:dyDescent="0.25">
      <c r="A38" s="269">
        <f t="shared" si="0"/>
        <v>23</v>
      </c>
      <c r="B38" s="322">
        <f t="shared" si="1"/>
        <v>21.23076923076923</v>
      </c>
      <c r="C38" s="323">
        <f t="shared" si="2"/>
        <v>92</v>
      </c>
      <c r="D38" s="327">
        <f t="shared" si="3"/>
        <v>0.46337764829255879</v>
      </c>
      <c r="E38" s="327">
        <f t="shared" si="4"/>
        <v>0.45349266248690756</v>
      </c>
      <c r="F38" s="327">
        <f t="shared" si="5"/>
        <v>0.45075354275797275</v>
      </c>
      <c r="G38" s="327">
        <f t="shared" si="6"/>
        <v>0.43872901796270636</v>
      </c>
      <c r="H38" s="327">
        <f t="shared" si="7"/>
        <v>0.45795947739927501</v>
      </c>
      <c r="I38" s="327">
        <f t="shared" si="8"/>
        <v>0.45184584112531634</v>
      </c>
      <c r="J38" s="327">
        <f t="shared" si="9"/>
        <v>0.19410372442302345</v>
      </c>
      <c r="K38" s="327">
        <f t="shared" si="10"/>
        <v>0.18768649698764026</v>
      </c>
      <c r="L38" s="327">
        <f t="shared" si="11"/>
        <v>0.18464162861186384</v>
      </c>
      <c r="M38" s="327">
        <f t="shared" si="12"/>
        <v>0.17503024153200625</v>
      </c>
      <c r="N38" s="327">
        <f t="shared" si="13"/>
        <v>0.20418829741364655</v>
      </c>
      <c r="O38" s="328">
        <f t="shared" si="14"/>
        <v>0.20225264129238696</v>
      </c>
      <c r="P38" s="327">
        <f t="shared" si="15"/>
        <v>0.68985887744325303</v>
      </c>
      <c r="Q38" s="327">
        <f t="shared" si="16"/>
        <v>0.56271221622527778</v>
      </c>
      <c r="R38" s="327">
        <f t="shared" si="17"/>
        <v>0.6995995592754175</v>
      </c>
      <c r="S38" s="327">
        <f t="shared" si="18"/>
        <v>0.71264610898318348</v>
      </c>
      <c r="T38" s="327">
        <f t="shared" si="19"/>
        <v>0.72703680083605859</v>
      </c>
      <c r="U38" s="328">
        <f t="shared" si="20"/>
        <v>0.72120062731821388</v>
      </c>
      <c r="V38" s="327">
        <f t="shared" si="21"/>
        <v>0.61403366521325009</v>
      </c>
      <c r="W38" s="327">
        <f t="shared" si="22"/>
        <v>0.54981404381691057</v>
      </c>
      <c r="X38" s="327">
        <f t="shared" si="23"/>
        <v>0.60436681168659856</v>
      </c>
      <c r="Y38" s="327">
        <f t="shared" si="24"/>
        <v>0.61152483315030248</v>
      </c>
      <c r="Z38" s="327">
        <f t="shared" si="25"/>
        <v>0.63115366035894549</v>
      </c>
      <c r="AA38" s="328">
        <f t="shared" si="26"/>
        <v>0.61314785980985376</v>
      </c>
      <c r="AJ38" s="280" t="s">
        <v>717</v>
      </c>
      <c r="BO38" s="310">
        <v>22.5</v>
      </c>
      <c r="BP38" s="311">
        <v>0.42709999999999998</v>
      </c>
      <c r="BQ38" s="312">
        <v>0.19109999999999999</v>
      </c>
      <c r="BR38" s="310">
        <v>45</v>
      </c>
      <c r="BS38" s="311">
        <v>0.39779999999999999</v>
      </c>
      <c r="BT38" s="312">
        <v>0.30599999999999999</v>
      </c>
    </row>
    <row r="39" spans="1:72" ht="15" customHeight="1" x14ac:dyDescent="0.2">
      <c r="A39" s="269">
        <f t="shared" si="0"/>
        <v>24</v>
      </c>
      <c r="B39" s="322">
        <f t="shared" si="1"/>
        <v>22.153846153846153</v>
      </c>
      <c r="C39" s="323">
        <f t="shared" si="2"/>
        <v>96</v>
      </c>
      <c r="D39" s="327">
        <f t="shared" si="3"/>
        <v>0.44813670790949778</v>
      </c>
      <c r="E39" s="327">
        <f t="shared" si="4"/>
        <v>0.4391112724032924</v>
      </c>
      <c r="F39" s="327">
        <f t="shared" si="5"/>
        <v>0.43779152650351549</v>
      </c>
      <c r="G39" s="327">
        <f t="shared" si="6"/>
        <v>0.42408179588702022</v>
      </c>
      <c r="H39" s="327">
        <f t="shared" si="7"/>
        <v>0.4437795842477365</v>
      </c>
      <c r="I39" s="327">
        <f t="shared" si="8"/>
        <v>0.43699456937058989</v>
      </c>
      <c r="J39" s="327">
        <f t="shared" si="9"/>
        <v>0.18075021370076558</v>
      </c>
      <c r="K39" s="327">
        <f t="shared" si="10"/>
        <v>0.17413964268016038</v>
      </c>
      <c r="L39" s="327">
        <f t="shared" si="11"/>
        <v>0.17471458130358042</v>
      </c>
      <c r="M39" s="327">
        <f t="shared" si="12"/>
        <v>0.16603611986094038</v>
      </c>
      <c r="N39" s="327">
        <f t="shared" si="13"/>
        <v>0.1945913463148953</v>
      </c>
      <c r="O39" s="328">
        <f t="shared" si="14"/>
        <v>0.19469959694106936</v>
      </c>
      <c r="P39" s="327">
        <f t="shared" si="15"/>
        <v>0.67881250429651485</v>
      </c>
      <c r="Q39" s="327">
        <f t="shared" si="16"/>
        <v>0.5530342005833645</v>
      </c>
      <c r="R39" s="327">
        <f t="shared" si="17"/>
        <v>0.68664611528416009</v>
      </c>
      <c r="S39" s="327">
        <f t="shared" si="18"/>
        <v>0.69751030538508108</v>
      </c>
      <c r="T39" s="327">
        <f t="shared" si="19"/>
        <v>0.71405263135129737</v>
      </c>
      <c r="U39" s="328">
        <f t="shared" si="20"/>
        <v>0.7066049514371211</v>
      </c>
      <c r="V39" s="327">
        <f t="shared" si="21"/>
        <v>0.60115040914532247</v>
      </c>
      <c r="W39" s="327">
        <f t="shared" si="22"/>
        <v>0.53828150480837977</v>
      </c>
      <c r="X39" s="327">
        <f t="shared" si="23"/>
        <v>0.59085649288053199</v>
      </c>
      <c r="Y39" s="327">
        <f t="shared" si="24"/>
        <v>0.5966011988403368</v>
      </c>
      <c r="Z39" s="327">
        <f t="shared" si="25"/>
        <v>0.61673121016473276</v>
      </c>
      <c r="AA39" s="328">
        <f t="shared" si="26"/>
        <v>0.59851502476666874</v>
      </c>
      <c r="AI39" s="289"/>
      <c r="AJ39" s="592" t="s">
        <v>665</v>
      </c>
      <c r="AK39" s="572"/>
      <c r="AL39" s="572"/>
      <c r="AM39" s="572"/>
      <c r="AN39" s="572"/>
      <c r="AO39" s="572"/>
      <c r="AP39" s="572"/>
      <c r="AQ39" s="572"/>
      <c r="AR39" s="572"/>
      <c r="AS39" s="572"/>
      <c r="AT39" s="572"/>
      <c r="AU39" s="573"/>
      <c r="AV39" s="593" t="s">
        <v>664</v>
      </c>
      <c r="AW39" s="572"/>
      <c r="AX39" s="572"/>
      <c r="AY39" s="572"/>
      <c r="AZ39" s="572"/>
      <c r="BA39" s="572"/>
      <c r="BB39" s="572"/>
      <c r="BC39" s="572"/>
      <c r="BD39" s="572"/>
      <c r="BE39" s="572"/>
      <c r="BF39" s="572"/>
      <c r="BG39" s="573"/>
      <c r="BO39" s="310">
        <v>23.25</v>
      </c>
      <c r="BP39" s="311">
        <v>0.42709999999999998</v>
      </c>
      <c r="BQ39" s="312">
        <v>0.19109999999999999</v>
      </c>
      <c r="BR39" s="310">
        <v>46.5</v>
      </c>
      <c r="BS39" s="311">
        <v>0.39779999999999999</v>
      </c>
      <c r="BT39" s="312">
        <v>0.30599999999999999</v>
      </c>
    </row>
    <row r="40" spans="1:72" ht="15" customHeight="1" x14ac:dyDescent="0.2">
      <c r="A40" s="269">
        <f t="shared" si="0"/>
        <v>25</v>
      </c>
      <c r="B40" s="322">
        <f t="shared" si="1"/>
        <v>23.076923076923077</v>
      </c>
      <c r="C40" s="323">
        <f t="shared" si="2"/>
        <v>100</v>
      </c>
      <c r="D40" s="327">
        <f t="shared" si="3"/>
        <v>0.43339705684113711</v>
      </c>
      <c r="E40" s="327">
        <f t="shared" si="4"/>
        <v>0.4252210045532126</v>
      </c>
      <c r="F40" s="327">
        <f t="shared" si="5"/>
        <v>0.42542095381819545</v>
      </c>
      <c r="G40" s="327">
        <f t="shared" si="6"/>
        <v>0.41015647028436703</v>
      </c>
      <c r="H40" s="327">
        <f t="shared" si="7"/>
        <v>0.43012379887109536</v>
      </c>
      <c r="I40" s="327">
        <f t="shared" si="8"/>
        <v>0.42275128343340962</v>
      </c>
      <c r="J40" s="327">
        <f t="shared" si="9"/>
        <v>0.16831536772406838</v>
      </c>
      <c r="K40" s="327">
        <f t="shared" si="10"/>
        <v>0.16155579262013992</v>
      </c>
      <c r="L40" s="327">
        <f t="shared" si="11"/>
        <v>0.16551759123989873</v>
      </c>
      <c r="M40" s="327">
        <f t="shared" si="12"/>
        <v>0.15776068123785833</v>
      </c>
      <c r="N40" s="327">
        <f t="shared" si="13"/>
        <v>0.18569728696578885</v>
      </c>
      <c r="O40" s="328">
        <f t="shared" si="14"/>
        <v>0.18768212645521534</v>
      </c>
      <c r="P40" s="327">
        <f t="shared" si="15"/>
        <v>0.66794301132583411</v>
      </c>
      <c r="Q40" s="327">
        <f t="shared" si="16"/>
        <v>0.54364042173882998</v>
      </c>
      <c r="R40" s="327">
        <f t="shared" si="17"/>
        <v>0.67400108044727847</v>
      </c>
      <c r="S40" s="327">
        <f t="shared" si="18"/>
        <v>0.68257742056384707</v>
      </c>
      <c r="T40" s="327">
        <f t="shared" si="19"/>
        <v>0.70100858709029712</v>
      </c>
      <c r="U40" s="328">
        <f t="shared" si="20"/>
        <v>0.69209223572002143</v>
      </c>
      <c r="V40" s="327">
        <f t="shared" si="21"/>
        <v>0.58853746119943273</v>
      </c>
      <c r="W40" s="327">
        <f t="shared" si="22"/>
        <v>0.52707517158348915</v>
      </c>
      <c r="X40" s="327">
        <f t="shared" si="23"/>
        <v>0.57779533474419664</v>
      </c>
      <c r="Y40" s="327">
        <f t="shared" si="24"/>
        <v>0.58211650287084715</v>
      </c>
      <c r="Z40" s="327">
        <f t="shared" si="25"/>
        <v>0.60246585516801987</v>
      </c>
      <c r="AA40" s="328">
        <f t="shared" si="26"/>
        <v>0.58426628244598433</v>
      </c>
      <c r="AI40" s="278"/>
      <c r="AJ40" s="582" t="s">
        <v>485</v>
      </c>
      <c r="AK40" s="583"/>
      <c r="AL40" s="583"/>
      <c r="AM40" s="583"/>
      <c r="AN40" s="583"/>
      <c r="AO40" s="584"/>
      <c r="AP40" s="585" t="s">
        <v>701</v>
      </c>
      <c r="AQ40" s="583"/>
      <c r="AR40" s="583"/>
      <c r="AS40" s="583"/>
      <c r="AT40" s="583"/>
      <c r="AU40" s="583"/>
      <c r="AV40" s="582" t="s">
        <v>485</v>
      </c>
      <c r="AW40" s="583"/>
      <c r="AX40" s="583"/>
      <c r="AY40" s="583"/>
      <c r="AZ40" s="583"/>
      <c r="BA40" s="584"/>
      <c r="BB40" s="585" t="s">
        <v>701</v>
      </c>
      <c r="BC40" s="583"/>
      <c r="BD40" s="583"/>
      <c r="BE40" s="583"/>
      <c r="BF40" s="583"/>
      <c r="BG40" s="583"/>
      <c r="BO40" s="310">
        <v>24</v>
      </c>
      <c r="BP40" s="311">
        <v>0.42709999999999998</v>
      </c>
      <c r="BQ40" s="312">
        <v>0.17449999999999999</v>
      </c>
      <c r="BR40" s="310">
        <v>48</v>
      </c>
      <c r="BS40" s="311">
        <v>0.39779999999999999</v>
      </c>
      <c r="BT40" s="312">
        <v>0.30599999999999999</v>
      </c>
    </row>
    <row r="41" spans="1:72" ht="22.5" customHeight="1" x14ac:dyDescent="0.2">
      <c r="A41" s="269">
        <f t="shared" si="0"/>
        <v>26</v>
      </c>
      <c r="B41" s="322">
        <f t="shared" si="1"/>
        <v>24</v>
      </c>
      <c r="C41" s="323">
        <f t="shared" si="2"/>
        <v>104</v>
      </c>
      <c r="D41" s="327">
        <f t="shared" si="3"/>
        <v>0.4191422071956068</v>
      </c>
      <c r="E41" s="327">
        <f t="shared" si="4"/>
        <v>0.41180262905563902</v>
      </c>
      <c r="F41" s="327">
        <f t="shared" si="5"/>
        <v>0.41360423722934736</v>
      </c>
      <c r="G41" s="327">
        <f t="shared" si="6"/>
        <v>0.39691140245144541</v>
      </c>
      <c r="H41" s="327">
        <f t="shared" si="7"/>
        <v>0.41697015663148002</v>
      </c>
      <c r="I41" s="327">
        <f t="shared" si="8"/>
        <v>0.40908612688305601</v>
      </c>
      <c r="J41" s="327">
        <f t="shared" si="9"/>
        <v>0.15673598626549437</v>
      </c>
      <c r="K41" s="327">
        <f t="shared" si="10"/>
        <v>0.14986810963556738</v>
      </c>
      <c r="L41" s="327">
        <f t="shared" si="11"/>
        <v>0.15698193740455024</v>
      </c>
      <c r="M41" s="327">
        <f t="shared" si="12"/>
        <v>0.15012864232434531</v>
      </c>
      <c r="N41" s="327">
        <f t="shared" si="13"/>
        <v>0.17744360086354857</v>
      </c>
      <c r="O41" s="328">
        <f t="shared" si="14"/>
        <v>0.18114554915297026</v>
      </c>
      <c r="P41" s="327">
        <f t="shared" si="15"/>
        <v>0.65724756623537339</v>
      </c>
      <c r="Q41" s="327">
        <f t="shared" si="16"/>
        <v>0.53451601787805747</v>
      </c>
      <c r="R41" s="327">
        <f t="shared" si="17"/>
        <v>0.66166036303877918</v>
      </c>
      <c r="S41" s="327">
        <f t="shared" si="18"/>
        <v>0.66786687986534665</v>
      </c>
      <c r="T41" s="327">
        <f t="shared" si="19"/>
        <v>0.68790990618151737</v>
      </c>
      <c r="U41" s="328">
        <f t="shared" si="20"/>
        <v>0.67767769245887166</v>
      </c>
      <c r="V41" s="327">
        <f t="shared" si="21"/>
        <v>0.57618914994590054</v>
      </c>
      <c r="W41" s="327">
        <f t="shared" si="22"/>
        <v>0.51618081370240676</v>
      </c>
      <c r="X41" s="327">
        <f t="shared" si="23"/>
        <v>0.56516521292659616</v>
      </c>
      <c r="Y41" s="327">
        <f t="shared" si="24"/>
        <v>0.5680649435003895</v>
      </c>
      <c r="Z41" s="327">
        <f t="shared" si="25"/>
        <v>0.58835994721056861</v>
      </c>
      <c r="AA41" s="328">
        <f t="shared" si="26"/>
        <v>0.5703942050472941</v>
      </c>
      <c r="AI41" s="282"/>
      <c r="AJ41" s="283" t="s">
        <v>703</v>
      </c>
      <c r="AK41" s="283" t="s">
        <v>704</v>
      </c>
      <c r="AL41" s="283" t="s">
        <v>705</v>
      </c>
      <c r="AM41" s="283" t="s">
        <v>706</v>
      </c>
      <c r="AN41" s="283" t="s">
        <v>707</v>
      </c>
      <c r="AO41" s="284"/>
      <c r="AP41" s="283" t="s">
        <v>703</v>
      </c>
      <c r="AQ41" s="283" t="s">
        <v>704</v>
      </c>
      <c r="AR41" s="283" t="s">
        <v>705</v>
      </c>
      <c r="AS41" s="283" t="s">
        <v>706</v>
      </c>
      <c r="AT41" s="283" t="s">
        <v>707</v>
      </c>
      <c r="AU41" s="284"/>
      <c r="AV41" s="283" t="s">
        <v>703</v>
      </c>
      <c r="AW41" s="283" t="s">
        <v>704</v>
      </c>
      <c r="AX41" s="283" t="s">
        <v>705</v>
      </c>
      <c r="AY41" s="283" t="s">
        <v>706</v>
      </c>
      <c r="AZ41" s="283" t="s">
        <v>707</v>
      </c>
      <c r="BA41" s="284"/>
      <c r="BB41" s="283" t="s">
        <v>703</v>
      </c>
      <c r="BC41" s="283" t="s">
        <v>704</v>
      </c>
      <c r="BD41" s="283" t="s">
        <v>705</v>
      </c>
      <c r="BE41" s="283" t="s">
        <v>706</v>
      </c>
      <c r="BF41" s="283" t="s">
        <v>707</v>
      </c>
      <c r="BG41" s="284"/>
      <c r="BO41" s="310">
        <v>24.75</v>
      </c>
      <c r="BP41" s="311">
        <v>0.40849999999999997</v>
      </c>
      <c r="BQ41" s="312">
        <v>0.17449999999999999</v>
      </c>
      <c r="BR41" s="310">
        <v>49.5</v>
      </c>
      <c r="BS41" s="311">
        <v>0.39779999999999999</v>
      </c>
      <c r="BT41" s="312">
        <v>0.30599999999999999</v>
      </c>
    </row>
    <row r="42" spans="1:72" ht="14.25" customHeight="1" x14ac:dyDescent="0.2">
      <c r="A42" s="269">
        <f t="shared" si="0"/>
        <v>27</v>
      </c>
      <c r="B42" s="322">
        <f t="shared" si="1"/>
        <v>24.923076923076923</v>
      </c>
      <c r="C42" s="323">
        <f t="shared" si="2"/>
        <v>108</v>
      </c>
      <c r="D42" s="327">
        <f t="shared" si="3"/>
        <v>0.40535621338379563</v>
      </c>
      <c r="E42" s="327">
        <f t="shared" si="4"/>
        <v>0.39883788518685159</v>
      </c>
      <c r="F42" s="327">
        <f t="shared" si="5"/>
        <v>0.40230681049197203</v>
      </c>
      <c r="G42" s="327">
        <f t="shared" si="6"/>
        <v>0.38430711213559526</v>
      </c>
      <c r="H42" s="327">
        <f t="shared" si="7"/>
        <v>0.40429771064015607</v>
      </c>
      <c r="I42" s="327">
        <f t="shared" si="8"/>
        <v>0.39597084984851372</v>
      </c>
      <c r="J42" s="327">
        <f t="shared" si="9"/>
        <v>0.14595321700446473</v>
      </c>
      <c r="K42" s="327">
        <f t="shared" si="10"/>
        <v>0.13901419890925951</v>
      </c>
      <c r="L42" s="327">
        <f t="shared" si="11"/>
        <v>0.14904677858965043</v>
      </c>
      <c r="M42" s="327">
        <f t="shared" si="12"/>
        <v>0.14307422229211442</v>
      </c>
      <c r="N42" s="327">
        <f t="shared" si="13"/>
        <v>0.16977421356023531</v>
      </c>
      <c r="O42" s="328">
        <f t="shared" si="14"/>
        <v>0.17504235050404027</v>
      </c>
      <c r="P42" s="327">
        <f t="shared" si="15"/>
        <v>0.64672338208146485</v>
      </c>
      <c r="Q42" s="327">
        <f t="shared" si="16"/>
        <v>0.52564737138177131</v>
      </c>
      <c r="R42" s="327">
        <f t="shared" si="17"/>
        <v>0.64961900901454706</v>
      </c>
      <c r="S42" s="327">
        <f t="shared" si="18"/>
        <v>0.65339505764573236</v>
      </c>
      <c r="T42" s="327">
        <f t="shared" si="19"/>
        <v>0.6747620225453973</v>
      </c>
      <c r="U42" s="328">
        <f t="shared" si="20"/>
        <v>0.66337509172078812</v>
      </c>
      <c r="V42" s="327">
        <f t="shared" si="21"/>
        <v>0.56409992294930489</v>
      </c>
      <c r="W42" s="327">
        <f t="shared" si="22"/>
        <v>0.50558520344626789</v>
      </c>
      <c r="X42" s="327">
        <f t="shared" si="23"/>
        <v>0.55294854551174177</v>
      </c>
      <c r="Y42" s="327">
        <f t="shared" si="24"/>
        <v>0.55443926448704051</v>
      </c>
      <c r="Z42" s="327">
        <f t="shared" si="25"/>
        <v>0.57441577025785651</v>
      </c>
      <c r="AA42" s="328">
        <f t="shared" si="26"/>
        <v>0.55689085054240195</v>
      </c>
      <c r="AI42" s="288" t="s">
        <v>709</v>
      </c>
      <c r="AJ42" s="289">
        <v>865.56780000000003</v>
      </c>
      <c r="AK42" s="290">
        <v>867.01089999999999</v>
      </c>
      <c r="AL42" s="291">
        <v>866.64300000000003</v>
      </c>
      <c r="AM42" s="291">
        <v>860.93240000000003</v>
      </c>
      <c r="AN42" s="291">
        <v>867.06780000000003</v>
      </c>
      <c r="AO42" s="298"/>
      <c r="AP42" s="289">
        <v>977.75340000000006</v>
      </c>
      <c r="AQ42" s="290">
        <v>979.56669999999997</v>
      </c>
      <c r="AR42" s="291">
        <v>951.58590000000004</v>
      </c>
      <c r="AS42" s="291">
        <v>956.23469999999998</v>
      </c>
      <c r="AT42" s="291">
        <v>970.4615</v>
      </c>
      <c r="AV42" s="289">
        <v>688.29430000000002</v>
      </c>
      <c r="AW42" s="290">
        <v>680.03650000000005</v>
      </c>
      <c r="AX42" s="291">
        <v>687.47140000000002</v>
      </c>
      <c r="AY42" s="291">
        <v>678.84659999999997</v>
      </c>
      <c r="AZ42" s="291">
        <v>684.31359999999995</v>
      </c>
      <c r="BB42" s="289">
        <v>756.21230000000003</v>
      </c>
      <c r="BC42" s="290">
        <v>754.22609999999997</v>
      </c>
      <c r="BD42" s="291">
        <v>753.91560000000004</v>
      </c>
      <c r="BE42" s="291">
        <v>753.51319999999998</v>
      </c>
      <c r="BF42" s="291">
        <v>756.46849999999995</v>
      </c>
      <c r="BH42" s="293"/>
      <c r="BO42" s="310">
        <v>25.5</v>
      </c>
      <c r="BP42" s="311">
        <v>0.40849999999999997</v>
      </c>
      <c r="BQ42" s="312">
        <v>0.17449999999999999</v>
      </c>
      <c r="BR42" s="333">
        <v>51</v>
      </c>
      <c r="BS42" s="334">
        <v>0.39779999999999999</v>
      </c>
      <c r="BT42" s="335">
        <v>0.153</v>
      </c>
    </row>
    <row r="43" spans="1:72" ht="13.5" customHeight="1" x14ac:dyDescent="0.15">
      <c r="A43" s="269">
        <f t="shared" si="0"/>
        <v>28</v>
      </c>
      <c r="B43" s="322">
        <f t="shared" si="1"/>
        <v>25.846153846153847</v>
      </c>
      <c r="C43" s="323">
        <f t="shared" si="2"/>
        <v>112</v>
      </c>
      <c r="D43" s="327">
        <f t="shared" si="3"/>
        <v>0.39202365428248737</v>
      </c>
      <c r="E43" s="327">
        <f t="shared" si="4"/>
        <v>0.38630940963729282</v>
      </c>
      <c r="F43" s="327">
        <f t="shared" si="5"/>
        <v>0.39149684564531495</v>
      </c>
      <c r="G43" s="327">
        <f t="shared" si="6"/>
        <v>0.37230628993594755</v>
      </c>
      <c r="H43" s="327">
        <f t="shared" si="7"/>
        <v>0.39208648045184374</v>
      </c>
      <c r="I43" s="327">
        <f t="shared" si="8"/>
        <v>0.3833787392782857</v>
      </c>
      <c r="J43" s="327">
        <f t="shared" si="9"/>
        <v>0.13591225640975926</v>
      </c>
      <c r="K43" s="327">
        <f t="shared" si="10"/>
        <v>0.12893583982772722</v>
      </c>
      <c r="L43" s="327">
        <f t="shared" si="11"/>
        <v>0.14165809355257653</v>
      </c>
      <c r="M43" s="327">
        <f t="shared" si="12"/>
        <v>0.13653977161964215</v>
      </c>
      <c r="N43" s="327">
        <f t="shared" si="13"/>
        <v>0.162638748814984</v>
      </c>
      <c r="O43" s="328">
        <f t="shared" si="14"/>
        <v>0.16933105027431791</v>
      </c>
      <c r="P43" s="327">
        <f t="shared" si="15"/>
        <v>0.63636771654640756</v>
      </c>
      <c r="Q43" s="327">
        <f t="shared" si="16"/>
        <v>0.51702196312912163</v>
      </c>
      <c r="R43" s="327">
        <f t="shared" si="17"/>
        <v>0.63787141199400887</v>
      </c>
      <c r="S43" s="327">
        <f t="shared" si="18"/>
        <v>0.63917555717156693</v>
      </c>
      <c r="T43" s="327">
        <f t="shared" si="19"/>
        <v>0.66157056411453974</v>
      </c>
      <c r="U43" s="328">
        <f t="shared" si="20"/>
        <v>0.64919687679335003</v>
      </c>
      <c r="V43" s="327">
        <f t="shared" si="21"/>
        <v>0.55226434427182269</v>
      </c>
      <c r="W43" s="327">
        <f t="shared" si="22"/>
        <v>0.49527601079606504</v>
      </c>
      <c r="X43" s="327">
        <f t="shared" si="23"/>
        <v>0.54112835329303977</v>
      </c>
      <c r="Y43" s="327">
        <f t="shared" si="24"/>
        <v>0.54123105847788122</v>
      </c>
      <c r="Z43" s="327">
        <f t="shared" si="25"/>
        <v>0.56063553808211219</v>
      </c>
      <c r="AA43" s="328">
        <f t="shared" si="26"/>
        <v>0.54374790849836008</v>
      </c>
      <c r="AI43" s="278" t="s">
        <v>711</v>
      </c>
      <c r="AJ43" s="297">
        <v>3.3178390000000002</v>
      </c>
      <c r="AK43" s="298">
        <v>3.3055620000000001</v>
      </c>
      <c r="AL43" s="298">
        <v>2.8949340000000001</v>
      </c>
      <c r="AM43" s="298">
        <v>2.879902</v>
      </c>
      <c r="AN43" s="298">
        <v>-3.2310059999999998</v>
      </c>
      <c r="AP43" s="297">
        <v>2.5611440000000001</v>
      </c>
      <c r="AQ43" s="298">
        <v>2.555485</v>
      </c>
      <c r="AR43" s="298">
        <v>2.0467300000000002</v>
      </c>
      <c r="AS43" s="298">
        <v>2.017916</v>
      </c>
      <c r="AT43" s="298">
        <v>-2.2816519999999998</v>
      </c>
      <c r="AV43" s="297">
        <v>4.0462819999999997</v>
      </c>
      <c r="AW43" s="298">
        <v>3.8477890000000001</v>
      </c>
      <c r="AX43" s="298">
        <v>3.6592289999999998</v>
      </c>
      <c r="AY43" s="298">
        <v>3.586433</v>
      </c>
      <c r="AZ43" s="298">
        <v>-4.4727009999999998</v>
      </c>
      <c r="BB43" s="297">
        <v>3.773495</v>
      </c>
      <c r="BC43" s="298">
        <v>3.6834530000000001</v>
      </c>
      <c r="BD43" s="298">
        <v>3.3780410000000001</v>
      </c>
      <c r="BE43" s="298">
        <v>3.3648980000000002</v>
      </c>
      <c r="BF43" s="298">
        <v>-3.9763929999999998</v>
      </c>
      <c r="BH43" s="297"/>
      <c r="BO43" s="310">
        <v>26.25</v>
      </c>
      <c r="BP43" s="311">
        <v>0.37709999999999999</v>
      </c>
      <c r="BQ43" s="312">
        <v>0.17449999999999999</v>
      </c>
    </row>
    <row r="44" spans="1:72" ht="13.5" customHeight="1" thickBot="1" x14ac:dyDescent="0.2">
      <c r="A44" s="269">
        <f t="shared" si="0"/>
        <v>29</v>
      </c>
      <c r="B44" s="322">
        <f t="shared" si="1"/>
        <v>26.76923076923077</v>
      </c>
      <c r="C44" s="323">
        <f t="shared" si="2"/>
        <v>116</v>
      </c>
      <c r="D44" s="327">
        <f t="shared" si="3"/>
        <v>0.37912961598416867</v>
      </c>
      <c r="E44" s="327">
        <f t="shared" si="4"/>
        <v>0.37420067275470381</v>
      </c>
      <c r="F44" s="327">
        <f t="shared" si="5"/>
        <v>0.38114499811793368</v>
      </c>
      <c r="G44" s="327">
        <f t="shared" si="6"/>
        <v>0.36087376952694455</v>
      </c>
      <c r="H44" s="327">
        <f t="shared" si="7"/>
        <v>0.38031740354109744</v>
      </c>
      <c r="I44" s="327">
        <f t="shared" si="8"/>
        <v>0.37128454519771581</v>
      </c>
      <c r="J44" s="327">
        <f t="shared" si="9"/>
        <v>0.1265620712000276</v>
      </c>
      <c r="K44" s="327">
        <f t="shared" si="10"/>
        <v>0.11957872963519205</v>
      </c>
      <c r="L44" s="327">
        <f t="shared" si="11"/>
        <v>0.13476778347353768</v>
      </c>
      <c r="M44" s="327">
        <f t="shared" si="12"/>
        <v>0.13047461833676849</v>
      </c>
      <c r="N44" s="327">
        <f t="shared" si="13"/>
        <v>0.15599187772078743</v>
      </c>
      <c r="O44" s="328">
        <f t="shared" si="14"/>
        <v>0.16397527771262535</v>
      </c>
      <c r="P44" s="327">
        <f t="shared" si="15"/>
        <v>0.62617787122389434</v>
      </c>
      <c r="Q44" s="327">
        <f t="shared" si="16"/>
        <v>0.50862824850806099</v>
      </c>
      <c r="R44" s="327">
        <f t="shared" si="17"/>
        <v>0.62641148236961208</v>
      </c>
      <c r="S44" s="327">
        <f t="shared" si="18"/>
        <v>0.6252194754810686</v>
      </c>
      <c r="T44" s="327">
        <f t="shared" si="19"/>
        <v>0.64834135049085462</v>
      </c>
      <c r="U44" s="328">
        <f t="shared" si="20"/>
        <v>0.63515426849227063</v>
      </c>
      <c r="V44" s="327">
        <f t="shared" si="21"/>
        <v>0.54067709202895253</v>
      </c>
      <c r="W44" s="327">
        <f t="shared" si="22"/>
        <v>0.48524171302111407</v>
      </c>
      <c r="X44" s="327">
        <f t="shared" si="23"/>
        <v>0.52968829550228769</v>
      </c>
      <c r="Y44" s="327">
        <f t="shared" si="24"/>
        <v>0.52843102397434516</v>
      </c>
      <c r="Z44" s="327">
        <f t="shared" si="25"/>
        <v>0.54702139198444677</v>
      </c>
      <c r="AA44" s="328">
        <f t="shared" si="26"/>
        <v>0.53095681810928097</v>
      </c>
      <c r="AI44" s="282" t="s">
        <v>714</v>
      </c>
      <c r="AJ44" s="303"/>
      <c r="AK44" s="304">
        <v>6.3422999999999993E-2</v>
      </c>
      <c r="AL44" s="304">
        <v>0.260077</v>
      </c>
      <c r="AM44" s="304">
        <v>-0.33871800000000002</v>
      </c>
      <c r="AN44" s="304">
        <v>-6.8329999999999997E-3</v>
      </c>
      <c r="AO44" s="304"/>
      <c r="AP44" s="303"/>
      <c r="AQ44" s="304">
        <v>-2.8864000000000001E-2</v>
      </c>
      <c r="AR44" s="304">
        <v>0.11647299999999999</v>
      </c>
      <c r="AS44" s="304">
        <v>-0.40165699999999999</v>
      </c>
      <c r="AT44" s="304">
        <v>-3.0977000000000001E-2</v>
      </c>
      <c r="AU44" s="304"/>
      <c r="AV44" s="303"/>
      <c r="AW44" s="304">
        <v>0.35889199999999999</v>
      </c>
      <c r="AX44" s="304">
        <v>0.143148</v>
      </c>
      <c r="AY44" s="304">
        <v>-0.53681500000000004</v>
      </c>
      <c r="AZ44" s="304">
        <v>2.4731E-2</v>
      </c>
      <c r="BA44" s="304"/>
      <c r="BB44" s="303"/>
      <c r="BC44" s="304">
        <v>0.200569</v>
      </c>
      <c r="BD44" s="304">
        <v>0.19791</v>
      </c>
      <c r="BE44" s="304">
        <v>-0.38270900000000002</v>
      </c>
      <c r="BF44" s="304">
        <v>1.3332E-2</v>
      </c>
      <c r="BG44" s="304"/>
      <c r="BH44" s="297"/>
      <c r="BO44" s="310">
        <v>27</v>
      </c>
      <c r="BP44" s="311">
        <v>0.35489999999999999</v>
      </c>
      <c r="BQ44" s="312">
        <v>0.1532</v>
      </c>
    </row>
    <row r="45" spans="1:72" ht="33" customHeight="1" thickBot="1" x14ac:dyDescent="0.25">
      <c r="A45" s="269">
        <f t="shared" si="0"/>
        <v>30</v>
      </c>
      <c r="B45" s="322">
        <f t="shared" si="1"/>
        <v>27.692307692307693</v>
      </c>
      <c r="C45" s="323">
        <f t="shared" si="2"/>
        <v>120</v>
      </c>
      <c r="D45" s="327">
        <f t="shared" si="3"/>
        <v>0.3666596751142126</v>
      </c>
      <c r="E45" s="327">
        <f t="shared" si="4"/>
        <v>0.36249592156151311</v>
      </c>
      <c r="F45" s="327">
        <f t="shared" si="5"/>
        <v>0.3712241774907491</v>
      </c>
      <c r="G45" s="327">
        <f t="shared" si="6"/>
        <v>0.34997647165865781</v>
      </c>
      <c r="H45" s="327">
        <f t="shared" si="7"/>
        <v>0.36897228939984295</v>
      </c>
      <c r="I45" s="327">
        <f t="shared" si="8"/>
        <v>0.35966440552756285</v>
      </c>
      <c r="J45" s="327">
        <f t="shared" si="9"/>
        <v>0.11785513896663317</v>
      </c>
      <c r="K45" s="327">
        <f t="shared" si="10"/>
        <v>0.11089223924015197</v>
      </c>
      <c r="L45" s="327">
        <f t="shared" si="11"/>
        <v>0.12833290910730966</v>
      </c>
      <c r="M45" s="327">
        <f t="shared" si="12"/>
        <v>0.12483409517746397</v>
      </c>
      <c r="N45" s="327">
        <f t="shared" si="13"/>
        <v>0.14979274968787437</v>
      </c>
      <c r="O45" s="328">
        <f t="shared" si="14"/>
        <v>0.15894301110279971</v>
      </c>
      <c r="P45" s="327">
        <f t="shared" si="15"/>
        <v>0.61615119091587967</v>
      </c>
      <c r="Q45" s="327">
        <f t="shared" si="16"/>
        <v>0.50045555125294516</v>
      </c>
      <c r="R45" s="327">
        <f t="shared" si="17"/>
        <v>0.61523278358448952</v>
      </c>
      <c r="S45" s="327">
        <f t="shared" si="18"/>
        <v>0.61153565240768226</v>
      </c>
      <c r="T45" s="327">
        <f t="shared" si="19"/>
        <v>0.6350803900132892</v>
      </c>
      <c r="U45" s="328">
        <f t="shared" si="20"/>
        <v>0.62125735978380692</v>
      </c>
      <c r="V45" s="327">
        <f t="shared" si="21"/>
        <v>0.5293329559965213</v>
      </c>
      <c r="W45" s="327">
        <f t="shared" si="22"/>
        <v>0.47547151638265128</v>
      </c>
      <c r="X45" s="327">
        <f t="shared" si="23"/>
        <v>0.51861268745219502</v>
      </c>
      <c r="Y45" s="327">
        <f t="shared" si="24"/>
        <v>0.51602918237648776</v>
      </c>
      <c r="Z45" s="327">
        <f t="shared" si="25"/>
        <v>0.53357539856020875</v>
      </c>
      <c r="AA45" s="328">
        <f t="shared" si="26"/>
        <v>0.5185088637491706</v>
      </c>
      <c r="AJ45" s="336"/>
      <c r="AK45" s="337"/>
      <c r="AM45" s="484"/>
      <c r="AN45" s="486"/>
      <c r="AO45" s="488" t="s">
        <v>708</v>
      </c>
      <c r="AS45" s="484"/>
      <c r="AT45" s="484"/>
      <c r="AU45" s="284" t="s">
        <v>708</v>
      </c>
      <c r="AZ45" s="484"/>
      <c r="BA45" s="284" t="s">
        <v>708</v>
      </c>
      <c r="BF45" s="484"/>
      <c r="BG45" s="284" t="s">
        <v>708</v>
      </c>
      <c r="BO45" s="310">
        <v>27.75</v>
      </c>
      <c r="BP45" s="311">
        <v>0.34379999999999999</v>
      </c>
      <c r="BQ45" s="312">
        <v>0.1532</v>
      </c>
    </row>
    <row r="46" spans="1:72" ht="12.75" customHeight="1" x14ac:dyDescent="0.15">
      <c r="A46" s="269">
        <f t="shared" si="0"/>
        <v>31</v>
      </c>
      <c r="B46" s="322">
        <f t="shared" si="1"/>
        <v>28.615384615384617</v>
      </c>
      <c r="C46" s="323">
        <f t="shared" si="2"/>
        <v>124</v>
      </c>
      <c r="D46" s="327">
        <f t="shared" si="3"/>
        <v>0.354599882696776</v>
      </c>
      <c r="E46" s="327">
        <f t="shared" si="4"/>
        <v>0.35118012856106556</v>
      </c>
      <c r="F46" s="327">
        <f t="shared" si="5"/>
        <v>0.36170934151291712</v>
      </c>
      <c r="G46" s="327">
        <f t="shared" si="6"/>
        <v>0.33958332896504823</v>
      </c>
      <c r="H46" s="327">
        <f t="shared" si="7"/>
        <v>0.35803377610503667</v>
      </c>
      <c r="I46" s="327">
        <f t="shared" si="8"/>
        <v>0.34849577123984377</v>
      </c>
      <c r="J46" s="327">
        <f t="shared" si="9"/>
        <v>0.10974720664054199</v>
      </c>
      <c r="K46" s="327">
        <f t="shared" si="10"/>
        <v>0.10282918127969734</v>
      </c>
      <c r="L46" s="327">
        <f t="shared" si="11"/>
        <v>0.1223150401247477</v>
      </c>
      <c r="M46" s="327">
        <f t="shared" si="12"/>
        <v>0.11957871732211031</v>
      </c>
      <c r="N46" s="327">
        <f t="shared" si="13"/>
        <v>0.14400449411043612</v>
      </c>
      <c r="O46" s="328">
        <f t="shared" si="14"/>
        <v>0.15420594872063237</v>
      </c>
      <c r="P46" s="327">
        <f t="shared" si="15"/>
        <v>0.60628506294070728</v>
      </c>
      <c r="Q46" s="327">
        <f t="shared" si="16"/>
        <v>0.49249397203083711</v>
      </c>
      <c r="R46" s="327">
        <f t="shared" si="17"/>
        <v>0.60432864194576386</v>
      </c>
      <c r="S46" s="327">
        <f t="shared" si="18"/>
        <v>0.59813090334627939</v>
      </c>
      <c r="T46" s="327">
        <f t="shared" si="19"/>
        <v>0.62179387621038029</v>
      </c>
      <c r="U46" s="328">
        <f t="shared" si="20"/>
        <v>0.60751520192958219</v>
      </c>
      <c r="V46" s="327">
        <f t="shared" si="21"/>
        <v>0.51822683526789981</v>
      </c>
      <c r="W46" s="327">
        <f t="shared" si="22"/>
        <v>0.46595528795614144</v>
      </c>
      <c r="X46" s="327">
        <f t="shared" si="23"/>
        <v>0.50788650492597998</v>
      </c>
      <c r="Y46" s="327">
        <f t="shared" si="24"/>
        <v>0.50401506073767188</v>
      </c>
      <c r="Z46" s="327">
        <f t="shared" si="25"/>
        <v>0.52029954751173024</v>
      </c>
      <c r="AA46" s="328">
        <f t="shared" si="26"/>
        <v>0.50639525226989546</v>
      </c>
      <c r="AI46" s="273" t="s">
        <v>709</v>
      </c>
      <c r="AJ46" s="298"/>
      <c r="AM46" s="485"/>
      <c r="AN46" s="487" t="s">
        <v>709</v>
      </c>
      <c r="AO46" s="489">
        <v>865.37390000000005</v>
      </c>
      <c r="AS46" s="485"/>
      <c r="AT46" s="492" t="s">
        <v>709</v>
      </c>
      <c r="AU46" s="493">
        <v>945.32939999999996</v>
      </c>
      <c r="AZ46" s="492" t="s">
        <v>709</v>
      </c>
      <c r="BA46" s="493">
        <v>681.81330000000003</v>
      </c>
      <c r="BF46" s="492" t="s">
        <v>709</v>
      </c>
      <c r="BG46" s="493">
        <v>754.78440000000001</v>
      </c>
      <c r="BO46" s="310">
        <v>28.5</v>
      </c>
      <c r="BP46" s="311">
        <v>0.33229999999999998</v>
      </c>
      <c r="BQ46" s="312">
        <v>0.13139999999999999</v>
      </c>
    </row>
    <row r="47" spans="1:72" ht="12.75" customHeight="1" x14ac:dyDescent="0.15">
      <c r="A47" s="269">
        <f t="shared" si="0"/>
        <v>32</v>
      </c>
      <c r="B47" s="322">
        <f t="shared" si="1"/>
        <v>29.53846153846154</v>
      </c>
      <c r="C47" s="323">
        <f t="shared" si="2"/>
        <v>128</v>
      </c>
      <c r="D47" s="327">
        <f t="shared" si="3"/>
        <v>0.34293674855136325</v>
      </c>
      <c r="E47" s="327">
        <f t="shared" si="4"/>
        <v>0.34023894552474326</v>
      </c>
      <c r="F47" s="327">
        <f t="shared" si="5"/>
        <v>0.3525773110592394</v>
      </c>
      <c r="G47" s="327">
        <f t="shared" si="6"/>
        <v>0.32966519836762392</v>
      </c>
      <c r="H47" s="327">
        <f t="shared" si="7"/>
        <v>0.34748528921462712</v>
      </c>
      <c r="I47" s="327">
        <f t="shared" si="8"/>
        <v>0.33775733306147515</v>
      </c>
      <c r="J47" s="327">
        <f t="shared" si="9"/>
        <v>0.10219706557566248</v>
      </c>
      <c r="K47" s="327">
        <f t="shared" si="10"/>
        <v>9.5345590367107783E-2</v>
      </c>
      <c r="L47" s="327">
        <f t="shared" si="11"/>
        <v>0.11667969823936952</v>
      </c>
      <c r="M47" s="327">
        <f t="shared" si="12"/>
        <v>0.11467348564261989</v>
      </c>
      <c r="N47" s="327">
        <f t="shared" si="13"/>
        <v>0.13859378318124066</v>
      </c>
      <c r="O47" s="328">
        <f t="shared" si="14"/>
        <v>0.14973898554518039</v>
      </c>
      <c r="P47" s="327">
        <f t="shared" si="15"/>
        <v>0.59657691645231536</v>
      </c>
      <c r="Q47" s="327">
        <f t="shared" si="16"/>
        <v>0.48473430931266243</v>
      </c>
      <c r="R47" s="327">
        <f t="shared" si="17"/>
        <v>0.59369223503973401</v>
      </c>
      <c r="S47" s="327">
        <f t="shared" si="18"/>
        <v>0.58501023566229793</v>
      </c>
      <c r="T47" s="327">
        <f t="shared" si="19"/>
        <v>0.60848818361267754</v>
      </c>
      <c r="U47" s="328">
        <f t="shared" si="20"/>
        <v>0.59393588316603618</v>
      </c>
      <c r="V47" s="327">
        <f t="shared" si="21"/>
        <v>0.50735373596037336</v>
      </c>
      <c r="W47" s="327">
        <f t="shared" si="22"/>
        <v>0.45668349596119717</v>
      </c>
      <c r="X47" s="327">
        <f t="shared" si="23"/>
        <v>0.49749537894210283</v>
      </c>
      <c r="Y47" s="327">
        <f t="shared" si="24"/>
        <v>0.49237784510333232</v>
      </c>
      <c r="Z47" s="327">
        <f t="shared" si="25"/>
        <v>0.50719574951266466</v>
      </c>
      <c r="AA47" s="328">
        <f t="shared" si="26"/>
        <v>0.49460717542246435</v>
      </c>
      <c r="AM47" s="485"/>
      <c r="AN47" s="487" t="s">
        <v>718</v>
      </c>
      <c r="AO47" s="490">
        <v>3.0940129999999999</v>
      </c>
      <c r="AS47" s="485"/>
      <c r="AT47" s="492" t="s">
        <v>718</v>
      </c>
      <c r="AU47" s="490">
        <v>1.5728740000000001</v>
      </c>
      <c r="AZ47" s="492" t="s">
        <v>718</v>
      </c>
      <c r="BA47" s="490">
        <v>3.8176730000000001</v>
      </c>
      <c r="BF47" s="492" t="s">
        <v>718</v>
      </c>
      <c r="BG47" s="490">
        <v>3.530087</v>
      </c>
      <c r="BO47" s="310">
        <v>29.25</v>
      </c>
      <c r="BP47" s="311">
        <v>0.32050000000000001</v>
      </c>
      <c r="BQ47" s="312">
        <v>0.13139999999999999</v>
      </c>
    </row>
    <row r="48" spans="1:72" ht="12.75" customHeight="1" x14ac:dyDescent="0.15">
      <c r="A48" s="269">
        <f t="shared" si="0"/>
        <v>33</v>
      </c>
      <c r="B48" s="322">
        <f t="shared" si="1"/>
        <v>30.46153846153846</v>
      </c>
      <c r="C48" s="323">
        <f t="shared" si="2"/>
        <v>132</v>
      </c>
      <c r="D48" s="327">
        <f t="shared" si="3"/>
        <v>0.33165722620260263</v>
      </c>
      <c r="E48" s="327">
        <f t="shared" si="4"/>
        <v>0.32965866159229001</v>
      </c>
      <c r="F48" s="327">
        <f t="shared" si="5"/>
        <v>0.34380660386909578</v>
      </c>
      <c r="G48" s="327">
        <f t="shared" si="6"/>
        <v>0.32019476614154507</v>
      </c>
      <c r="H48" s="327">
        <f t="shared" si="7"/>
        <v>0.33731100285863536</v>
      </c>
      <c r="I48" s="327">
        <f t="shared" si="8"/>
        <v>0.3274289505296466</v>
      </c>
      <c r="J48" s="327">
        <f t="shared" si="9"/>
        <v>9.5166342105494864E-2</v>
      </c>
      <c r="K48" s="327">
        <f t="shared" si="10"/>
        <v>8.8400515316021624E-2</v>
      </c>
      <c r="L48" s="327">
        <f t="shared" si="11"/>
        <v>0.11139587901565096</v>
      </c>
      <c r="M48" s="327">
        <f t="shared" si="12"/>
        <v>0.11008729471861557</v>
      </c>
      <c r="N48" s="327">
        <f t="shared" si="13"/>
        <v>0.13353044770076614</v>
      </c>
      <c r="O48" s="328">
        <f t="shared" si="14"/>
        <v>0.14551977561810053</v>
      </c>
      <c r="P48" s="327">
        <f t="shared" si="15"/>
        <v>0.58702422177034419</v>
      </c>
      <c r="Q48" s="327">
        <f t="shared" si="16"/>
        <v>0.47716799054179004</v>
      </c>
      <c r="R48" s="327">
        <f t="shared" si="17"/>
        <v>0.58331666279754657</v>
      </c>
      <c r="S48" s="327">
        <f t="shared" si="18"/>
        <v>0.5721770489073037</v>
      </c>
      <c r="T48" s="327">
        <f t="shared" si="19"/>
        <v>0.59516986290108809</v>
      </c>
      <c r="U48" s="328">
        <f t="shared" si="20"/>
        <v>0.5805266007732337</v>
      </c>
      <c r="V48" s="327">
        <f t="shared" si="21"/>
        <v>0.49670876896963484</v>
      </c>
      <c r="W48" s="327">
        <f t="shared" si="22"/>
        <v>0.44764715728890908</v>
      </c>
      <c r="X48" s="327">
        <f t="shared" si="23"/>
        <v>0.48742558362298871</v>
      </c>
      <c r="Y48" s="327">
        <f t="shared" si="24"/>
        <v>0.48110650864812743</v>
      </c>
      <c r="Z48" s="327">
        <f t="shared" si="25"/>
        <v>0.49426583412813591</v>
      </c>
      <c r="AA48" s="328">
        <f t="shared" si="26"/>
        <v>0.48313586011745469</v>
      </c>
      <c r="AJ48" s="298"/>
      <c r="AM48" s="485"/>
      <c r="AN48" s="487" t="s">
        <v>719</v>
      </c>
      <c r="AO48" s="490">
        <v>1.1228450000000001</v>
      </c>
      <c r="AS48" s="485"/>
      <c r="AT48" s="485" t="s">
        <v>719</v>
      </c>
      <c r="AU48" s="490">
        <v>1.0509189999999999</v>
      </c>
      <c r="AZ48" s="485" t="s">
        <v>719</v>
      </c>
      <c r="BA48" s="490">
        <v>0.759351</v>
      </c>
      <c r="BF48" s="485" t="s">
        <v>719</v>
      </c>
      <c r="BG48" s="490">
        <v>1.044635</v>
      </c>
      <c r="BO48" s="310">
        <v>30</v>
      </c>
      <c r="BP48" s="311">
        <v>0.32050000000000001</v>
      </c>
      <c r="BQ48" s="312">
        <v>0.12039999999999999</v>
      </c>
    </row>
    <row r="49" spans="1:69" ht="13.5" customHeight="1" thickBot="1" x14ac:dyDescent="0.2">
      <c r="A49" s="269">
        <f t="shared" si="0"/>
        <v>34</v>
      </c>
      <c r="B49" s="322">
        <f t="shared" si="1"/>
        <v>31.384615384615383</v>
      </c>
      <c r="C49" s="323">
        <f t="shared" si="2"/>
        <v>136</v>
      </c>
      <c r="D49" s="327">
        <f t="shared" si="3"/>
        <v>0.3207486982863535</v>
      </c>
      <c r="E49" s="327">
        <f t="shared" si="4"/>
        <v>0.31942616512948729</v>
      </c>
      <c r="F49" s="327">
        <f t="shared" si="5"/>
        <v>0.33537728508419984</v>
      </c>
      <c r="G49" s="327">
        <f t="shared" si="6"/>
        <v>0.31114644939387198</v>
      </c>
      <c r="H49" s="327">
        <f t="shared" si="7"/>
        <v>0.32749580290023605</v>
      </c>
      <c r="I49" s="327">
        <f t="shared" si="8"/>
        <v>0.31749158391050081</v>
      </c>
      <c r="J49" s="327">
        <f t="shared" si="9"/>
        <v>8.8619302508592374E-2</v>
      </c>
      <c r="K49" s="327">
        <f t="shared" si="10"/>
        <v>8.1955823038417849E-2</v>
      </c>
      <c r="L49" s="327">
        <f t="shared" si="11"/>
        <v>0.10643563992135374</v>
      </c>
      <c r="M49" s="327">
        <f t="shared" si="12"/>
        <v>0.10579242849428698</v>
      </c>
      <c r="N49" s="327">
        <f t="shared" si="13"/>
        <v>0.12878713889612539</v>
      </c>
      <c r="O49" s="328">
        <f t="shared" si="14"/>
        <v>0.14152836418201403</v>
      </c>
      <c r="P49" s="327">
        <f t="shared" si="15"/>
        <v>0.5776244897209698</v>
      </c>
      <c r="Q49" s="327">
        <f t="shared" si="16"/>
        <v>0.4697870119851732</v>
      </c>
      <c r="R49" s="327">
        <f t="shared" si="17"/>
        <v>0.57319500445998117</v>
      </c>
      <c r="S49" s="327">
        <f t="shared" si="18"/>
        <v>0.55963331921504311</v>
      </c>
      <c r="T49" s="327">
        <f t="shared" si="19"/>
        <v>0.58184563536842071</v>
      </c>
      <c r="U49" s="328">
        <f t="shared" si="20"/>
        <v>0.56729372725984195</v>
      </c>
      <c r="V49" s="327">
        <f t="shared" si="21"/>
        <v>0.48628714777139237</v>
      </c>
      <c r="W49" s="327">
        <f t="shared" si="22"/>
        <v>0.43883779115341681</v>
      </c>
      <c r="X49" s="327">
        <f t="shared" si="23"/>
        <v>0.47766401922245949</v>
      </c>
      <c r="Y49" s="327">
        <f t="shared" si="24"/>
        <v>0.47018991825222262</v>
      </c>
      <c r="Z49" s="327">
        <f t="shared" si="25"/>
        <v>0.48151154779493421</v>
      </c>
      <c r="AA49" s="328">
        <f t="shared" si="26"/>
        <v>0.47197260871844693</v>
      </c>
      <c r="AM49" s="485"/>
      <c r="AN49" s="294" t="s">
        <v>720</v>
      </c>
      <c r="AO49" s="491">
        <v>0.46301900000000001</v>
      </c>
      <c r="AS49" s="485"/>
      <c r="AT49" s="294" t="s">
        <v>720</v>
      </c>
      <c r="AU49" s="491">
        <v>-0.91485399999999995</v>
      </c>
      <c r="AZ49" s="294" t="s">
        <v>720</v>
      </c>
      <c r="BA49" s="491">
        <v>0.83310899999999999</v>
      </c>
      <c r="BF49" s="294" t="s">
        <v>720</v>
      </c>
      <c r="BG49" s="491">
        <v>0.44684699999999999</v>
      </c>
      <c r="BO49" s="310">
        <v>30.75</v>
      </c>
      <c r="BP49" s="311">
        <v>0.29480000000000001</v>
      </c>
      <c r="BQ49" s="312">
        <v>0.12039999999999999</v>
      </c>
    </row>
    <row r="50" spans="1:69" ht="12.75" customHeight="1" x14ac:dyDescent="0.2">
      <c r="A50" s="269">
        <f t="shared" si="0"/>
        <v>35</v>
      </c>
      <c r="B50" s="322">
        <f t="shared" si="1"/>
        <v>32.307692307692307</v>
      </c>
      <c r="C50" s="323">
        <f t="shared" si="2"/>
        <v>140</v>
      </c>
      <c r="D50" s="327">
        <f t="shared" si="3"/>
        <v>0.31019896243582262</v>
      </c>
      <c r="E50" s="327">
        <f t="shared" si="4"/>
        <v>0.30952890887723133</v>
      </c>
      <c r="F50" s="327">
        <f t="shared" si="5"/>
        <v>0.32727083278695757</v>
      </c>
      <c r="G50" s="327">
        <f t="shared" si="6"/>
        <v>0.30249629669675965</v>
      </c>
      <c r="H50" s="327">
        <f t="shared" si="7"/>
        <v>0.31802525204929366</v>
      </c>
      <c r="I50" s="327">
        <f t="shared" si="8"/>
        <v>0.30792722928294813</v>
      </c>
      <c r="J50" s="327">
        <f t="shared" si="9"/>
        <v>8.2522671391569172E-2</v>
      </c>
      <c r="K50" s="327">
        <f t="shared" si="10"/>
        <v>7.5976013745341228E-2</v>
      </c>
      <c r="L50" s="327">
        <f t="shared" si="11"/>
        <v>0.10177374434511999</v>
      </c>
      <c r="M50" s="327">
        <f t="shared" si="12"/>
        <v>0.10176412941218078</v>
      </c>
      <c r="N50" s="327">
        <f t="shared" si="13"/>
        <v>0.1243390302551414</v>
      </c>
      <c r="O50" s="328">
        <f t="shared" si="14"/>
        <v>0.13774687699135163</v>
      </c>
      <c r="P50" s="327">
        <f t="shared" si="15"/>
        <v>0.5683752709882921</v>
      </c>
      <c r="Q50" s="327">
        <f t="shared" si="16"/>
        <v>0.46258388594591265</v>
      </c>
      <c r="R50" s="327">
        <f t="shared" si="17"/>
        <v>0.56332036405800889</v>
      </c>
      <c r="S50" s="327">
        <f t="shared" si="18"/>
        <v>0.54737976841537372</v>
      </c>
      <c r="T50" s="327">
        <f t="shared" si="19"/>
        <v>0.56852238667284716</v>
      </c>
      <c r="U50" s="328">
        <f t="shared" si="20"/>
        <v>0.5542428712863644</v>
      </c>
      <c r="V50" s="327">
        <f t="shared" si="21"/>
        <v>0.47608418626910204</v>
      </c>
      <c r="W50" s="327">
        <f t="shared" si="22"/>
        <v>0.43024737798278601</v>
      </c>
      <c r="X50" s="327">
        <f t="shared" si="23"/>
        <v>0.46819819185893774</v>
      </c>
      <c r="Y50" s="327">
        <f t="shared" si="24"/>
        <v>0.45961692265884457</v>
      </c>
      <c r="Z50" s="327">
        <f t="shared" si="25"/>
        <v>0.46893455186599914</v>
      </c>
      <c r="AA50" s="328">
        <f t="shared" si="26"/>
        <v>0.46110883114856904</v>
      </c>
      <c r="AI50" s="338"/>
      <c r="BO50" s="310">
        <v>31.5</v>
      </c>
      <c r="BP50" s="311">
        <v>0.29480000000000001</v>
      </c>
      <c r="BQ50" s="312">
        <v>0.12039999999999999</v>
      </c>
    </row>
    <row r="51" spans="1:69" ht="19.5" customHeight="1" x14ac:dyDescent="0.25">
      <c r="A51" s="269">
        <f t="shared" si="0"/>
        <v>36</v>
      </c>
      <c r="B51" s="322">
        <f t="shared" si="1"/>
        <v>33.230769230769234</v>
      </c>
      <c r="C51" s="323">
        <f t="shared" si="2"/>
        <v>144</v>
      </c>
      <c r="D51" s="327">
        <f t="shared" si="3"/>
        <v>0.29999621763189788</v>
      </c>
      <c r="E51" s="327">
        <f t="shared" si="4"/>
        <v>0.29995487799888793</v>
      </c>
      <c r="F51" s="327">
        <f t="shared" si="5"/>
        <v>0.31947001692180366</v>
      </c>
      <c r="G51" s="327">
        <f t="shared" si="6"/>
        <v>0.29422188985065711</v>
      </c>
      <c r="H51" s="327">
        <f t="shared" si="7"/>
        <v>0.30888555681787078</v>
      </c>
      <c r="I51" s="327">
        <f t="shared" si="8"/>
        <v>0.29871885693968292</v>
      </c>
      <c r="J51" s="327">
        <f t="shared" si="9"/>
        <v>7.6845462566584991E-2</v>
      </c>
      <c r="K51" s="327">
        <f t="shared" si="10"/>
        <v>7.0428047032303057E-2</v>
      </c>
      <c r="L51" s="327">
        <f t="shared" si="11"/>
        <v>9.7387353054736114E-2</v>
      </c>
      <c r="M51" s="327">
        <f t="shared" si="12"/>
        <v>9.7980229298771856E-2</v>
      </c>
      <c r="N51" s="327">
        <f t="shared" si="13"/>
        <v>0.12016355422134475</v>
      </c>
      <c r="O51" s="328">
        <f t="shared" si="14"/>
        <v>0.13415925671861453</v>
      </c>
      <c r="P51" s="327">
        <f t="shared" si="15"/>
        <v>0.55927415547611037</v>
      </c>
      <c r="Q51" s="327">
        <f t="shared" si="16"/>
        <v>0.45555159424949276</v>
      </c>
      <c r="R51" s="327">
        <f t="shared" si="17"/>
        <v>0.55368590652424265</v>
      </c>
      <c r="S51" s="327">
        <f t="shared" si="18"/>
        <v>0.53541601852526377</v>
      </c>
      <c r="T51" s="327">
        <f t="shared" si="19"/>
        <v>0.55520715986369262</v>
      </c>
      <c r="U51" s="328">
        <f t="shared" si="20"/>
        <v>0.54137893386240166</v>
      </c>
      <c r="V51" s="327">
        <f t="shared" si="21"/>
        <v>0.4660952966868579</v>
      </c>
      <c r="W51" s="327">
        <f t="shared" si="22"/>
        <v>0.42186832281487768</v>
      </c>
      <c r="X51" s="327">
        <f t="shared" si="23"/>
        <v>0.45901619111770309</v>
      </c>
      <c r="Y51" s="327">
        <f t="shared" si="24"/>
        <v>0.44937642492215585</v>
      </c>
      <c r="Z51" s="327">
        <f t="shared" si="25"/>
        <v>0.45653642072342304</v>
      </c>
      <c r="AA51" s="328">
        <f t="shared" si="26"/>
        <v>0.45053607026033049</v>
      </c>
      <c r="AI51" s="305"/>
      <c r="AJ51" s="339" t="s">
        <v>721</v>
      </c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273"/>
      <c r="BB51" s="273"/>
      <c r="BC51" s="273"/>
      <c r="BO51" s="310">
        <v>32.25</v>
      </c>
      <c r="BP51" s="311">
        <v>0.29480000000000001</v>
      </c>
      <c r="BQ51" s="312">
        <v>0.12039999999999999</v>
      </c>
    </row>
    <row r="52" spans="1:69" ht="12.75" customHeight="1" x14ac:dyDescent="0.15">
      <c r="A52" s="269">
        <f t="shared" si="0"/>
        <v>37</v>
      </c>
      <c r="B52" s="322">
        <f t="shared" si="1"/>
        <v>34.153846153846153</v>
      </c>
      <c r="C52" s="323">
        <f t="shared" si="2"/>
        <v>148</v>
      </c>
      <c r="D52" s="327">
        <f t="shared" si="3"/>
        <v>0.29012905100243458</v>
      </c>
      <c r="E52" s="327">
        <f t="shared" si="4"/>
        <v>0.29069256069220667</v>
      </c>
      <c r="F52" s="327">
        <f t="shared" si="5"/>
        <v>0.31195879015246941</v>
      </c>
      <c r="G52" s="327">
        <f t="shared" si="6"/>
        <v>0.28630224816899197</v>
      </c>
      <c r="H52" s="327">
        <f t="shared" si="7"/>
        <v>0.30006353621386916</v>
      </c>
      <c r="I52" s="327">
        <f t="shared" si="8"/>
        <v>0.28985035315132834</v>
      </c>
      <c r="J52" s="327">
        <f t="shared" si="9"/>
        <v>7.1558821563739605E-2</v>
      </c>
      <c r="K52" s="327">
        <f t="shared" si="10"/>
        <v>6.5281178400698581E-2</v>
      </c>
      <c r="L52" s="327">
        <f t="shared" si="11"/>
        <v>9.3255756001565548E-2</v>
      </c>
      <c r="M52" s="327">
        <f t="shared" si="12"/>
        <v>9.4420832279486541E-2</v>
      </c>
      <c r="N52" s="327">
        <f t="shared" si="13"/>
        <v>0.11624016931038311</v>
      </c>
      <c r="O52" s="328">
        <f t="shared" si="14"/>
        <v>0.13075103835332075</v>
      </c>
      <c r="P52" s="327">
        <f t="shared" si="15"/>
        <v>0.55031877167991616</v>
      </c>
      <c r="Q52" s="327">
        <f t="shared" si="16"/>
        <v>0.44868354710269637</v>
      </c>
      <c r="R52" s="327">
        <f t="shared" si="17"/>
        <v>0.54428488615059201</v>
      </c>
      <c r="S52" s="327">
        <f t="shared" si="18"/>
        <v>0.52374073236216534</v>
      </c>
      <c r="T52" s="327">
        <f t="shared" si="19"/>
        <v>0.54190714766189285</v>
      </c>
      <c r="U52" s="328">
        <f t="shared" si="20"/>
        <v>0.52870616028203177</v>
      </c>
      <c r="V52" s="327">
        <f t="shared" si="21"/>
        <v>0.45631598750649227</v>
      </c>
      <c r="W52" s="327">
        <f t="shared" si="22"/>
        <v>0.41369342258527986</v>
      </c>
      <c r="X52" s="327">
        <f t="shared" si="23"/>
        <v>0.4501066663944151</v>
      </c>
      <c r="Y52" s="327">
        <f t="shared" si="24"/>
        <v>0.43945744147872928</v>
      </c>
      <c r="Z52" s="327">
        <f t="shared" si="25"/>
        <v>0.4443186399641933</v>
      </c>
      <c r="AA52" s="328">
        <f t="shared" si="26"/>
        <v>0.44024602165461113</v>
      </c>
      <c r="AI52" s="305"/>
      <c r="AJ52" s="305">
        <f t="shared" ref="AJ52:BG52" ca="1" si="27">_xlfn.NORM.INV(RAND(),0,1)</f>
        <v>2.287325873549273</v>
      </c>
      <c r="AK52" s="305">
        <f t="shared" ca="1" si="27"/>
        <v>-0.9225158815585367</v>
      </c>
      <c r="AL52" s="305">
        <f t="shared" ca="1" si="27"/>
        <v>-0.18951166183119691</v>
      </c>
      <c r="AM52" s="305">
        <f t="shared" ca="1" si="27"/>
        <v>-1.5028174957815303</v>
      </c>
      <c r="AN52" s="305">
        <f t="shared" ca="1" si="27"/>
        <v>1.5009856006399813</v>
      </c>
      <c r="AO52" s="305">
        <f t="shared" ca="1" si="27"/>
        <v>-0.39669642353185591</v>
      </c>
      <c r="AP52" s="305">
        <f t="shared" ca="1" si="27"/>
        <v>0.22087000130751938</v>
      </c>
      <c r="AQ52" s="305">
        <f t="shared" ca="1" si="27"/>
        <v>0.14711527498746171</v>
      </c>
      <c r="AR52" s="305">
        <f t="shared" ca="1" si="27"/>
        <v>2.2866006906413205</v>
      </c>
      <c r="AS52" s="305">
        <f t="shared" ca="1" si="27"/>
        <v>0.59931160743049494</v>
      </c>
      <c r="AT52" s="305">
        <f t="shared" ca="1" si="27"/>
        <v>1.9061785444162938</v>
      </c>
      <c r="AU52" s="305">
        <f t="shared" ca="1" si="27"/>
        <v>0.61995891010761228</v>
      </c>
      <c r="AV52" s="305">
        <f t="shared" ca="1" si="27"/>
        <v>-1.3792230143019046</v>
      </c>
      <c r="AW52" s="305">
        <f t="shared" ca="1" si="27"/>
        <v>1.7648930735377604</v>
      </c>
      <c r="AX52" s="305">
        <f t="shared" ca="1" si="27"/>
        <v>-1.5240094046720356</v>
      </c>
      <c r="AY52" s="305">
        <f t="shared" ca="1" si="27"/>
        <v>1.3510295721567889</v>
      </c>
      <c r="AZ52" s="305">
        <f t="shared" ca="1" si="27"/>
        <v>6.8629883055768379E-2</v>
      </c>
      <c r="BA52" s="305">
        <f t="shared" ca="1" si="27"/>
        <v>-0.69370208941644074</v>
      </c>
      <c r="BB52" s="305">
        <f t="shared" ca="1" si="27"/>
        <v>3.2333447834700671E-2</v>
      </c>
      <c r="BC52" s="305">
        <f t="shared" ca="1" si="27"/>
        <v>-0.20625605400706906</v>
      </c>
      <c r="BD52" s="305">
        <f t="shared" ca="1" si="27"/>
        <v>-2.0734291201686976</v>
      </c>
      <c r="BE52" s="305">
        <f t="shared" ca="1" si="27"/>
        <v>0.21199172869575497</v>
      </c>
      <c r="BF52" s="305">
        <f t="shared" ca="1" si="27"/>
        <v>-0.7422223379700188</v>
      </c>
      <c r="BG52" s="305">
        <f t="shared" ca="1" si="27"/>
        <v>1.0678157767937605E-2</v>
      </c>
      <c r="BO52" s="310">
        <v>33</v>
      </c>
      <c r="BP52" s="311">
        <v>0.28010000000000002</v>
      </c>
      <c r="BQ52" s="312">
        <v>0.12039999999999999</v>
      </c>
    </row>
    <row r="53" spans="1:69" ht="19.5" customHeight="1" x14ac:dyDescent="0.15">
      <c r="A53" s="269">
        <f t="shared" si="0"/>
        <v>38</v>
      </c>
      <c r="B53" s="322">
        <f t="shared" si="1"/>
        <v>35.07692307692308</v>
      </c>
      <c r="C53" s="323">
        <f t="shared" si="2"/>
        <v>152</v>
      </c>
      <c r="D53" s="327">
        <f t="shared" si="3"/>
        <v>0.28058642505572429</v>
      </c>
      <c r="E53" s="327">
        <f t="shared" si="4"/>
        <v>0.28173092108089137</v>
      </c>
      <c r="F53" s="327">
        <f t="shared" si="5"/>
        <v>0.30472218936564965</v>
      </c>
      <c r="G53" s="327">
        <f t="shared" si="6"/>
        <v>0.27871773623403256</v>
      </c>
      <c r="H53" s="327">
        <f t="shared" si="7"/>
        <v>0.29154659207515982</v>
      </c>
      <c r="I53" s="327">
        <f t="shared" si="8"/>
        <v>0.28130646526542458</v>
      </c>
      <c r="J53" s="327">
        <f t="shared" si="9"/>
        <v>6.6635878977944527E-2</v>
      </c>
      <c r="K53" s="327">
        <f t="shared" si="10"/>
        <v>6.0506805748626595E-2</v>
      </c>
      <c r="L53" s="327">
        <f t="shared" si="11"/>
        <v>8.9360138546536239E-2</v>
      </c>
      <c r="M53" s="327">
        <f t="shared" si="12"/>
        <v>9.1068041645900627E-2</v>
      </c>
      <c r="N53" s="327">
        <f t="shared" si="13"/>
        <v>0.1125501538172617</v>
      </c>
      <c r="O53" s="328">
        <f t="shared" si="14"/>
        <v>0.12750915704177249</v>
      </c>
      <c r="P53" s="327">
        <f t="shared" si="15"/>
        <v>0.54150678606894453</v>
      </c>
      <c r="Q53" s="327">
        <f t="shared" si="16"/>
        <v>0.44197354657469196</v>
      </c>
      <c r="R53" s="327">
        <f t="shared" si="17"/>
        <v>0.53511066878743607</v>
      </c>
      <c r="S53" s="327">
        <f t="shared" si="18"/>
        <v>0.51235174108108905</v>
      </c>
      <c r="T53" s="327">
        <f t="shared" si="19"/>
        <v>0.52862968397965304</v>
      </c>
      <c r="U53" s="328">
        <f t="shared" si="20"/>
        <v>0.51622818820154603</v>
      </c>
      <c r="V53" s="327">
        <f t="shared" si="21"/>
        <v>0.44674186144795808</v>
      </c>
      <c r="W53" s="327">
        <f t="shared" si="22"/>
        <v>0.40571583679284579</v>
      </c>
      <c r="X53" s="327">
        <f t="shared" si="23"/>
        <v>0.44145880263077375</v>
      </c>
      <c r="Y53" s="327">
        <f t="shared" si="24"/>
        <v>0.42984914985022027</v>
      </c>
      <c r="Z53" s="327">
        <f t="shared" si="25"/>
        <v>0.43228260466286822</v>
      </c>
      <c r="AA53" s="328">
        <f t="shared" si="26"/>
        <v>0.43023054892176193</v>
      </c>
      <c r="AI53" s="305"/>
      <c r="AJ53" s="305"/>
      <c r="AK53" s="305">
        <f ca="1">_xlfn.NORM.INV(RAND(),0,1)</f>
        <v>0.77896207504643877</v>
      </c>
      <c r="AL53" s="305">
        <f ca="1">_xlfn.NORM.INV(RAND(),0,1)</f>
        <v>-0.68546674882272607</v>
      </c>
      <c r="AM53" s="305">
        <f ca="1">_xlfn.NORM.INV(RAND(),0,1)</f>
        <v>1.0197393572166757</v>
      </c>
      <c r="AN53" s="305">
        <f ca="1">_xlfn.NORM.INV(RAND(),0,1)</f>
        <v>0.98449384591546185</v>
      </c>
      <c r="AO53" s="305">
        <f ca="1">_xlfn.NORM.INV(RAND(),0,1)</f>
        <v>0.32795754875324579</v>
      </c>
      <c r="AP53" s="305"/>
      <c r="AQ53" s="305">
        <f ca="1">_xlfn.NORM.INV(RAND(),0,1)</f>
        <v>0.93784395437605828</v>
      </c>
      <c r="AR53" s="305">
        <f ca="1">_xlfn.NORM.INV(RAND(),0,1)</f>
        <v>-1.4181853459764573</v>
      </c>
      <c r="AS53" s="305">
        <f ca="1">_xlfn.NORM.INV(RAND(),0,1)</f>
        <v>-0.27157997529368799</v>
      </c>
      <c r="AT53" s="305">
        <f ca="1">_xlfn.NORM.INV(RAND(),0,1)</f>
        <v>-0.35431383941706224</v>
      </c>
      <c r="AU53" s="305">
        <f ca="1">_xlfn.NORM.INV(RAND(),0,1)</f>
        <v>-0.94128721889400713</v>
      </c>
      <c r="AV53" s="305"/>
      <c r="AW53" s="305">
        <f ca="1">_xlfn.NORM.INV(RAND(),0,1)</f>
        <v>0.48220336146903708</v>
      </c>
      <c r="AX53" s="305">
        <f ca="1">_xlfn.NORM.INV(RAND(),0,1)</f>
        <v>-1.947985811943393</v>
      </c>
      <c r="AY53" s="305">
        <f ca="1">_xlfn.NORM.INV(RAND(),0,1)</f>
        <v>0.15645213623976809</v>
      </c>
      <c r="AZ53" s="305">
        <f ca="1">_xlfn.NORM.INV(RAND(),0,1)</f>
        <v>0.41630873138947272</v>
      </c>
      <c r="BA53" s="305">
        <f ca="1">_xlfn.NORM.INV(RAND(),0,1)</f>
        <v>-0.32547104217258971</v>
      </c>
      <c r="BB53" s="305"/>
      <c r="BC53" s="305">
        <f ca="1">_xlfn.NORM.INV(RAND(),0,1)</f>
        <v>0.1395266589866305</v>
      </c>
      <c r="BD53" s="305">
        <f ca="1">_xlfn.NORM.INV(RAND(),0,1)</f>
        <v>-0.43978662684445757</v>
      </c>
      <c r="BE53" s="305">
        <f ca="1">_xlfn.NORM.INV(RAND(),0,1)</f>
        <v>-1.3452078873905065</v>
      </c>
      <c r="BF53" s="305">
        <f ca="1">_xlfn.NORM.INV(RAND(),0,1)</f>
        <v>2.077690548932178</v>
      </c>
      <c r="BG53" s="305">
        <f ca="1">_xlfn.NORM.INV(RAND(),0,1)</f>
        <v>-0.65287926630459747</v>
      </c>
      <c r="BO53" s="310">
        <v>33.75</v>
      </c>
      <c r="BP53" s="311">
        <v>0.28010000000000002</v>
      </c>
      <c r="BQ53" s="312">
        <v>0.12039999999999999</v>
      </c>
    </row>
    <row r="54" spans="1:69" ht="15" customHeight="1" x14ac:dyDescent="0.25">
      <c r="A54" s="269">
        <f t="shared" si="0"/>
        <v>39</v>
      </c>
      <c r="B54" s="322">
        <f t="shared" si="1"/>
        <v>36</v>
      </c>
      <c r="C54" s="323">
        <f t="shared" si="2"/>
        <v>156</v>
      </c>
      <c r="D54" s="327">
        <f t="shared" si="3"/>
        <v>0.27135766533386879</v>
      </c>
      <c r="E54" s="327">
        <f t="shared" si="4"/>
        <v>0.27305937414125503</v>
      </c>
      <c r="F54" s="327">
        <f t="shared" si="5"/>
        <v>0.29774624667479599</v>
      </c>
      <c r="G54" s="327">
        <f t="shared" si="6"/>
        <v>0.27144997574089447</v>
      </c>
      <c r="H54" s="327">
        <f t="shared" si="7"/>
        <v>0.28332268095238844</v>
      </c>
      <c r="I54" s="327">
        <f t="shared" si="8"/>
        <v>0.27307275006098009</v>
      </c>
      <c r="J54" s="327">
        <f t="shared" si="9"/>
        <v>6.205161390490653E-2</v>
      </c>
      <c r="K54" s="327">
        <f t="shared" si="10"/>
        <v>5.6078325356232556E-2</v>
      </c>
      <c r="L54" s="327">
        <f t="shared" si="11"/>
        <v>8.5683377143385031E-2</v>
      </c>
      <c r="M54" s="327">
        <f t="shared" si="12"/>
        <v>8.7905723950028589E-2</v>
      </c>
      <c r="N54" s="327">
        <f t="shared" si="13"/>
        <v>0.10907642280359139</v>
      </c>
      <c r="O54" s="328">
        <f t="shared" si="14"/>
        <v>0.12442178304142122</v>
      </c>
      <c r="P54" s="327">
        <f t="shared" si="15"/>
        <v>0.5328359024781183</v>
      </c>
      <c r="Q54" s="327">
        <f t="shared" si="16"/>
        <v>0.43541575407179939</v>
      </c>
      <c r="R54" s="327">
        <f t="shared" si="17"/>
        <v>0.52615674892248565</v>
      </c>
      <c r="S54" s="327">
        <f t="shared" si="18"/>
        <v>0.50124615946777662</v>
      </c>
      <c r="T54" s="327">
        <f t="shared" si="19"/>
        <v>0.51538223466630162</v>
      </c>
      <c r="U54" s="328">
        <f t="shared" si="20"/>
        <v>0.50394809221344916</v>
      </c>
      <c r="V54" s="327">
        <f t="shared" si="21"/>
        <v>0.43736861349208606</v>
      </c>
      <c r="W54" s="327">
        <f t="shared" si="22"/>
        <v>0.39792906110877796</v>
      </c>
      <c r="X54" s="327">
        <f t="shared" si="23"/>
        <v>0.43306229592454659</v>
      </c>
      <c r="Y54" s="327">
        <f t="shared" si="24"/>
        <v>0.42054092670285997</v>
      </c>
      <c r="Z54" s="327">
        <f t="shared" si="25"/>
        <v>0.42042961771534132</v>
      </c>
      <c r="AA54" s="328">
        <f t="shared" si="26"/>
        <v>0.4204816951056245</v>
      </c>
      <c r="AI54" s="305"/>
      <c r="AJ54" s="339" t="s">
        <v>722</v>
      </c>
      <c r="AK54" s="305"/>
      <c r="AL54" s="305"/>
      <c r="AM54" s="305"/>
      <c r="AN54" s="305"/>
      <c r="AO54" s="305">
        <f ca="1">_xlfn.NORM.INV(RAND(),0,1)</f>
        <v>-1.2208973720845042</v>
      </c>
      <c r="AP54" s="305"/>
      <c r="AQ54" s="305"/>
      <c r="AR54" s="305"/>
      <c r="AS54" s="305"/>
      <c r="AT54" s="305"/>
      <c r="AU54" s="305">
        <f ca="1">_xlfn.NORM.INV(RAND(),0,1)</f>
        <v>-0.43968753915756709</v>
      </c>
      <c r="AV54" s="305"/>
      <c r="AW54" s="305"/>
      <c r="AX54" s="305"/>
      <c r="AY54" s="305"/>
      <c r="AZ54" s="273"/>
      <c r="BA54" s="305">
        <f ca="1">_xlfn.NORM.INV(RAND(),0,1)</f>
        <v>-1.0888183351028942</v>
      </c>
      <c r="BB54" s="273"/>
      <c r="BC54" s="273"/>
      <c r="BG54" s="305">
        <f ca="1">_xlfn.NORM.INV(RAND(),0,1)</f>
        <v>7.9695981437176835E-2</v>
      </c>
      <c r="BO54" s="310">
        <v>34.5</v>
      </c>
      <c r="BP54" s="311">
        <v>0.28010000000000002</v>
      </c>
      <c r="BQ54" s="312">
        <v>0.12039999999999999</v>
      </c>
    </row>
    <row r="55" spans="1:69" ht="15" customHeight="1" x14ac:dyDescent="0.2">
      <c r="A55" s="269">
        <f t="shared" si="0"/>
        <v>40</v>
      </c>
      <c r="B55" s="322">
        <f t="shared" si="1"/>
        <v>36.92307692307692</v>
      </c>
      <c r="C55" s="323">
        <f t="shared" si="2"/>
        <v>160</v>
      </c>
      <c r="D55" s="327">
        <f t="shared" si="3"/>
        <v>0.26243244847224551</v>
      </c>
      <c r="E55" s="327">
        <f t="shared" si="4"/>
        <v>0.26466776245295132</v>
      </c>
      <c r="F55" s="327">
        <f t="shared" si="5"/>
        <v>0.29101790890672408</v>
      </c>
      <c r="G55" s="327">
        <f t="shared" si="6"/>
        <v>0.26448176179776761</v>
      </c>
      <c r="H55" s="327">
        <f t="shared" si="7"/>
        <v>0.27538028745407767</v>
      </c>
      <c r="I55" s="327">
        <f t="shared" si="8"/>
        <v>0.26513552524536244</v>
      </c>
      <c r="J55" s="327">
        <f t="shared" si="9"/>
        <v>5.7782726772134523E-2</v>
      </c>
      <c r="K55" s="327">
        <f t="shared" si="10"/>
        <v>5.1970996889858873E-2</v>
      </c>
      <c r="L55" s="327">
        <f t="shared" si="11"/>
        <v>8.2209860305846982E-2</v>
      </c>
      <c r="M55" s="327">
        <f t="shared" si="12"/>
        <v>8.4919304713470992E-2</v>
      </c>
      <c r="N55" s="327">
        <f t="shared" si="13"/>
        <v>0.10580336549843589</v>
      </c>
      <c r="O55" s="328">
        <f t="shared" si="14"/>
        <v>0.12147817943786358</v>
      </c>
      <c r="P55" s="327">
        <f t="shared" si="15"/>
        <v>0.52430386150972996</v>
      </c>
      <c r="Q55" s="327">
        <f t="shared" si="16"/>
        <v>0.42900466127697917</v>
      </c>
      <c r="R55" s="327">
        <f t="shared" si="17"/>
        <v>0.51741676257011604</v>
      </c>
      <c r="S55" s="327">
        <f t="shared" si="18"/>
        <v>0.49042048983117387</v>
      </c>
      <c r="T55" s="327">
        <f t="shared" si="19"/>
        <v>0.5021723874700661</v>
      </c>
      <c r="U55" s="328">
        <f t="shared" si="20"/>
        <v>0.49186842522809093</v>
      </c>
      <c r="V55" s="327">
        <f t="shared" si="21"/>
        <v>0.42819202894482661</v>
      </c>
      <c r="W55" s="327">
        <f t="shared" si="22"/>
        <v>0.39032690356121974</v>
      </c>
      <c r="X55" s="327">
        <f t="shared" si="23"/>
        <v>0.42490732936752407</v>
      </c>
      <c r="Y55" s="327">
        <f t="shared" si="24"/>
        <v>0.41152237774554895</v>
      </c>
      <c r="Z55" s="327">
        <f t="shared" si="25"/>
        <v>0.40876088826780327</v>
      </c>
      <c r="AA55" s="328">
        <f t="shared" si="26"/>
        <v>0.41099169105135769</v>
      </c>
      <c r="AI55" s="340"/>
      <c r="AJ55" s="580" t="s">
        <v>665</v>
      </c>
      <c r="AK55" s="572"/>
      <c r="AL55" s="572"/>
      <c r="AM55" s="572"/>
      <c r="AN55" s="572"/>
      <c r="AO55" s="572"/>
      <c r="AP55" s="572"/>
      <c r="AQ55" s="572"/>
      <c r="AR55" s="572"/>
      <c r="AS55" s="572"/>
      <c r="AT55" s="572"/>
      <c r="AU55" s="573"/>
      <c r="AV55" s="580" t="s">
        <v>664</v>
      </c>
      <c r="AW55" s="572"/>
      <c r="AX55" s="572"/>
      <c r="AY55" s="572"/>
      <c r="AZ55" s="572"/>
      <c r="BA55" s="572"/>
      <c r="BB55" s="572"/>
      <c r="BC55" s="572"/>
      <c r="BD55" s="572"/>
      <c r="BE55" s="572"/>
      <c r="BF55" s="572"/>
      <c r="BG55" s="573"/>
      <c r="BO55" s="310">
        <v>35.25</v>
      </c>
      <c r="BP55" s="311">
        <v>0.2636</v>
      </c>
      <c r="BQ55" s="312">
        <v>0.12039999999999999</v>
      </c>
    </row>
    <row r="56" spans="1:69" ht="26.25" customHeight="1" x14ac:dyDescent="0.2">
      <c r="A56" s="269">
        <f t="shared" si="0"/>
        <v>41</v>
      </c>
      <c r="B56" s="322">
        <f t="shared" si="1"/>
        <v>37.846153846153847</v>
      </c>
      <c r="C56" s="323">
        <f t="shared" si="2"/>
        <v>164</v>
      </c>
      <c r="D56" s="327">
        <f t="shared" si="3"/>
        <v>0.25380079065170907</v>
      </c>
      <c r="E56" s="327">
        <f t="shared" si="4"/>
        <v>0.25654633459082921</v>
      </c>
      <c r="F56" s="327">
        <f t="shared" si="5"/>
        <v>0.28452496466897526</v>
      </c>
      <c r="G56" s="327">
        <f t="shared" si="6"/>
        <v>0.25779698386588012</v>
      </c>
      <c r="H56" s="327">
        <f t="shared" si="7"/>
        <v>0.26770839897278137</v>
      </c>
      <c r="I56" s="327">
        <f t="shared" si="8"/>
        <v>0.25748182395870667</v>
      </c>
      <c r="J56" s="327">
        <f t="shared" si="9"/>
        <v>5.380752091863223E-2</v>
      </c>
      <c r="K56" s="327">
        <f t="shared" si="10"/>
        <v>4.8161816954078382E-2</v>
      </c>
      <c r="L56" s="327">
        <f t="shared" si="11"/>
        <v>7.8925331339200433E-2</v>
      </c>
      <c r="M56" s="327">
        <f t="shared" si="12"/>
        <v>8.2095591056539644E-2</v>
      </c>
      <c r="N56" s="327">
        <f t="shared" si="13"/>
        <v>0.10271670062702196</v>
      </c>
      <c r="O56" s="328">
        <f t="shared" si="14"/>
        <v>0.11866857905122059</v>
      </c>
      <c r="P56" s="327">
        <f t="shared" si="15"/>
        <v>0.51590843994470315</v>
      </c>
      <c r="Q56" s="327">
        <f t="shared" si="16"/>
        <v>0.42273506410674649</v>
      </c>
      <c r="R56" s="327">
        <f t="shared" si="17"/>
        <v>0.50888449673410852</v>
      </c>
      <c r="S56" s="327">
        <f t="shared" si="18"/>
        <v>0.47987071533309827</v>
      </c>
      <c r="T56" s="327">
        <f t="shared" si="19"/>
        <v>0.48900784120851881</v>
      </c>
      <c r="U56" s="328">
        <f t="shared" si="20"/>
        <v>0.47999125693812328</v>
      </c>
      <c r="V56" s="327">
        <f t="shared" si="21"/>
        <v>0.41920798154210664</v>
      </c>
      <c r="W56" s="327">
        <f t="shared" si="22"/>
        <v>0.38290346298183509</v>
      </c>
      <c r="X56" s="327">
        <f t="shared" si="23"/>
        <v>0.41698454936675844</v>
      </c>
      <c r="Y56" s="327">
        <f t="shared" si="24"/>
        <v>0.40278336073763865</v>
      </c>
      <c r="Z56" s="327">
        <f t="shared" si="25"/>
        <v>0.39727753023495166</v>
      </c>
      <c r="AA56" s="328">
        <f t="shared" si="26"/>
        <v>0.40175296118394399</v>
      </c>
      <c r="AI56" s="305"/>
      <c r="AJ56" s="581" t="s">
        <v>485</v>
      </c>
      <c r="AK56" s="576"/>
      <c r="AL56" s="576"/>
      <c r="AM56" s="576"/>
      <c r="AN56" s="576"/>
      <c r="AO56" s="577"/>
      <c r="AP56" s="575" t="s">
        <v>701</v>
      </c>
      <c r="AQ56" s="576"/>
      <c r="AR56" s="576"/>
      <c r="AS56" s="576"/>
      <c r="AT56" s="576"/>
      <c r="AU56" s="577"/>
      <c r="AV56" s="581" t="s">
        <v>485</v>
      </c>
      <c r="AW56" s="576"/>
      <c r="AX56" s="576"/>
      <c r="AY56" s="576"/>
      <c r="AZ56" s="576"/>
      <c r="BA56" s="577"/>
      <c r="BB56" s="575" t="s">
        <v>701</v>
      </c>
      <c r="BC56" s="576"/>
      <c r="BD56" s="576"/>
      <c r="BE56" s="576"/>
      <c r="BF56" s="576"/>
      <c r="BG56" s="577"/>
      <c r="BO56" s="310">
        <v>36</v>
      </c>
      <c r="BP56" s="311">
        <v>0.2636</v>
      </c>
      <c r="BQ56" s="312">
        <v>0.12039999999999999</v>
      </c>
    </row>
    <row r="57" spans="1:69" ht="15" customHeight="1" x14ac:dyDescent="0.2">
      <c r="A57" s="269">
        <f t="shared" si="0"/>
        <v>42</v>
      </c>
      <c r="B57" s="322">
        <f t="shared" si="1"/>
        <v>38.769230769230766</v>
      </c>
      <c r="C57" s="323">
        <f t="shared" si="2"/>
        <v>168</v>
      </c>
      <c r="D57" s="327">
        <f t="shared" si="3"/>
        <v>0.24545303643061162</v>
      </c>
      <c r="E57" s="327">
        <f t="shared" si="4"/>
        <v>0.2486857249985617</v>
      </c>
      <c r="F57" s="327">
        <f t="shared" si="5"/>
        <v>0.27825597819835646</v>
      </c>
      <c r="G57" s="327">
        <f t="shared" si="6"/>
        <v>0.2513805513874473</v>
      </c>
      <c r="H57" s="327">
        <f t="shared" si="7"/>
        <v>0.26029648171581088</v>
      </c>
      <c r="I57" s="327">
        <f t="shared" si="8"/>
        <v>0.25009935213842005</v>
      </c>
      <c r="J57" s="327">
        <f t="shared" si="9"/>
        <v>5.0105792321404739E-2</v>
      </c>
      <c r="K57" s="327">
        <f t="shared" si="10"/>
        <v>4.462940072972392E-2</v>
      </c>
      <c r="L57" s="327">
        <f t="shared" si="11"/>
        <v>7.5816749858657273E-2</v>
      </c>
      <c r="M57" s="327">
        <f t="shared" si="12"/>
        <v>7.9422617310091648E-2</v>
      </c>
      <c r="N57" s="327">
        <f t="shared" si="13"/>
        <v>9.9803347508199011E-2</v>
      </c>
      <c r="O57" s="328">
        <f t="shared" si="14"/>
        <v>0.11598407758439505</v>
      </c>
      <c r="P57" s="327">
        <f t="shared" si="15"/>
        <v>0.50764745016328294</v>
      </c>
      <c r="Q57" s="327">
        <f t="shared" si="16"/>
        <v>0.41660203930556422</v>
      </c>
      <c r="R57" s="327">
        <f t="shared" si="17"/>
        <v>0.50055389607045497</v>
      </c>
      <c r="S57" s="327">
        <f t="shared" si="18"/>
        <v>0.4695923835751134</v>
      </c>
      <c r="T57" s="327">
        <f t="shared" si="19"/>
        <v>0.47589639414374002</v>
      </c>
      <c r="U57" s="328">
        <f t="shared" si="20"/>
        <v>0.46831820961008752</v>
      </c>
      <c r="V57" s="327">
        <f t="shared" si="21"/>
        <v>0.41041243159444962</v>
      </c>
      <c r="W57" s="327">
        <f t="shared" si="22"/>
        <v>0.37565310944612984</v>
      </c>
      <c r="X57" s="327">
        <f t="shared" si="23"/>
        <v>0.40928504262950804</v>
      </c>
      <c r="Y57" s="327">
        <f t="shared" si="24"/>
        <v>0.39431400269567202</v>
      </c>
      <c r="Z57" s="327">
        <f t="shared" si="25"/>
        <v>0.38598056091142907</v>
      </c>
      <c r="AA57" s="328">
        <f t="shared" si="26"/>
        <v>0.39275812717084568</v>
      </c>
      <c r="AI57" s="341"/>
      <c r="AJ57" s="342" t="s">
        <v>703</v>
      </c>
      <c r="AK57" s="343" t="s">
        <v>704</v>
      </c>
      <c r="AL57" s="343" t="s">
        <v>705</v>
      </c>
      <c r="AM57" s="343" t="s">
        <v>706</v>
      </c>
      <c r="AN57" s="343" t="s">
        <v>707</v>
      </c>
      <c r="AO57" s="344"/>
      <c r="AP57" s="342" t="s">
        <v>703</v>
      </c>
      <c r="AQ57" s="343" t="s">
        <v>704</v>
      </c>
      <c r="AR57" s="343" t="s">
        <v>705</v>
      </c>
      <c r="AS57" s="343" t="s">
        <v>706</v>
      </c>
      <c r="AT57" s="343" t="s">
        <v>707</v>
      </c>
      <c r="AU57" s="344"/>
      <c r="AV57" s="342" t="s">
        <v>703</v>
      </c>
      <c r="AW57" s="343" t="s">
        <v>704</v>
      </c>
      <c r="AX57" s="343" t="s">
        <v>705</v>
      </c>
      <c r="AY57" s="343" t="s">
        <v>706</v>
      </c>
      <c r="AZ57" s="343" t="s">
        <v>707</v>
      </c>
      <c r="BA57" s="344"/>
      <c r="BB57" s="342" t="s">
        <v>703</v>
      </c>
      <c r="BC57" s="343" t="s">
        <v>704</v>
      </c>
      <c r="BD57" s="343" t="s">
        <v>705</v>
      </c>
      <c r="BE57" s="343" t="s">
        <v>706</v>
      </c>
      <c r="BF57" s="343" t="s">
        <v>707</v>
      </c>
      <c r="BG57" s="344"/>
      <c r="BO57" s="310">
        <v>36.75</v>
      </c>
      <c r="BP57" s="311">
        <v>0.2636</v>
      </c>
      <c r="BQ57" s="312">
        <v>0.12039999999999999</v>
      </c>
    </row>
    <row r="58" spans="1:69" ht="14.25" customHeight="1" x14ac:dyDescent="0.2">
      <c r="A58" s="269">
        <f t="shared" si="0"/>
        <v>43</v>
      </c>
      <c r="B58" s="322">
        <f t="shared" si="1"/>
        <v>39.692307692307693</v>
      </c>
      <c r="C58" s="323">
        <f t="shared" si="2"/>
        <v>172</v>
      </c>
      <c r="D58" s="327">
        <f t="shared" si="3"/>
        <v>0.2373798479441476</v>
      </c>
      <c r="E58" s="327">
        <f t="shared" si="4"/>
        <v>0.24107693520465109</v>
      </c>
      <c r="F58" s="327">
        <f t="shared" si="5"/>
        <v>0.27220022928190601</v>
      </c>
      <c r="G58" s="327">
        <f t="shared" si="6"/>
        <v>0.24521832405224883</v>
      </c>
      <c r="H58" s="327">
        <f t="shared" si="7"/>
        <v>0.25313445796856959</v>
      </c>
      <c r="I58" s="327">
        <f t="shared" si="8"/>
        <v>0.24297644859026013</v>
      </c>
      <c r="J58" s="327">
        <f t="shared" si="9"/>
        <v>4.6658726908311902E-2</v>
      </c>
      <c r="K58" s="327">
        <f t="shared" si="10"/>
        <v>4.1353871248191378E-2</v>
      </c>
      <c r="L58" s="327">
        <f t="shared" si="11"/>
        <v>7.2872169568054757E-2</v>
      </c>
      <c r="M58" s="327">
        <f t="shared" si="12"/>
        <v>7.6889510299796154E-2</v>
      </c>
      <c r="N58" s="327">
        <f t="shared" si="13"/>
        <v>9.7051311042259433E-2</v>
      </c>
      <c r="O58" s="328">
        <f t="shared" si="14"/>
        <v>0.11341654057104887</v>
      </c>
      <c r="P58" s="327">
        <f t="shared" si="15"/>
        <v>0.49951873957500009</v>
      </c>
      <c r="Q58" s="327">
        <f t="shared" si="16"/>
        <v>0.41060092335360604</v>
      </c>
      <c r="R58" s="327">
        <f t="shared" si="17"/>
        <v>0.4924190672658848</v>
      </c>
      <c r="S58" s="327">
        <f t="shared" si="18"/>
        <v>0.45958068123527701</v>
      </c>
      <c r="T58" s="327">
        <f t="shared" si="19"/>
        <v>0.46284593156183912</v>
      </c>
      <c r="U58" s="328">
        <f t="shared" si="20"/>
        <v>0.45685049142086953</v>
      </c>
      <c r="V58" s="327">
        <f t="shared" si="21"/>
        <v>0.40180142417052306</v>
      </c>
      <c r="W58" s="327">
        <f t="shared" si="22"/>
        <v>0.36857046647702996</v>
      </c>
      <c r="X58" s="327">
        <f t="shared" si="23"/>
        <v>0.40180031393520554</v>
      </c>
      <c r="Y58" s="327">
        <f t="shared" si="24"/>
        <v>0.38610471223153858</v>
      </c>
      <c r="Z58" s="327">
        <f t="shared" si="25"/>
        <v>0.3748708996803819</v>
      </c>
      <c r="AA58" s="328">
        <f t="shared" si="26"/>
        <v>0.38400000984564175</v>
      </c>
      <c r="AI58" s="305" t="s">
        <v>709</v>
      </c>
      <c r="AJ58" s="345">
        <f>+AJ42</f>
        <v>865.56780000000003</v>
      </c>
      <c r="AK58" s="346">
        <f>+AK42</f>
        <v>867.01089999999999</v>
      </c>
      <c r="AL58" s="346">
        <f>+AL42</f>
        <v>866.64300000000003</v>
      </c>
      <c r="AM58" s="346">
        <f>+AM42</f>
        <v>860.93240000000003</v>
      </c>
      <c r="AN58" s="346">
        <f>+AN42</f>
        <v>867.06780000000003</v>
      </c>
      <c r="AO58" s="347"/>
      <c r="AP58" s="345">
        <f>+AP42</f>
        <v>977.75340000000006</v>
      </c>
      <c r="AQ58" s="346">
        <f>+AQ42</f>
        <v>979.56669999999997</v>
      </c>
      <c r="AR58" s="346">
        <f>+AR42</f>
        <v>951.58590000000004</v>
      </c>
      <c r="AS58" s="346">
        <f>+AS42</f>
        <v>956.23469999999998</v>
      </c>
      <c r="AT58" s="346">
        <f>+AT42</f>
        <v>970.4615</v>
      </c>
      <c r="AU58" s="347"/>
      <c r="AV58" s="345">
        <f>+AV42</f>
        <v>688.29430000000002</v>
      </c>
      <c r="AW58" s="346">
        <f>+AW42</f>
        <v>680.03650000000005</v>
      </c>
      <c r="AX58" s="346">
        <f>+AX42</f>
        <v>687.47140000000002</v>
      </c>
      <c r="AY58" s="346">
        <f>+AY42</f>
        <v>678.84659999999997</v>
      </c>
      <c r="AZ58" s="346">
        <f>+AZ42</f>
        <v>684.31359999999995</v>
      </c>
      <c r="BA58" s="347"/>
      <c r="BB58" s="345">
        <f>+BB42</f>
        <v>756.21230000000003</v>
      </c>
      <c r="BC58" s="346">
        <f>+BC42</f>
        <v>754.22609999999997</v>
      </c>
      <c r="BD58" s="346">
        <f>+BD42</f>
        <v>753.91560000000004</v>
      </c>
      <c r="BE58" s="346">
        <f>+BE42</f>
        <v>753.51319999999998</v>
      </c>
      <c r="BF58" s="346">
        <f>+BF42</f>
        <v>756.46849999999995</v>
      </c>
      <c r="BG58" s="347"/>
      <c r="BO58" s="310">
        <v>37.5</v>
      </c>
      <c r="BP58" s="311">
        <v>0.2636</v>
      </c>
      <c r="BQ58" s="312">
        <v>0.1032</v>
      </c>
    </row>
    <row r="59" spans="1:69" ht="12.75" customHeight="1" x14ac:dyDescent="0.15">
      <c r="A59" s="269">
        <f t="shared" si="0"/>
        <v>44</v>
      </c>
      <c r="B59" s="322">
        <f t="shared" si="1"/>
        <v>40.615384615384613</v>
      </c>
      <c r="C59" s="323">
        <f t="shared" si="2"/>
        <v>176</v>
      </c>
      <c r="D59" s="327">
        <f t="shared" si="3"/>
        <v>0.22957219445894406</v>
      </c>
      <c r="E59" s="327">
        <f t="shared" si="4"/>
        <v>0.23371131625835223</v>
      </c>
      <c r="F59" s="327">
        <f t="shared" si="5"/>
        <v>0.2663476586218223</v>
      </c>
      <c r="G59" s="327">
        <f t="shared" si="6"/>
        <v>0.23929704658456247</v>
      </c>
      <c r="H59" s="327">
        <f t="shared" si="7"/>
        <v>0.24621268452273043</v>
      </c>
      <c r="I59" s="327">
        <f t="shared" si="8"/>
        <v>0.2361020476109621</v>
      </c>
      <c r="J59" s="327">
        <f t="shared" si="9"/>
        <v>4.344880493536115E-2</v>
      </c>
      <c r="K59" s="327">
        <f t="shared" si="10"/>
        <v>3.8316755866734845E-2</v>
      </c>
      <c r="L59" s="327">
        <f t="shared" si="11"/>
        <v>7.008063014868815E-2</v>
      </c>
      <c r="M59" s="327">
        <f t="shared" si="12"/>
        <v>7.4486371512603788E-2</v>
      </c>
      <c r="N59" s="327">
        <f t="shared" si="13"/>
        <v>9.4449578952402885E-2</v>
      </c>
      <c r="O59" s="328">
        <f t="shared" si="14"/>
        <v>0.11095852209126128</v>
      </c>
      <c r="P59" s="327">
        <f t="shared" si="15"/>
        <v>0.49152019005776548</v>
      </c>
      <c r="Q59" s="327">
        <f t="shared" si="16"/>
        <v>0.40472729341028801</v>
      </c>
      <c r="R59" s="327">
        <f t="shared" si="17"/>
        <v>0.4844742815571087</v>
      </c>
      <c r="S59" s="327">
        <f t="shared" si="18"/>
        <v>0.4498305005131914</v>
      </c>
      <c r="T59" s="327">
        <f t="shared" si="19"/>
        <v>0.44986441256035881</v>
      </c>
      <c r="U59" s="328">
        <f t="shared" si="20"/>
        <v>0.44558892753387813</v>
      </c>
      <c r="V59" s="327">
        <f t="shared" si="21"/>
        <v>0.39337108731879838</v>
      </c>
      <c r="W59" s="327">
        <f t="shared" si="22"/>
        <v>0.36165039481290051</v>
      </c>
      <c r="X59" s="327">
        <f t="shared" si="23"/>
        <v>0.39452226477437158</v>
      </c>
      <c r="Y59" s="327">
        <f t="shared" si="24"/>
        <v>0.37814618781941889</v>
      </c>
      <c r="Z59" s="327">
        <f t="shared" si="25"/>
        <v>0.36394936682294687</v>
      </c>
      <c r="AA59" s="328">
        <f t="shared" si="26"/>
        <v>0.37547162970626569</v>
      </c>
      <c r="AI59" s="305" t="s">
        <v>711</v>
      </c>
      <c r="AJ59" s="348">
        <f ca="1">0.1*AJ52+AJ43</f>
        <v>3.5465715873549275</v>
      </c>
      <c r="AK59" s="349">
        <f ca="1">0.08377*AK52+AK43</f>
        <v>3.2282828446018415</v>
      </c>
      <c r="AL59" s="349">
        <f ca="1">0.1147*AL52+AL43</f>
        <v>2.873197012387962</v>
      </c>
      <c r="AM59" s="349">
        <f ca="1">0.08429*AM52+AM43</f>
        <v>2.7532295132805746</v>
      </c>
      <c r="AN59" s="349">
        <f ca="1">0.00979*AN52+AN43</f>
        <v>-3.2163113509697343</v>
      </c>
      <c r="AO59" s="350"/>
      <c r="AP59" s="348">
        <f ca="1">0.085436*AP52+AP43</f>
        <v>2.5800142494317093</v>
      </c>
      <c r="AQ59" s="349">
        <f ca="1">0.0673*AQ52+AQ43</f>
        <v>2.565385858006656</v>
      </c>
      <c r="AR59" s="349">
        <f ca="1">0.08977*AR52+AR43</f>
        <v>2.2519981439988714</v>
      </c>
      <c r="AS59" s="349">
        <f ca="1">0.07033*AS52+AS43</f>
        <v>2.0600655853505869</v>
      </c>
      <c r="AT59" s="349">
        <f ca="1">0.0109*AT52+AT43</f>
        <v>-2.2608746538658622</v>
      </c>
      <c r="AU59" s="350"/>
      <c r="AV59" s="348">
        <f ca="1">0.121268*AV52+AV43</f>
        <v>3.8790263835016363</v>
      </c>
      <c r="AW59" s="349">
        <f ca="1">0.1038*AW52+AW43</f>
        <v>4.0309849010332197</v>
      </c>
      <c r="AX59" s="349">
        <f ca="1">0.12308*AX52+AX43</f>
        <v>3.4716539224729659</v>
      </c>
      <c r="AY59" s="349">
        <f ca="1">0.10338*AY52+AY43</f>
        <v>3.726102437169569</v>
      </c>
      <c r="AZ59" s="349">
        <f ca="1">0.00986*AZ52+AZ43</f>
        <v>-4.4720243093530696</v>
      </c>
      <c r="BA59" s="350"/>
      <c r="BB59" s="348">
        <f ca="1">0.112509*BB52+BB43</f>
        <v>3.7771328038824343</v>
      </c>
      <c r="BC59" s="349">
        <f ca="1">0.09629*BC52+BC43</f>
        <v>3.6635926045596596</v>
      </c>
      <c r="BD59" s="349">
        <f ca="1">0.11984*BD52+BD43</f>
        <v>3.1295612542389835</v>
      </c>
      <c r="BE59" s="349">
        <f ca="1">0.09513*BE52+BE43</f>
        <v>3.3850647731508272</v>
      </c>
      <c r="BF59" s="349">
        <f ca="1">0.00994*BF52+BF43</f>
        <v>-3.9837706900394219</v>
      </c>
      <c r="BG59" s="350"/>
      <c r="BO59" s="310">
        <v>38.25</v>
      </c>
      <c r="BP59" s="311">
        <v>0.2636</v>
      </c>
      <c r="BQ59" s="312">
        <v>0.1032</v>
      </c>
    </row>
    <row r="60" spans="1:69" ht="13.5" customHeight="1" x14ac:dyDescent="0.15">
      <c r="A60" s="269">
        <f t="shared" si="0"/>
        <v>45</v>
      </c>
      <c r="B60" s="322">
        <f t="shared" si="1"/>
        <v>41.53846153846154</v>
      </c>
      <c r="C60" s="323">
        <f t="shared" si="2"/>
        <v>180</v>
      </c>
      <c r="D60" s="327">
        <f t="shared" si="3"/>
        <v>0.22202134227120929</v>
      </c>
      <c r="E60" s="327">
        <f t="shared" si="4"/>
        <v>0.22658055227752269</v>
      </c>
      <c r="F60" s="327">
        <f t="shared" si="5"/>
        <v>0.26068881808676958</v>
      </c>
      <c r="G60" s="327">
        <f t="shared" si="6"/>
        <v>0.23360428788503595</v>
      </c>
      <c r="H60" s="327">
        <f t="shared" si="7"/>
        <v>0.23952193220545456</v>
      </c>
      <c r="I60" s="327">
        <f t="shared" si="8"/>
        <v>0.22946564400917968</v>
      </c>
      <c r="J60" s="327">
        <f t="shared" si="9"/>
        <v>4.0459711942435465E-2</v>
      </c>
      <c r="K60" s="327">
        <f t="shared" si="10"/>
        <v>3.5500889525494864E-2</v>
      </c>
      <c r="L60" s="327">
        <f t="shared" si="11"/>
        <v>6.7432061423214229E-2</v>
      </c>
      <c r="M60" s="327">
        <f t="shared" si="12"/>
        <v>7.2204173787526568E-2</v>
      </c>
      <c r="N60" s="327">
        <f t="shared" si="13"/>
        <v>9.1988029851522338E-2</v>
      </c>
      <c r="O60" s="328">
        <f t="shared" si="14"/>
        <v>0.10860319355718624</v>
      </c>
      <c r="P60" s="327">
        <f t="shared" si="15"/>
        <v>0.48364971740594337</v>
      </c>
      <c r="Q60" s="327">
        <f t="shared" si="16"/>
        <v>0.39897695005489731</v>
      </c>
      <c r="R60" s="327">
        <f t="shared" si="17"/>
        <v>0.47671397574151897</v>
      </c>
      <c r="S60" s="327">
        <f t="shared" si="18"/>
        <v>0.44033649810276621</v>
      </c>
      <c r="T60" s="327">
        <f t="shared" si="19"/>
        <v>0.43695985605125021</v>
      </c>
      <c r="U60" s="328">
        <f t="shared" si="20"/>
        <v>0.43453398908991581</v>
      </c>
      <c r="V60" s="327">
        <f t="shared" si="21"/>
        <v>0.38511763032652224</v>
      </c>
      <c r="W60" s="327">
        <f t="shared" si="22"/>
        <v>0.35488797756785201</v>
      </c>
      <c r="X60" s="327">
        <f t="shared" si="23"/>
        <v>0.3874431729015404</v>
      </c>
      <c r="Y60" s="327">
        <f t="shared" si="24"/>
        <v>0.37042942267259371</v>
      </c>
      <c r="Z60" s="327">
        <f t="shared" si="25"/>
        <v>0.35321668243235621</v>
      </c>
      <c r="AA60" s="328">
        <f t="shared" si="26"/>
        <v>0.36716620624928176</v>
      </c>
      <c r="AI60" s="341" t="s">
        <v>714</v>
      </c>
      <c r="AJ60" s="351"/>
      <c r="AK60" s="352">
        <f ca="1">-0.01466*AK52+0.09385*AK53+AK44</f>
        <v>0.15005267356675642</v>
      </c>
      <c r="AL60" s="352">
        <f ca="1">0.02063*AL52+0.07206*AL53+AL44</f>
        <v>0.20677264049625677</v>
      </c>
      <c r="AM60" s="352">
        <f ca="1">-0.01851*AM52+0.10214*AM53+AM44</f>
        <v>-0.20674467020697262</v>
      </c>
      <c r="AN60" s="352">
        <f ca="1">-0.1208*AN52+0.1*AN53+AN44</f>
        <v>-8.9702675965763576E-2</v>
      </c>
      <c r="AO60" s="353"/>
      <c r="AP60" s="351"/>
      <c r="AQ60" s="352">
        <f ca="1">0.01277*AQ52+0.08794*AQ53+AQ44</f>
        <v>5.5488659409420452E-2</v>
      </c>
      <c r="AR60" s="352">
        <f ca="1">0.00608*AR52+0.06247*AR53+AR44</f>
        <v>4.1781493635949948E-2</v>
      </c>
      <c r="AS60" s="352">
        <f ca="1">-0.00464*AS52+0.09181*AS53+AS44</f>
        <v>-0.429371563390191</v>
      </c>
      <c r="AT60" s="352">
        <f ca="1">-0.08639*AT52+0.08543*AT53+AT44</f>
        <v>-0.22592079575352325</v>
      </c>
      <c r="AU60" s="353"/>
      <c r="AV60" s="351"/>
      <c r="AW60" s="352">
        <f ca="1">-0.04337*AW52+0.0847*AW53+AW44</f>
        <v>0.32319121211709478</v>
      </c>
      <c r="AX60" s="352">
        <f ca="1">0.04535*AX52+0.07966*AX53+AX44</f>
        <v>-8.1142376281287509E-2</v>
      </c>
      <c r="AY60" s="352">
        <f ca="1">-0.03946*AY52+0.09175*AY53+AY44</f>
        <v>-0.5757721434173082</v>
      </c>
      <c r="AZ60" s="352">
        <f ca="1">-0.18757*AZ52+0.12127*AZ53+AZ44</f>
        <v>6.2343852690830884E-2</v>
      </c>
      <c r="BA60" s="353"/>
      <c r="BB60" s="351"/>
      <c r="BC60" s="352">
        <f ca="1">-0.03626*BC52+0.09206*BC53+BC44</f>
        <v>0.22089266874460553</v>
      </c>
      <c r="BD60" s="352">
        <f ca="1">0.03632*BD52+0.07712*BD53+BD44</f>
        <v>8.8686709693228338E-2</v>
      </c>
      <c r="BE60" s="352">
        <f ca="1">-0.03284*BE52+0.10287*BE53+BE44</f>
        <v>-0.52805234374623</v>
      </c>
      <c r="BF60" s="352">
        <f ca="1">-0.15962*BF52+0.1125*BF53+BF44</f>
        <v>0.36554571634164446</v>
      </c>
      <c r="BG60" s="353"/>
      <c r="BO60" s="310">
        <v>39</v>
      </c>
      <c r="BP60" s="311">
        <v>0.2636</v>
      </c>
      <c r="BQ60" s="312">
        <v>0.1032</v>
      </c>
    </row>
    <row r="61" spans="1:69" ht="12.75" customHeight="1" x14ac:dyDescent="0.15">
      <c r="A61" s="269">
        <f t="shared" si="0"/>
        <v>46</v>
      </c>
      <c r="B61" s="322">
        <f t="shared" si="1"/>
        <v>42.46153846153846</v>
      </c>
      <c r="C61" s="323">
        <f t="shared" si="2"/>
        <v>184</v>
      </c>
      <c r="D61" s="327">
        <f t="shared" si="3"/>
        <v>0.2147188449371423</v>
      </c>
      <c r="E61" s="327">
        <f t="shared" si="4"/>
        <v>0.21967664501280029</v>
      </c>
      <c r="F61" s="327">
        <f t="shared" si="5"/>
        <v>0.25521482535449158</v>
      </c>
      <c r="G61" s="327">
        <f t="shared" si="6"/>
        <v>0.2281283843313571</v>
      </c>
      <c r="H61" s="327">
        <f t="shared" si="7"/>
        <v>0.23305336644955524</v>
      </c>
      <c r="I61" s="327">
        <f t="shared" si="8"/>
        <v>0.22305726037550544</v>
      </c>
      <c r="J61" s="327">
        <f t="shared" si="9"/>
        <v>3.7676255834889039E-2</v>
      </c>
      <c r="K61" s="327">
        <f t="shared" si="10"/>
        <v>3.2890324384071079E-2</v>
      </c>
      <c r="L61" s="327">
        <f t="shared" si="11"/>
        <v>6.4917198224161421E-2</v>
      </c>
      <c r="M61" s="327">
        <f t="shared" si="12"/>
        <v>7.003467053312222E-2</v>
      </c>
      <c r="N61" s="327">
        <f t="shared" si="13"/>
        <v>8.9657350885970655E-2</v>
      </c>
      <c r="O61" s="328">
        <f t="shared" si="14"/>
        <v>0.10634428114485284</v>
      </c>
      <c r="P61" s="327">
        <f t="shared" si="15"/>
        <v>0.47590527078726524</v>
      </c>
      <c r="Q61" s="327">
        <f t="shared" si="16"/>
        <v>0.39334590161835409</v>
      </c>
      <c r="R61" s="327">
        <f t="shared" si="17"/>
        <v>0.46913275196912074</v>
      </c>
      <c r="S61" s="327">
        <f t="shared" si="18"/>
        <v>0.431093147370118</v>
      </c>
      <c r="T61" s="327">
        <f t="shared" si="19"/>
        <v>0.42414032599156537</v>
      </c>
      <c r="U61" s="328">
        <f t="shared" si="20"/>
        <v>0.42368582027044754</v>
      </c>
      <c r="V61" s="327">
        <f t="shared" si="21"/>
        <v>0.37703734201521777</v>
      </c>
      <c r="W61" s="327">
        <f t="shared" si="22"/>
        <v>0.34827850663473919</v>
      </c>
      <c r="X61" s="327">
        <f t="shared" si="23"/>
        <v>0.38055567282453229</v>
      </c>
      <c r="Y61" s="327">
        <f t="shared" si="24"/>
        <v>0.3629457068111473</v>
      </c>
      <c r="Z61" s="327">
        <f t="shared" si="25"/>
        <v>0.34267346543623806</v>
      </c>
      <c r="AA61" s="328">
        <f t="shared" si="26"/>
        <v>0.35907715635838122</v>
      </c>
      <c r="AI61" s="305"/>
      <c r="AJ61" s="340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273"/>
      <c r="BA61" s="273"/>
      <c r="BB61" s="273"/>
      <c r="BC61" s="273"/>
      <c r="BO61" s="310">
        <v>39.75</v>
      </c>
      <c r="BP61" s="311">
        <v>0.2636</v>
      </c>
      <c r="BQ61" s="312">
        <v>0.1032</v>
      </c>
    </row>
    <row r="62" spans="1:69" ht="13.5" customHeight="1" x14ac:dyDescent="0.15">
      <c r="A62" s="269">
        <f t="shared" si="0"/>
        <v>47</v>
      </c>
      <c r="B62" s="322">
        <f t="shared" si="1"/>
        <v>43.384615384615387</v>
      </c>
      <c r="C62" s="323">
        <f t="shared" si="2"/>
        <v>188</v>
      </c>
      <c r="D62" s="327">
        <f t="shared" si="3"/>
        <v>0.20765653382467239</v>
      </c>
      <c r="E62" s="327">
        <f t="shared" si="4"/>
        <v>0.21299189934318011</v>
      </c>
      <c r="F62" s="327">
        <f t="shared" si="5"/>
        <v>0.24991732250577736</v>
      </c>
      <c r="G62" s="327">
        <f t="shared" si="6"/>
        <v>0.22285838702317265</v>
      </c>
      <c r="H62" s="327">
        <f t="shared" si="7"/>
        <v>0.2267985288479952</v>
      </c>
      <c r="I62" s="327">
        <f t="shared" si="8"/>
        <v>0.21686741645787277</v>
      </c>
      <c r="J62" s="327">
        <f t="shared" si="9"/>
        <v>3.5084289669575996E-2</v>
      </c>
      <c r="K62" s="327">
        <f t="shared" si="10"/>
        <v>3.0470245453145174E-2</v>
      </c>
      <c r="L62" s="327">
        <f t="shared" si="11"/>
        <v>6.2527504619436902E-2</v>
      </c>
      <c r="M62" s="327">
        <f t="shared" si="12"/>
        <v>6.7970315775046211E-2</v>
      </c>
      <c r="N62" s="327">
        <f t="shared" si="13"/>
        <v>8.744896386365808E-2</v>
      </c>
      <c r="O62" s="328">
        <f t="shared" si="14"/>
        <v>0.10417601067344347</v>
      </c>
      <c r="P62" s="327">
        <f t="shared" si="15"/>
        <v>0.46828483220843709</v>
      </c>
      <c r="Q62" s="327">
        <f t="shared" si="16"/>
        <v>0.38783034992776028</v>
      </c>
      <c r="R62" s="327">
        <f t="shared" si="17"/>
        <v>0.461725376555292</v>
      </c>
      <c r="S62" s="327">
        <f t="shared" si="18"/>
        <v>0.42209478437041426</v>
      </c>
      <c r="T62" s="327">
        <f t="shared" si="19"/>
        <v>0.41141391585873116</v>
      </c>
      <c r="U62" s="328">
        <f t="shared" si="20"/>
        <v>0.41304426357582213</v>
      </c>
      <c r="V62" s="327">
        <f t="shared" si="21"/>
        <v>0.36912658907194729</v>
      </c>
      <c r="W62" s="327">
        <f t="shared" si="22"/>
        <v>0.34181747020039899</v>
      </c>
      <c r="X62" s="327">
        <f t="shared" si="23"/>
        <v>0.37385273723395473</v>
      </c>
      <c r="Y62" s="327">
        <f t="shared" si="24"/>
        <v>0.35568662681561564</v>
      </c>
      <c r="Z62" s="327">
        <f t="shared" si="25"/>
        <v>0.33232023273055461</v>
      </c>
      <c r="AA62" s="328">
        <f t="shared" si="26"/>
        <v>0.35119809192931661</v>
      </c>
      <c r="AI62" s="305" t="s">
        <v>723</v>
      </c>
      <c r="AJ62" s="305"/>
      <c r="AK62" s="305"/>
      <c r="AL62" s="305"/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273"/>
      <c r="BA62" s="273"/>
      <c r="BB62" s="273"/>
      <c r="BC62" s="273"/>
      <c r="BO62" s="310">
        <v>40.5</v>
      </c>
      <c r="BP62" s="311">
        <v>0.2636</v>
      </c>
      <c r="BQ62" s="312">
        <v>0.1032</v>
      </c>
    </row>
    <row r="63" spans="1:69" ht="15" customHeight="1" x14ac:dyDescent="0.2">
      <c r="A63" s="269">
        <f t="shared" si="0"/>
        <v>48</v>
      </c>
      <c r="B63" s="322">
        <f t="shared" si="1"/>
        <v>44.307692307692307</v>
      </c>
      <c r="C63" s="323">
        <f t="shared" si="2"/>
        <v>192</v>
      </c>
      <c r="D63" s="327">
        <f t="shared" si="3"/>
        <v>0.20082650897596255</v>
      </c>
      <c r="E63" s="327">
        <f t="shared" si="4"/>
        <v>0.20651890962728539</v>
      </c>
      <c r="F63" s="327">
        <f t="shared" si="5"/>
        <v>0.24478843817841356</v>
      </c>
      <c r="G63" s="327">
        <f t="shared" si="6"/>
        <v>0.21778401274743819</v>
      </c>
      <c r="H63" s="327">
        <f t="shared" si="7"/>
        <v>0.22074931963937577</v>
      </c>
      <c r="I63" s="327">
        <f t="shared" si="8"/>
        <v>0.21088710050510284</v>
      </c>
      <c r="J63" s="327">
        <f t="shared" si="9"/>
        <v>3.2670639752872425E-2</v>
      </c>
      <c r="K63" s="327">
        <f t="shared" si="10"/>
        <v>2.8226891854646739E-2</v>
      </c>
      <c r="L63" s="327">
        <f t="shared" si="11"/>
        <v>6.0255106335451392E-2</v>
      </c>
      <c r="M63" s="327">
        <f t="shared" si="12"/>
        <v>6.6004193589066437E-2</v>
      </c>
      <c r="N63" s="327">
        <f t="shared" si="13"/>
        <v>8.5354958908713183E-2</v>
      </c>
      <c r="O63" s="328">
        <f t="shared" si="14"/>
        <v>0.10209305891935209</v>
      </c>
      <c r="P63" s="327">
        <f t="shared" si="15"/>
        <v>0.46078641598930598</v>
      </c>
      <c r="Q63" s="327">
        <f t="shared" si="16"/>
        <v>0.38242667730877716</v>
      </c>
      <c r="R63" s="327">
        <f t="shared" si="17"/>
        <v>0.4544867780125853</v>
      </c>
      <c r="S63" s="327">
        <f t="shared" si="18"/>
        <v>0.41333564829342012</v>
      </c>
      <c r="T63" s="327">
        <f t="shared" si="19"/>
        <v>0.39878873239226564</v>
      </c>
      <c r="U63" s="328">
        <f t="shared" si="20"/>
        <v>0.40260888344775159</v>
      </c>
      <c r="V63" s="327">
        <f t="shared" si="21"/>
        <v>0.36138181441558859</v>
      </c>
      <c r="W63" s="327">
        <f t="shared" si="22"/>
        <v>0.33550054125901818</v>
      </c>
      <c r="X63" s="327">
        <f t="shared" si="23"/>
        <v>0.36732765936318046</v>
      </c>
      <c r="Y63" s="327">
        <f t="shared" si="24"/>
        <v>0.34864406368774969</v>
      </c>
      <c r="Z63" s="327">
        <f t="shared" si="25"/>
        <v>0.32215739842847685</v>
      </c>
      <c r="AA63" s="328">
        <f t="shared" si="26"/>
        <v>0.34352281688359876</v>
      </c>
      <c r="AI63" s="305"/>
      <c r="AJ63" s="590" t="s">
        <v>665</v>
      </c>
      <c r="AK63" s="572"/>
      <c r="AL63" s="572"/>
      <c r="AM63" s="572"/>
      <c r="AN63" s="572"/>
      <c r="AO63" s="572"/>
      <c r="AP63" s="590" t="s">
        <v>664</v>
      </c>
      <c r="AQ63" s="572"/>
      <c r="AR63" s="572"/>
      <c r="AS63" s="572"/>
      <c r="AT63" s="572"/>
      <c r="AU63" s="572"/>
      <c r="AV63" s="305"/>
      <c r="AW63" s="305"/>
      <c r="AX63" s="305"/>
      <c r="AY63" s="273"/>
      <c r="AZ63" s="273"/>
      <c r="BA63" s="273"/>
      <c r="BB63" s="273"/>
      <c r="BO63" s="310">
        <v>41.25</v>
      </c>
      <c r="BP63" s="311">
        <v>0.2636</v>
      </c>
      <c r="BQ63" s="312">
        <v>0.1032</v>
      </c>
    </row>
    <row r="64" spans="1:69" ht="12.75" customHeight="1" x14ac:dyDescent="0.15">
      <c r="A64" s="269">
        <f t="shared" si="0"/>
        <v>49</v>
      </c>
      <c r="B64" s="322">
        <f t="shared" si="1"/>
        <v>45.230769230769234</v>
      </c>
      <c r="C64" s="323">
        <f t="shared" si="2"/>
        <v>196</v>
      </c>
      <c r="D64" s="327">
        <f t="shared" si="3"/>
        <v>0.19422113027045265</v>
      </c>
      <c r="E64" s="327">
        <f t="shared" si="4"/>
        <v>0.20025054684263238</v>
      </c>
      <c r="F64" s="327">
        <f t="shared" si="5"/>
        <v>0.23982075293261418</v>
      </c>
      <c r="G64" s="327">
        <f t="shared" si="6"/>
        <v>0.21289559843783498</v>
      </c>
      <c r="H64" s="327">
        <f t="shared" si="7"/>
        <v>0.21489798107414523</v>
      </c>
      <c r="I64" s="327">
        <f t="shared" si="8"/>
        <v>0.20510774244837071</v>
      </c>
      <c r="J64" s="327">
        <f t="shared" si="9"/>
        <v>3.0423038685248288E-2</v>
      </c>
      <c r="K64" s="327">
        <f t="shared" si="10"/>
        <v>2.6147483361974151E-2</v>
      </c>
      <c r="L64" s="327">
        <f t="shared" si="11"/>
        <v>5.8092730377922508E-2</v>
      </c>
      <c r="M64" s="327">
        <f t="shared" si="12"/>
        <v>6.4129955686513043E-2</v>
      </c>
      <c r="N64" s="327">
        <f t="shared" si="13"/>
        <v>8.3368034801975979E-2</v>
      </c>
      <c r="O64" s="328">
        <f t="shared" si="14"/>
        <v>0.10009051050649267</v>
      </c>
      <c r="P64" s="327">
        <f t="shared" si="15"/>
        <v>0.45340806824544477</v>
      </c>
      <c r="Q64" s="327">
        <f t="shared" si="16"/>
        <v>0.37713143471078348</v>
      </c>
      <c r="R64" s="327">
        <f t="shared" si="17"/>
        <v>0.44741204446558802</v>
      </c>
      <c r="S64" s="327">
        <f t="shared" si="18"/>
        <v>0.40480991688382434</v>
      </c>
      <c r="T64" s="327">
        <f t="shared" si="19"/>
        <v>0.38627287862903048</v>
      </c>
      <c r="U64" s="328">
        <f t="shared" si="20"/>
        <v>0.39237898835363383</v>
      </c>
      <c r="V64" s="327">
        <f t="shared" si="21"/>
        <v>0.3537995355973883</v>
      </c>
      <c r="W64" s="327">
        <f t="shared" si="22"/>
        <v>0.32932356702348431</v>
      </c>
      <c r="X64" s="327">
        <f t="shared" si="23"/>
        <v>0.36097403625916846</v>
      </c>
      <c r="Y64" s="327">
        <f t="shared" si="24"/>
        <v>0.34181018917617556</v>
      </c>
      <c r="Z64" s="327">
        <f t="shared" si="25"/>
        <v>0.31218527322733475</v>
      </c>
      <c r="AA64" s="328">
        <f t="shared" si="26"/>
        <v>0.33604532369828233</v>
      </c>
      <c r="AI64" s="305"/>
      <c r="AJ64" s="589" t="s">
        <v>485</v>
      </c>
      <c r="AK64" s="576"/>
      <c r="AL64" s="576"/>
      <c r="AM64" s="591" t="s">
        <v>701</v>
      </c>
      <c r="AN64" s="576"/>
      <c r="AO64" s="576"/>
      <c r="AP64" s="589" t="s">
        <v>485</v>
      </c>
      <c r="AQ64" s="576"/>
      <c r="AR64" s="576"/>
      <c r="AS64" s="591" t="s">
        <v>701</v>
      </c>
      <c r="AT64" s="576"/>
      <c r="AU64" s="576"/>
      <c r="BO64" s="310">
        <v>42</v>
      </c>
      <c r="BP64" s="311">
        <v>0.2636</v>
      </c>
      <c r="BQ64" s="312">
        <v>0.1032</v>
      </c>
    </row>
    <row r="65" spans="1:69" ht="12.75" customHeight="1" x14ac:dyDescent="0.15">
      <c r="A65" s="269">
        <f t="shared" si="0"/>
        <v>50</v>
      </c>
      <c r="B65" s="322">
        <f t="shared" si="1"/>
        <v>46.153846153846153</v>
      </c>
      <c r="C65" s="323">
        <f t="shared" si="2"/>
        <v>200</v>
      </c>
      <c r="D65" s="327">
        <f t="shared" si="3"/>
        <v>0.18783300887855986</v>
      </c>
      <c r="E65" s="327">
        <f t="shared" si="4"/>
        <v>0.19417994645214934</v>
      </c>
      <c r="F65" s="327">
        <f t="shared" si="5"/>
        <v>0.23500726751722334</v>
      </c>
      <c r="G65" s="327">
        <f t="shared" si="6"/>
        <v>0.20818405890418509</v>
      </c>
      <c r="H65" s="327">
        <f t="shared" si="7"/>
        <v>0.20923708161413807</v>
      </c>
      <c r="I65" s="327">
        <f t="shared" si="8"/>
        <v>0.19952118879765146</v>
      </c>
      <c r="J65" s="327">
        <f t="shared" si="9"/>
        <v>2.8330063012088364E-2</v>
      </c>
      <c r="K65" s="327">
        <f t="shared" si="10"/>
        <v>2.4220151889634708E-2</v>
      </c>
      <c r="L65" s="327">
        <f t="shared" si="11"/>
        <v>5.6033650985829686E-2</v>
      </c>
      <c r="M65" s="327">
        <f t="shared" si="12"/>
        <v>6.2341766097180187E-2</v>
      </c>
      <c r="N65" s="327">
        <f t="shared" si="13"/>
        <v>8.1481445268288044E-2</v>
      </c>
      <c r="O65" s="328">
        <f t="shared" si="14"/>
        <v>9.8163819642621983E-2</v>
      </c>
      <c r="P65" s="327">
        <f t="shared" si="15"/>
        <v>0.44614786637902337</v>
      </c>
      <c r="Q65" s="327">
        <f t="shared" si="16"/>
        <v>0.37194133083674091</v>
      </c>
      <c r="R65" s="327">
        <f t="shared" si="17"/>
        <v>0.44049642058453986</v>
      </c>
      <c r="S65" s="327">
        <f t="shared" si="18"/>
        <v>0.39651173733981421</v>
      </c>
      <c r="T65" s="327">
        <f t="shared" si="19"/>
        <v>0.37387443626458688</v>
      </c>
      <c r="U65" s="328">
        <f t="shared" si="20"/>
        <v>0.38235365143996403</v>
      </c>
      <c r="V65" s="327">
        <f t="shared" si="21"/>
        <v>0.34637634323507371</v>
      </c>
      <c r="W65" s="327">
        <f t="shared" si="22"/>
        <v>0.32328255914657494</v>
      </c>
      <c r="X65" s="327">
        <f t="shared" si="23"/>
        <v>0.35478575293746062</v>
      </c>
      <c r="Y65" s="327">
        <f t="shared" si="24"/>
        <v>0.33517746087033751</v>
      </c>
      <c r="Z65" s="327">
        <f t="shared" si="25"/>
        <v>0.30240406389661484</v>
      </c>
      <c r="AA65" s="328">
        <f t="shared" si="26"/>
        <v>0.32875978955829877</v>
      </c>
      <c r="AJ65" s="305" t="s">
        <v>724</v>
      </c>
      <c r="AK65" s="305" t="s">
        <v>725</v>
      </c>
      <c r="AL65" s="354" t="s">
        <v>720</v>
      </c>
      <c r="AM65" s="305" t="s">
        <v>724</v>
      </c>
      <c r="AN65" s="305" t="s">
        <v>725</v>
      </c>
      <c r="AO65" s="305" t="s">
        <v>720</v>
      </c>
      <c r="AP65" s="305" t="s">
        <v>724</v>
      </c>
      <c r="AQ65" s="305" t="s">
        <v>725</v>
      </c>
      <c r="AR65" s="354" t="s">
        <v>720</v>
      </c>
      <c r="AS65" s="305" t="s">
        <v>724</v>
      </c>
      <c r="AT65" s="305" t="s">
        <v>725</v>
      </c>
      <c r="AU65" s="305" t="s">
        <v>720</v>
      </c>
      <c r="BO65" s="310">
        <v>42.75</v>
      </c>
      <c r="BP65" s="311">
        <v>0.23960000000000001</v>
      </c>
      <c r="BQ65" s="312">
        <v>0.1032</v>
      </c>
    </row>
    <row r="66" spans="1:69" ht="12.75" customHeight="1" x14ac:dyDescent="0.15">
      <c r="A66" s="269">
        <f t="shared" si="0"/>
        <v>51</v>
      </c>
      <c r="B66" s="322">
        <f t="shared" si="1"/>
        <v>47.07692307692308</v>
      </c>
      <c r="C66" s="323">
        <f t="shared" si="2"/>
        <v>204</v>
      </c>
      <c r="D66" s="327">
        <f t="shared" si="3"/>
        <v>0.18165499899647405</v>
      </c>
      <c r="E66" s="327">
        <f t="shared" si="4"/>
        <v>0.18830049694331183</v>
      </c>
      <c r="F66" s="327">
        <f t="shared" si="5"/>
        <v>0.23034137375937047</v>
      </c>
      <c r="G66" s="327">
        <f t="shared" si="6"/>
        <v>0.20364084761353501</v>
      </c>
      <c r="H66" s="327">
        <f t="shared" si="7"/>
        <v>0.20375950092076492</v>
      </c>
      <c r="I66" s="327">
        <f t="shared" si="8"/>
        <v>0.19411967913750772</v>
      </c>
      <c r="J66" s="327">
        <f t="shared" si="9"/>
        <v>2.6381075163871205E-2</v>
      </c>
      <c r="K66" s="327">
        <f t="shared" si="10"/>
        <v>2.2433877619201393E-2</v>
      </c>
      <c r="L66" s="327">
        <f t="shared" si="11"/>
        <v>5.4071641169302076E-2</v>
      </c>
      <c r="M66" s="327">
        <f t="shared" si="12"/>
        <v>6.0634252044890577E-2</v>
      </c>
      <c r="N66" s="327">
        <f t="shared" si="13"/>
        <v>7.9688950560050528E-2</v>
      </c>
      <c r="O66" s="328">
        <f t="shared" si="14"/>
        <v>9.6308776078591826E-2</v>
      </c>
      <c r="P66" s="327">
        <f t="shared" si="15"/>
        <v>0.43900391857783089</v>
      </c>
      <c r="Q66" s="327">
        <f t="shared" si="16"/>
        <v>0.36685322217425265</v>
      </c>
      <c r="R66" s="327">
        <f t="shared" si="17"/>
        <v>0.43373530414992623</v>
      </c>
      <c r="S66" s="327">
        <f t="shared" si="18"/>
        <v>0.38843525315229749</v>
      </c>
      <c r="T66" s="327">
        <f t="shared" si="19"/>
        <v>0.3616014473788931</v>
      </c>
      <c r="U66" s="328">
        <f t="shared" si="20"/>
        <v>0.3725317298528843</v>
      </c>
      <c r="V66" s="327">
        <f t="shared" si="21"/>
        <v>0.33910889947981954</v>
      </c>
      <c r="W66" s="327">
        <f t="shared" si="22"/>
        <v>0.3173736846741852</v>
      </c>
      <c r="X66" s="327">
        <f t="shared" si="23"/>
        <v>0.34875696738987916</v>
      </c>
      <c r="Y66" s="327">
        <f t="shared" si="24"/>
        <v>0.32873861631948575</v>
      </c>
      <c r="Z66" s="327">
        <f t="shared" si="25"/>
        <v>0.29281387288979099</v>
      </c>
      <c r="AA66" s="328">
        <f t="shared" si="26"/>
        <v>0.32166057222030053</v>
      </c>
      <c r="AI66" s="305" t="s">
        <v>724</v>
      </c>
      <c r="AJ66" s="269">
        <v>0.1494173</v>
      </c>
      <c r="AK66" s="269">
        <v>-4.7322700000000002E-2</v>
      </c>
      <c r="AL66" s="355">
        <v>0.18669730000000001</v>
      </c>
      <c r="AM66" s="269">
        <v>0.18692900000000001</v>
      </c>
      <c r="AN66" s="269">
        <v>5.1343800000000002E-2</v>
      </c>
      <c r="AO66" s="355">
        <v>0.28789540000000002</v>
      </c>
      <c r="AP66" s="269">
        <v>0.11560230000000001</v>
      </c>
      <c r="AQ66" s="269">
        <v>-4.6961299999999997E-2</v>
      </c>
      <c r="AR66" s="355">
        <v>0.17476920000000001</v>
      </c>
      <c r="AS66" s="269">
        <v>0.17122860000000001</v>
      </c>
      <c r="AT66" s="269">
        <v>-0.1024254</v>
      </c>
      <c r="AU66" s="355">
        <v>0.32095829999999997</v>
      </c>
      <c r="BO66" s="310">
        <v>43.5</v>
      </c>
      <c r="BP66" s="311">
        <v>0.23960000000000001</v>
      </c>
      <c r="BQ66" s="312">
        <v>0.1032</v>
      </c>
    </row>
    <row r="67" spans="1:69" ht="12.75" customHeight="1" x14ac:dyDescent="0.15">
      <c r="A67" s="269">
        <f t="shared" si="0"/>
        <v>52</v>
      </c>
      <c r="B67" s="322">
        <f t="shared" si="1"/>
        <v>48</v>
      </c>
      <c r="C67" s="323">
        <f t="shared" si="2"/>
        <v>208</v>
      </c>
      <c r="D67" s="327">
        <f t="shared" si="3"/>
        <v>0.17568018985280498</v>
      </c>
      <c r="E67" s="327">
        <f t="shared" si="4"/>
        <v>0.18260582899058822</v>
      </c>
      <c r="F67" s="327">
        <f t="shared" si="5"/>
        <v>0.22581682782975743</v>
      </c>
      <c r="G67" s="327">
        <f t="shared" si="6"/>
        <v>0.19925792031265857</v>
      </c>
      <c r="H67" s="327">
        <f t="shared" si="7"/>
        <v>0.19845841558972047</v>
      </c>
      <c r="I67" s="327">
        <f t="shared" si="8"/>
        <v>0.18889582411382033</v>
      </c>
      <c r="J67" s="327">
        <f t="shared" si="9"/>
        <v>2.4566169390617239E-2</v>
      </c>
      <c r="K67" s="327">
        <f t="shared" si="10"/>
        <v>2.0778429465579867E-2</v>
      </c>
      <c r="L67" s="327">
        <f t="shared" si="11"/>
        <v>5.2200929180676869E-2</v>
      </c>
      <c r="M67" s="327">
        <f t="shared" si="12"/>
        <v>5.9002460237941493E-2</v>
      </c>
      <c r="N67" s="327">
        <f t="shared" si="13"/>
        <v>7.7984773763646431E-2</v>
      </c>
      <c r="O67" s="328">
        <f t="shared" si="14"/>
        <v>9.452147475724626E-2</v>
      </c>
      <c r="P67" s="327">
        <f t="shared" si="15"/>
        <v>0.43197436332232159</v>
      </c>
      <c r="Q67" s="327">
        <f t="shared" si="16"/>
        <v>0.36186410383680018</v>
      </c>
      <c r="R67" s="327">
        <f t="shared" si="17"/>
        <v>0.42712424234076785</v>
      </c>
      <c r="S67" s="327">
        <f t="shared" si="18"/>
        <v>0.38057462730799313</v>
      </c>
      <c r="T67" s="327">
        <f t="shared" si="19"/>
        <v>0.34946189557045076</v>
      </c>
      <c r="U67" s="328">
        <f t="shared" si="20"/>
        <v>0.36291188281574793</v>
      </c>
      <c r="V67" s="327">
        <f t="shared" si="21"/>
        <v>0.33199393651537951</v>
      </c>
      <c r="W67" s="327">
        <f t="shared" si="22"/>
        <v>0.31159325766173046</v>
      </c>
      <c r="X67" s="327">
        <f t="shared" si="23"/>
        <v>0.34288209641032286</v>
      </c>
      <c r="Y67" s="327">
        <f t="shared" si="24"/>
        <v>0.32248666639355172</v>
      </c>
      <c r="Z67" s="327">
        <f t="shared" si="25"/>
        <v>0.28341469808258035</v>
      </c>
      <c r="AA67" s="328">
        <f t="shared" si="26"/>
        <v>0.31474220566228983</v>
      </c>
      <c r="AI67" s="305" t="s">
        <v>725</v>
      </c>
      <c r="AJ67" s="269">
        <v>0</v>
      </c>
      <c r="AK67" s="269">
        <v>0.1042915</v>
      </c>
      <c r="AL67" s="355">
        <v>-0.12093379999999999</v>
      </c>
      <c r="AM67" s="269">
        <v>0</v>
      </c>
      <c r="AN67" s="269">
        <v>6.16103E-2</v>
      </c>
      <c r="AO67" s="355">
        <v>7.5894999999999999E-3</v>
      </c>
      <c r="AP67" s="269">
        <v>0</v>
      </c>
      <c r="AQ67" s="269">
        <v>0.18940879999999999</v>
      </c>
      <c r="AR67" s="355">
        <v>-0.24802070000000001</v>
      </c>
      <c r="AS67" s="269">
        <v>0</v>
      </c>
      <c r="AT67" s="269">
        <v>0.15667439999999999</v>
      </c>
      <c r="AU67" s="355">
        <v>-0.23023840000000001</v>
      </c>
      <c r="BO67" s="310">
        <v>44.25</v>
      </c>
      <c r="BP67" s="311">
        <v>0.23960000000000001</v>
      </c>
      <c r="BQ67" s="312">
        <v>0.1032</v>
      </c>
    </row>
    <row r="68" spans="1:69" ht="12.75" customHeight="1" x14ac:dyDescent="0.15">
      <c r="A68" s="269">
        <f t="shared" si="0"/>
        <v>53</v>
      </c>
      <c r="B68" s="322">
        <f t="shared" si="1"/>
        <v>48.92307692307692</v>
      </c>
      <c r="C68" s="323">
        <f t="shared" si="2"/>
        <v>212</v>
      </c>
      <c r="D68" s="327">
        <f t="shared" si="3"/>
        <v>0.16990189797813748</v>
      </c>
      <c r="E68" s="327">
        <f t="shared" si="4"/>
        <v>0.17708980519659531</v>
      </c>
      <c r="F68" s="327">
        <f t="shared" si="5"/>
        <v>0.22142772566184266</v>
      </c>
      <c r="G68" s="327">
        <f t="shared" si="6"/>
        <v>0.195027701291347</v>
      </c>
      <c r="H68" s="327">
        <f t="shared" si="7"/>
        <v>0.19332728559246562</v>
      </c>
      <c r="I68" s="327">
        <f t="shared" si="8"/>
        <v>0.18384258481005211</v>
      </c>
      <c r="J68" s="327">
        <f t="shared" si="9"/>
        <v>2.2876121415816505E-2</v>
      </c>
      <c r="K68" s="327">
        <f t="shared" si="10"/>
        <v>1.9244309604155348E-2</v>
      </c>
      <c r="L68" s="327">
        <f t="shared" si="11"/>
        <v>5.0416159352214329E-2</v>
      </c>
      <c r="M68" s="327">
        <f t="shared" si="12"/>
        <v>5.7441817904304145E-2</v>
      </c>
      <c r="N68" s="327">
        <f t="shared" si="13"/>
        <v>7.6363561322636872E-2</v>
      </c>
      <c r="O68" s="328">
        <f t="shared" si="14"/>
        <v>9.2798288694194792E-2</v>
      </c>
      <c r="P68" s="327">
        <f t="shared" si="15"/>
        <v>0.42505736890055229</v>
      </c>
      <c r="Q68" s="327">
        <f t="shared" si="16"/>
        <v>0.35697110113492625</v>
      </c>
      <c r="R68" s="327">
        <f t="shared" si="17"/>
        <v>0.42065892782310599</v>
      </c>
      <c r="S68" s="327">
        <f t="shared" si="18"/>
        <v>0.3729240622425431</v>
      </c>
      <c r="T68" s="327">
        <f t="shared" si="19"/>
        <v>0.33746368654900655</v>
      </c>
      <c r="U68" s="328">
        <f t="shared" si="20"/>
        <v>0.35349258854623822</v>
      </c>
      <c r="V68" s="327">
        <f t="shared" si="21"/>
        <v>0.32502825508870803</v>
      </c>
      <c r="W68" s="327">
        <f t="shared" si="22"/>
        <v>0.30593773139261349</v>
      </c>
      <c r="X68" s="327">
        <f t="shared" si="23"/>
        <v>0.33715580220222452</v>
      </c>
      <c r="Y68" s="327">
        <f t="shared" si="24"/>
        <v>0.31641488806855245</v>
      </c>
      <c r="Z68" s="327">
        <f t="shared" si="25"/>
        <v>0.27420643264000927</v>
      </c>
      <c r="AA68" s="328">
        <f t="shared" si="26"/>
        <v>0.30799939558100309</v>
      </c>
      <c r="AI68" s="305" t="s">
        <v>720</v>
      </c>
      <c r="AJ68" s="269">
        <v>0</v>
      </c>
      <c r="AK68" s="269">
        <v>0</v>
      </c>
      <c r="AL68" s="355">
        <v>0.1343724</v>
      </c>
      <c r="AM68" s="269">
        <v>0</v>
      </c>
      <c r="AN68" s="269">
        <v>0</v>
      </c>
      <c r="AO68" s="355">
        <v>0.15088840000000001</v>
      </c>
      <c r="AP68" s="269">
        <v>0</v>
      </c>
      <c r="AQ68" s="269">
        <v>0</v>
      </c>
      <c r="AR68" s="355">
        <v>0.13548379999999999</v>
      </c>
      <c r="AS68" s="269">
        <v>0</v>
      </c>
      <c r="AT68" s="269">
        <v>0</v>
      </c>
      <c r="AU68" s="355">
        <v>0.1428595</v>
      </c>
      <c r="BO68" s="310">
        <v>45</v>
      </c>
      <c r="BP68" s="311">
        <v>0.23960000000000001</v>
      </c>
      <c r="BQ68" s="312">
        <v>0.1032</v>
      </c>
    </row>
    <row r="69" spans="1:69" ht="12" customHeight="1" x14ac:dyDescent="0.15">
      <c r="A69" s="269">
        <f t="shared" si="0"/>
        <v>54</v>
      </c>
      <c r="B69" s="322">
        <f t="shared" si="1"/>
        <v>49.846153846153847</v>
      </c>
      <c r="C69" s="323">
        <f t="shared" si="2"/>
        <v>216</v>
      </c>
      <c r="D69" s="327">
        <f t="shared" si="3"/>
        <v>0.16431365972884926</v>
      </c>
      <c r="E69" s="327">
        <f t="shared" si="4"/>
        <v>0.17174651037150535</v>
      </c>
      <c r="F69" s="327">
        <f t="shared" si="5"/>
        <v>0.21716848032628799</v>
      </c>
      <c r="G69" s="327">
        <f t="shared" si="6"/>
        <v>0.19094305209639748</v>
      </c>
      <c r="H69" s="327">
        <f t="shared" si="7"/>
        <v>0.18835984138699072</v>
      </c>
      <c r="I69" s="327">
        <f t="shared" si="8"/>
        <v>0.17895325341839552</v>
      </c>
      <c r="J69" s="327">
        <f t="shared" si="9"/>
        <v>2.1302341553952369E-2</v>
      </c>
      <c r="K69" s="327">
        <f t="shared" si="10"/>
        <v>1.7822701795381229E-2</v>
      </c>
      <c r="L69" s="327">
        <f t="shared" si="11"/>
        <v>4.871235680625241E-2</v>
      </c>
      <c r="M69" s="327">
        <f t="shared" si="12"/>
        <v>5.5948097992911283E-2</v>
      </c>
      <c r="N69" s="327">
        <f t="shared" si="13"/>
        <v>7.4820347330467746E-2</v>
      </c>
      <c r="O69" s="328">
        <f t="shared" si="14"/>
        <v>9.1135844696402846E-2</v>
      </c>
      <c r="P69" s="327">
        <f t="shared" si="15"/>
        <v>0.41825113293088834</v>
      </c>
      <c r="Q69" s="327">
        <f t="shared" si="16"/>
        <v>0.35217146180645331</v>
      </c>
      <c r="R69" s="327">
        <f t="shared" si="17"/>
        <v>0.41433519470168401</v>
      </c>
      <c r="S69" s="327">
        <f t="shared" si="18"/>
        <v>0.36547781689498887</v>
      </c>
      <c r="T69" s="327">
        <f t="shared" si="19"/>
        <v>0.3256146282430496</v>
      </c>
      <c r="U69" s="328">
        <f t="shared" si="20"/>
        <v>0.34427216008903649</v>
      </c>
      <c r="V69" s="327">
        <f t="shared" si="21"/>
        <v>0.31820872307141174</v>
      </c>
      <c r="W69" s="327">
        <f t="shared" si="22"/>
        <v>0.30040369114438792</v>
      </c>
      <c r="X69" s="327">
        <f t="shared" si="23"/>
        <v>0.33157297973037292</v>
      </c>
      <c r="Y69" s="327">
        <f t="shared" si="24"/>
        <v>0.31051681678994181</v>
      </c>
      <c r="Z69" s="327">
        <f t="shared" si="25"/>
        <v>0.26518886501445055</v>
      </c>
      <c r="AA69" s="328">
        <f t="shared" si="26"/>
        <v>0.30142701478860601</v>
      </c>
      <c r="BO69" s="310">
        <v>45.75</v>
      </c>
      <c r="BP69" s="311">
        <v>0.23960000000000001</v>
      </c>
      <c r="BQ69" s="312">
        <v>0.1032</v>
      </c>
    </row>
    <row r="70" spans="1:69" ht="19.5" customHeight="1" x14ac:dyDescent="0.25">
      <c r="A70" s="269">
        <f t="shared" si="0"/>
        <v>55</v>
      </c>
      <c r="B70" s="322">
        <f t="shared" si="1"/>
        <v>50.769230769230766</v>
      </c>
      <c r="C70" s="323">
        <f t="shared" si="2"/>
        <v>220</v>
      </c>
      <c r="D70" s="327">
        <f t="shared" si="3"/>
        <v>0.15890922405682728</v>
      </c>
      <c r="E70" s="327">
        <f t="shared" si="4"/>
        <v>0.16657024231392625</v>
      </c>
      <c r="F70" s="327">
        <f t="shared" si="5"/>
        <v>0.21303380118250526</v>
      </c>
      <c r="G70" s="327">
        <f t="shared" si="6"/>
        <v>0.18699724251721148</v>
      </c>
      <c r="H70" s="327">
        <f t="shared" si="7"/>
        <v>0.18355007166248158</v>
      </c>
      <c r="I70" s="327">
        <f t="shared" si="8"/>
        <v>0.17422143511757004</v>
      </c>
      <c r="J70" s="327">
        <f t="shared" si="9"/>
        <v>1.9836831053340054E-2</v>
      </c>
      <c r="K70" s="327">
        <f t="shared" si="10"/>
        <v>1.6505423258741391E-2</v>
      </c>
      <c r="L70" s="327">
        <f t="shared" si="11"/>
        <v>4.7084895605748245E-2</v>
      </c>
      <c r="M70" s="327">
        <f t="shared" si="12"/>
        <v>5.4517388040260871E-2</v>
      </c>
      <c r="N70" s="327">
        <f t="shared" si="13"/>
        <v>7.3350521196902219E-2</v>
      </c>
      <c r="O70" s="328">
        <f t="shared" si="14"/>
        <v>8.9531001578453701E-2</v>
      </c>
      <c r="P70" s="327">
        <f t="shared" si="15"/>
        <v>0.41155388189235165</v>
      </c>
      <c r="Q70" s="327">
        <f t="shared" si="16"/>
        <v>0.34746254884291466</v>
      </c>
      <c r="R70" s="327">
        <f t="shared" si="17"/>
        <v>0.40814901438657947</v>
      </c>
      <c r="S70" s="327">
        <f t="shared" si="18"/>
        <v>0.35823022118245762</v>
      </c>
      <c r="T70" s="327">
        <f t="shared" si="19"/>
        <v>0.31392241048454239</v>
      </c>
      <c r="U70" s="328">
        <f t="shared" si="20"/>
        <v>0.33524876013415272</v>
      </c>
      <c r="V70" s="327">
        <f t="shared" si="21"/>
        <v>0.31153227405138362</v>
      </c>
      <c r="W70" s="327">
        <f t="shared" si="22"/>
        <v>0.29498784745414053</v>
      </c>
      <c r="X70" s="327">
        <f t="shared" si="23"/>
        <v>0.32612874477967679</v>
      </c>
      <c r="Y70" s="327">
        <f t="shared" si="24"/>
        <v>0.30478623854234294</v>
      </c>
      <c r="Z70" s="327">
        <f t="shared" si="25"/>
        <v>0.25636167907656565</v>
      </c>
      <c r="AA70" s="328">
        <f t="shared" si="26"/>
        <v>0.29502009855155853</v>
      </c>
      <c r="AJ70" s="339" t="s">
        <v>726</v>
      </c>
      <c r="BO70" s="310">
        <v>46.5</v>
      </c>
      <c r="BP70" s="311">
        <v>0.23960000000000001</v>
      </c>
      <c r="BQ70" s="312">
        <v>0.1032</v>
      </c>
    </row>
    <row r="71" spans="1:69" ht="15" customHeight="1" x14ac:dyDescent="0.2">
      <c r="A71" s="269">
        <f t="shared" si="0"/>
        <v>56</v>
      </c>
      <c r="B71" s="322">
        <f t="shared" si="1"/>
        <v>51.692307692307693</v>
      </c>
      <c r="C71" s="323">
        <f t="shared" si="2"/>
        <v>224</v>
      </c>
      <c r="D71" s="327">
        <f t="shared" si="3"/>
        <v>0.15368254551699517</v>
      </c>
      <c r="E71" s="327">
        <f t="shared" si="4"/>
        <v>0.16155550305972607</v>
      </c>
      <c r="F71" s="327">
        <f t="shared" si="5"/>
        <v>0.20901867464729751</v>
      </c>
      <c r="G71" s="327">
        <f t="shared" si="6"/>
        <v>0.1831839236750479</v>
      </c>
      <c r="H71" s="327">
        <f t="shared" si="7"/>
        <v>0.17889221168449579</v>
      </c>
      <c r="I71" s="327">
        <f t="shared" si="8"/>
        <v>0.16964103107512019</v>
      </c>
      <c r="J71" s="327">
        <f t="shared" si="9"/>
        <v>1.8472141442392148E-2</v>
      </c>
      <c r="K71" s="327">
        <f t="shared" si="10"/>
        <v>1.5284879862732652E-2</v>
      </c>
      <c r="L71" s="327">
        <f t="shared" si="11"/>
        <v>4.5529469966731906E-2</v>
      </c>
      <c r="M71" s="327">
        <f t="shared" si="12"/>
        <v>5.3146062268038294E-2</v>
      </c>
      <c r="N71" s="327">
        <f t="shared" si="13"/>
        <v>7.1949798337509335E-2</v>
      </c>
      <c r="O71" s="328">
        <f t="shared" si="14"/>
        <v>8.7980830582099698E-2</v>
      </c>
      <c r="P71" s="327">
        <f t="shared" si="15"/>
        <v>0.40496387066248885</v>
      </c>
      <c r="Q71" s="327">
        <f t="shared" si="16"/>
        <v>0.34284183385640266</v>
      </c>
      <c r="R71" s="327">
        <f t="shared" si="17"/>
        <v>0.40209649141714943</v>
      </c>
      <c r="S71" s="327">
        <f t="shared" si="18"/>
        <v>0.35117568818371958</v>
      </c>
      <c r="T71" s="327">
        <f t="shared" si="19"/>
        <v>0.30239458433955169</v>
      </c>
      <c r="U71" s="328">
        <f t="shared" si="20"/>
        <v>0.32642041488565998</v>
      </c>
      <c r="V71" s="327">
        <f t="shared" si="21"/>
        <v>0.30499590595398635</v>
      </c>
      <c r="W71" s="327">
        <f t="shared" si="22"/>
        <v>0.28968702983974565</v>
      </c>
      <c r="X71" s="327">
        <f t="shared" si="23"/>
        <v>0.32081842268385929</v>
      </c>
      <c r="Y71" s="327">
        <f t="shared" si="24"/>
        <v>0.2992171817327548</v>
      </c>
      <c r="Z71" s="327">
        <f t="shared" si="25"/>
        <v>0.24772445438083845</v>
      </c>
      <c r="AA71" s="328">
        <f t="shared" si="26"/>
        <v>0.2887738399071047</v>
      </c>
      <c r="AJ71" s="590" t="s">
        <v>727</v>
      </c>
      <c r="AK71" s="572"/>
      <c r="AL71" s="590" t="s">
        <v>728</v>
      </c>
      <c r="AM71" s="572"/>
      <c r="BO71" s="310">
        <v>47.25</v>
      </c>
      <c r="BP71" s="311">
        <v>0.23960000000000001</v>
      </c>
      <c r="BQ71" s="312">
        <v>0.1032</v>
      </c>
    </row>
    <row r="72" spans="1:69" ht="12" customHeight="1" x14ac:dyDescent="0.15">
      <c r="A72" s="269">
        <f t="shared" si="0"/>
        <v>57</v>
      </c>
      <c r="B72" s="322">
        <f t="shared" si="1"/>
        <v>52.615384615384613</v>
      </c>
      <c r="C72" s="323">
        <f t="shared" si="2"/>
        <v>228</v>
      </c>
      <c r="D72" s="327">
        <f t="shared" si="3"/>
        <v>0.14862777750482994</v>
      </c>
      <c r="E72" s="327">
        <f t="shared" si="4"/>
        <v>0.15669699056818526</v>
      </c>
      <c r="F72" s="327">
        <f t="shared" si="5"/>
        <v>0.20511834643673366</v>
      </c>
      <c r="G72" s="327">
        <f t="shared" si="6"/>
        <v>0.17949710305899755</v>
      </c>
      <c r="H72" s="327">
        <f t="shared" si="7"/>
        <v>0.17438073220912928</v>
      </c>
      <c r="I72" s="327">
        <f t="shared" si="8"/>
        <v>0.16520622249781147</v>
      </c>
      <c r="J72" s="327">
        <f t="shared" si="9"/>
        <v>1.7201336672688361E-2</v>
      </c>
      <c r="K72" s="327">
        <f t="shared" si="10"/>
        <v>1.4154024411572258E-2</v>
      </c>
      <c r="L72" s="327">
        <f t="shared" si="11"/>
        <v>4.4042068200491724E-2</v>
      </c>
      <c r="M72" s="327">
        <f t="shared" si="12"/>
        <v>5.1830756534333861E-2</v>
      </c>
      <c r="N72" s="327">
        <f t="shared" si="13"/>
        <v>7.0614193575122247E-2</v>
      </c>
      <c r="O72" s="328">
        <f t="shared" si="14"/>
        <v>8.6482597743682263E-2</v>
      </c>
      <c r="P72" s="327">
        <f t="shared" si="15"/>
        <v>0.39847938206264005</v>
      </c>
      <c r="Q72" s="327">
        <f t="shared" si="16"/>
        <v>0.33830689093717531</v>
      </c>
      <c r="R72" s="327">
        <f t="shared" si="17"/>
        <v>0.39617385927783821</v>
      </c>
      <c r="S72" s="327">
        <f t="shared" si="18"/>
        <v>0.34430872429239556</v>
      </c>
      <c r="T72" s="327">
        <f t="shared" si="19"/>
        <v>0.29103854115966682</v>
      </c>
      <c r="U72" s="328">
        <f t="shared" si="20"/>
        <v>0.31778502704083911</v>
      </c>
      <c r="V72" s="327">
        <f t="shared" si="21"/>
        <v>0.29859667969216547</v>
      </c>
      <c r="W72" s="327">
        <f t="shared" si="22"/>
        <v>0.28449818093817714</v>
      </c>
      <c r="X72" s="327">
        <f t="shared" si="23"/>
        <v>0.31563753768789282</v>
      </c>
      <c r="Y72" s="327">
        <f t="shared" si="24"/>
        <v>0.29380390897614445</v>
      </c>
      <c r="Z72" s="327">
        <f t="shared" si="25"/>
        <v>0.23927666656713206</v>
      </c>
      <c r="AA72" s="328">
        <f t="shared" si="26"/>
        <v>0.28268358498666224</v>
      </c>
      <c r="AJ72" s="356" t="s">
        <v>729</v>
      </c>
      <c r="AK72" s="273" t="s">
        <v>710</v>
      </c>
      <c r="AL72" s="356" t="s">
        <v>729</v>
      </c>
      <c r="AM72" s="273" t="s">
        <v>710</v>
      </c>
      <c r="BO72" s="310">
        <v>48</v>
      </c>
      <c r="BP72" s="311">
        <v>0.23960000000000001</v>
      </c>
      <c r="BQ72" s="312">
        <v>0.1032</v>
      </c>
    </row>
    <row r="73" spans="1:69" ht="12" customHeight="1" x14ac:dyDescent="0.15">
      <c r="A73" s="269">
        <f t="shared" si="0"/>
        <v>58</v>
      </c>
      <c r="B73" s="322">
        <f t="shared" si="1"/>
        <v>53.53846153846154</v>
      </c>
      <c r="C73" s="323">
        <f t="shared" si="2"/>
        <v>232</v>
      </c>
      <c r="D73" s="327">
        <f t="shared" si="3"/>
        <v>0.14373926571630322</v>
      </c>
      <c r="E73" s="327">
        <f t="shared" si="4"/>
        <v>0.15198959081744273</v>
      </c>
      <c r="F73" s="327">
        <f t="shared" si="5"/>
        <v>0.2013283051517325</v>
      </c>
      <c r="G73" s="327">
        <f t="shared" si="6"/>
        <v>0.17593112136247782</v>
      </c>
      <c r="H73" s="327">
        <f t="shared" si="7"/>
        <v>0.1700103289364113</v>
      </c>
      <c r="I73" s="327">
        <f t="shared" si="8"/>
        <v>0.16091145565908005</v>
      </c>
      <c r="J73" s="327">
        <f t="shared" si="9"/>
        <v>1.6017957866440856E-2</v>
      </c>
      <c r="K73" s="327">
        <f t="shared" si="10"/>
        <v>1.3106317822714495E-2</v>
      </c>
      <c r="L73" s="327">
        <f t="shared" si="11"/>
        <v>4.2618949093373049E-2</v>
      </c>
      <c r="M73" s="327">
        <f t="shared" si="12"/>
        <v>5.0568345809780292E-2</v>
      </c>
      <c r="N73" s="327">
        <f t="shared" si="13"/>
        <v>6.9339996976960624E-2</v>
      </c>
      <c r="O73" s="328">
        <f t="shared" si="14"/>
        <v>8.503374798725391E-2</v>
      </c>
      <c r="P73" s="327">
        <f t="shared" si="15"/>
        <v>0.39209872641048793</v>
      </c>
      <c r="Q73" s="327">
        <f t="shared" si="16"/>
        <v>0.33385539095772204</v>
      </c>
      <c r="R73" s="327">
        <f t="shared" si="17"/>
        <v>0.39037747623385155</v>
      </c>
      <c r="S73" s="327">
        <f t="shared" si="18"/>
        <v>0.33762393757490489</v>
      </c>
      <c r="T73" s="327">
        <f t="shared" si="19"/>
        <v>0.27986149143522104</v>
      </c>
      <c r="U73" s="328">
        <f t="shared" si="20"/>
        <v>0.3093403879353076</v>
      </c>
      <c r="V73" s="327">
        <f t="shared" si="21"/>
        <v>0.29233171784488438</v>
      </c>
      <c r="W73" s="327">
        <f t="shared" si="22"/>
        <v>0.27941835102601337</v>
      </c>
      <c r="X73" s="327">
        <f t="shared" si="23"/>
        <v>0.31058180290906723</v>
      </c>
      <c r="Y73" s="327">
        <f t="shared" si="24"/>
        <v>0.28854090885682721</v>
      </c>
      <c r="Z73" s="327">
        <f t="shared" si="25"/>
        <v>0.23101768789943852</v>
      </c>
      <c r="AA73" s="328">
        <f t="shared" si="26"/>
        <v>0.27674482837011483</v>
      </c>
      <c r="AI73" s="273" t="s">
        <v>724</v>
      </c>
      <c r="AJ73" s="269">
        <f ca="1">AJ66*AO52+AO47</f>
        <v>3.0347396914762137</v>
      </c>
      <c r="AK73" s="269">
        <f ca="1">AM66*AU52+AU47</f>
        <v>1.688762299107506</v>
      </c>
      <c r="AL73" s="269">
        <f ca="1">AP66*BA52+BA47</f>
        <v>3.7374794429486538</v>
      </c>
      <c r="AM73" s="269">
        <f ca="1">AS66*BG52+BG47</f>
        <v>3.5319154060051829</v>
      </c>
      <c r="BO73" s="310">
        <v>48.75</v>
      </c>
      <c r="BP73" s="311">
        <v>0.23960000000000001</v>
      </c>
      <c r="BQ73" s="312">
        <v>0.1032</v>
      </c>
    </row>
    <row r="74" spans="1:69" ht="12" customHeight="1" x14ac:dyDescent="0.15">
      <c r="A74" s="269">
        <f t="shared" si="0"/>
        <v>59</v>
      </c>
      <c r="B74" s="322">
        <f t="shared" si="1"/>
        <v>54.46153846153846</v>
      </c>
      <c r="C74" s="323">
        <f t="shared" si="2"/>
        <v>236</v>
      </c>
      <c r="D74" s="327">
        <f t="shared" si="3"/>
        <v>0.13901154182293152</v>
      </c>
      <c r="E74" s="327">
        <f t="shared" si="4"/>
        <v>0.14742837028352765</v>
      </c>
      <c r="F74" s="327">
        <f t="shared" si="5"/>
        <v>0.19764426709061556</v>
      </c>
      <c r="G74" s="327">
        <f t="shared" si="6"/>
        <v>0.17248063098437785</v>
      </c>
      <c r="H74" s="327">
        <f t="shared" si="7"/>
        <v>0.16577591247482165</v>
      </c>
      <c r="I74" s="327">
        <f t="shared" si="8"/>
        <v>0.15675142783755291</v>
      </c>
      <c r="J74" s="327">
        <f t="shared" si="9"/>
        <v>1.4915990489184182E-2</v>
      </c>
      <c r="K74" s="327">
        <f t="shared" si="10"/>
        <v>1.2135693001982134E-2</v>
      </c>
      <c r="L74" s="327">
        <f t="shared" si="11"/>
        <v>4.1256620466838423E-2</v>
      </c>
      <c r="M74" s="327">
        <f t="shared" si="12"/>
        <v>4.9355923891823882E-2</v>
      </c>
      <c r="N74" s="327">
        <f t="shared" si="13"/>
        <v>6.8123751881707342E-2</v>
      </c>
      <c r="O74" s="328">
        <f t="shared" si="14"/>
        <v>8.3631890749707963E-2</v>
      </c>
      <c r="P74" s="327">
        <f t="shared" si="15"/>
        <v>0.38582024107977286</v>
      </c>
      <c r="Q74" s="327">
        <f t="shared" si="16"/>
        <v>0.32948509628368894</v>
      </c>
      <c r="R74" s="327">
        <f t="shared" si="17"/>
        <v>0.38470382120925739</v>
      </c>
      <c r="S74" s="327">
        <f t="shared" si="18"/>
        <v>0.33111604454469856</v>
      </c>
      <c r="T74" s="327">
        <f t="shared" si="19"/>
        <v>0.26887044353734807</v>
      </c>
      <c r="U74" s="328">
        <f t="shared" si="20"/>
        <v>0.30108418890578803</v>
      </c>
      <c r="V74" s="327">
        <f t="shared" si="21"/>
        <v>0.28619820336328861</v>
      </c>
      <c r="W74" s="327">
        <f t="shared" si="22"/>
        <v>0.27444469289078238</v>
      </c>
      <c r="X74" s="327">
        <f t="shared" si="23"/>
        <v>0.30564711086288365</v>
      </c>
      <c r="Y74" s="327">
        <f t="shared" si="24"/>
        <v>0.28342288772584817</v>
      </c>
      <c r="Z74" s="327">
        <f t="shared" si="25"/>
        <v>0.22294678794270859</v>
      </c>
      <c r="AA74" s="328">
        <f t="shared" si="26"/>
        <v>0.27095320849059945</v>
      </c>
      <c r="AI74" s="273" t="s">
        <v>725</v>
      </c>
      <c r="AJ74" s="269">
        <f ca="1">AK66*AO52+AK67*AO53+AO48</f>
        <v>1.1758209305376701</v>
      </c>
      <c r="AK74" s="269">
        <f ca="1">AN66*AU52+AN67*AU53+AU48</f>
        <v>1.0247570583465577</v>
      </c>
      <c r="AL74" s="269">
        <f ca="1">AQ66*BA52+AQ67*BA53+BA48</f>
        <v>0.73028107239905271</v>
      </c>
      <c r="AM74" s="269">
        <f ca="1">AT66*BG52+AT67*BG53+BG48</f>
        <v>0.94125181809864289</v>
      </c>
      <c r="BO74" s="310">
        <v>49.5</v>
      </c>
      <c r="BP74" s="311">
        <v>0.23960000000000001</v>
      </c>
      <c r="BQ74" s="312">
        <v>0.1032</v>
      </c>
    </row>
    <row r="75" spans="1:69" ht="12" customHeight="1" x14ac:dyDescent="0.15">
      <c r="A75" s="269">
        <f t="shared" si="0"/>
        <v>60</v>
      </c>
      <c r="B75" s="322">
        <f t="shared" si="1"/>
        <v>55.384615384615387</v>
      </c>
      <c r="C75" s="323">
        <f t="shared" si="2"/>
        <v>240</v>
      </c>
      <c r="D75" s="327">
        <f t="shared" si="3"/>
        <v>0.13443931735485992</v>
      </c>
      <c r="E75" s="327">
        <f t="shared" si="4"/>
        <v>0.1430085687793437</v>
      </c>
      <c r="F75" s="327">
        <f t="shared" si="5"/>
        <v>0.19406216218327343</v>
      </c>
      <c r="G75" s="327">
        <f t="shared" si="6"/>
        <v>0.16914057606883678</v>
      </c>
      <c r="H75" s="327">
        <f t="shared" si="7"/>
        <v>0.16167259879038315</v>
      </c>
      <c r="I75" s="327">
        <f t="shared" si="8"/>
        <v>0.15272107410533875</v>
      </c>
      <c r="J75" s="327">
        <f t="shared" si="9"/>
        <v>1.3889833780844418E-2</v>
      </c>
      <c r="K75" s="327">
        <f t="shared" si="10"/>
        <v>1.1236521235180725E-2</v>
      </c>
      <c r="L75" s="327">
        <f t="shared" si="11"/>
        <v>3.9951819690649537E-2</v>
      </c>
      <c r="M75" s="327">
        <f t="shared" si="12"/>
        <v>4.8190785106401998E-2</v>
      </c>
      <c r="N75" s="327">
        <f t="shared" si="13"/>
        <v>6.6962234897781192E-2</v>
      </c>
      <c r="O75" s="328">
        <f t="shared" si="14"/>
        <v>8.2274786968652078E-2</v>
      </c>
      <c r="P75" s="327">
        <f t="shared" si="15"/>
        <v>0.3796422900670568</v>
      </c>
      <c r="Q75" s="327">
        <f t="shared" si="16"/>
        <v>0.32519385585619248</v>
      </c>
      <c r="R75" s="327">
        <f t="shared" si="17"/>
        <v>0.37914948972551743</v>
      </c>
      <c r="S75" s="327">
        <f t="shared" si="18"/>
        <v>0.32477987554277987</v>
      </c>
      <c r="T75" s="327">
        <f t="shared" si="19"/>
        <v>0.25807218244171121</v>
      </c>
      <c r="U75" s="328">
        <f t="shared" si="20"/>
        <v>0.29301403191855069</v>
      </c>
      <c r="V75" s="327">
        <f t="shared" si="21"/>
        <v>0.28019337830401514</v>
      </c>
      <c r="W75" s="327">
        <f t="shared" si="22"/>
        <v>0.26957445702488009</v>
      </c>
      <c r="X75" s="327">
        <f t="shared" si="23"/>
        <v>0.30082952452137202</v>
      </c>
      <c r="Y75" s="327">
        <f t="shared" si="24"/>
        <v>0.27844476158337095</v>
      </c>
      <c r="Z75" s="327">
        <f t="shared" si="25"/>
        <v>0.21506313437836674</v>
      </c>
      <c r="AA75" s="328">
        <f t="shared" si="26"/>
        <v>0.26530450310563714</v>
      </c>
      <c r="AI75" s="273" t="s">
        <v>720</v>
      </c>
      <c r="AJ75" s="269">
        <f ca="1">AL66*AO52+AL67*AO53+AL68*AO54+AO49</f>
        <v>0.18524078615684292</v>
      </c>
      <c r="AK75" s="269">
        <f ca="1">AO66*AU52+AO67*AU53+AO68*AU54+AU49</f>
        <v>-0.80985833022222353</v>
      </c>
      <c r="AL75" s="269">
        <f ca="1">AR66*BA52+AR67*BA53+AR68*BA54+BA49</f>
        <v>0.64507755095432184</v>
      </c>
      <c r="AM75" s="269">
        <f ca="1">AU66*BG52+AU67*BG53+AU68*BG54+BG49</f>
        <v>0.6119774490915979</v>
      </c>
      <c r="BO75" s="310">
        <v>50.25</v>
      </c>
      <c r="BP75" s="311">
        <v>0.23960000000000001</v>
      </c>
      <c r="BQ75" s="312">
        <v>0.1032</v>
      </c>
    </row>
    <row r="76" spans="1:69" ht="12.75" customHeight="1" x14ac:dyDescent="0.15">
      <c r="A76" s="269">
        <f t="shared" si="0"/>
        <v>61</v>
      </c>
      <c r="B76" s="322">
        <f t="shared" si="1"/>
        <v>56.307692307692307</v>
      </c>
      <c r="C76" s="323">
        <f t="shared" si="2"/>
        <v>244</v>
      </c>
      <c r="D76" s="327">
        <f t="shared" si="3"/>
        <v>0.13001747778513778</v>
      </c>
      <c r="E76" s="327">
        <f t="shared" si="4"/>
        <v>0.13872559263184941</v>
      </c>
      <c r="F76" s="327">
        <f t="shared" si="5"/>
        <v>0.19057812095175586</v>
      </c>
      <c r="G76" s="327">
        <f t="shared" si="6"/>
        <v>0.16590617396696217</v>
      </c>
      <c r="H76" s="327">
        <f t="shared" si="7"/>
        <v>0.15769570011524731</v>
      </c>
      <c r="I76" s="327">
        <f t="shared" si="8"/>
        <v>0.14881555490916243</v>
      </c>
      <c r="J76" s="327">
        <f t="shared" si="9"/>
        <v>1.293427228982089E-2</v>
      </c>
      <c r="K76" s="327">
        <f t="shared" si="10"/>
        <v>1.0403580926484333E-2</v>
      </c>
      <c r="L76" s="327">
        <f t="shared" si="11"/>
        <v>3.8701495948354592E-2</v>
      </c>
      <c r="M76" s="327">
        <f t="shared" si="12"/>
        <v>4.7070407777411193E-2</v>
      </c>
      <c r="N76" s="327">
        <f t="shared" si="13"/>
        <v>6.5852437677815123E-2</v>
      </c>
      <c r="O76" s="328">
        <f t="shared" si="14"/>
        <v>8.0960337284785758E-2</v>
      </c>
      <c r="P76" s="327">
        <f t="shared" si="15"/>
        <v>0.37356326356542591</v>
      </c>
      <c r="Q76" s="327">
        <f t="shared" si="16"/>
        <v>0.32097960061368991</v>
      </c>
      <c r="R76" s="327">
        <f t="shared" si="17"/>
        <v>0.37371118991466457</v>
      </c>
      <c r="S76" s="327">
        <f t="shared" si="18"/>
        <v>0.31861037889488603</v>
      </c>
      <c r="T76" s="327">
        <f t="shared" si="19"/>
        <v>0.2474732485322971</v>
      </c>
      <c r="U76" s="328">
        <f t="shared" si="20"/>
        <v>0.28512743950824293</v>
      </c>
      <c r="V76" s="327">
        <f t="shared" si="21"/>
        <v>0.27431454258907972</v>
      </c>
      <c r="W76" s="327">
        <f t="shared" si="22"/>
        <v>0.26480498711653117</v>
      </c>
      <c r="X76" s="327">
        <f t="shared" si="23"/>
        <v>0.29612526887292434</v>
      </c>
      <c r="Y76" s="327">
        <f t="shared" si="24"/>
        <v>0.27360164808557208</v>
      </c>
      <c r="Z76" s="327">
        <f t="shared" si="25"/>
        <v>0.20736579395882271</v>
      </c>
      <c r="AA76" s="328">
        <f t="shared" si="26"/>
        <v>0.25979462484730431</v>
      </c>
      <c r="BO76" s="310">
        <v>51</v>
      </c>
      <c r="BP76" s="311">
        <v>0.23960000000000001</v>
      </c>
      <c r="BQ76" s="312">
        <v>0.1032</v>
      </c>
    </row>
    <row r="77" spans="1:69" ht="12.75" customHeight="1" x14ac:dyDescent="0.15">
      <c r="A77" s="269">
        <f t="shared" si="0"/>
        <v>62</v>
      </c>
      <c r="B77" s="322">
        <f t="shared" si="1"/>
        <v>57.230769230769234</v>
      </c>
      <c r="C77" s="323">
        <f t="shared" si="2"/>
        <v>248</v>
      </c>
      <c r="D77" s="327">
        <f t="shared" si="3"/>
        <v>0.1257410768085673</v>
      </c>
      <c r="E77" s="327">
        <f t="shared" si="4"/>
        <v>0.13457500817735876</v>
      </c>
      <c r="F77" s="327">
        <f t="shared" si="5"/>
        <v>0.18718846241117681</v>
      </c>
      <c r="G77" s="327">
        <f t="shared" si="6"/>
        <v>0.16277289801256961</v>
      </c>
      <c r="H77" s="327">
        <f t="shared" si="7"/>
        <v>0.15384071629207424</v>
      </c>
      <c r="I77" s="327">
        <f t="shared" si="8"/>
        <v>0.1450302443915048</v>
      </c>
      <c r="J77" s="327">
        <f t="shared" si="9"/>
        <v>1.2044449365401826E-2</v>
      </c>
      <c r="K77" s="327">
        <f t="shared" si="10"/>
        <v>9.6320285246778332E-3</v>
      </c>
      <c r="L77" s="327">
        <f t="shared" si="11"/>
        <v>3.7502794077228452E-2</v>
      </c>
      <c r="M77" s="327">
        <f t="shared" si="12"/>
        <v>4.599243927124258E-2</v>
      </c>
      <c r="N77" s="327">
        <f t="shared" si="13"/>
        <v>6.4791550295338424E-2</v>
      </c>
      <c r="O77" s="328">
        <f t="shared" si="14"/>
        <v>7.9686571328672642E-2</v>
      </c>
      <c r="P77" s="327">
        <f t="shared" si="15"/>
        <v>0.36758157754501736</v>
      </c>
      <c r="Q77" s="327">
        <f t="shared" si="16"/>
        <v>0.31684033922477922</v>
      </c>
      <c r="R77" s="327">
        <f t="shared" si="17"/>
        <v>0.3683857386181717</v>
      </c>
      <c r="S77" s="327">
        <f t="shared" si="18"/>
        <v>0.31260262399783917</v>
      </c>
      <c r="T77" s="327">
        <f t="shared" si="19"/>
        <v>0.23707991658887895</v>
      </c>
      <c r="U77" s="328">
        <f t="shared" si="20"/>
        <v>0.27742186406883573</v>
      </c>
      <c r="V77" s="327">
        <f t="shared" si="21"/>
        <v>0.26855905279178299</v>
      </c>
      <c r="W77" s="327">
        <f t="shared" si="22"/>
        <v>0.26013371581469352</v>
      </c>
      <c r="X77" s="327">
        <f t="shared" si="23"/>
        <v>0.29153072295425442</v>
      </c>
      <c r="Y77" s="327">
        <f t="shared" si="24"/>
        <v>0.26888885870747758</v>
      </c>
      <c r="Z77" s="327">
        <f t="shared" si="25"/>
        <v>0.19985373360098072</v>
      </c>
      <c r="AA77" s="328">
        <f t="shared" si="26"/>
        <v>0.25441961686147629</v>
      </c>
      <c r="BO77" s="357"/>
      <c r="BP77" s="307"/>
      <c r="BQ77" s="307"/>
    </row>
    <row r="78" spans="1:69" ht="12" customHeight="1" x14ac:dyDescent="0.15">
      <c r="A78" s="269">
        <f t="shared" si="0"/>
        <v>63</v>
      </c>
      <c r="B78" s="322">
        <f t="shared" si="1"/>
        <v>58.153846153846153</v>
      </c>
      <c r="C78" s="323">
        <f t="shared" si="2"/>
        <v>252</v>
      </c>
      <c r="D78" s="327">
        <f t="shared" si="3"/>
        <v>0.12160533080872721</v>
      </c>
      <c r="E78" s="327">
        <f t="shared" si="4"/>
        <v>0.13055253555641716</v>
      </c>
      <c r="F78" s="327">
        <f t="shared" si="5"/>
        <v>0.18388968283295681</v>
      </c>
      <c r="G78" s="327">
        <f t="shared" si="6"/>
        <v>0.15973646151224821</v>
      </c>
      <c r="H78" s="327">
        <f t="shared" si="7"/>
        <v>0.15010332653180822</v>
      </c>
      <c r="I78" s="327">
        <f t="shared" si="8"/>
        <v>0.14136071940266204</v>
      </c>
      <c r="J78" s="327">
        <f t="shared" si="9"/>
        <v>1.1215842473789256E-2</v>
      </c>
      <c r="K78" s="327">
        <f t="shared" si="10"/>
        <v>8.9173714885327337E-3</v>
      </c>
      <c r="L78" s="327">
        <f t="shared" si="11"/>
        <v>3.6353039824893463E-2</v>
      </c>
      <c r="M78" s="327">
        <f t="shared" si="12"/>
        <v>4.4954682446955947E-2</v>
      </c>
      <c r="N78" s="327">
        <f t="shared" si="13"/>
        <v>6.3776946068214047E-2</v>
      </c>
      <c r="O78" s="328">
        <f t="shared" si="14"/>
        <v>7.8451637977477465E-2</v>
      </c>
      <c r="P78" s="327">
        <f t="shared" si="15"/>
        <v>0.36169567334026509</v>
      </c>
      <c r="Q78" s="327">
        <f t="shared" si="16"/>
        <v>0.3127741541061449</v>
      </c>
      <c r="R78" s="327">
        <f t="shared" si="17"/>
        <v>0.36317005757992848</v>
      </c>
      <c r="S78" s="327">
        <f t="shared" si="18"/>
        <v>0.30675180347137859</v>
      </c>
      <c r="T78" s="327">
        <f t="shared" si="19"/>
        <v>0.22689817506656484</v>
      </c>
      <c r="U78" s="328">
        <f t="shared" si="20"/>
        <v>0.26989469653561216</v>
      </c>
      <c r="V78" s="327">
        <f t="shared" si="21"/>
        <v>0.26292432094808998</v>
      </c>
      <c r="W78" s="327">
        <f t="shared" si="22"/>
        <v>0.25555816074696641</v>
      </c>
      <c r="X78" s="327">
        <f t="shared" si="23"/>
        <v>0.28704241232662253</v>
      </c>
      <c r="Y78" s="327">
        <f t="shared" si="24"/>
        <v>0.26430189108638019</v>
      </c>
      <c r="Z78" s="327">
        <f t="shared" si="25"/>
        <v>0.19252582161844226</v>
      </c>
      <c r="AA78" s="328">
        <f t="shared" si="26"/>
        <v>0.24917564854392849</v>
      </c>
    </row>
    <row r="79" spans="1:69" ht="12" customHeight="1" x14ac:dyDescent="0.15">
      <c r="A79" s="269">
        <f t="shared" si="0"/>
        <v>64</v>
      </c>
      <c r="B79" s="322">
        <f t="shared" si="1"/>
        <v>59.07692307692308</v>
      </c>
      <c r="C79" s="323">
        <f t="shared" si="2"/>
        <v>256</v>
      </c>
      <c r="D79" s="327">
        <f t="shared" si="3"/>
        <v>0.11760561350698095</v>
      </c>
      <c r="E79" s="327">
        <f t="shared" si="4"/>
        <v>0.12665404279108217</v>
      </c>
      <c r="F79" s="327">
        <f t="shared" si="5"/>
        <v>0.18067844529969634</v>
      </c>
      <c r="G79" s="327">
        <f t="shared" si="6"/>
        <v>0.15679280285772132</v>
      </c>
      <c r="H79" s="327">
        <f t="shared" si="7"/>
        <v>0.14647938156367424</v>
      </c>
      <c r="I79" s="327">
        <f t="shared" si="8"/>
        <v>0.13780274915816226</v>
      </c>
      <c r="J79" s="327">
        <f t="shared" si="9"/>
        <v>1.0444240212276258E-2</v>
      </c>
      <c r="K79" s="327">
        <f t="shared" si="10"/>
        <v>8.255443152204809E-3</v>
      </c>
      <c r="L79" s="327">
        <f t="shared" si="11"/>
        <v>3.5249726382440505E-2</v>
      </c>
      <c r="M79" s="327">
        <f t="shared" si="12"/>
        <v>4.3955083362879545E-2</v>
      </c>
      <c r="N79" s="327">
        <f t="shared" si="13"/>
        <v>6.2806167689805806E-2</v>
      </c>
      <c r="O79" s="328">
        <f t="shared" si="14"/>
        <v>7.7253796480819675E-2</v>
      </c>
      <c r="P79" s="327">
        <f t="shared" si="15"/>
        <v>0.35590401724375281</v>
      </c>
      <c r="Q79" s="327">
        <f t="shared" si="16"/>
        <v>0.30877919770237944</v>
      </c>
      <c r="R79" s="327">
        <f t="shared" si="17"/>
        <v>0.35806116973955326</v>
      </c>
      <c r="S79" s="327">
        <f t="shared" si="18"/>
        <v>0.30105323449711885</v>
      </c>
      <c r="T79" s="327">
        <f t="shared" si="19"/>
        <v>0.21693370578016985</v>
      </c>
      <c r="U79" s="328">
        <f t="shared" si="20"/>
        <v>0.26254327449460524</v>
      </c>
      <c r="V79" s="327">
        <f t="shared" si="21"/>
        <v>0.25740781339294827</v>
      </c>
      <c r="W79" s="327">
        <f t="shared" si="22"/>
        <v>0.25107592077149105</v>
      </c>
      <c r="X79" s="327">
        <f t="shared" si="23"/>
        <v>0.28265700196997379</v>
      </c>
      <c r="Y79" s="327">
        <f t="shared" si="24"/>
        <v>0.25983642156473208</v>
      </c>
      <c r="Z79" s="327">
        <f t="shared" si="25"/>
        <v>0.18538082909177664</v>
      </c>
      <c r="AA79" s="328">
        <f t="shared" si="26"/>
        <v>0.24405901137920416</v>
      </c>
    </row>
    <row r="80" spans="1:69" ht="12" customHeight="1" x14ac:dyDescent="0.15">
      <c r="A80" s="269">
        <f t="shared" ref="A80:A143" si="28">+A79+1</f>
        <v>65</v>
      </c>
      <c r="B80" s="322">
        <f t="shared" ref="B80:B143" si="29">12*C80/52</f>
        <v>60</v>
      </c>
      <c r="C80" s="323">
        <f t="shared" ref="C80:C143" si="30">+C79+4</f>
        <v>260</v>
      </c>
      <c r="D80" s="327">
        <f t="shared" ref="D80:D143" si="31">EXP(-(EXP(-$D$7)*$B80))</f>
        <v>0.11373745078748458</v>
      </c>
      <c r="E80" s="327">
        <f t="shared" ref="E80:E143" si="32">EXP(-EXP(-($E$7/EXP($E$8)))*$B80^(1/EXP($E$8)))</f>
        <v>0.12287554012869509</v>
      </c>
      <c r="F80" s="327">
        <f t="shared" ref="F80:F143" si="33">1 - _xlfn.NORM.S.DIST(((LN($B80) - $F$7)/EXP($F$8)), TRUE())</f>
        <v>0.17755156998751143</v>
      </c>
      <c r="G80" s="327">
        <f t="shared" ref="G80:G143" si="34">1/(1+EXP(-($G$7/EXP($G$8)))*$B80^(1/EXP($G$8)))</f>
        <v>0.15393807167561302</v>
      </c>
      <c r="H80" s="327">
        <f t="shared" ref="H80:H143" si="35">IF($H$8=0,EXP(-EXP($H$7)*$B80),EXP(-(EXP($H$7)/$H$8)*(EXP($H$8*$B80)-1)))</f>
        <v>0.14296489615737595</v>
      </c>
      <c r="I80" s="327">
        <f t="shared" ref="I80:I143" si="36">IF($I$9&gt;0,1-_xlfn.GAMMA.DIST(EXP($I$9*(LN($B80)-$I$7)/$I$8)/$I$9^2,1/$I$9^2,1,TRUE()),_xlfn.GAMMA.DIST(EXP($I$9*(LN($B80)-$I$7)/$I$8)/$I$9^2,1/$I$9^2,1,TRUE()))</f>
        <v>0.13435228549922429</v>
      </c>
      <c r="J80" s="327">
        <f t="shared" ref="J80:J143" si="37">EXP(-(EXP(-$J$7)*$B80))</f>
        <v>9.7257209047511839E-3</v>
      </c>
      <c r="K80" s="327">
        <f t="shared" ref="K80:K143" si="38">EXP(-EXP(-($K$7/EXP($K$8)))*$B80^(1/EXP($K$8)))</f>
        <v>7.6423793605912838E-3</v>
      </c>
      <c r="L80" s="327">
        <f t="shared" ref="L80:L143" si="39">1 - _xlfn.NORM.S.DIST(((LN($B80) - $L$7)/EXP($L$8)), TRUE())</f>
        <v>3.4190502069297746E-2</v>
      </c>
      <c r="M80" s="327">
        <f t="shared" ref="M80:M143" si="40">1/(1+EXP(-($M$7/EXP($M$8)))*$B80^(1/EXP($M$8)))</f>
        <v>4.2991720107997997E-2</v>
      </c>
      <c r="N80" s="327">
        <f t="shared" ref="N80:N143" si="41">IF($N$8=0,EXP(-EXP($N$7)*$B80),EXP(-(EXP($N$7)/$N$8)*(EXP($N$8*$B80)-1)))</f>
        <v>6.1876914543403147E-2</v>
      </c>
      <c r="O80" s="328">
        <f t="shared" ref="O80:O143" si="42">IF($O$9&gt;0,1-_xlfn.GAMMA.DIST(EXP($O$9*(LN($B80)-$O$7)/$O$8)/$O$9^2,1/$O$9^2,1,TRUE()),_xlfn.GAMMA.DIST(EXP($O$9*(LN($B80)-$O$7)/$O$8)/$O$9^2,1/$O$9^2,1,TRUE()))</f>
        <v>7.6091408366696159E-2</v>
      </c>
      <c r="P80" s="327">
        <f t="shared" ref="P80:P143" si="43">EXP(-(EXP(-$P$7)*$B80))</f>
        <v>0.35020510010657208</v>
      </c>
      <c r="Q80" s="327">
        <f t="shared" ref="Q80:Q143" si="44">EXP(-EXP(-($Q$7/EXP($Q$8)))*$B80^(1/EXP($Q$8)))</f>
        <v>0.30485368900664878</v>
      </c>
      <c r="R80" s="327">
        <f t="shared" ref="R80:R143" si="45">1 - _xlfn.NORM.S.DIST(((LN($B80) - $R$7)/EXP($R$8)), TRUE())</f>
        <v>0.35305619563045199</v>
      </c>
      <c r="S80" s="327">
        <f t="shared" ref="S80:S143" si="46">1/(1+EXP(-($S$7/EXP($S$8)))*$B80^(1/EXP($S$8)))</f>
        <v>0.29550235945301684</v>
      </c>
      <c r="T80" s="327">
        <f t="shared" ref="T80:T143" si="47">IF($T$8=0,EXP(-EXP($T$7)*$B80),EXP(-(EXP($T$7)/$T$8)*(EXP($T$8*$B80)-1)))</f>
        <v>0.20719186410991344</v>
      </c>
      <c r="U80" s="328">
        <f t="shared" ref="U80:U143" si="48">IF($U$9&gt;0,1-_xlfn.GAMMA.DIST(EXP($U$9*(LN($B80)-$U$7)/$U$8)/$U$9^2,1/$U$9^2,1,TRUE()),_xlfn.GAMMA.DIST(EXP($U$9*(LN($B80)-$U$7)/$U$8)/$U$9^2,1/$U$9^2,1,TRUE()))</f>
        <v>0.25536488975352711</v>
      </c>
      <c r="V80" s="327">
        <f t="shared" ref="V80:V143" si="49">EXP(-(EXP(-$V$7)*$B80))</f>
        <v>0.25200704962102222</v>
      </c>
      <c r="W80" s="327">
        <f t="shared" ref="W80:W143" si="50">EXP(-EXP(-($W$7/EXP($W$8)))*$B80^(1/EXP($W$8)))</f>
        <v>0.24668467244554904</v>
      </c>
      <c r="X80" s="327">
        <f t="shared" ref="X80:X143" si="51">1 - _xlfn.NORM.S.DIST(((LN($B80) - $X$7)/EXP($X$8)), TRUE())</f>
        <v>0.2783712895701127</v>
      </c>
      <c r="Y80" s="327">
        <f t="shared" ref="Y80:Y143" si="52">1/(1+EXP(-($Y$7/EXP($Y$8)))*$B80^(1/EXP($Y$8)))</f>
        <v>0.25548829794658101</v>
      </c>
      <c r="Z80" s="327">
        <f t="shared" ref="Z80:Z143" si="53">IF($Z$8=0,EXP(-EXP($Z$7)*$B80),EXP(-(EXP($Z$7)/$Z$8)*(EXP($Z$8*$B80)-1)))</f>
        <v>0.1784174313759069</v>
      </c>
      <c r="AA80" s="328">
        <f t="shared" ref="AA80:AA143" si="54">IF($AA$9&gt;0,1-_xlfn.GAMMA.DIST(EXP($AA$9*(LN($B80)-$AA$7)/$AA$8)/$AA$9^2,1/$AA$9^2,1,TRUE()),_xlfn.GAMMA.DIST(EXP($AA$9*(LN($B80)-$AA$7)/$AA$8)/$AA$9^2,1/$AA$9^2,1,TRUE()))</f>
        <v>0.2390661148865485</v>
      </c>
    </row>
    <row r="81" spans="1:27" ht="12" customHeight="1" x14ac:dyDescent="0.15">
      <c r="A81" s="269">
        <f t="shared" si="28"/>
        <v>66</v>
      </c>
      <c r="B81" s="322">
        <f t="shared" si="29"/>
        <v>60.92307692307692</v>
      </c>
      <c r="C81" s="323">
        <f t="shared" si="30"/>
        <v>264</v>
      </c>
      <c r="D81" s="327">
        <f t="shared" si="31"/>
        <v>0.10999651569240435</v>
      </c>
      <c r="E81" s="327">
        <f t="shared" si="32"/>
        <v>0.11921317463736471</v>
      </c>
      <c r="F81" s="327">
        <f t="shared" si="33"/>
        <v>0.17450602511751301</v>
      </c>
      <c r="G81" s="327">
        <f t="shared" si="34"/>
        <v>0.15116861593634356</v>
      </c>
      <c r="H81" s="327">
        <f t="shared" si="35"/>
        <v>0.13955604199856447</v>
      </c>
      <c r="I81" s="327">
        <f t="shared" si="36"/>
        <v>0.13100545371694361</v>
      </c>
      <c r="J81" s="327">
        <f t="shared" si="37"/>
        <v>9.0566326697400848E-3</v>
      </c>
      <c r="K81" s="327">
        <f t="shared" si="38"/>
        <v>7.0745967531016703E-3</v>
      </c>
      <c r="L81" s="327">
        <f t="shared" si="39"/>
        <v>3.3173159058665136E-2</v>
      </c>
      <c r="M81" s="327">
        <f t="shared" si="40"/>
        <v>4.2062792641802738E-2</v>
      </c>
      <c r="N81" s="327">
        <f t="shared" si="41"/>
        <v>6.0987031088339499E-2</v>
      </c>
      <c r="O81" s="328">
        <f t="shared" si="42"/>
        <v>7.4962930048694615E-2</v>
      </c>
      <c r="P81" s="327">
        <f t="shared" si="43"/>
        <v>0.34459743694507827</v>
      </c>
      <c r="Q81" s="327">
        <f t="shared" si="44"/>
        <v>0.30099591030315376</v>
      </c>
      <c r="R81" s="327">
        <f t="shared" si="45"/>
        <v>0.34815234988553256</v>
      </c>
      <c r="S81" s="327">
        <f t="shared" si="46"/>
        <v>0.29009474593978019</v>
      </c>
      <c r="T81" s="327">
        <f t="shared" si="47"/>
        <v>0.19767765984806082</v>
      </c>
      <c r="U81" s="328">
        <f t="shared" si="48"/>
        <v>0.24835679540608679</v>
      </c>
      <c r="V81" s="327">
        <f t="shared" si="49"/>
        <v>0.2467196011713301</v>
      </c>
      <c r="W81" s="327">
        <f t="shared" si="50"/>
        <v>0.24238216669510596</v>
      </c>
      <c r="X81" s="327">
        <f t="shared" si="51"/>
        <v>0.27418219917546527</v>
      </c>
      <c r="Y81" s="327">
        <f t="shared" si="52"/>
        <v>0.25125353247757115</v>
      </c>
      <c r="Z81" s="327">
        <f t="shared" si="53"/>
        <v>0.17163420974333174</v>
      </c>
      <c r="AA81" s="328">
        <f t="shared" si="54"/>
        <v>0.23419348267589579</v>
      </c>
    </row>
    <row r="82" spans="1:27" ht="12" customHeight="1" x14ac:dyDescent="0.15">
      <c r="A82" s="269">
        <f t="shared" si="28"/>
        <v>67</v>
      </c>
      <c r="B82" s="322">
        <f t="shared" si="29"/>
        <v>61.846153846153847</v>
      </c>
      <c r="C82" s="323">
        <f t="shared" si="30"/>
        <v>268</v>
      </c>
      <c r="D82" s="327">
        <f t="shared" si="31"/>
        <v>0.10637862358174748</v>
      </c>
      <c r="E82" s="327">
        <f t="shared" si="32"/>
        <v>0.11566322503942293</v>
      </c>
      <c r="F82" s="327">
        <f t="shared" si="33"/>
        <v>0.17153891852338854</v>
      </c>
      <c r="G82" s="327">
        <f t="shared" si="34"/>
        <v>0.1484809699500122</v>
      </c>
      <c r="H82" s="327">
        <f t="shared" si="35"/>
        <v>0.13624914089967075</v>
      </c>
      <c r="I82" s="327">
        <f t="shared" si="36"/>
        <v>0.12775854390368968</v>
      </c>
      <c r="J82" s="327">
        <f t="shared" si="37"/>
        <v>8.4335748596830375E-3</v>
      </c>
      <c r="K82" s="327">
        <f t="shared" si="38"/>
        <v>6.5487725823018409E-3</v>
      </c>
      <c r="L82" s="327">
        <f t="shared" si="39"/>
        <v>3.2195623044268928E-2</v>
      </c>
      <c r="M82" s="327">
        <f t="shared" si="40"/>
        <v>4.1166613539638984E-2</v>
      </c>
      <c r="N82" s="327">
        <f t="shared" si="41"/>
        <v>6.0134496217707854E-2</v>
      </c>
      <c r="O82" s="328">
        <f t="shared" si="42"/>
        <v>7.386690606467311E-2</v>
      </c>
      <c r="P82" s="327">
        <f t="shared" si="43"/>
        <v>0.33907956655394444</v>
      </c>
      <c r="Q82" s="327">
        <f t="shared" si="44"/>
        <v>0.29720420411411907</v>
      </c>
      <c r="R82" s="327">
        <f t="shared" si="45"/>
        <v>0.34334693785224546</v>
      </c>
      <c r="S82" s="327">
        <f t="shared" si="46"/>
        <v>0.28482608628487649</v>
      </c>
      <c r="T82" s="327">
        <f t="shared" si="47"/>
        <v>0.18839573880851992</v>
      </c>
      <c r="U82" s="328">
        <f t="shared" si="48"/>
        <v>0.24151621241957855</v>
      </c>
      <c r="V82" s="327">
        <f t="shared" si="49"/>
        <v>0.24154309053528319</v>
      </c>
      <c r="W82" s="327">
        <f t="shared" si="50"/>
        <v>0.23816622567092521</v>
      </c>
      <c r="X82" s="327">
        <f t="shared" si="51"/>
        <v>0.27008677520135471</v>
      </c>
      <c r="Y82" s="327">
        <f t="shared" si="52"/>
        <v>0.24712829505515313</v>
      </c>
      <c r="Z82" s="327">
        <f t="shared" si="53"/>
        <v>0.16502965316156584</v>
      </c>
      <c r="AA82" s="328">
        <f t="shared" si="54"/>
        <v>0.22943774861576216</v>
      </c>
    </row>
    <row r="83" spans="1:27" ht="12" customHeight="1" x14ac:dyDescent="0.15">
      <c r="A83" s="269">
        <f t="shared" si="28"/>
        <v>68</v>
      </c>
      <c r="B83" s="322">
        <f t="shared" si="29"/>
        <v>62.769230769230766</v>
      </c>
      <c r="C83" s="323">
        <f t="shared" si="30"/>
        <v>272</v>
      </c>
      <c r="D83" s="327">
        <f t="shared" si="31"/>
        <v>0.10287972745239024</v>
      </c>
      <c r="E83" s="327">
        <f t="shared" si="32"/>
        <v>0.11222209677005748</v>
      </c>
      <c r="F83" s="327">
        <f t="shared" si="33"/>
        <v>0.16864748978678112</v>
      </c>
      <c r="G83" s="327">
        <f t="shared" si="34"/>
        <v>0.14587184318278507</v>
      </c>
      <c r="H83" s="327">
        <f t="shared" si="35"/>
        <v>0.13304065832916045</v>
      </c>
      <c r="I83" s="327">
        <f t="shared" si="36"/>
        <v>0.12460800279777362</v>
      </c>
      <c r="J83" s="327">
        <f t="shared" si="37"/>
        <v>7.8533807771094064E-3</v>
      </c>
      <c r="K83" s="327">
        <f t="shared" si="38"/>
        <v>6.0618259614088569E-3</v>
      </c>
      <c r="L83" s="327">
        <f t="shared" si="39"/>
        <v>3.1255943759728844E-2</v>
      </c>
      <c r="M83" s="327">
        <f t="shared" si="40"/>
        <v>4.0301599552263208E-2</v>
      </c>
      <c r="N83" s="327">
        <f t="shared" si="41"/>
        <v>5.9317413497771219E-2</v>
      </c>
      <c r="O83" s="328">
        <f t="shared" si="42"/>
        <v>7.2801962884912835E-2</v>
      </c>
      <c r="P83" s="327">
        <f t="shared" si="43"/>
        <v>0.33365005112541068</v>
      </c>
      <c r="Q83" s="327">
        <f t="shared" si="44"/>
        <v>0.29347697033561954</v>
      </c>
      <c r="R83" s="327">
        <f t="shared" si="45"/>
        <v>0.33863735231760672</v>
      </c>
      <c r="S83" s="327">
        <f t="shared" si="46"/>
        <v>0.27969219660012357</v>
      </c>
      <c r="T83" s="327">
        <f t="shared" si="47"/>
        <v>0.17935036532299972</v>
      </c>
      <c r="U83" s="328">
        <f t="shared" si="48"/>
        <v>0.23484033577379049</v>
      </c>
      <c r="V83" s="327">
        <f t="shared" si="49"/>
        <v>0.23647519008763601</v>
      </c>
      <c r="W83" s="327">
        <f t="shared" si="50"/>
        <v>0.23403473977811554</v>
      </c>
      <c r="X83" s="327">
        <f t="shared" si="51"/>
        <v>0.26608217676103707</v>
      </c>
      <c r="Y83" s="327">
        <f t="shared" si="52"/>
        <v>0.2431089066728338</v>
      </c>
      <c r="Z83" s="327">
        <f t="shared" si="53"/>
        <v>0.15860216020284576</v>
      </c>
      <c r="AA83" s="328">
        <f t="shared" si="54"/>
        <v>0.22479565311398275</v>
      </c>
    </row>
    <row r="84" spans="1:27" ht="12" customHeight="1" x14ac:dyDescent="0.15">
      <c r="A84" s="269">
        <f t="shared" si="28"/>
        <v>69</v>
      </c>
      <c r="B84" s="322">
        <f t="shared" si="29"/>
        <v>63.692307692307693</v>
      </c>
      <c r="C84" s="323">
        <f t="shared" si="30"/>
        <v>276</v>
      </c>
      <c r="D84" s="327">
        <f t="shared" si="31"/>
        <v>9.9495913411067574E-2</v>
      </c>
      <c r="E84" s="327">
        <f t="shared" si="32"/>
        <v>0.10888631724919474</v>
      </c>
      <c r="F84" s="327">
        <f t="shared" si="33"/>
        <v>0.16582910289643304</v>
      </c>
      <c r="G84" s="327">
        <f t="shared" si="34"/>
        <v>0.14333810983254011</v>
      </c>
      <c r="H84" s="327">
        <f t="shared" si="35"/>
        <v>0.12992719724318502</v>
      </c>
      <c r="I84" s="327">
        <f t="shared" si="36"/>
        <v>0.12155042608983746</v>
      </c>
      <c r="J84" s="327">
        <f t="shared" si="37"/>
        <v>7.3131015798666267E-3</v>
      </c>
      <c r="K84" s="327">
        <f t="shared" si="38"/>
        <v>5.6109004416713673E-3</v>
      </c>
      <c r="L84" s="327">
        <f t="shared" si="39"/>
        <v>3.0352286271131401E-2</v>
      </c>
      <c r="M84" s="327">
        <f t="shared" si="40"/>
        <v>3.9466263898553754E-2</v>
      </c>
      <c r="N84" s="327">
        <f t="shared" si="41"/>
        <v>5.8534002208239067E-2</v>
      </c>
      <c r="O84" s="328">
        <f t="shared" si="42"/>
        <v>7.1766803234603813E-2</v>
      </c>
      <c r="P84" s="327">
        <f t="shared" si="43"/>
        <v>0.32830747587463016</v>
      </c>
      <c r="Q84" s="327">
        <f t="shared" si="44"/>
        <v>0.28981266354797713</v>
      </c>
      <c r="R84" s="327">
        <f t="shared" si="45"/>
        <v>0.3340210703430232</v>
      </c>
      <c r="S84" s="327">
        <f t="shared" si="46"/>
        <v>0.27468901546014651</v>
      </c>
      <c r="T84" s="327">
        <f t="shared" si="47"/>
        <v>0.17054540574803786</v>
      </c>
      <c r="U84" s="328">
        <f t="shared" si="48"/>
        <v>0.22832634017754894</v>
      </c>
      <c r="V84" s="327">
        <f t="shared" si="49"/>
        <v>0.23151362103986589</v>
      </c>
      <c r="W84" s="327">
        <f t="shared" si="50"/>
        <v>0.22998566486709451</v>
      </c>
      <c r="X84" s="327">
        <f t="shared" si="51"/>
        <v>0.26216567230399224</v>
      </c>
      <c r="Y84" s="327">
        <f t="shared" si="52"/>
        <v>0.23919183309997205</v>
      </c>
      <c r="Z84" s="327">
        <f t="shared" si="53"/>
        <v>0.15235004108380387</v>
      </c>
      <c r="AA84" s="328">
        <f t="shared" si="54"/>
        <v>0.22026403951144269</v>
      </c>
    </row>
    <row r="85" spans="1:27" ht="12.75" customHeight="1" x14ac:dyDescent="0.15">
      <c r="A85" s="269">
        <f t="shared" si="28"/>
        <v>70</v>
      </c>
      <c r="B85" s="322">
        <f t="shared" si="29"/>
        <v>64.615384615384613</v>
      </c>
      <c r="C85" s="323">
        <f t="shared" si="30"/>
        <v>280</v>
      </c>
      <c r="D85" s="327">
        <f t="shared" si="31"/>
        <v>9.622339629626088E-2</v>
      </c>
      <c r="E85" s="327">
        <f t="shared" si="32"/>
        <v>0.10565253135549271</v>
      </c>
      <c r="F85" s="327">
        <f t="shared" si="33"/>
        <v>0.16308123939091412</v>
      </c>
      <c r="G85" s="327">
        <f t="shared" si="34"/>
        <v>0.14087679910733641</v>
      </c>
      <c r="H85" s="327">
        <f t="shared" si="35"/>
        <v>0.12690549220445599</v>
      </c>
      <c r="I85" s="327">
        <f t="shared" si="36"/>
        <v>0.11858255116162131</v>
      </c>
      <c r="J85" s="327">
        <f t="shared" si="37"/>
        <v>6.8099912936009097E-3</v>
      </c>
      <c r="K85" s="327">
        <f t="shared" si="38"/>
        <v>5.193347827287296E-3</v>
      </c>
      <c r="L85" s="327">
        <f t="shared" si="39"/>
        <v>2.9482922971629466E-2</v>
      </c>
      <c r="M85" s="327">
        <f t="shared" si="40"/>
        <v>3.8659209219287546E-2</v>
      </c>
      <c r="N85" s="327">
        <f t="shared" si="41"/>
        <v>5.778258911066745E-2</v>
      </c>
      <c r="O85" s="328">
        <f t="shared" si="42"/>
        <v>7.0760200881536742E-2</v>
      </c>
      <c r="P85" s="327">
        <f t="shared" si="43"/>
        <v>0.32305044867101451</v>
      </c>
      <c r="Q85" s="327">
        <f t="shared" si="44"/>
        <v>0.28620979048772555</v>
      </c>
      <c r="R85" s="327">
        <f t="shared" si="45"/>
        <v>0.32949565020806837</v>
      </c>
      <c r="S85" s="327">
        <f t="shared" si="46"/>
        <v>0.26981260226118375</v>
      </c>
      <c r="T85" s="327">
        <f t="shared" si="47"/>
        <v>0.16198431310696876</v>
      </c>
      <c r="U85" s="328">
        <f t="shared" si="48"/>
        <v>0.22197138538764438</v>
      </c>
      <c r="V85" s="327">
        <f t="shared" si="49"/>
        <v>0.22665615241551304</v>
      </c>
      <c r="W85" s="327">
        <f t="shared" si="50"/>
        <v>0.22601701957494746</v>
      </c>
      <c r="X85" s="327">
        <f t="shared" si="51"/>
        <v>0.25833463454315986</v>
      </c>
      <c r="Y85" s="327">
        <f t="shared" si="52"/>
        <v>0.23537367879671478</v>
      </c>
      <c r="Z85" s="327">
        <f t="shared" si="53"/>
        <v>0.14627151983247647</v>
      </c>
      <c r="AA85" s="328">
        <f t="shared" si="54"/>
        <v>0.21583985058831068</v>
      </c>
    </row>
    <row r="86" spans="1:27" ht="12" customHeight="1" x14ac:dyDescent="0.15">
      <c r="A86" s="269">
        <f t="shared" si="28"/>
        <v>71</v>
      </c>
      <c r="B86" s="322">
        <f t="shared" si="29"/>
        <v>65.538461538461533</v>
      </c>
      <c r="C86" s="323">
        <f t="shared" si="30"/>
        <v>284</v>
      </c>
      <c r="D86" s="327">
        <f t="shared" si="31"/>
        <v>9.3058515444085985E-2</v>
      </c>
      <c r="E86" s="327">
        <f t="shared" si="32"/>
        <v>0.10251749709203847</v>
      </c>
      <c r="F86" s="327">
        <f t="shared" si="33"/>
        <v>0.1604014919482335</v>
      </c>
      <c r="G86" s="327">
        <f t="shared" si="34"/>
        <v>0.13848508615471836</v>
      </c>
      <c r="H86" s="327">
        <f t="shared" si="35"/>
        <v>0.12397240377398759</v>
      </c>
      <c r="I86" s="327">
        <f t="shared" si="36"/>
        <v>0.11570125022981825</v>
      </c>
      <c r="J86" s="327">
        <f t="shared" si="37"/>
        <v>6.3414928553154285E-3</v>
      </c>
      <c r="K86" s="327">
        <f t="shared" si="38"/>
        <v>4.8067131417145548E-3</v>
      </c>
      <c r="L86" s="327">
        <f t="shared" si="39"/>
        <v>2.8646226214186554E-2</v>
      </c>
      <c r="M86" s="327">
        <f t="shared" si="40"/>
        <v>3.7879121127780094E-2</v>
      </c>
      <c r="N86" s="327">
        <f t="shared" si="41"/>
        <v>5.7061600879451446E-2</v>
      </c>
      <c r="O86" s="328">
        <f t="shared" si="42"/>
        <v>6.9780995845164243E-2</v>
      </c>
      <c r="P86" s="327">
        <f t="shared" si="43"/>
        <v>0.31787759967548246</v>
      </c>
      <c r="Q86" s="327">
        <f t="shared" si="44"/>
        <v>0.2826669076692877</v>
      </c>
      <c r="R86" s="327">
        <f t="shared" si="45"/>
        <v>0.32505872846181605</v>
      </c>
      <c r="S86" s="327">
        <f t="shared" si="46"/>
        <v>0.26505913531275521</v>
      </c>
      <c r="T86" s="327">
        <f t="shared" si="47"/>
        <v>0.15367011298961453</v>
      </c>
      <c r="U86" s="328">
        <f t="shared" si="48"/>
        <v>0.2157726211533777</v>
      </c>
      <c r="V86" s="327">
        <f t="shared" si="49"/>
        <v>0.22190060004701845</v>
      </c>
      <c r="W86" s="327">
        <f t="shared" si="50"/>
        <v>0.22212688280707474</v>
      </c>
      <c r="X86" s="327">
        <f t="shared" si="51"/>
        <v>0.25458653565393918</v>
      </c>
      <c r="Y86" s="327">
        <f t="shared" si="52"/>
        <v>0.23165118106210453</v>
      </c>
      <c r="Z86" s="327">
        <f t="shared" si="53"/>
        <v>0.140364736579664</v>
      </c>
      <c r="AA86" s="328">
        <f t="shared" si="54"/>
        <v>0.21152012518177776</v>
      </c>
    </row>
    <row r="87" spans="1:27" ht="12" customHeight="1" x14ac:dyDescent="0.15">
      <c r="A87" s="269">
        <f t="shared" si="28"/>
        <v>72</v>
      </c>
      <c r="B87" s="322">
        <f t="shared" si="29"/>
        <v>66.461538461538467</v>
      </c>
      <c r="C87" s="323">
        <f t="shared" si="30"/>
        <v>288</v>
      </c>
      <c r="D87" s="327">
        <f t="shared" si="31"/>
        <v>8.9997730593445041E-2</v>
      </c>
      <c r="E87" s="327">
        <f t="shared" si="32"/>
        <v>9.9478081434004398E-2</v>
      </c>
      <c r="F87" s="327">
        <f t="shared" si="33"/>
        <v>0.15778755838877778</v>
      </c>
      <c r="G87" s="327">
        <f t="shared" si="34"/>
        <v>0.13616028359395191</v>
      </c>
      <c r="H87" s="327">
        <f t="shared" si="35"/>
        <v>0.12112491316210977</v>
      </c>
      <c r="I87" s="327">
        <f t="shared" si="36"/>
        <v>0.11290352386961944</v>
      </c>
      <c r="J87" s="327">
        <f t="shared" si="37"/>
        <v>5.9052251170724143E-3</v>
      </c>
      <c r="K87" s="327">
        <f t="shared" si="38"/>
        <v>4.4487206650396524E-3</v>
      </c>
      <c r="L87" s="327">
        <f t="shared" si="39"/>
        <v>2.784066152504916E-2</v>
      </c>
      <c r="M87" s="327">
        <f t="shared" si="40"/>
        <v>3.7124762300121787E-2</v>
      </c>
      <c r="N87" s="327">
        <f t="shared" si="41"/>
        <v>5.6369557136318818E-2</v>
      </c>
      <c r="O87" s="328">
        <f t="shared" si="42"/>
        <v>6.882808998784623E-2</v>
      </c>
      <c r="P87" s="327">
        <f t="shared" si="43"/>
        <v>0.31278758098351644</v>
      </c>
      <c r="Q87" s="327">
        <f t="shared" si="44"/>
        <v>0.27918261914552955</v>
      </c>
      <c r="R87" s="327">
        <f t="shared" si="45"/>
        <v>0.32070801707989838</v>
      </c>
      <c r="S87" s="327">
        <f t="shared" si="46"/>
        <v>0.26042490970844412</v>
      </c>
      <c r="T87" s="327">
        <f t="shared" si="47"/>
        <v>0.14560539083012772</v>
      </c>
      <c r="U87" s="328">
        <f t="shared" si="48"/>
        <v>0.20972719180861621</v>
      </c>
      <c r="V87" s="327">
        <f t="shared" si="49"/>
        <v>0.21724482559361008</v>
      </c>
      <c r="W87" s="327">
        <f t="shared" si="50"/>
        <v>0.21831339134983666</v>
      </c>
      <c r="X87" s="327">
        <f t="shared" si="51"/>
        <v>0.25091894272883275</v>
      </c>
      <c r="Y87" s="327">
        <f t="shared" si="52"/>
        <v>0.22802120441212853</v>
      </c>
      <c r="Z87" s="327">
        <f t="shared" si="53"/>
        <v>0.13462774997132615</v>
      </c>
      <c r="AA87" s="328">
        <f t="shared" si="54"/>
        <v>0.20730199491383716</v>
      </c>
    </row>
    <row r="88" spans="1:27" ht="12" customHeight="1" x14ac:dyDescent="0.15">
      <c r="A88" s="269">
        <f t="shared" si="28"/>
        <v>73</v>
      </c>
      <c r="B88" s="322">
        <f t="shared" si="29"/>
        <v>67.384615384615387</v>
      </c>
      <c r="C88" s="323">
        <f t="shared" si="30"/>
        <v>292</v>
      </c>
      <c r="D88" s="327">
        <f t="shared" si="31"/>
        <v>8.7037617925862371E-2</v>
      </c>
      <c r="E88" s="327">
        <f t="shared" si="32"/>
        <v>9.6531256349139699E-2</v>
      </c>
      <c r="F88" s="327">
        <f t="shared" si="33"/>
        <v>0.15523723606086504</v>
      </c>
      <c r="G88" s="327">
        <f t="shared" si="34"/>
        <v>0.13389983360704708</v>
      </c>
      <c r="H88" s="327">
        <f t="shared" si="35"/>
        <v>0.11836011712588171</v>
      </c>
      <c r="I88" s="327">
        <f t="shared" si="36"/>
        <v>0.11018649489429677</v>
      </c>
      <c r="J88" s="327">
        <f t="shared" si="37"/>
        <v>5.4989707437852883E-3</v>
      </c>
      <c r="K88" s="327">
        <f t="shared" si="38"/>
        <v>4.1172609675093879E-3</v>
      </c>
      <c r="L88" s="327">
        <f t="shared" si="39"/>
        <v>2.7064781346279987E-2</v>
      </c>
      <c r="M88" s="327">
        <f t="shared" si="40"/>
        <v>3.6394967053859327E-2</v>
      </c>
      <c r="N88" s="327">
        <f t="shared" si="41"/>
        <v>5.570506403498978E-2</v>
      </c>
      <c r="O88" s="328">
        <f t="shared" si="42"/>
        <v>6.7900442953204562E-2</v>
      </c>
      <c r="P88" s="327">
        <f t="shared" si="43"/>
        <v>0.30777906627393548</v>
      </c>
      <c r="Q88" s="327">
        <f t="shared" si="44"/>
        <v>0.27575557439728443</v>
      </c>
      <c r="R88" s="327">
        <f t="shared" si="45"/>
        <v>0.31644130072512178</v>
      </c>
      <c r="S88" s="327">
        <f t="shared" si="46"/>
        <v>0.25590633501647814</v>
      </c>
      <c r="T88" s="327">
        <f t="shared" si="47"/>
        <v>0.137792280679885</v>
      </c>
      <c r="U88" s="328">
        <f t="shared" si="48"/>
        <v>0.20383224053193683</v>
      </c>
      <c r="V88" s="327">
        <f t="shared" si="49"/>
        <v>0.21268673557979506</v>
      </c>
      <c r="W88" s="327">
        <f t="shared" si="50"/>
        <v>0.21457473760564663</v>
      </c>
      <c r="X88" s="327">
        <f t="shared" si="51"/>
        <v>0.24732951347261978</v>
      </c>
      <c r="Y88" s="327">
        <f t="shared" si="52"/>
        <v>0.22448073518346809</v>
      </c>
      <c r="Z88" s="327">
        <f t="shared" si="53"/>
        <v>0.12905853969835127</v>
      </c>
      <c r="AA88" s="328">
        <f t="shared" si="54"/>
        <v>0.20318268102733072</v>
      </c>
    </row>
    <row r="89" spans="1:27" ht="12" customHeight="1" x14ac:dyDescent="0.15">
      <c r="A89" s="269">
        <f t="shared" si="28"/>
        <v>74</v>
      </c>
      <c r="B89" s="322">
        <f t="shared" si="29"/>
        <v>68.307692307692307</v>
      </c>
      <c r="C89" s="323">
        <f t="shared" si="30"/>
        <v>296</v>
      </c>
      <c r="D89" s="327">
        <f t="shared" si="31"/>
        <v>8.4174866235573284E-2</v>
      </c>
      <c r="E89" s="327">
        <f t="shared" si="32"/>
        <v>9.3674094982534414E-2</v>
      </c>
      <c r="F89" s="327">
        <f t="shared" si="33"/>
        <v>0.15274841658077587</v>
      </c>
      <c r="G89" s="327">
        <f t="shared" si="34"/>
        <v>0.13170130054788046</v>
      </c>
      <c r="H89" s="327">
        <f t="shared" si="35"/>
        <v>0.11567522310071271</v>
      </c>
      <c r="I89" s="327">
        <f t="shared" si="36"/>
        <v>0.10754740256881123</v>
      </c>
      <c r="J89" s="327">
        <f t="shared" si="37"/>
        <v>5.1206649435911241E-3</v>
      </c>
      <c r="K89" s="327">
        <f t="shared" si="38"/>
        <v>3.8103788694196089E-3</v>
      </c>
      <c r="L89" s="327">
        <f t="shared" si="39"/>
        <v>2.6317219260805103E-2</v>
      </c>
      <c r="M89" s="327">
        <f t="shared" si="40"/>
        <v>3.5688636369367685E-2</v>
      </c>
      <c r="N89" s="327">
        <f t="shared" si="41"/>
        <v>5.5066808347817423E-2</v>
      </c>
      <c r="O89" s="328">
        <f t="shared" si="42"/>
        <v>6.6997068420138958E-2</v>
      </c>
      <c r="P89" s="327">
        <f t="shared" si="43"/>
        <v>0.30285075046329168</v>
      </c>
      <c r="Q89" s="327">
        <f t="shared" si="44"/>
        <v>0.27238446634277153</v>
      </c>
      <c r="R89" s="327">
        <f t="shared" si="45"/>
        <v>0.31225643410920645</v>
      </c>
      <c r="S89" s="327">
        <f t="shared" si="46"/>
        <v>0.25149993282579997</v>
      </c>
      <c r="T89" s="327">
        <f t="shared" si="47"/>
        <v>0.13023245558762134</v>
      </c>
      <c r="U89" s="328">
        <f t="shared" si="48"/>
        <v>0.19808491329425604</v>
      </c>
      <c r="V89" s="327">
        <f t="shared" si="49"/>
        <v>0.20822428045402522</v>
      </c>
      <c r="W89" s="327">
        <f t="shared" si="50"/>
        <v>0.2109091674426381</v>
      </c>
      <c r="X89" s="327">
        <f t="shared" si="51"/>
        <v>0.24381599212388894</v>
      </c>
      <c r="Y89" s="327">
        <f t="shared" si="52"/>
        <v>0.22102687635791071</v>
      </c>
      <c r="Z89" s="327">
        <f t="shared" si="53"/>
        <v>0.12365500913970721</v>
      </c>
      <c r="AA89" s="328">
        <f t="shared" si="54"/>
        <v>0.1991594913281759</v>
      </c>
    </row>
    <row r="90" spans="1:27" ht="12" customHeight="1" x14ac:dyDescent="0.15">
      <c r="A90" s="269">
        <f t="shared" si="28"/>
        <v>75</v>
      </c>
      <c r="B90" s="322">
        <f t="shared" si="29"/>
        <v>69.230769230769226</v>
      </c>
      <c r="C90" s="323">
        <f t="shared" si="30"/>
        <v>300</v>
      </c>
      <c r="D90" s="327">
        <f t="shared" si="31"/>
        <v>8.1406273225583026E-2</v>
      </c>
      <c r="E90" s="327">
        <f t="shared" si="32"/>
        <v>9.0903767997619955E-2</v>
      </c>
      <c r="F90" s="327">
        <f t="shared" si="33"/>
        <v>0.15031908090147006</v>
      </c>
      <c r="G90" s="327">
        <f t="shared" si="34"/>
        <v>0.12956236403190569</v>
      </c>
      <c r="H90" s="327">
        <f t="shared" si="35"/>
        <v>0.1130675445546432</v>
      </c>
      <c r="I90" s="327">
        <f t="shared" si="36"/>
        <v>0.10498359713691718</v>
      </c>
      <c r="J90" s="327">
        <f t="shared" si="37"/>
        <v>4.7683849735256816E-3</v>
      </c>
      <c r="K90" s="327">
        <f t="shared" si="38"/>
        <v>3.5262622623165414E-3</v>
      </c>
      <c r="L90" s="327">
        <f t="shared" si="39"/>
        <v>2.5596684657980595E-2</v>
      </c>
      <c r="M90" s="327">
        <f t="shared" si="40"/>
        <v>3.5004733312931705E-2</v>
      </c>
      <c r="N90" s="327">
        <f t="shared" si="41"/>
        <v>5.4453552010836057E-2</v>
      </c>
      <c r="O90" s="328">
        <f t="shared" si="42"/>
        <v>6.6117030644269423E-2</v>
      </c>
      <c r="P90" s="327">
        <f t="shared" si="43"/>
        <v>0.29800134936580075</v>
      </c>
      <c r="Q90" s="327">
        <f t="shared" si="44"/>
        <v>0.26906802945858538</v>
      </c>
      <c r="R90" s="327">
        <f t="shared" si="45"/>
        <v>0.30815133945301532</v>
      </c>
      <c r="S90" s="327">
        <f t="shared" si="46"/>
        <v>0.24720233417889229</v>
      </c>
      <c r="T90" s="327">
        <f t="shared" si="47"/>
        <v>0.12292711969303408</v>
      </c>
      <c r="U90" s="328">
        <f t="shared" si="48"/>
        <v>0.19248236251221151</v>
      </c>
      <c r="V90" s="327">
        <f t="shared" si="49"/>
        <v>0.20385545366711358</v>
      </c>
      <c r="W90" s="327">
        <f t="shared" si="50"/>
        <v>0.20731497815164118</v>
      </c>
      <c r="X90" s="327">
        <f t="shared" si="51"/>
        <v>0.24037620558964823</v>
      </c>
      <c r="Y90" s="327">
        <f t="shared" si="52"/>
        <v>0.21765684260177304</v>
      </c>
      <c r="Z90" s="327">
        <f t="shared" si="53"/>
        <v>0.1184149881146505</v>
      </c>
      <c r="AA90" s="328">
        <f t="shared" si="54"/>
        <v>0.19522981723149102</v>
      </c>
    </row>
    <row r="91" spans="1:27" ht="12" customHeight="1" x14ac:dyDescent="0.15">
      <c r="A91" s="269">
        <f t="shared" si="28"/>
        <v>76</v>
      </c>
      <c r="B91" s="322">
        <f t="shared" si="29"/>
        <v>70.15384615384616</v>
      </c>
      <c r="C91" s="323">
        <f t="shared" si="30"/>
        <v>304</v>
      </c>
      <c r="D91" s="327">
        <f t="shared" si="31"/>
        <v>7.8728741925551571E-2</v>
      </c>
      <c r="E91" s="327">
        <f t="shared" si="32"/>
        <v>8.8217540065851918E-2</v>
      </c>
      <c r="F91" s="327">
        <f t="shared" si="33"/>
        <v>0.14794729468630807</v>
      </c>
      <c r="G91" s="327">
        <f t="shared" si="34"/>
        <v>0.12748081247186299</v>
      </c>
      <c r="H91" s="327">
        <f t="shared" si="35"/>
        <v>0.11053449655434254</v>
      </c>
      <c r="I91" s="327">
        <f t="shared" si="36"/>
        <v>0.1024925346426443</v>
      </c>
      <c r="J91" s="327">
        <f t="shared" si="37"/>
        <v>4.4403403671632695E-3</v>
      </c>
      <c r="K91" s="327">
        <f t="shared" si="38"/>
        <v>3.263231730914667E-3</v>
      </c>
      <c r="L91" s="327">
        <f t="shared" si="39"/>
        <v>2.4901957801755858E-2</v>
      </c>
      <c r="M91" s="327">
        <f t="shared" si="40"/>
        <v>3.4342278824782017E-2</v>
      </c>
      <c r="N91" s="327">
        <f t="shared" si="41"/>
        <v>5.3864127087779656E-2</v>
      </c>
      <c r="O91" s="328">
        <f t="shared" si="42"/>
        <v>6.525944126142004E-2</v>
      </c>
      <c r="P91" s="327">
        <f t="shared" si="43"/>
        <v>0.29322959935871767</v>
      </c>
      <c r="Q91" s="327">
        <f t="shared" si="44"/>
        <v>0.26580503800461702</v>
      </c>
      <c r="R91" s="327">
        <f t="shared" si="45"/>
        <v>0.30412400404249862</v>
      </c>
      <c r="S91" s="327">
        <f t="shared" si="46"/>
        <v>0.24301027691865484</v>
      </c>
      <c r="T91" s="327">
        <f t="shared" si="47"/>
        <v>0.11587700213286342</v>
      </c>
      <c r="U91" s="328">
        <f t="shared" si="48"/>
        <v>0.18702175042451863</v>
      </c>
      <c r="V91" s="327">
        <f t="shared" si="49"/>
        <v>0.19957829076998657</v>
      </c>
      <c r="W91" s="327">
        <f t="shared" si="50"/>
        <v>0.20379051650376018</v>
      </c>
      <c r="X91" s="327">
        <f t="shared" si="51"/>
        <v>0.23700805978056017</v>
      </c>
      <c r="Y91" s="327">
        <f t="shared" si="52"/>
        <v>0.21436795551421886</v>
      </c>
      <c r="Z91" s="327">
        <f t="shared" si="53"/>
        <v>0.11333623573934457</v>
      </c>
      <c r="AA91" s="328">
        <f t="shared" si="54"/>
        <v>0.19139113090915627</v>
      </c>
    </row>
    <row r="92" spans="1:27" ht="12" customHeight="1" x14ac:dyDescent="0.15">
      <c r="A92" s="269">
        <f t="shared" si="28"/>
        <v>77</v>
      </c>
      <c r="B92" s="322">
        <f t="shared" si="29"/>
        <v>71.07692307692308</v>
      </c>
      <c r="C92" s="323">
        <f t="shared" si="30"/>
        <v>308</v>
      </c>
      <c r="D92" s="327">
        <f t="shared" si="31"/>
        <v>7.6139277227497873E-2</v>
      </c>
      <c r="E92" s="327">
        <f t="shared" si="32"/>
        <v>8.5612766497969145E-2</v>
      </c>
      <c r="F92" s="327">
        <f t="shared" si="33"/>
        <v>0.14563120396602935</v>
      </c>
      <c r="G92" s="327">
        <f t="shared" si="34"/>
        <v>0.12545453702757994</v>
      </c>
      <c r="H92" s="327">
        <f t="shared" si="35"/>
        <v>0.10807359153245724</v>
      </c>
      <c r="I92" s="327">
        <f t="shared" si="36"/>
        <v>0.10007177202832085</v>
      </c>
      <c r="J92" s="327">
        <f t="shared" si="37"/>
        <v>4.1348638345534896E-3</v>
      </c>
      <c r="K92" s="327">
        <f t="shared" si="38"/>
        <v>3.0197309192954661E-3</v>
      </c>
      <c r="L92" s="327">
        <f t="shared" si="39"/>
        <v>2.4231885267143816E-2</v>
      </c>
      <c r="M92" s="327">
        <f t="shared" si="40"/>
        <v>3.370034783907528E-2</v>
      </c>
      <c r="N92" s="327">
        <f t="shared" si="41"/>
        <v>5.3297431117343079E-2</v>
      </c>
      <c r="O92" s="328">
        <f t="shared" si="42"/>
        <v>6.4423456330283776E-2</v>
      </c>
      <c r="P92" s="327">
        <f t="shared" si="43"/>
        <v>0.2885342570530714</v>
      </c>
      <c r="Q92" s="327">
        <f t="shared" si="44"/>
        <v>0.2625943043458821</v>
      </c>
      <c r="R92" s="327">
        <f t="shared" si="45"/>
        <v>0.30017247787747381</v>
      </c>
      <c r="S92" s="327">
        <f t="shared" si="46"/>
        <v>0.23892060297312417</v>
      </c>
      <c r="T92" s="327">
        <f t="shared" si="47"/>
        <v>0.10908235284995403</v>
      </c>
      <c r="U92" s="328">
        <f t="shared" si="48"/>
        <v>0.18170025220754304</v>
      </c>
      <c r="V92" s="327">
        <f t="shared" si="49"/>
        <v>0.19539086853036702</v>
      </c>
      <c r="W92" s="327">
        <f t="shared" si="50"/>
        <v>0.20033417690234978</v>
      </c>
      <c r="X92" s="327">
        <f t="shared" si="51"/>
        <v>0.23370953613513357</v>
      </c>
      <c r="Y92" s="327">
        <f t="shared" si="52"/>
        <v>0.21115763907802013</v>
      </c>
      <c r="Z92" s="327">
        <f t="shared" si="53"/>
        <v>0.10841644338292382</v>
      </c>
      <c r="AA92" s="328">
        <f t="shared" si="54"/>
        <v>0.18764098253621897</v>
      </c>
    </row>
    <row r="93" spans="1:27" ht="12" customHeight="1" x14ac:dyDescent="0.15">
      <c r="A93" s="269">
        <f t="shared" si="28"/>
        <v>78</v>
      </c>
      <c r="B93" s="322">
        <f t="shared" si="29"/>
        <v>72</v>
      </c>
      <c r="C93" s="323">
        <f t="shared" si="30"/>
        <v>312</v>
      </c>
      <c r="D93" s="327">
        <f t="shared" si="31"/>
        <v>7.3634982535447924E-2</v>
      </c>
      <c r="E93" s="327">
        <f t="shared" si="32"/>
        <v>8.3086890010137637E-2</v>
      </c>
      <c r="F93" s="327">
        <f t="shared" si="33"/>
        <v>0.14336903105899257</v>
      </c>
      <c r="G93" s="327">
        <f t="shared" si="34"/>
        <v>0.12348152594042015</v>
      </c>
      <c r="H93" s="327">
        <f t="shared" si="35"/>
        <v>0.10568243524648038</v>
      </c>
      <c r="I93" s="327">
        <f t="shared" si="36"/>
        <v>9.7718962492494232E-2</v>
      </c>
      <c r="J93" s="327">
        <f t="shared" si="37"/>
        <v>3.8504027882035894E-3</v>
      </c>
      <c r="K93" s="327">
        <f t="shared" si="38"/>
        <v>2.7943175888341647E-3</v>
      </c>
      <c r="L93" s="327">
        <f t="shared" si="39"/>
        <v>2.3585375713957357E-2</v>
      </c>
      <c r="M93" s="327">
        <f t="shared" si="40"/>
        <v>3.3078065706138582E-2</v>
      </c>
      <c r="N93" s="327">
        <f t="shared" si="41"/>
        <v>5.2752422811291159E-2</v>
      </c>
      <c r="O93" s="328">
        <f t="shared" si="42"/>
        <v>6.3608273593663556E-2</v>
      </c>
      <c r="P93" s="327">
        <f t="shared" si="43"/>
        <v>0.28391409896967079</v>
      </c>
      <c r="Q93" s="327">
        <f t="shared" si="44"/>
        <v>0.25943467736479303</v>
      </c>
      <c r="R93" s="327">
        <f t="shared" si="45"/>
        <v>0.29629487141030275</v>
      </c>
      <c r="S93" s="327">
        <f t="shared" si="46"/>
        <v>0.23493025559869318</v>
      </c>
      <c r="T93" s="327">
        <f t="shared" si="47"/>
        <v>0.10254294038601708</v>
      </c>
      <c r="U93" s="328">
        <f t="shared" si="48"/>
        <v>0.17651505884541274</v>
      </c>
      <c r="V93" s="327">
        <f t="shared" si="49"/>
        <v>0.19129130406798978</v>
      </c>
      <c r="W93" s="327">
        <f t="shared" si="50"/>
        <v>0.19694439962364871</v>
      </c>
      <c r="X93" s="327">
        <f t="shared" si="51"/>
        <v>0.23047868832193208</v>
      </c>
      <c r="Y93" s="327">
        <f t="shared" si="52"/>
        <v>0.20802341530608223</v>
      </c>
      <c r="Z93" s="327">
        <f t="shared" si="53"/>
        <v>0.10365323771773041</v>
      </c>
      <c r="AA93" s="328">
        <f t="shared" si="54"/>
        <v>0.18397699763346931</v>
      </c>
    </row>
    <row r="94" spans="1:27" ht="12" customHeight="1" x14ac:dyDescent="0.15">
      <c r="A94" s="269">
        <f t="shared" si="28"/>
        <v>79</v>
      </c>
      <c r="B94" s="322">
        <f t="shared" si="29"/>
        <v>72.92307692307692</v>
      </c>
      <c r="C94" s="323">
        <f t="shared" si="30"/>
        <v>316</v>
      </c>
      <c r="D94" s="327">
        <f t="shared" si="31"/>
        <v>7.1213056525279345E-2</v>
      </c>
      <c r="E94" s="327">
        <f t="shared" si="32"/>
        <v>8.0637437618671148E-2</v>
      </c>
      <c r="F94" s="327">
        <f t="shared" si="33"/>
        <v>0.14115907073627554</v>
      </c>
      <c r="G94" s="327">
        <f t="shared" si="34"/>
        <v>0.12155985922520479</v>
      </c>
      <c r="H94" s="327">
        <f t="shared" si="35"/>
        <v>0.10335872291982807</v>
      </c>
      <c r="I94" s="327">
        <f t="shared" si="36"/>
        <v>9.5431851092226849E-2</v>
      </c>
      <c r="J94" s="327">
        <f t="shared" si="37"/>
        <v>3.5855114520371972E-3</v>
      </c>
      <c r="K94" s="327">
        <f t="shared" si="38"/>
        <v>2.5856553189296644E-3</v>
      </c>
      <c r="L94" s="327">
        <f t="shared" si="39"/>
        <v>2.2961395969684384E-2</v>
      </c>
      <c r="M94" s="327">
        <f t="shared" si="40"/>
        <v>3.2474604890254284E-2</v>
      </c>
      <c r="N94" s="327">
        <f t="shared" si="41"/>
        <v>5.2228118074018337E-2</v>
      </c>
      <c r="O94" s="328">
        <f t="shared" si="42"/>
        <v>6.2813129939681842E-2</v>
      </c>
      <c r="P94" s="327">
        <f t="shared" si="43"/>
        <v>0.27936792122029935</v>
      </c>
      <c r="Q94" s="327">
        <f t="shared" si="44"/>
        <v>0.25632504095791636</v>
      </c>
      <c r="R94" s="327">
        <f t="shared" si="45"/>
        <v>0.29248935337149295</v>
      </c>
      <c r="S94" s="327">
        <f t="shared" si="46"/>
        <v>0.23103627659972018</v>
      </c>
      <c r="T94" s="327">
        <f t="shared" si="47"/>
        <v>9.6258051727766733E-2</v>
      </c>
      <c r="U94" s="328">
        <f t="shared" si="48"/>
        <v>0.17146337976911963</v>
      </c>
      <c r="V94" s="327">
        <f t="shared" si="49"/>
        <v>0.18727775400796201</v>
      </c>
      <c r="W94" s="327">
        <f t="shared" si="50"/>
        <v>0.19361966914075163</v>
      </c>
      <c r="X94" s="327">
        <f t="shared" si="51"/>
        <v>0.22731363910954594</v>
      </c>
      <c r="Y94" s="327">
        <f t="shared" si="52"/>
        <v>0.20496290007691093</v>
      </c>
      <c r="Z94" s="327">
        <f t="shared" si="53"/>
        <v>9.9044183858155013E-2</v>
      </c>
      <c r="AA94" s="328">
        <f t="shared" si="54"/>
        <v>0.18039687450344455</v>
      </c>
    </row>
    <row r="95" spans="1:27" ht="12" customHeight="1" x14ac:dyDescent="0.15">
      <c r="A95" s="269">
        <f t="shared" si="28"/>
        <v>80</v>
      </c>
      <c r="B95" s="322">
        <f t="shared" si="29"/>
        <v>73.84615384615384</v>
      </c>
      <c r="C95" s="323">
        <f t="shared" si="30"/>
        <v>320</v>
      </c>
      <c r="D95" s="327">
        <f t="shared" si="31"/>
        <v>6.8870790011137786E-2</v>
      </c>
      <c r="E95" s="327">
        <f t="shared" si="32"/>
        <v>7.8262017657384622E-2</v>
      </c>
      <c r="F95" s="327">
        <f t="shared" si="33"/>
        <v>0.13899968661469064</v>
      </c>
      <c r="G95" s="327">
        <f t="shared" si="34"/>
        <v>0.11968770369451123</v>
      </c>
      <c r="H95" s="327">
        <f t="shared" si="35"/>
        <v>0.10110023555628997</v>
      </c>
      <c r="I95" s="327">
        <f t="shared" si="36"/>
        <v>9.3208270575255492E-2</v>
      </c>
      <c r="J95" s="327">
        <f t="shared" si="37"/>
        <v>3.3388435132231517E-3</v>
      </c>
      <c r="K95" s="327">
        <f t="shared" si="38"/>
        <v>2.3925058049985176E-3</v>
      </c>
      <c r="L95" s="327">
        <f t="shared" si="39"/>
        <v>2.2358967395985085E-2</v>
      </c>
      <c r="M95" s="327">
        <f t="shared" si="40"/>
        <v>3.1889181918896725E-2</v>
      </c>
      <c r="N95" s="327">
        <f t="shared" si="41"/>
        <v>5.1723586316856113E-2</v>
      </c>
      <c r="O95" s="328">
        <f t="shared" si="42"/>
        <v>6.2037299046142746E-2</v>
      </c>
      <c r="P95" s="327">
        <f t="shared" si="43"/>
        <v>0.27489453919401402</v>
      </c>
      <c r="Q95" s="327">
        <f t="shared" si="44"/>
        <v>0.25326431261172966</v>
      </c>
      <c r="R95" s="327">
        <f t="shared" si="45"/>
        <v>0.28875414867924754</v>
      </c>
      <c r="S95" s="327">
        <f t="shared" si="46"/>
        <v>0.2272358035399534</v>
      </c>
      <c r="T95" s="327">
        <f t="shared" si="47"/>
        <v>9.0226494263829088E-2</v>
      </c>
      <c r="U95" s="328">
        <f t="shared" si="48"/>
        <v>0.16654244527826756</v>
      </c>
      <c r="V95" s="327">
        <f t="shared" si="49"/>
        <v>0.18334841365188723</v>
      </c>
      <c r="W95" s="327">
        <f t="shared" si="50"/>
        <v>0.1903585125259866</v>
      </c>
      <c r="X95" s="327">
        <f t="shared" si="51"/>
        <v>0.22421257739471523</v>
      </c>
      <c r="Y95" s="327">
        <f t="shared" si="52"/>
        <v>0.20197379915214062</v>
      </c>
      <c r="Z95" s="327">
        <f t="shared" si="53"/>
        <v>9.4586788582225495E-2</v>
      </c>
      <c r="AA95" s="328">
        <f t="shared" si="54"/>
        <v>0.17689838175708628</v>
      </c>
    </row>
    <row r="96" spans="1:27" ht="12" customHeight="1" x14ac:dyDescent="0.15">
      <c r="A96" s="269">
        <f t="shared" si="28"/>
        <v>81</v>
      </c>
      <c r="B96" s="322">
        <f t="shared" si="29"/>
        <v>74.769230769230774</v>
      </c>
      <c r="C96" s="323">
        <f t="shared" si="30"/>
        <v>324</v>
      </c>
      <c r="D96" s="327">
        <f t="shared" si="31"/>
        <v>6.66055629149198E-2</v>
      </c>
      <c r="E96" s="327">
        <f t="shared" si="32"/>
        <v>7.5958316911956786E-2</v>
      </c>
      <c r="F96" s="327">
        <f t="shared" si="33"/>
        <v>0.13688930776209263</v>
      </c>
      <c r="G96" s="327">
        <f t="shared" si="34"/>
        <v>0.1178633082921659</v>
      </c>
      <c r="H96" s="327">
        <f t="shared" si="35"/>
        <v>9.8904836419478295E-2</v>
      </c>
      <c r="I96" s="327">
        <f t="shared" si="36"/>
        <v>9.1046137428480223E-2</v>
      </c>
      <c r="J96" s="327">
        <f t="shared" si="37"/>
        <v>3.1091452795272358E-3</v>
      </c>
      <c r="K96" s="327">
        <f t="shared" si="38"/>
        <v>2.2137217113525369E-3</v>
      </c>
      <c r="L96" s="327">
        <f t="shared" si="39"/>
        <v>2.1777162515638882E-2</v>
      </c>
      <c r="M96" s="327">
        <f t="shared" si="40"/>
        <v>3.1321054561680724E-2</v>
      </c>
      <c r="N96" s="327">
        <f t="shared" si="41"/>
        <v>5.1237947042855725E-2</v>
      </c>
      <c r="O96" s="328">
        <f t="shared" si="42"/>
        <v>6.1280089192824704E-2</v>
      </c>
      <c r="P96" s="327">
        <f t="shared" si="43"/>
        <v>0.27049278724846842</v>
      </c>
      <c r="Q96" s="327">
        <f t="shared" si="44"/>
        <v>0.25025144205229921</v>
      </c>
      <c r="R96" s="327">
        <f t="shared" si="45"/>
        <v>0.28508753642999485</v>
      </c>
      <c r="S96" s="327">
        <f t="shared" si="46"/>
        <v>0.22352606695901892</v>
      </c>
      <c r="T96" s="327">
        <f t="shared" si="47"/>
        <v>8.444659989636763E-2</v>
      </c>
      <c r="U96" s="328">
        <f t="shared" si="48"/>
        <v>0.16174950875834893</v>
      </c>
      <c r="V96" s="327">
        <f t="shared" si="49"/>
        <v>0.17950151616638005</v>
      </c>
      <c r="W96" s="327">
        <f t="shared" si="50"/>
        <v>0.1871594979271117</v>
      </c>
      <c r="X96" s="327">
        <f t="shared" si="51"/>
        <v>0.22117375537958817</v>
      </c>
      <c r="Y96" s="327">
        <f t="shared" si="52"/>
        <v>0.19905390436922679</v>
      </c>
      <c r="Z96" s="327">
        <f t="shared" si="53"/>
        <v>9.027850362981471E-2</v>
      </c>
      <c r="AA96" s="328">
        <f t="shared" si="54"/>
        <v>0.17347935592826136</v>
      </c>
    </row>
    <row r="97" spans="1:27" ht="12" customHeight="1" x14ac:dyDescent="0.15">
      <c r="A97" s="269">
        <f t="shared" si="28"/>
        <v>82</v>
      </c>
      <c r="B97" s="322">
        <f t="shared" si="29"/>
        <v>75.692307692307693</v>
      </c>
      <c r="C97" s="323">
        <f t="shared" si="30"/>
        <v>328</v>
      </c>
      <c r="D97" s="327">
        <f t="shared" si="31"/>
        <v>6.4414841335432668E-2</v>
      </c>
      <c r="E97" s="327">
        <f t="shared" si="32"/>
        <v>7.3724097866005561E-2</v>
      </c>
      <c r="F97" s="327">
        <f t="shared" si="33"/>
        <v>0.13482642550057344</v>
      </c>
      <c r="G97" s="327">
        <f t="shared" si="34"/>
        <v>0.11608499971451008</v>
      </c>
      <c r="H97" s="327">
        <f t="shared" si="35"/>
        <v>9.6770467669330743E-2</v>
      </c>
      <c r="I97" s="327">
        <f t="shared" si="36"/>
        <v>8.8943448130110569E-2</v>
      </c>
      <c r="J97" s="327">
        <f t="shared" si="37"/>
        <v>2.8952493074090447E-3</v>
      </c>
      <c r="K97" s="327">
        <f t="shared" si="38"/>
        <v>2.0482400395276314E-3</v>
      </c>
      <c r="L97" s="327">
        <f t="shared" si="39"/>
        <v>2.1215101878874543E-2</v>
      </c>
      <c r="M97" s="327">
        <f t="shared" si="40"/>
        <v>3.0769519219378982E-2</v>
      </c>
      <c r="N97" s="327">
        <f t="shared" si="41"/>
        <v>5.0770366679961633E-2</v>
      </c>
      <c r="O97" s="328">
        <f t="shared" si="42"/>
        <v>6.0540841227910383E-2</v>
      </c>
      <c r="P97" s="327">
        <f t="shared" si="43"/>
        <v>0.26616151840617736</v>
      </c>
      <c r="Q97" s="327">
        <f t="shared" si="44"/>
        <v>0.24728540996419751</v>
      </c>
      <c r="R97" s="327">
        <f t="shared" si="45"/>
        <v>0.28148784796697079</v>
      </c>
      <c r="S97" s="327">
        <f t="shared" si="46"/>
        <v>0.21990438760529768</v>
      </c>
      <c r="T97" s="327">
        <f t="shared" si="47"/>
        <v>7.8916231336813636E-2</v>
      </c>
      <c r="U97" s="328">
        <f t="shared" si="48"/>
        <v>0.15708184870572217</v>
      </c>
      <c r="V97" s="327">
        <f t="shared" si="49"/>
        <v>0.17573533178860726</v>
      </c>
      <c r="W97" s="327">
        <f t="shared" si="50"/>
        <v>0.1840212331130803</v>
      </c>
      <c r="X97" s="327">
        <f t="shared" si="51"/>
        <v>0.2181954858896642</v>
      </c>
      <c r="Y97" s="327">
        <f t="shared" si="52"/>
        <v>0.19620109000246322</v>
      </c>
      <c r="Z97" s="327">
        <f t="shared" si="53"/>
        <v>8.6116729071080172E-2</v>
      </c>
      <c r="AA97" s="328">
        <f t="shared" si="54"/>
        <v>0.17013769917336163</v>
      </c>
    </row>
    <row r="98" spans="1:27" ht="12" customHeight="1" x14ac:dyDescent="0.15">
      <c r="A98" s="269">
        <f t="shared" si="28"/>
        <v>83</v>
      </c>
      <c r="B98" s="322">
        <f t="shared" si="29"/>
        <v>76.615384615384613</v>
      </c>
      <c r="C98" s="323">
        <f t="shared" si="30"/>
        <v>332</v>
      </c>
      <c r="D98" s="327">
        <f t="shared" si="31"/>
        <v>6.2296174713951984E-2</v>
      </c>
      <c r="E98" s="327">
        <f t="shared" si="32"/>
        <v>7.1557196053848554E-2</v>
      </c>
      <c r="F98" s="327">
        <f t="shared" si="33"/>
        <v>0.13280959039423512</v>
      </c>
      <c r="G98" s="327">
        <f t="shared" si="34"/>
        <v>0.1143511782996289</v>
      </c>
      <c r="H98" s="327">
        <f t="shared" si="35"/>
        <v>9.4695147148131806E-2</v>
      </c>
      <c r="I98" s="327">
        <f t="shared" si="36"/>
        <v>8.6898275593638497E-2</v>
      </c>
      <c r="J98" s="327">
        <f t="shared" si="37"/>
        <v>2.696068468478629E-3</v>
      </c>
      <c r="K98" s="327">
        <f t="shared" si="38"/>
        <v>1.8950759753792643E-3</v>
      </c>
      <c r="L98" s="327">
        <f t="shared" si="39"/>
        <v>2.067195114991649E-2</v>
      </c>
      <c r="M98" s="327">
        <f t="shared" si="40"/>
        <v>3.0233908505238501E-2</v>
      </c>
      <c r="N98" s="327">
        <f t="shared" si="41"/>
        <v>5.032005564246736E-2</v>
      </c>
      <c r="O98" s="328">
        <f t="shared" si="42"/>
        <v>5.9818926676039212E-2</v>
      </c>
      <c r="P98" s="327">
        <f t="shared" si="43"/>
        <v>0.26189960405564572</v>
      </c>
      <c r="Q98" s="327">
        <f t="shared" si="44"/>
        <v>0.24436522677431891</v>
      </c>
      <c r="R98" s="327">
        <f t="shared" si="45"/>
        <v>0.27795346502395746</v>
      </c>
      <c r="S98" s="327">
        <f t="shared" si="46"/>
        <v>0.21636817369480868</v>
      </c>
      <c r="T98" s="327">
        <f t="shared" si="47"/>
        <v>7.3632790599519007E-2</v>
      </c>
      <c r="U98" s="328">
        <f t="shared" si="48"/>
        <v>0.15253677057178439</v>
      </c>
      <c r="V98" s="327">
        <f t="shared" si="49"/>
        <v>0.17204816704849718</v>
      </c>
      <c r="W98" s="327">
        <f t="shared" si="50"/>
        <v>0.1809423640854031</v>
      </c>
      <c r="X98" s="327">
        <f t="shared" si="51"/>
        <v>0.21527613982448812</v>
      </c>
      <c r="Y98" s="327">
        <f t="shared" si="52"/>
        <v>0.19341330928555775</v>
      </c>
      <c r="Z98" s="327">
        <f t="shared" si="53"/>
        <v>8.2098816738504943E-2</v>
      </c>
      <c r="AA98" s="328">
        <f t="shared" si="54"/>
        <v>0.16687137705321309</v>
      </c>
    </row>
    <row r="99" spans="1:27" ht="12" customHeight="1" x14ac:dyDescent="0.15">
      <c r="A99" s="269">
        <f t="shared" si="28"/>
        <v>84</v>
      </c>
      <c r="B99" s="322">
        <f t="shared" si="29"/>
        <v>77.538461538461533</v>
      </c>
      <c r="C99" s="323">
        <f t="shared" si="30"/>
        <v>336</v>
      </c>
      <c r="D99" s="327">
        <f t="shared" si="31"/>
        <v>6.0247193093007155E-2</v>
      </c>
      <c r="E99" s="327">
        <f t="shared" si="32"/>
        <v>6.9455517515212908E-2</v>
      </c>
      <c r="F99" s="327">
        <f t="shared" si="33"/>
        <v>0.1308374094092547</v>
      </c>
      <c r="G99" s="327">
        <f t="shared" si="34"/>
        <v>0.11266031416622786</v>
      </c>
      <c r="H99" s="327">
        <f t="shared" si="35"/>
        <v>9.2676965308901696E-2</v>
      </c>
      <c r="I99" s="327">
        <f t="shared" si="36"/>
        <v>8.4908765792561791E-2</v>
      </c>
      <c r="J99" s="327">
        <f t="shared" si="37"/>
        <v>2.5105904241557423E-3</v>
      </c>
      <c r="K99" s="327">
        <f t="shared" si="38"/>
        <v>1.753317180823019E-3</v>
      </c>
      <c r="L99" s="327">
        <f t="shared" si="39"/>
        <v>2.0146918396284796E-2</v>
      </c>
      <c r="M99" s="327">
        <f t="shared" si="40"/>
        <v>2.9713589002505491E-2</v>
      </c>
      <c r="N99" s="327">
        <f t="shared" si="41"/>
        <v>4.9886265602429543E-2</v>
      </c>
      <c r="O99" s="328">
        <f t="shared" si="42"/>
        <v>5.9113745976616006E-2</v>
      </c>
      <c r="P99" s="327">
        <f t="shared" si="43"/>
        <v>0.25770593365728278</v>
      </c>
      <c r="Q99" s="327">
        <f t="shared" si="44"/>
        <v>0.24148993149658235</v>
      </c>
      <c r="R99" s="327">
        <f t="shared" si="45"/>
        <v>0.27448281794135176</v>
      </c>
      <c r="S99" s="327">
        <f t="shared" si="46"/>
        <v>0.21291491820422229</v>
      </c>
      <c r="T99" s="327">
        <f t="shared" si="47"/>
        <v>6.8593229690679977E-2</v>
      </c>
      <c r="U99" s="328">
        <f t="shared" si="48"/>
        <v>0.14811160843720783</v>
      </c>
      <c r="V99" s="327">
        <f t="shared" si="49"/>
        <v>0.1684383640072688</v>
      </c>
      <c r="W99" s="327">
        <f t="shared" si="50"/>
        <v>0.17792157375142711</v>
      </c>
      <c r="X99" s="327">
        <f t="shared" si="51"/>
        <v>0.2124141437336623</v>
      </c>
      <c r="Y99" s="327">
        <f t="shared" si="52"/>
        <v>0.19068859108912831</v>
      </c>
      <c r="Z99" s="327">
        <f t="shared" si="53"/>
        <v>7.8222073715681767E-2</v>
      </c>
      <c r="AA99" s="328">
        <f t="shared" si="54"/>
        <v>0.1636784163945556</v>
      </c>
    </row>
    <row r="100" spans="1:27" ht="12" customHeight="1" x14ac:dyDescent="0.15">
      <c r="A100" s="269">
        <f t="shared" si="28"/>
        <v>85</v>
      </c>
      <c r="B100" s="322">
        <f t="shared" si="29"/>
        <v>78.461538461538467</v>
      </c>
      <c r="C100" s="323">
        <f t="shared" si="30"/>
        <v>340</v>
      </c>
      <c r="D100" s="327">
        <f t="shared" si="31"/>
        <v>5.8265604465327893E-2</v>
      </c>
      <c r="E100" s="327">
        <f t="shared" si="32"/>
        <v>6.7417036347388395E-2</v>
      </c>
      <c r="F100" s="327">
        <f t="shared" si="33"/>
        <v>0.12890854323487133</v>
      </c>
      <c r="G100" s="327">
        <f t="shared" si="34"/>
        <v>0.11101094358520086</v>
      </c>
      <c r="H100" s="327">
        <f t="shared" si="35"/>
        <v>9.0714082279368419E-2</v>
      </c>
      <c r="I100" s="327">
        <f t="shared" si="36"/>
        <v>8.2973134555497485E-2</v>
      </c>
      <c r="J100" s="327">
        <f t="shared" si="37"/>
        <v>2.3378724804490152E-3</v>
      </c>
      <c r="K100" s="327">
        <f t="shared" si="38"/>
        <v>1.6221184984868435E-3</v>
      </c>
      <c r="L100" s="327">
        <f t="shared" si="39"/>
        <v>1.9639251564931848E-2</v>
      </c>
      <c r="M100" s="327">
        <f t="shared" si="40"/>
        <v>2.9207959183569266E-2</v>
      </c>
      <c r="N100" s="327">
        <f t="shared" si="41"/>
        <v>4.9468286954327048E-2</v>
      </c>
      <c r="O100" s="328">
        <f t="shared" si="42"/>
        <v>5.8424726842038054E-2</v>
      </c>
      <c r="P100" s="327">
        <f t="shared" si="43"/>
        <v>0.25357941445402571</v>
      </c>
      <c r="Q100" s="327">
        <f t="shared" si="44"/>
        <v>0.23865859063379441</v>
      </c>
      <c r="R100" s="327">
        <f t="shared" si="45"/>
        <v>0.27107438395178807</v>
      </c>
      <c r="S100" s="327">
        <f t="shared" si="46"/>
        <v>0.20954219620479894</v>
      </c>
      <c r="T100" s="327">
        <f t="shared" si="47"/>
        <v>6.3794063472642923E-2</v>
      </c>
      <c r="U100" s="328">
        <f t="shared" si="48"/>
        <v>0.14380372652650153</v>
      </c>
      <c r="V100" s="327">
        <f t="shared" si="49"/>
        <v>0.16490429951193722</v>
      </c>
      <c r="W100" s="327">
        <f t="shared" si="50"/>
        <v>0.17495758065608391</v>
      </c>
      <c r="X100" s="327">
        <f t="shared" si="51"/>
        <v>0.20960797751118854</v>
      </c>
      <c r="Y100" s="327">
        <f t="shared" si="52"/>
        <v>0.18802503674661655</v>
      </c>
      <c r="Z100" s="327">
        <f t="shared" si="53"/>
        <v>7.4483765875776042E-2</v>
      </c>
      <c r="AA100" s="328">
        <f t="shared" si="54"/>
        <v>0.16055690322839833</v>
      </c>
    </row>
    <row r="101" spans="1:27" ht="12" customHeight="1" x14ac:dyDescent="0.15">
      <c r="A101" s="269">
        <f t="shared" si="28"/>
        <v>86</v>
      </c>
      <c r="B101" s="322">
        <f t="shared" si="29"/>
        <v>79.384615384615387</v>
      </c>
      <c r="C101" s="323">
        <f t="shared" si="30"/>
        <v>344</v>
      </c>
      <c r="D101" s="327">
        <f t="shared" si="31"/>
        <v>5.6349192209986639E-2</v>
      </c>
      <c r="E101" s="327">
        <f t="shared" si="32"/>
        <v>6.5439792350574941E-2</v>
      </c>
      <c r="F101" s="327">
        <f t="shared" si="33"/>
        <v>0.12702170375478128</v>
      </c>
      <c r="G101" s="327">
        <f t="shared" si="34"/>
        <v>0.10940166556820172</v>
      </c>
      <c r="H101" s="327">
        <f t="shared" si="35"/>
        <v>8.8804725055081496E-2</v>
      </c>
      <c r="I101" s="327">
        <f t="shared" si="36"/>
        <v>8.1089664521980964E-2</v>
      </c>
      <c r="J101" s="327">
        <f t="shared" si="37"/>
        <v>2.1770367967044292E-3</v>
      </c>
      <c r="K101" s="327">
        <f t="shared" si="38"/>
        <v>1.5006970397676708E-3</v>
      </c>
      <c r="L101" s="327">
        <f t="shared" si="39"/>
        <v>1.9148236130684726E-2</v>
      </c>
      <c r="M101" s="327">
        <f t="shared" si="40"/>
        <v>2.8716447477486265E-2</v>
      </c>
      <c r="N101" s="327">
        <f t="shared" si="41"/>
        <v>4.906544645771245E-2</v>
      </c>
      <c r="O101" s="328">
        <f t="shared" si="42"/>
        <v>5.7751322726431832E-2</v>
      </c>
      <c r="P101" s="327">
        <f t="shared" si="43"/>
        <v>0.24951897118659677</v>
      </c>
      <c r="Q101" s="327">
        <f t="shared" si="44"/>
        <v>0.23587029713322449</v>
      </c>
      <c r="R101" s="327">
        <f t="shared" si="45"/>
        <v>0.26772668553262169</v>
      </c>
      <c r="S101" s="327">
        <f t="shared" si="46"/>
        <v>0.2062476622428901</v>
      </c>
      <c r="T101" s="327">
        <f t="shared" si="47"/>
        <v>5.9231384665853801E-2</v>
      </c>
      <c r="U101" s="328">
        <f t="shared" si="48"/>
        <v>0.13961052057260359</v>
      </c>
      <c r="V101" s="327">
        <f t="shared" si="49"/>
        <v>0.16144438446546058</v>
      </c>
      <c r="W101" s="327">
        <f t="shared" si="50"/>
        <v>0.17204913776890585</v>
      </c>
      <c r="X101" s="327">
        <f t="shared" si="51"/>
        <v>0.20685617220159291</v>
      </c>
      <c r="Y101" s="327">
        <f t="shared" si="52"/>
        <v>0.18542081702228602</v>
      </c>
      <c r="Z101" s="327">
        <f t="shared" si="53"/>
        <v>7.0881121462411489E-2</v>
      </c>
      <c r="AA101" s="328">
        <f t="shared" si="54"/>
        <v>0.15750498080260011</v>
      </c>
    </row>
    <row r="102" spans="1:27" ht="12" customHeight="1" x14ac:dyDescent="0.15">
      <c r="A102" s="269">
        <f t="shared" si="28"/>
        <v>87</v>
      </c>
      <c r="B102" s="322">
        <f t="shared" si="29"/>
        <v>80.307692307692307</v>
      </c>
      <c r="C102" s="323">
        <f t="shared" si="30"/>
        <v>348</v>
      </c>
      <c r="D102" s="327">
        <f t="shared" si="31"/>
        <v>5.4495812612868427E-2</v>
      </c>
      <c r="E102" s="327">
        <f t="shared" si="32"/>
        <v>6.3521888762376952E-2</v>
      </c>
      <c r="F102" s="327">
        <f t="shared" si="33"/>
        <v>0.12517565165919742</v>
      </c>
      <c r="G102" s="327">
        <f t="shared" si="34"/>
        <v>0.10783113865867833</v>
      </c>
      <c r="H102" s="327">
        <f t="shared" si="35"/>
        <v>8.6947184815554954E-2</v>
      </c>
      <c r="I102" s="327">
        <f t="shared" si="36"/>
        <v>7.9256702249861699E-2</v>
      </c>
      <c r="J102" s="327">
        <f t="shared" si="37"/>
        <v>2.0272659239715307E-3</v>
      </c>
      <c r="K102" s="327">
        <f t="shared" si="38"/>
        <v>1.3883276288583822E-3</v>
      </c>
      <c r="L102" s="327">
        <f t="shared" si="39"/>
        <v>1.8673192903724267E-2</v>
      </c>
      <c r="M102" s="327">
        <f t="shared" si="40"/>
        <v>2.8238510473854079E-2</v>
      </c>
      <c r="N102" s="327">
        <f t="shared" si="41"/>
        <v>4.8677105043922059E-2</v>
      </c>
      <c r="O102" s="328">
        <f t="shared" si="42"/>
        <v>5.7093011396320385E-2</v>
      </c>
      <c r="P102" s="327">
        <f t="shared" si="43"/>
        <v>0.24552354581331953</v>
      </c>
      <c r="Q102" s="327">
        <f t="shared" si="44"/>
        <v>0.23312416939267616</v>
      </c>
      <c r="R102" s="327">
        <f t="shared" si="45"/>
        <v>0.26443828882263798</v>
      </c>
      <c r="S102" s="327">
        <f t="shared" si="46"/>
        <v>0.20302904777161165</v>
      </c>
      <c r="T102" s="327">
        <f t="shared" si="47"/>
        <v>5.4900880932421042E-2</v>
      </c>
      <c r="U102" s="328">
        <f t="shared" si="48"/>
        <v>0.13552941904066995</v>
      </c>
      <c r="V102" s="327">
        <f t="shared" si="49"/>
        <v>0.15805706311220036</v>
      </c>
      <c r="W102" s="327">
        <f t="shared" si="50"/>
        <v>0.16919503132330824</v>
      </c>
      <c r="X102" s="327">
        <f t="shared" si="51"/>
        <v>0.20415730791167297</v>
      </c>
      <c r="Y102" s="327">
        <f t="shared" si="52"/>
        <v>0.18287416921514216</v>
      </c>
      <c r="Z102" s="327">
        <f t="shared" si="53"/>
        <v>6.7411334705556158E-2</v>
      </c>
      <c r="AA102" s="328">
        <f t="shared" si="54"/>
        <v>0.15452084766607577</v>
      </c>
    </row>
    <row r="103" spans="1:27" ht="12" customHeight="1" x14ac:dyDescent="0.15">
      <c r="A103" s="269">
        <f t="shared" si="28"/>
        <v>88</v>
      </c>
      <c r="B103" s="322">
        <f t="shared" si="29"/>
        <v>81.230769230769226</v>
      </c>
      <c r="C103" s="323">
        <f t="shared" si="30"/>
        <v>352</v>
      </c>
      <c r="D103" s="327">
        <f t="shared" si="31"/>
        <v>5.2703392468695223E-2</v>
      </c>
      <c r="E103" s="327">
        <f t="shared" si="32"/>
        <v>6.1661490077621145E-2</v>
      </c>
      <c r="F103" s="327">
        <f t="shared" si="33"/>
        <v>0.12336919418855152</v>
      </c>
      <c r="G103" s="327">
        <f t="shared" si="34"/>
        <v>0.10629807791190855</v>
      </c>
      <c r="H103" s="327">
        <f t="shared" si="35"/>
        <v>8.5139814357633764E-2</v>
      </c>
      <c r="I103" s="327">
        <f t="shared" si="36"/>
        <v>7.7472655465786522E-2</v>
      </c>
      <c r="J103" s="327">
        <f t="shared" si="37"/>
        <v>1.8877986503110637E-3</v>
      </c>
      <c r="K103" s="327">
        <f t="shared" si="38"/>
        <v>1.2843385772429274E-3</v>
      </c>
      <c r="L103" s="327">
        <f t="shared" si="39"/>
        <v>1.8213475983967387E-2</v>
      </c>
      <c r="M103" s="327">
        <f t="shared" si="40"/>
        <v>2.7773631252097412E-2</v>
      </c>
      <c r="N103" s="327">
        <f t="shared" si="41"/>
        <v>4.8302655774108527E-2</v>
      </c>
      <c r="O103" s="328">
        <f t="shared" si="42"/>
        <v>5.6449293595401233E-2</v>
      </c>
      <c r="P103" s="327">
        <f t="shared" si="43"/>
        <v>0.24159209723442188</v>
      </c>
      <c r="Q103" s="327">
        <f t="shared" si="44"/>
        <v>0.2304193503140827</v>
      </c>
      <c r="R103" s="327">
        <f t="shared" si="45"/>
        <v>0.26120780210045291</v>
      </c>
      <c r="S103" s="327">
        <f t="shared" si="46"/>
        <v>0.19988415863741543</v>
      </c>
      <c r="T103" s="327">
        <f t="shared" si="47"/>
        <v>5.0797853966723538E-2</v>
      </c>
      <c r="U103" s="328">
        <f t="shared" si="48"/>
        <v>0.13155788421973691</v>
      </c>
      <c r="V103" s="327">
        <f t="shared" si="49"/>
        <v>0.1547408123383737</v>
      </c>
      <c r="W103" s="327">
        <f t="shared" si="50"/>
        <v>0.16639407970534054</v>
      </c>
      <c r="X103" s="327">
        <f t="shared" si="51"/>
        <v>0.20151001182209693</v>
      </c>
      <c r="Y103" s="327">
        <f t="shared" si="52"/>
        <v>0.18038339439281398</v>
      </c>
      <c r="Z103" s="327">
        <f t="shared" si="53"/>
        <v>6.4071569464837594E-2</v>
      </c>
      <c r="AA103" s="328">
        <f t="shared" si="54"/>
        <v>0.15160275582209981</v>
      </c>
    </row>
    <row r="104" spans="1:27" ht="12" customHeight="1" x14ac:dyDescent="0.15">
      <c r="A104" s="269">
        <f t="shared" si="28"/>
        <v>89</v>
      </c>
      <c r="B104" s="322">
        <f t="shared" si="29"/>
        <v>82.15384615384616</v>
      </c>
      <c r="C104" s="323">
        <f t="shared" si="30"/>
        <v>356</v>
      </c>
      <c r="D104" s="327">
        <f t="shared" si="31"/>
        <v>5.0969926761921823E-2</v>
      </c>
      <c r="E104" s="327">
        <f t="shared" si="32"/>
        <v>5.9856819949853791E-2</v>
      </c>
      <c r="F104" s="327">
        <f t="shared" si="33"/>
        <v>0.12160118300046496</v>
      </c>
      <c r="G104" s="327">
        <f t="shared" si="34"/>
        <v>0.10480125205154688</v>
      </c>
      <c r="H104" s="327">
        <f t="shared" si="35"/>
        <v>8.338102564057269E-2</v>
      </c>
      <c r="I104" s="327">
        <f t="shared" si="36"/>
        <v>7.5735990450777058E-2</v>
      </c>
      <c r="J104" s="327">
        <f t="shared" si="37"/>
        <v>1.757926131927779E-3</v>
      </c>
      <c r="K104" s="327">
        <f t="shared" si="38"/>
        <v>1.1881077649555992E-3</v>
      </c>
      <c r="L104" s="327">
        <f t="shared" si="39"/>
        <v>1.7768470851248441E-2</v>
      </c>
      <c r="M104" s="327">
        <f t="shared" si="40"/>
        <v>2.7321317826205605E-2</v>
      </c>
      <c r="N104" s="327">
        <f t="shared" si="41"/>
        <v>4.7941521936944023E-2</v>
      </c>
      <c r="O104" s="328">
        <f t="shared" si="42"/>
        <v>5.5819691796284467E-2</v>
      </c>
      <c r="P104" s="327">
        <f t="shared" si="43"/>
        <v>0.23772360102075382</v>
      </c>
      <c r="Q104" s="327">
        <f t="shared" si="44"/>
        <v>0.22775500640184523</v>
      </c>
      <c r="R104" s="327">
        <f t="shared" si="45"/>
        <v>0.25803387432212654</v>
      </c>
      <c r="S104" s="327">
        <f t="shared" si="46"/>
        <v>0.19681087262448785</v>
      </c>
      <c r="T104" s="327">
        <f t="shared" si="47"/>
        <v>4.6917240499912208E-2</v>
      </c>
      <c r="U104" s="328">
        <f t="shared" si="48"/>
        <v>0.12769341319044403</v>
      </c>
      <c r="V104" s="327">
        <f t="shared" si="49"/>
        <v>0.15149414098718306</v>
      </c>
      <c r="W104" s="327">
        <f t="shared" si="50"/>
        <v>0.16364513238928632</v>
      </c>
      <c r="X104" s="327">
        <f t="shared" si="51"/>
        <v>0.19891295629341477</v>
      </c>
      <c r="Y104" s="327">
        <f t="shared" si="52"/>
        <v>0.1779468547496183</v>
      </c>
      <c r="Z104" s="327">
        <f t="shared" si="53"/>
        <v>6.0858962892592586E-2</v>
      </c>
      <c r="AA104" s="328">
        <f t="shared" si="54"/>
        <v>0.14874900894822407</v>
      </c>
    </row>
    <row r="105" spans="1:27" ht="12" customHeight="1" x14ac:dyDescent="0.15">
      <c r="A105" s="269">
        <f t="shared" si="28"/>
        <v>90</v>
      </c>
      <c r="B105" s="322">
        <f t="shared" si="29"/>
        <v>83.07692307692308</v>
      </c>
      <c r="C105" s="323">
        <f t="shared" si="30"/>
        <v>360</v>
      </c>
      <c r="D105" s="327">
        <f t="shared" si="31"/>
        <v>4.9293476423909466E-2</v>
      </c>
      <c r="E105" s="327">
        <f t="shared" si="32"/>
        <v>5.810615917106636E-2</v>
      </c>
      <c r="F105" s="327">
        <f t="shared" si="33"/>
        <v>0.11987051215222166</v>
      </c>
      <c r="G105" s="327">
        <f t="shared" si="34"/>
        <v>0.10333948079110654</v>
      </c>
      <c r="H105" s="327">
        <f t="shared" si="35"/>
        <v>8.1669287437590901E-2</v>
      </c>
      <c r="I105" s="327">
        <f t="shared" si="36"/>
        <v>7.4045229553423408E-2</v>
      </c>
      <c r="J105" s="327">
        <f t="shared" si="37"/>
        <v>1.6369882904648549E-3</v>
      </c>
      <c r="K105" s="327">
        <f t="shared" si="38"/>
        <v>1.0990590065756891E-3</v>
      </c>
      <c r="L105" s="327">
        <f t="shared" si="39"/>
        <v>1.7337592581132766E-2</v>
      </c>
      <c r="M105" s="327">
        <f t="shared" si="40"/>
        <v>2.6881101695847415E-2</v>
      </c>
      <c r="N105" s="327">
        <f t="shared" si="41"/>
        <v>4.7593155275327474E-2</v>
      </c>
      <c r="O105" s="328">
        <f t="shared" si="42"/>
        <v>5.5203749032662425E-2</v>
      </c>
      <c r="P105" s="327">
        <f t="shared" si="43"/>
        <v>0.23391704914684888</v>
      </c>
      <c r="Q105" s="327">
        <f t="shared" si="44"/>
        <v>0.22513032690333762</v>
      </c>
      <c r="R105" s="327">
        <f t="shared" si="45"/>
        <v>0.25491519371561677</v>
      </c>
      <c r="S105" s="327">
        <f t="shared" si="46"/>
        <v>0.19380713705923688</v>
      </c>
      <c r="T105" s="327">
        <f t="shared" si="47"/>
        <v>4.3253635106756651E-2</v>
      </c>
      <c r="U105" s="328">
        <f t="shared" si="48"/>
        <v>0.12393353867657542</v>
      </c>
      <c r="V105" s="327">
        <f t="shared" si="49"/>
        <v>0.14831558918831583</v>
      </c>
      <c r="W105" s="327">
        <f t="shared" si="50"/>
        <v>0.16094706891766122</v>
      </c>
      <c r="X105" s="327">
        <f t="shared" si="51"/>
        <v>0.1963648570613894</v>
      </c>
      <c r="Y105" s="327">
        <f t="shared" si="52"/>
        <v>0.17556297108324484</v>
      </c>
      <c r="Z105" s="327">
        <f t="shared" si="53"/>
        <v>5.7770629108854901E-2</v>
      </c>
      <c r="AA105" s="328">
        <f t="shared" si="54"/>
        <v>0.14595796068041578</v>
      </c>
    </row>
    <row r="106" spans="1:27" ht="12" customHeight="1" x14ac:dyDescent="0.15">
      <c r="A106" s="269">
        <f t="shared" si="28"/>
        <v>91</v>
      </c>
      <c r="B106" s="322">
        <f t="shared" si="29"/>
        <v>84</v>
      </c>
      <c r="C106" s="323">
        <f t="shared" si="30"/>
        <v>364</v>
      </c>
      <c r="D106" s="327">
        <f t="shared" si="31"/>
        <v>4.767216616386797E-2</v>
      </c>
      <c r="E106" s="327">
        <f t="shared" si="32"/>
        <v>5.6407843726365647E-2</v>
      </c>
      <c r="F106" s="327">
        <f t="shared" si="33"/>
        <v>0.11817611619152923</v>
      </c>
      <c r="G106" s="327">
        <f t="shared" si="34"/>
        <v>0.10191163230963037</v>
      </c>
      <c r="H106" s="327">
        <f t="shared" si="35"/>
        <v>8.0003123088929484E-2</v>
      </c>
      <c r="I106" s="327">
        <f t="shared" si="36"/>
        <v>7.2398948823660159E-2</v>
      </c>
      <c r="J106" s="327">
        <f t="shared" si="37"/>
        <v>1.5243704581491139E-3</v>
      </c>
      <c r="K106" s="327">
        <f t="shared" si="38"/>
        <v>1.0166586814870046E-3</v>
      </c>
      <c r="L106" s="327">
        <f t="shared" si="39"/>
        <v>1.6920284177037948E-2</v>
      </c>
      <c r="M106" s="327">
        <f t="shared" si="40"/>
        <v>2.6452536495584416E-2</v>
      </c>
      <c r="N106" s="327">
        <f t="shared" si="41"/>
        <v>4.7257034332323936E-2</v>
      </c>
      <c r="O106" s="328">
        <f t="shared" si="42"/>
        <v>5.4601027805930465E-2</v>
      </c>
      <c r="P106" s="327">
        <f t="shared" si="43"/>
        <v>0.23017144972825981</v>
      </c>
      <c r="Q106" s="327">
        <f t="shared" si="44"/>
        <v>0.2225445229891658</v>
      </c>
      <c r="R106" s="327">
        <f t="shared" si="45"/>
        <v>0.25185048642976082</v>
      </c>
      <c r="S106" s="327">
        <f t="shared" si="46"/>
        <v>0.19087096647652035</v>
      </c>
      <c r="T106" s="327">
        <f t="shared" si="47"/>
        <v>3.9801314685303568E-2</v>
      </c>
      <c r="U106" s="328">
        <f t="shared" si="48"/>
        <v>0.12027582978773654</v>
      </c>
      <c r="V106" s="327">
        <f t="shared" si="49"/>
        <v>0.14520372770151116</v>
      </c>
      <c r="W106" s="327">
        <f t="shared" si="50"/>
        <v>0.15829879792330884</v>
      </c>
      <c r="X106" s="327">
        <f t="shared" si="51"/>
        <v>0.19386447151684161</v>
      </c>
      <c r="Y106" s="327">
        <f t="shared" si="52"/>
        <v>0.17323022038469615</v>
      </c>
      <c r="Z106" s="327">
        <f t="shared" si="53"/>
        <v>5.480366288040852E-2</v>
      </c>
      <c r="AA106" s="328">
        <f t="shared" si="54"/>
        <v>0.14322801295906407</v>
      </c>
    </row>
    <row r="107" spans="1:27" ht="12" customHeight="1" x14ac:dyDescent="0.15">
      <c r="A107" s="269">
        <f t="shared" si="28"/>
        <v>92</v>
      </c>
      <c r="B107" s="322">
        <f t="shared" si="29"/>
        <v>84.92307692307692</v>
      </c>
      <c r="C107" s="323">
        <f t="shared" si="30"/>
        <v>368</v>
      </c>
      <c r="D107" s="327">
        <f t="shared" si="31"/>
        <v>4.6104182371140556E-2</v>
      </c>
      <c r="E107" s="327">
        <f t="shared" si="32"/>
        <v>5.4760262920462328E-2</v>
      </c>
      <c r="F107" s="327">
        <f t="shared" si="33"/>
        <v>0.11651696834886127</v>
      </c>
      <c r="G107" s="327">
        <f t="shared" si="34"/>
        <v>0.1005166208715754</v>
      </c>
      <c r="H107" s="327">
        <f t="shared" si="35"/>
        <v>7.8381108351686171E-2</v>
      </c>
      <c r="I107" s="327">
        <f t="shared" si="36"/>
        <v>7.0795775760535307E-2</v>
      </c>
      <c r="J107" s="327">
        <f t="shared" si="37"/>
        <v>1.4195002537360103E-3</v>
      </c>
      <c r="K107" s="327">
        <f t="shared" si="38"/>
        <v>9.4041260938307976E-4</v>
      </c>
      <c r="L107" s="327">
        <f t="shared" si="39"/>
        <v>1.6516015010114682E-2</v>
      </c>
      <c r="M107" s="327">
        <f t="shared" si="40"/>
        <v>2.6035196734624962E-2</v>
      </c>
      <c r="N107" s="327">
        <f t="shared" si="41"/>
        <v>4.6932662907375952E-2</v>
      </c>
      <c r="O107" s="328">
        <f t="shared" si="42"/>
        <v>5.4011109060783831E-2</v>
      </c>
      <c r="P107" s="327">
        <f t="shared" si="43"/>
        <v>0.22648582676310025</v>
      </c>
      <c r="Q107" s="327">
        <f t="shared" si="44"/>
        <v>0.21999682697094156</v>
      </c>
      <c r="R107" s="327">
        <f t="shared" si="45"/>
        <v>0.2488385152355741</v>
      </c>
      <c r="S107" s="327">
        <f t="shared" si="46"/>
        <v>0.18800044034876223</v>
      </c>
      <c r="T107" s="327">
        <f t="shared" si="47"/>
        <v>3.6554264462497842E-2</v>
      </c>
      <c r="U107" s="328">
        <f t="shared" si="48"/>
        <v>0.11671789266009758</v>
      </c>
      <c r="V107" s="327">
        <f t="shared" si="49"/>
        <v>0.1421571572739003</v>
      </c>
      <c r="W107" s="327">
        <f t="shared" si="50"/>
        <v>0.15569925619144465</v>
      </c>
      <c r="X107" s="327">
        <f t="shared" si="51"/>
        <v>0.19141059706550401</v>
      </c>
      <c r="Y107" s="327">
        <f t="shared" si="52"/>
        <v>0.17094713353632357</v>
      </c>
      <c r="Z107" s="327">
        <f t="shared" si="53"/>
        <v>5.1955143295981748E-2</v>
      </c>
      <c r="AA107" s="328">
        <f t="shared" si="54"/>
        <v>0.14055761443459613</v>
      </c>
    </row>
    <row r="108" spans="1:27" ht="12" customHeight="1" x14ac:dyDescent="0.15">
      <c r="A108" s="269">
        <f t="shared" si="28"/>
        <v>93</v>
      </c>
      <c r="B108" s="322">
        <f t="shared" si="29"/>
        <v>85.84615384615384</v>
      </c>
      <c r="C108" s="323">
        <f t="shared" si="30"/>
        <v>372</v>
      </c>
      <c r="D108" s="327">
        <f t="shared" si="31"/>
        <v>4.4587771086484283E-2</v>
      </c>
      <c r="E108" s="327">
        <f t="shared" si="32"/>
        <v>5.3161857573011582E-2</v>
      </c>
      <c r="F108" s="327">
        <f t="shared" si="33"/>
        <v>0.11489207882515196</v>
      </c>
      <c r="G108" s="327">
        <f t="shared" si="34"/>
        <v>9.9153404581648924E-2</v>
      </c>
      <c r="H108" s="327">
        <f t="shared" si="35"/>
        <v>7.6801869341937751E-2</v>
      </c>
      <c r="I108" s="327">
        <f t="shared" si="36"/>
        <v>6.9234387167778078E-2</v>
      </c>
      <c r="J108" s="327">
        <f t="shared" si="37"/>
        <v>1.3218446733762998E-3</v>
      </c>
      <c r="K108" s="327">
        <f t="shared" si="38"/>
        <v>8.6986315334879917E-4</v>
      </c>
      <c r="L108" s="327">
        <f t="shared" si="39"/>
        <v>1.6124279359032156E-2</v>
      </c>
      <c r="M108" s="327">
        <f t="shared" si="40"/>
        <v>2.5628676620212131E-2</v>
      </c>
      <c r="N108" s="327">
        <f t="shared" si="41"/>
        <v>4.6619568614568181E-2</v>
      </c>
      <c r="O108" s="328">
        <f t="shared" si="42"/>
        <v>5.3433591224770614E-2</v>
      </c>
      <c r="P108" s="327">
        <f t="shared" si="43"/>
        <v>0.22285921987772533</v>
      </c>
      <c r="Q108" s="327">
        <f t="shared" si="44"/>
        <v>0.21748649155447469</v>
      </c>
      <c r="R108" s="327">
        <f t="shared" si="45"/>
        <v>0.24587807827772434</v>
      </c>
      <c r="S108" s="327">
        <f t="shared" si="46"/>
        <v>0.18519370087865519</v>
      </c>
      <c r="T108" s="327">
        <f t="shared" si="47"/>
        <v>3.3506205362505696E-2</v>
      </c>
      <c r="U108" s="328">
        <f t="shared" si="48"/>
        <v>0.11325737100175259</v>
      </c>
      <c r="V108" s="327">
        <f t="shared" si="49"/>
        <v>0.13917450801083053</v>
      </c>
      <c r="W108" s="327">
        <f t="shared" si="50"/>
        <v>0.1531474077596246</v>
      </c>
      <c r="X108" s="327">
        <f t="shared" si="51"/>
        <v>0.18900206956363874</v>
      </c>
      <c r="Y108" s="327">
        <f t="shared" si="52"/>
        <v>0.16871229311300928</v>
      </c>
      <c r="Z108" s="327">
        <f t="shared" si="53"/>
        <v>4.9222137429633099E-2</v>
      </c>
      <c r="AA108" s="328">
        <f t="shared" si="54"/>
        <v>0.13794525893049558</v>
      </c>
    </row>
    <row r="109" spans="1:27" ht="12" customHeight="1" x14ac:dyDescent="0.15">
      <c r="A109" s="269">
        <f t="shared" si="28"/>
        <v>94</v>
      </c>
      <c r="B109" s="322">
        <f t="shared" si="29"/>
        <v>86.769230769230774</v>
      </c>
      <c r="C109" s="323">
        <f t="shared" si="30"/>
        <v>376</v>
      </c>
      <c r="D109" s="327">
        <f t="shared" si="31"/>
        <v>4.312123604007731E-2</v>
      </c>
      <c r="E109" s="327">
        <f t="shared" si="32"/>
        <v>5.1611118279972112E-2</v>
      </c>
      <c r="F109" s="327">
        <f t="shared" si="33"/>
        <v>0.11330049316903446</v>
      </c>
      <c r="G109" s="327">
        <f t="shared" si="34"/>
        <v>9.7820983265983485E-2</v>
      </c>
      <c r="H109" s="327">
        <f t="shared" si="35"/>
        <v>7.526408056488125E-2</v>
      </c>
      <c r="I109" s="327">
        <f t="shared" si="36"/>
        <v>6.7713507111343052E-2</v>
      </c>
      <c r="J109" s="327">
        <f t="shared" si="37"/>
        <v>1.2309073816187167E-3</v>
      </c>
      <c r="K109" s="327">
        <f t="shared" si="38"/>
        <v>8.0458653410509081E-4</v>
      </c>
      <c r="L109" s="327">
        <f t="shared" si="39"/>
        <v>1.5744595042454401E-2</v>
      </c>
      <c r="M109" s="327">
        <f t="shared" si="40"/>
        <v>2.5232588958327074E-2</v>
      </c>
      <c r="N109" s="327">
        <f t="shared" si="41"/>
        <v>4.6317301535397988E-2</v>
      </c>
      <c r="O109" s="328">
        <f t="shared" si="42"/>
        <v>5.2868089307192195E-2</v>
      </c>
      <c r="P109" s="327">
        <f t="shared" si="43"/>
        <v>0.21929068407648405</v>
      </c>
      <c r="Q109" s="327">
        <f t="shared" si="44"/>
        <v>0.21501278912642494</v>
      </c>
      <c r="R109" s="327">
        <f t="shared" si="45"/>
        <v>0.24296800787412332</v>
      </c>
      <c r="S109" s="327">
        <f t="shared" si="46"/>
        <v>0.18244895085575527</v>
      </c>
      <c r="T109" s="327">
        <f t="shared" si="47"/>
        <v>3.0650622559239071E-2</v>
      </c>
      <c r="U109" s="328">
        <f t="shared" si="48"/>
        <v>0.10989194654887946</v>
      </c>
      <c r="V109" s="327">
        <f t="shared" si="49"/>
        <v>0.13625443875989024</v>
      </c>
      <c r="W109" s="327">
        <f t="shared" si="50"/>
        <v>0.15064224305373944</v>
      </c>
      <c r="X109" s="327">
        <f t="shared" si="51"/>
        <v>0.18663776182542335</v>
      </c>
      <c r="Y109" s="327">
        <f t="shared" si="52"/>
        <v>0.16652433128173882</v>
      </c>
      <c r="Z109" s="327">
        <f t="shared" si="53"/>
        <v>4.6601703984378913E-2</v>
      </c>
      <c r="AA109" s="328">
        <f t="shared" si="54"/>
        <v>0.13538948396160111</v>
      </c>
    </row>
    <row r="110" spans="1:27" ht="12" customHeight="1" x14ac:dyDescent="0.15">
      <c r="A110" s="269">
        <f t="shared" si="28"/>
        <v>95</v>
      </c>
      <c r="B110" s="322">
        <f t="shared" si="29"/>
        <v>87.692307692307693</v>
      </c>
      <c r="C110" s="323">
        <f t="shared" si="30"/>
        <v>380</v>
      </c>
      <c r="D110" s="327">
        <f t="shared" si="31"/>
        <v>4.170293675405784E-2</v>
      </c>
      <c r="E110" s="327">
        <f t="shared" si="32"/>
        <v>5.0106583738295671E-2</v>
      </c>
      <c r="F110" s="327">
        <f t="shared" si="33"/>
        <v>0.1117412907382288</v>
      </c>
      <c r="G110" s="327">
        <f t="shared" si="34"/>
        <v>9.6518396471651544E-2</v>
      </c>
      <c r="H110" s="327">
        <f t="shared" si="35"/>
        <v>7.376646302893794E-2</v>
      </c>
      <c r="I110" s="327">
        <f t="shared" si="36"/>
        <v>6.6231904973468758E-2</v>
      </c>
      <c r="J110" s="327">
        <f t="shared" si="37"/>
        <v>1.1462261887801401E-3</v>
      </c>
      <c r="K110" s="327">
        <f t="shared" si="38"/>
        <v>7.4419034017224935E-4</v>
      </c>
      <c r="L110" s="327">
        <f t="shared" si="39"/>
        <v>1.5376502137572245E-2</v>
      </c>
      <c r="M110" s="327">
        <f t="shared" si="40"/>
        <v>2.4846564125924626E-2</v>
      </c>
      <c r="N110" s="327">
        <f t="shared" si="41"/>
        <v>4.6025432959119567E-2</v>
      </c>
      <c r="O110" s="328">
        <f t="shared" si="42"/>
        <v>5.2314234053120079E-2</v>
      </c>
      <c r="P110" s="327">
        <f t="shared" si="43"/>
        <v>0.21577928949547925</v>
      </c>
      <c r="Q110" s="327">
        <f t="shared" si="44"/>
        <v>0.21257501107258964</v>
      </c>
      <c r="R110" s="327">
        <f t="shared" si="45"/>
        <v>0.24010716936166565</v>
      </c>
      <c r="S110" s="327">
        <f t="shared" si="46"/>
        <v>0.17976445157695781</v>
      </c>
      <c r="T110" s="327">
        <f t="shared" si="47"/>
        <v>2.7980795020752229E-2</v>
      </c>
      <c r="U110" s="328">
        <f t="shared" si="48"/>
        <v>0.10661933943855972</v>
      </c>
      <c r="V110" s="327">
        <f t="shared" si="49"/>
        <v>0.13339563650785771</v>
      </c>
      <c r="W110" s="327">
        <f t="shared" si="50"/>
        <v>0.14818277805825716</v>
      </c>
      <c r="X110" s="327">
        <f t="shared" si="51"/>
        <v>0.1843165821983519</v>
      </c>
      <c r="Y110" s="327">
        <f t="shared" si="52"/>
        <v>0.16438192779501681</v>
      </c>
      <c r="Z110" s="327">
        <f t="shared" si="53"/>
        <v>4.4090896908142739E-2</v>
      </c>
      <c r="AA110" s="328">
        <f t="shared" si="54"/>
        <v>0.13288886930561894</v>
      </c>
    </row>
    <row r="111" spans="1:27" ht="12" customHeight="1" x14ac:dyDescent="0.15">
      <c r="A111" s="269">
        <f t="shared" si="28"/>
        <v>96</v>
      </c>
      <c r="B111" s="322">
        <f t="shared" si="29"/>
        <v>88.615384615384613</v>
      </c>
      <c r="C111" s="323">
        <f t="shared" si="30"/>
        <v>384</v>
      </c>
      <c r="D111" s="327">
        <f t="shared" si="31"/>
        <v>4.0331286707472366E-2</v>
      </c>
      <c r="E111" s="327">
        <f t="shared" si="32"/>
        <v>4.8646839131374631E-2</v>
      </c>
      <c r="F111" s="327">
        <f t="shared" si="33"/>
        <v>0.11021358324003994</v>
      </c>
      <c r="G111" s="327">
        <f t="shared" si="34"/>
        <v>9.5244721577071867E-2</v>
      </c>
      <c r="H111" s="327">
        <f t="shared" si="35"/>
        <v>7.2307782439962498E-2</v>
      </c>
      <c r="I111" s="327">
        <f t="shared" si="36"/>
        <v>6.4788393598102845E-2</v>
      </c>
      <c r="J111" s="327">
        <f t="shared" si="37"/>
        <v>1.0673707018619678E-3</v>
      </c>
      <c r="K111" s="327">
        <f t="shared" si="38"/>
        <v>6.8831121979356761E-4</v>
      </c>
      <c r="L111" s="327">
        <f t="shared" si="39"/>
        <v>1.5019561778583435E-2</v>
      </c>
      <c r="M111" s="327">
        <f t="shared" si="40"/>
        <v>2.4470249109400002E-2</v>
      </c>
      <c r="N111" s="327">
        <f t="shared" si="41"/>
        <v>4.5743554204287128E-2</v>
      </c>
      <c r="O111" s="328">
        <f t="shared" si="42"/>
        <v>5.177167114863792E-2</v>
      </c>
      <c r="P111" s="327">
        <f t="shared" si="43"/>
        <v>0.21232412116026975</v>
      </c>
      <c r="Q111" s="327">
        <f t="shared" si="44"/>
        <v>0.21017246712611035</v>
      </c>
      <c r="R111" s="327">
        <f t="shared" si="45"/>
        <v>0.23729445998620391</v>
      </c>
      <c r="S111" s="327">
        <f t="shared" si="46"/>
        <v>0.17713852083054507</v>
      </c>
      <c r="T111" s="327">
        <f t="shared" si="47"/>
        <v>2.5489825841013586E-2</v>
      </c>
      <c r="U111" s="328">
        <f t="shared" si="48"/>
        <v>0.10343730850378408</v>
      </c>
      <c r="V111" s="327">
        <f t="shared" si="49"/>
        <v>0.13059681579030291</v>
      </c>
      <c r="W111" s="327">
        <f t="shared" si="50"/>
        <v>0.14576805351902766</v>
      </c>
      <c r="X111" s="327">
        <f t="shared" si="51"/>
        <v>0.1820374732031047</v>
      </c>
      <c r="Y111" s="327">
        <f t="shared" si="52"/>
        <v>0.16228380807376303</v>
      </c>
      <c r="Z111" s="327">
        <f t="shared" si="53"/>
        <v>4.1686768974158558E-2</v>
      </c>
      <c r="AA111" s="328">
        <f t="shared" si="54"/>
        <v>0.13044203562586665</v>
      </c>
    </row>
    <row r="112" spans="1:27" ht="12" customHeight="1" x14ac:dyDescent="0.15">
      <c r="A112" s="269">
        <f t="shared" si="28"/>
        <v>97</v>
      </c>
      <c r="B112" s="322">
        <f t="shared" si="29"/>
        <v>89.538461538461533</v>
      </c>
      <c r="C112" s="323">
        <f t="shared" si="30"/>
        <v>388</v>
      </c>
      <c r="D112" s="327">
        <f t="shared" si="31"/>
        <v>3.9004751561580661E-2</v>
      </c>
      <c r="E112" s="327">
        <f t="shared" si="32"/>
        <v>4.7230514572804402E-2</v>
      </c>
      <c r="F112" s="327">
        <f t="shared" si="33"/>
        <v>0.10871651334627874</v>
      </c>
      <c r="G112" s="327">
        <f t="shared" si="34"/>
        <v>9.3999072006382745E-2</v>
      </c>
      <c r="H112" s="327">
        <f t="shared" si="35"/>
        <v>7.0886847471890155E-2</v>
      </c>
      <c r="I112" s="327">
        <f t="shared" si="36"/>
        <v>6.338182752286059E-2</v>
      </c>
      <c r="J112" s="327">
        <f t="shared" si="37"/>
        <v>9.9394013707344918E-4</v>
      </c>
      <c r="K112" s="327">
        <f t="shared" si="38"/>
        <v>6.3661274147220552E-4</v>
      </c>
      <c r="L112" s="327">
        <f t="shared" si="39"/>
        <v>1.4673355029497959E-2</v>
      </c>
      <c r="M112" s="327">
        <f t="shared" si="40"/>
        <v>2.4103306604426576E-2</v>
      </c>
      <c r="N112" s="327">
        <f t="shared" si="41"/>
        <v>4.5471275515634083E-2</v>
      </c>
      <c r="O112" s="328">
        <f t="shared" si="42"/>
        <v>5.1240060473728012E-2</v>
      </c>
      <c r="P112" s="327">
        <f t="shared" si="43"/>
        <v>0.20892427874745317</v>
      </c>
      <c r="Q112" s="327">
        <f t="shared" si="44"/>
        <v>0.20780448474400032</v>
      </c>
      <c r="R112" s="327">
        <f t="shared" si="45"/>
        <v>0.23452880783494701</v>
      </c>
      <c r="S112" s="327">
        <f t="shared" si="46"/>
        <v>0.17456953094326969</v>
      </c>
      <c r="T112" s="327">
        <f t="shared" si="47"/>
        <v>2.3170673144277742E-2</v>
      </c>
      <c r="U112" s="328">
        <f t="shared" si="48"/>
        <v>0.10034365149587676</v>
      </c>
      <c r="V112" s="327">
        <f t="shared" si="49"/>
        <v>0.12785671811357685</v>
      </c>
      <c r="W112" s="327">
        <f t="shared" si="50"/>
        <v>0.14339713417708064</v>
      </c>
      <c r="X112" s="327">
        <f t="shared" si="51"/>
        <v>0.1797994102345597</v>
      </c>
      <c r="Y112" s="327">
        <f t="shared" si="52"/>
        <v>0.16022874137552715</v>
      </c>
      <c r="Z112" s="327">
        <f t="shared" si="53"/>
        <v>3.9386375318046327E-2</v>
      </c>
      <c r="AA112" s="328">
        <f t="shared" si="54"/>
        <v>0.12804764314331951</v>
      </c>
    </row>
    <row r="113" spans="1:27" ht="12" customHeight="1" x14ac:dyDescent="0.15">
      <c r="A113" s="269">
        <f t="shared" si="28"/>
        <v>98</v>
      </c>
      <c r="B113" s="322">
        <f t="shared" si="29"/>
        <v>90.461538461538467</v>
      </c>
      <c r="C113" s="323">
        <f t="shared" si="30"/>
        <v>392</v>
      </c>
      <c r="D113" s="327">
        <f t="shared" si="31"/>
        <v>3.7721847443532144E-2</v>
      </c>
      <c r="E113" s="327">
        <f t="shared" si="32"/>
        <v>4.5856283606125862E-2</v>
      </c>
      <c r="F113" s="327">
        <f t="shared" si="33"/>
        <v>0.10724925337822555</v>
      </c>
      <c r="G113" s="327">
        <f t="shared" si="34"/>
        <v>9.2780595541332056E-2</v>
      </c>
      <c r="H113" s="327">
        <f t="shared" si="35"/>
        <v>6.9502508110333219E-2</v>
      </c>
      <c r="I113" s="327">
        <f t="shared" si="36"/>
        <v>6.2011101292963833E-2</v>
      </c>
      <c r="J113" s="327">
        <f t="shared" si="37"/>
        <v>9.2556128284411389E-4</v>
      </c>
      <c r="K113" s="327">
        <f t="shared" si="38"/>
        <v>5.8878341091355129E-4</v>
      </c>
      <c r="L113" s="327">
        <f t="shared" si="39"/>
        <v>1.4337481826081966E-2</v>
      </c>
      <c r="M113" s="327">
        <f t="shared" si="40"/>
        <v>2.3745414172702702E-2</v>
      </c>
      <c r="N113" s="327">
        <f t="shared" si="41"/>
        <v>4.5208225030889677E-2</v>
      </c>
      <c r="O113" s="328">
        <f t="shared" si="42"/>
        <v>5.0719075399505709E-2</v>
      </c>
      <c r="P113" s="327">
        <f t="shared" si="43"/>
        <v>0.20557887635006591</v>
      </c>
      <c r="Q113" s="327">
        <f t="shared" si="44"/>
        <v>0.205470408510493</v>
      </c>
      <c r="R113" s="327">
        <f t="shared" si="45"/>
        <v>0.23180917080952557</v>
      </c>
      <c r="S113" s="327">
        <f t="shared" si="46"/>
        <v>0.17205590688972661</v>
      </c>
      <c r="T113" s="327">
        <f t="shared" si="47"/>
        <v>2.1016181339111643E-2</v>
      </c>
      <c r="U113" s="328">
        <f t="shared" si="48"/>
        <v>9.733620523927855E-2</v>
      </c>
      <c r="V113" s="327">
        <f t="shared" si="49"/>
        <v>0.12517411138892762</v>
      </c>
      <c r="W113" s="327">
        <f t="shared" si="50"/>
        <v>0.14106910803192549</v>
      </c>
      <c r="X113" s="327">
        <f t="shared" si="51"/>
        <v>0.17760140032079863</v>
      </c>
      <c r="Y113" s="327">
        <f t="shared" si="52"/>
        <v>0.1582155390440349</v>
      </c>
      <c r="Z113" s="327">
        <f t="shared" si="53"/>
        <v>3.7186776923884161E-2</v>
      </c>
      <c r="AA113" s="328">
        <f t="shared" si="54"/>
        <v>0.12570439035611169</v>
      </c>
    </row>
    <row r="114" spans="1:27" ht="12" customHeight="1" x14ac:dyDescent="0.15">
      <c r="A114" s="269">
        <f t="shared" si="28"/>
        <v>99</v>
      </c>
      <c r="B114" s="322">
        <f t="shared" si="29"/>
        <v>91.384615384615387</v>
      </c>
      <c r="C114" s="323">
        <f t="shared" si="30"/>
        <v>396</v>
      </c>
      <c r="D114" s="327">
        <f t="shared" si="31"/>
        <v>3.6481139286493866E-2</v>
      </c>
      <c r="E114" s="327">
        <f t="shared" si="32"/>
        <v>4.4522861758321278E-2</v>
      </c>
      <c r="F114" s="327">
        <f t="shared" si="33"/>
        <v>0.10581100405755373</v>
      </c>
      <c r="G114" s="327">
        <f t="shared" si="34"/>
        <v>9.1588472724677156E-2</v>
      </c>
      <c r="H114" s="327">
        <f t="shared" si="35"/>
        <v>6.8153654065809033E-2</v>
      </c>
      <c r="I114" s="327">
        <f t="shared" si="36"/>
        <v>6.0675147852877087E-2</v>
      </c>
      <c r="J114" s="327">
        <f t="shared" si="37"/>
        <v>8.6188660297228589E-4</v>
      </c>
      <c r="K114" s="327">
        <f t="shared" si="38"/>
        <v>5.445348330389919E-4</v>
      </c>
      <c r="L114" s="327">
        <f t="shared" si="39"/>
        <v>1.401155998216197E-2</v>
      </c>
      <c r="M114" s="327">
        <f t="shared" si="40"/>
        <v>2.3396263451509157E-2</v>
      </c>
      <c r="N114" s="327">
        <f t="shared" si="41"/>
        <v>4.4954047812561418E-2</v>
      </c>
      <c r="O114" s="328">
        <f t="shared" si="42"/>
        <v>5.0208402126762572E-2</v>
      </c>
      <c r="P114" s="327">
        <f t="shared" si="43"/>
        <v>0.20228704224673982</v>
      </c>
      <c r="Q114" s="327">
        <f t="shared" si="44"/>
        <v>0.20316959956580255</v>
      </c>
      <c r="R114" s="327">
        <f t="shared" si="45"/>
        <v>0.22913453563804709</v>
      </c>
      <c r="S114" s="327">
        <f t="shared" si="46"/>
        <v>0.16959612446309888</v>
      </c>
      <c r="T114" s="327">
        <f t="shared" si="47"/>
        <v>1.901911249325813E-2</v>
      </c>
      <c r="U114" s="328">
        <f t="shared" si="48"/>
        <v>9.4412845723357286E-2</v>
      </c>
      <c r="V114" s="327">
        <f t="shared" si="49"/>
        <v>0.12254778937849063</v>
      </c>
      <c r="W114" s="327">
        <f t="shared" si="50"/>
        <v>0.13878308563295433</v>
      </c>
      <c r="X114" s="327">
        <f t="shared" si="51"/>
        <v>0.17544248093715031</v>
      </c>
      <c r="Y114" s="327">
        <f t="shared" si="52"/>
        <v>0.15624305283626383</v>
      </c>
      <c r="Z114" s="327">
        <f t="shared" si="53"/>
        <v>3.5085044051743376E-2</v>
      </c>
      <c r="AA114" s="328">
        <f t="shared" si="54"/>
        <v>0.12341101280470257</v>
      </c>
    </row>
    <row r="115" spans="1:27" ht="12" customHeight="1" x14ac:dyDescent="0.15">
      <c r="A115" s="269">
        <f t="shared" si="28"/>
        <v>100</v>
      </c>
      <c r="B115" s="322">
        <f t="shared" si="29"/>
        <v>92.307692307692307</v>
      </c>
      <c r="C115" s="323">
        <f t="shared" si="30"/>
        <v>400</v>
      </c>
      <c r="D115" s="327">
        <f t="shared" si="31"/>
        <v>3.5281239224373144E-2</v>
      </c>
      <c r="E115" s="327">
        <f t="shared" si="32"/>
        <v>4.3229005144938007E-2</v>
      </c>
      <c r="F115" s="327">
        <f t="shared" si="33"/>
        <v>0.10440099331939412</v>
      </c>
      <c r="G115" s="327">
        <f t="shared" si="34"/>
        <v>9.0421915349495244E-2</v>
      </c>
      <c r="H115" s="327">
        <f t="shared" si="35"/>
        <v>6.6839213253443067E-2</v>
      </c>
      <c r="I115" s="327">
        <f t="shared" si="36"/>
        <v>5.9372937011605065E-2</v>
      </c>
      <c r="J115" s="327">
        <f t="shared" si="37"/>
        <v>8.0259247026889715E-4</v>
      </c>
      <c r="K115" s="327">
        <f t="shared" si="38"/>
        <v>5.0360000854922447E-4</v>
      </c>
      <c r="L115" s="327">
        <f t="shared" si="39"/>
        <v>1.3695224255872551E-2</v>
      </c>
      <c r="M115" s="327">
        <f t="shared" si="40"/>
        <v>2.3055559412308357E-2</v>
      </c>
      <c r="N115" s="327">
        <f t="shared" si="41"/>
        <v>4.4708404940099436E-2</v>
      </c>
      <c r="O115" s="328">
        <f t="shared" si="42"/>
        <v>4.9707739063013456E-2</v>
      </c>
      <c r="P115" s="327">
        <f t="shared" si="43"/>
        <v>0.19904791867455487</v>
      </c>
      <c r="Q115" s="327">
        <f t="shared" si="44"/>
        <v>0.20090143505897742</v>
      </c>
      <c r="R115" s="327">
        <f t="shared" si="45"/>
        <v>0.22650391692453153</v>
      </c>
      <c r="S115" s="327">
        <f t="shared" si="46"/>
        <v>0.16718870850622089</v>
      </c>
      <c r="T115" s="327">
        <f t="shared" si="47"/>
        <v>1.7172177597114577E-2</v>
      </c>
      <c r="U115" s="328">
        <f t="shared" si="48"/>
        <v>9.1571488135656853E-2</v>
      </c>
      <c r="V115" s="327">
        <f t="shared" si="49"/>
        <v>0.1199765711529016</v>
      </c>
      <c r="W115" s="327">
        <f t="shared" si="50"/>
        <v>0.13653819939762799</v>
      </c>
      <c r="X115" s="327">
        <f t="shared" si="51"/>
        <v>0.17332171887247594</v>
      </c>
      <c r="Y115" s="327">
        <f t="shared" si="52"/>
        <v>0.1543101733234174</v>
      </c>
      <c r="Z115" s="327">
        <f t="shared" si="53"/>
        <v>3.307825959931416E-2</v>
      </c>
      <c r="AA115" s="328">
        <f t="shared" si="54"/>
        <v>0.12116628188098244</v>
      </c>
    </row>
    <row r="116" spans="1:27" ht="12" customHeight="1" x14ac:dyDescent="0.15">
      <c r="A116" s="269">
        <f t="shared" si="28"/>
        <v>101</v>
      </c>
      <c r="B116" s="322">
        <f t="shared" si="29"/>
        <v>93.230769230769226</v>
      </c>
      <c r="C116" s="323">
        <f t="shared" si="30"/>
        <v>404</v>
      </c>
      <c r="D116" s="327">
        <f t="shared" si="31"/>
        <v>3.4120805039339501E-2</v>
      </c>
      <c r="E116" s="327">
        <f t="shared" si="32"/>
        <v>4.1973509124810814E-2</v>
      </c>
      <c r="F116" s="327">
        <f t="shared" si="33"/>
        <v>0.10301847518397766</v>
      </c>
      <c r="G116" s="327">
        <f t="shared" si="34"/>
        <v>8.928016502918848E-2</v>
      </c>
      <c r="H116" s="327">
        <f t="shared" si="35"/>
        <v>6.5558150336142804E-2</v>
      </c>
      <c r="I116" s="327">
        <f t="shared" si="36"/>
        <v>5.8103473977847875E-2</v>
      </c>
      <c r="J116" s="327">
        <f t="shared" si="37"/>
        <v>7.4737752171911119E-4</v>
      </c>
      <c r="K116" s="327">
        <f t="shared" si="38"/>
        <v>4.6573175526986698E-4</v>
      </c>
      <c r="L116" s="327">
        <f t="shared" si="39"/>
        <v>1.3388125471772483E-2</v>
      </c>
      <c r="M116" s="327">
        <f t="shared" si="40"/>
        <v>2.2723019664918902E-2</v>
      </c>
      <c r="N116" s="327">
        <f t="shared" si="41"/>
        <v>4.4470972658216201E-2</v>
      </c>
      <c r="O116" s="328">
        <f t="shared" si="42"/>
        <v>4.9216796235461588E-2</v>
      </c>
      <c r="P116" s="327">
        <f t="shared" si="43"/>
        <v>0.19586066160552976</v>
      </c>
      <c r="Q116" s="327">
        <f t="shared" si="44"/>
        <v>0.19866530762361195</v>
      </c>
      <c r="R116" s="327">
        <f t="shared" si="45"/>
        <v>0.22391635623418638</v>
      </c>
      <c r="S116" s="327">
        <f t="shared" si="46"/>
        <v>0.16483223120178958</v>
      </c>
      <c r="T116" s="327">
        <f t="shared" si="47"/>
        <v>1.5468067482805952E-2</v>
      </c>
      <c r="U116" s="328">
        <f t="shared" si="48"/>
        <v>8.8810086840756197E-2</v>
      </c>
      <c r="V116" s="327">
        <f t="shared" si="49"/>
        <v>0.11745930056029008</v>
      </c>
      <c r="W116" s="327">
        <f t="shared" si="50"/>
        <v>0.13433360295520042</v>
      </c>
      <c r="X116" s="327">
        <f t="shared" si="51"/>
        <v>0.17123820914506604</v>
      </c>
      <c r="Y116" s="327">
        <f t="shared" si="52"/>
        <v>0.15241582836233486</v>
      </c>
      <c r="Z116" s="327">
        <f t="shared" si="53"/>
        <v>3.1163522390444832E-2</v>
      </c>
      <c r="AA116" s="328">
        <f t="shared" si="54"/>
        <v>0.11896900367966068</v>
      </c>
    </row>
    <row r="117" spans="1:27" ht="12" customHeight="1" x14ac:dyDescent="0.15">
      <c r="A117" s="269">
        <f t="shared" si="28"/>
        <v>102</v>
      </c>
      <c r="B117" s="322">
        <f t="shared" si="29"/>
        <v>94.15384615384616</v>
      </c>
      <c r="C117" s="323">
        <f t="shared" si="30"/>
        <v>408</v>
      </c>
      <c r="D117" s="327">
        <f t="shared" si="31"/>
        <v>3.2998538660408992E-2</v>
      </c>
      <c r="E117" s="327">
        <f t="shared" si="32"/>
        <v>4.0755207002445615E-2</v>
      </c>
      <c r="F117" s="327">
        <f t="shared" si="33"/>
        <v>0.10166272868352022</v>
      </c>
      <c r="G117" s="327">
        <f t="shared" si="34"/>
        <v>8.816249184331254E-2</v>
      </c>
      <c r="H117" s="327">
        <f t="shared" si="35"/>
        <v>6.4309465328384663E-2</v>
      </c>
      <c r="I117" s="327">
        <f t="shared" si="36"/>
        <v>5.6865797961436981E-2</v>
      </c>
      <c r="J117" s="327">
        <f t="shared" si="37"/>
        <v>6.9596112680182212E-4</v>
      </c>
      <c r="K117" s="327">
        <f t="shared" si="38"/>
        <v>4.307012452136626E-4</v>
      </c>
      <c r="L117" s="327">
        <f t="shared" si="39"/>
        <v>1.3089929695060176E-2</v>
      </c>
      <c r="M117" s="327">
        <f t="shared" si="40"/>
        <v>2.2398373804071888E-2</v>
      </c>
      <c r="N117" s="327">
        <f t="shared" si="41"/>
        <v>4.4241441577459677E-2</v>
      </c>
      <c r="O117" s="328">
        <f t="shared" si="42"/>
        <v>4.8735294737488201E-2</v>
      </c>
      <c r="P117" s="327">
        <f t="shared" si="43"/>
        <v>0.19272444052669077</v>
      </c>
      <c r="Q117" s="327">
        <f t="shared" si="44"/>
        <v>0.19646062487524729</v>
      </c>
      <c r="R117" s="327">
        <f t="shared" si="45"/>
        <v>0.22137092121304414</v>
      </c>
      <c r="S117" s="327">
        <f t="shared" si="46"/>
        <v>0.1625253104204567</v>
      </c>
      <c r="T117" s="327">
        <f t="shared" si="47"/>
        <v>1.3899483167731846E-2</v>
      </c>
      <c r="U117" s="328">
        <f t="shared" si="48"/>
        <v>8.6126635308671151E-2</v>
      </c>
      <c r="V117" s="327">
        <f t="shared" si="49"/>
        <v>0.11499484570641434</v>
      </c>
      <c r="W117" s="327">
        <f t="shared" si="50"/>
        <v>0.13216847051480524</v>
      </c>
      <c r="X117" s="327">
        <f t="shared" si="51"/>
        <v>0.1691910739656608</v>
      </c>
      <c r="Y117" s="327">
        <f t="shared" si="52"/>
        <v>0.15055898163403367</v>
      </c>
      <c r="Z117" s="327">
        <f t="shared" si="53"/>
        <v>2.9337950383634639E-2</v>
      </c>
      <c r="AA117" s="328">
        <f t="shared" si="54"/>
        <v>0.11681801789033885</v>
      </c>
    </row>
    <row r="118" spans="1:27" ht="12" customHeight="1" x14ac:dyDescent="0.15">
      <c r="A118" s="269">
        <f t="shared" si="28"/>
        <v>103</v>
      </c>
      <c r="B118" s="322">
        <f t="shared" si="29"/>
        <v>95.07692307692308</v>
      </c>
      <c r="C118" s="323">
        <f t="shared" si="30"/>
        <v>412</v>
      </c>
      <c r="D118" s="327">
        <f t="shared" si="31"/>
        <v>3.1913184711411663E-2</v>
      </c>
      <c r="E118" s="327">
        <f t="shared" si="32"/>
        <v>3.9572968776207397E-2</v>
      </c>
      <c r="F118" s="327">
        <f t="shared" si="33"/>
        <v>0.10033305684123039</v>
      </c>
      <c r="G118" s="327">
        <f t="shared" si="34"/>
        <v>8.7068193054686313E-2</v>
      </c>
      <c r="H118" s="327">
        <f t="shared" si="35"/>
        <v>6.3092192257892463E-2</v>
      </c>
      <c r="I118" s="327">
        <f t="shared" si="36"/>
        <v>5.5658980837664851E-2</v>
      </c>
      <c r="J118" s="327">
        <f t="shared" si="37"/>
        <v>6.480819611822654E-4</v>
      </c>
      <c r="K118" s="327">
        <f t="shared" si="38"/>
        <v>3.9829664894523134E-4</v>
      </c>
      <c r="L118" s="327">
        <f t="shared" si="39"/>
        <v>1.2800317454403798E-2</v>
      </c>
      <c r="M118" s="327">
        <f t="shared" si="40"/>
        <v>2.2081362795406324E-2</v>
      </c>
      <c r="N118" s="327">
        <f t="shared" si="41"/>
        <v>4.4019515923437759E-2</v>
      </c>
      <c r="O118" s="328">
        <f t="shared" si="42"/>
        <v>4.8262966206455767E-2</v>
      </c>
      <c r="P118" s="327">
        <f t="shared" si="43"/>
        <v>0.18963843822366283</v>
      </c>
      <c r="Q118" s="327">
        <f t="shared" si="44"/>
        <v>0.19428680892937095</v>
      </c>
      <c r="R118" s="327">
        <f t="shared" si="45"/>
        <v>0.21886670474054215</v>
      </c>
      <c r="S118" s="327">
        <f t="shared" si="46"/>
        <v>0.16026660812545968</v>
      </c>
      <c r="T118" s="327">
        <f t="shared" si="47"/>
        <v>1.2459165396133719E-2</v>
      </c>
      <c r="U118" s="328">
        <f t="shared" si="48"/>
        <v>8.3519165996509992E-2</v>
      </c>
      <c r="V118" s="327">
        <f t="shared" si="49"/>
        <v>0.11258209844570338</v>
      </c>
      <c r="W118" s="327">
        <f t="shared" si="50"/>
        <v>0.13004199625679144</v>
      </c>
      <c r="X118" s="327">
        <f t="shared" si="51"/>
        <v>0.16717946174524856</v>
      </c>
      <c r="Y118" s="327">
        <f t="shared" si="52"/>
        <v>0.1487386312462331</v>
      </c>
      <c r="Z118" s="327">
        <f t="shared" si="53"/>
        <v>2.7598683793766482E-2</v>
      </c>
      <c r="AA118" s="328">
        <f t="shared" si="54"/>
        <v>0.11471219672872734</v>
      </c>
    </row>
    <row r="119" spans="1:27" ht="12" customHeight="1" x14ac:dyDescent="0.15">
      <c r="A119" s="269">
        <f t="shared" si="28"/>
        <v>104</v>
      </c>
      <c r="B119" s="322">
        <f t="shared" si="29"/>
        <v>96</v>
      </c>
      <c r="C119" s="323">
        <f t="shared" si="30"/>
        <v>416</v>
      </c>
      <c r="D119" s="327">
        <f t="shared" si="31"/>
        <v>3.0863529106717604E-2</v>
      </c>
      <c r="E119" s="327">
        <f t="shared" si="32"/>
        <v>3.8425699930547334E-2</v>
      </c>
      <c r="F119" s="327">
        <f t="shared" si="33"/>
        <v>9.9028785699521671E-2</v>
      </c>
      <c r="G119" s="327">
        <f t="shared" si="34"/>
        <v>8.5996591893544139E-2</v>
      </c>
      <c r="H119" s="327">
        <f t="shared" si="35"/>
        <v>6.1905397882617938E-2</v>
      </c>
      <c r="I119" s="327">
        <f t="shared" si="36"/>
        <v>5.448212587133261E-2</v>
      </c>
      <c r="J119" s="327">
        <f t="shared" si="37"/>
        <v>6.0349667852849925E-4</v>
      </c>
      <c r="K119" s="327">
        <f t="shared" si="38"/>
        <v>3.683218794400437E-4</v>
      </c>
      <c r="L119" s="327">
        <f t="shared" si="39"/>
        <v>1.2518983010158413E-2</v>
      </c>
      <c r="M119" s="327">
        <f t="shared" si="40"/>
        <v>2.1771738398191194E-2</v>
      </c>
      <c r="N119" s="327">
        <f t="shared" si="41"/>
        <v>4.3804912831364458E-2</v>
      </c>
      <c r="O119" s="328">
        <f t="shared" si="42"/>
        <v>4.7799552330779892E-2</v>
      </c>
      <c r="P119" s="327">
        <f t="shared" si="43"/>
        <v>0.1866018505677251</v>
      </c>
      <c r="Q119" s="327">
        <f t="shared" si="44"/>
        <v>0.19214329593898949</v>
      </c>
      <c r="R119" s="327">
        <f t="shared" si="45"/>
        <v>0.21640282411369915</v>
      </c>
      <c r="S119" s="327">
        <f t="shared" si="46"/>
        <v>0.15805482883240063</v>
      </c>
      <c r="T119" s="327">
        <f t="shared" si="47"/>
        <v>1.1139923159672776E-2</v>
      </c>
      <c r="U119" s="328">
        <f t="shared" si="48"/>
        <v>8.098575018690668E-2</v>
      </c>
      <c r="V119" s="327">
        <f t="shared" si="49"/>
        <v>0.11021997388297783</v>
      </c>
      <c r="W119" s="327">
        <f t="shared" si="50"/>
        <v>0.12795339374626291</v>
      </c>
      <c r="X119" s="327">
        <f t="shared" si="51"/>
        <v>0.16520254614543106</v>
      </c>
      <c r="Y119" s="327">
        <f t="shared" si="52"/>
        <v>0.14695380839686623</v>
      </c>
      <c r="Z119" s="327">
        <f t="shared" si="53"/>
        <v>2.5942888120635471E-2</v>
      </c>
      <c r="AA119" s="328">
        <f t="shared" si="54"/>
        <v>0.11265044390552537</v>
      </c>
    </row>
    <row r="120" spans="1:27" ht="12" customHeight="1" x14ac:dyDescent="0.15">
      <c r="A120" s="269">
        <f t="shared" si="28"/>
        <v>105</v>
      </c>
      <c r="B120" s="322">
        <f t="shared" si="29"/>
        <v>96.92307692307692</v>
      </c>
      <c r="C120" s="323">
        <f t="shared" si="30"/>
        <v>420</v>
      </c>
      <c r="D120" s="327">
        <f t="shared" si="31"/>
        <v>2.9848397693151098E-2</v>
      </c>
      <c r="E120" s="327">
        <f t="shared" si="32"/>
        <v>3.7312340270570052E-2</v>
      </c>
      <c r="F120" s="327">
        <f t="shared" si="33"/>
        <v>9.7749263394693031E-2</v>
      </c>
      <c r="G120" s="327">
        <f t="shared" si="34"/>
        <v>8.4947036404765225E-2</v>
      </c>
      <c r="H120" s="327">
        <f t="shared" si="35"/>
        <v>6.074818046055639E-2</v>
      </c>
      <c r="I120" s="327">
        <f t="shared" si="36"/>
        <v>5.3334366497498009E-2</v>
      </c>
      <c r="J120" s="327">
        <f t="shared" si="37"/>
        <v>5.6197867370127465E-4</v>
      </c>
      <c r="K120" s="327">
        <f t="shared" si="38"/>
        <v>3.4059542819170373E-4</v>
      </c>
      <c r="L120" s="327">
        <f t="shared" si="39"/>
        <v>1.2245633664984101E-2</v>
      </c>
      <c r="M120" s="327">
        <f t="shared" si="40"/>
        <v>2.1469262622268018E-2</v>
      </c>
      <c r="N120" s="327">
        <f t="shared" si="41"/>
        <v>4.3597361682850333E-2</v>
      </c>
      <c r="O120" s="328">
        <f t="shared" si="42"/>
        <v>4.7344804384373287E-2</v>
      </c>
      <c r="P120" s="327">
        <f t="shared" si="43"/>
        <v>0.18361388630627723</v>
      </c>
      <c r="Q120" s="327">
        <f t="shared" si="44"/>
        <v>0.19002953565079964</v>
      </c>
      <c r="R120" s="327">
        <f t="shared" si="45"/>
        <v>0.21397842026158154</v>
      </c>
      <c r="S120" s="327">
        <f t="shared" si="46"/>
        <v>0.15588871812272781</v>
      </c>
      <c r="T120" s="327">
        <f t="shared" si="47"/>
        <v>9.9346609882037546E-3</v>
      </c>
      <c r="U120" s="328">
        <f t="shared" si="48"/>
        <v>7.8524497786526481E-2</v>
      </c>
      <c r="V120" s="327">
        <f t="shared" si="49"/>
        <v>0.10790740988562508</v>
      </c>
      <c r="W120" s="327">
        <f t="shared" si="50"/>
        <v>0.12590189536782465</v>
      </c>
      <c r="X120" s="327">
        <f t="shared" si="51"/>
        <v>0.16325952516925601</v>
      </c>
      <c r="Y120" s="327">
        <f t="shared" si="52"/>
        <v>0.14520357609571463</v>
      </c>
      <c r="Z120" s="327">
        <f t="shared" si="53"/>
        <v>2.4367757078124899E-2</v>
      </c>
      <c r="AA120" s="328">
        <f t="shared" si="54"/>
        <v>0.11063169363154235</v>
      </c>
    </row>
    <row r="121" spans="1:27" ht="12" customHeight="1" x14ac:dyDescent="0.15">
      <c r="A121" s="269">
        <f t="shared" si="28"/>
        <v>106</v>
      </c>
      <c r="B121" s="322">
        <f t="shared" si="29"/>
        <v>97.84615384615384</v>
      </c>
      <c r="C121" s="323">
        <f t="shared" si="30"/>
        <v>424</v>
      </c>
      <c r="D121" s="327">
        <f t="shared" si="31"/>
        <v>2.8866654936573439E-2</v>
      </c>
      <c r="E121" s="327">
        <f t="shared" si="32"/>
        <v>3.6231862797324391E-2</v>
      </c>
      <c r="F121" s="327">
        <f t="shared" si="33"/>
        <v>9.6493859275515903E-2</v>
      </c>
      <c r="G121" s="327">
        <f t="shared" si="34"/>
        <v>8.3918898354481616E-2</v>
      </c>
      <c r="H121" s="327">
        <f t="shared" si="35"/>
        <v>5.9619668570049612E-2</v>
      </c>
      <c r="I121" s="327">
        <f t="shared" si="36"/>
        <v>5.2214865156095858E-2</v>
      </c>
      <c r="J121" s="327">
        <f t="shared" si="37"/>
        <v>5.233169310311786E-4</v>
      </c>
      <c r="K121" s="327">
        <f t="shared" si="38"/>
        <v>3.1494928684428332E-4</v>
      </c>
      <c r="L121" s="327">
        <f t="shared" si="39"/>
        <v>1.1979989114094702E-2</v>
      </c>
      <c r="M121" s="327">
        <f t="shared" si="40"/>
        <v>2.1173707216901906E-2</v>
      </c>
      <c r="N121" s="327">
        <f t="shared" si="41"/>
        <v>4.3396603482089444E-2</v>
      </c>
      <c r="O121" s="328">
        <f t="shared" si="42"/>
        <v>4.6898482786707336E-2</v>
      </c>
      <c r="P121" s="327">
        <f t="shared" si="43"/>
        <v>0.1806737668566602</v>
      </c>
      <c r="Q121" s="327">
        <f t="shared" si="44"/>
        <v>0.18794499097905354</v>
      </c>
      <c r="R121" s="327">
        <f t="shared" si="45"/>
        <v>0.21159265698882601</v>
      </c>
      <c r="S121" s="327">
        <f t="shared" si="46"/>
        <v>0.1537670612094531</v>
      </c>
      <c r="T121" s="327">
        <f t="shared" si="47"/>
        <v>8.8364048147962192E-3</v>
      </c>
      <c r="U121" s="328">
        <f t="shared" si="48"/>
        <v>7.6133557087777692E-2</v>
      </c>
      <c r="V121" s="327">
        <f t="shared" si="49"/>
        <v>0.10564336660601026</v>
      </c>
      <c r="W121" s="327">
        <f t="shared" si="50"/>
        <v>0.12388675178059891</v>
      </c>
      <c r="X121" s="327">
        <f t="shared" si="51"/>
        <v>0.16134962029054889</v>
      </c>
      <c r="Y121" s="327">
        <f t="shared" si="52"/>
        <v>0.14348702794145066</v>
      </c>
      <c r="Z121" s="327">
        <f t="shared" si="53"/>
        <v>2.2870515418199362E-2</v>
      </c>
      <c r="AA121" s="328">
        <f t="shared" si="54"/>
        <v>0.10865490965768831</v>
      </c>
    </row>
    <row r="122" spans="1:27" ht="12" customHeight="1" x14ac:dyDescent="0.15">
      <c r="A122" s="269">
        <f t="shared" si="28"/>
        <v>107</v>
      </c>
      <c r="B122" s="322">
        <f t="shared" si="29"/>
        <v>98.769230769230774</v>
      </c>
      <c r="C122" s="323">
        <f t="shared" si="30"/>
        <v>428</v>
      </c>
      <c r="D122" s="327">
        <f t="shared" si="31"/>
        <v>2.7917202651665335E-2</v>
      </c>
      <c r="E122" s="327">
        <f t="shared" si="32"/>
        <v>3.5183272622264061E-2</v>
      </c>
      <c r="F122" s="327">
        <f t="shared" si="33"/>
        <v>9.526196306332535E-2</v>
      </c>
      <c r="G122" s="327">
        <f t="shared" si="34"/>
        <v>8.2911572192602367E-2</v>
      </c>
      <c r="H122" s="327">
        <f t="shared" si="35"/>
        <v>5.8519019978338929E-2</v>
      </c>
      <c r="I122" s="327">
        <f t="shared" si="36"/>
        <v>5.112281217774628E-2</v>
      </c>
      <c r="J122" s="327">
        <f t="shared" si="37"/>
        <v>4.8731495182940726E-4</v>
      </c>
      <c r="K122" s="327">
        <f t="shared" si="38"/>
        <v>2.9122794811181353E-4</v>
      </c>
      <c r="L122" s="327">
        <f t="shared" si="39"/>
        <v>1.1721780832570361E-2</v>
      </c>
      <c r="M122" s="327">
        <f t="shared" si="40"/>
        <v>2.0884853189402468E-2</v>
      </c>
      <c r="N122" s="327">
        <f t="shared" si="41"/>
        <v>4.320239026880715E-2</v>
      </c>
      <c r="O122" s="328">
        <f t="shared" si="42"/>
        <v>4.646035668686125E-2</v>
      </c>
      <c r="P122" s="327">
        <f t="shared" si="43"/>
        <v>0.17778072610327852</v>
      </c>
      <c r="Q122" s="327">
        <f t="shared" si="44"/>
        <v>0.18588913759625625</v>
      </c>
      <c r="R122" s="327">
        <f t="shared" si="45"/>
        <v>0.20924472024702445</v>
      </c>
      <c r="S122" s="327">
        <f t="shared" si="46"/>
        <v>0.15168868155361792</v>
      </c>
      <c r="T122" s="327">
        <f t="shared" si="47"/>
        <v>7.8383262344664216E-3</v>
      </c>
      <c r="U122" s="328">
        <f t="shared" si="48"/>
        <v>7.3811114496675767E-2</v>
      </c>
      <c r="V122" s="327">
        <f t="shared" si="49"/>
        <v>0.10342682601390682</v>
      </c>
      <c r="W122" s="327">
        <f t="shared" si="50"/>
        <v>0.12190723139262026</v>
      </c>
      <c r="X122" s="327">
        <f t="shared" si="51"/>
        <v>0.15947207561986843</v>
      </c>
      <c r="Y122" s="327">
        <f t="shared" si="52"/>
        <v>0.14180328695149347</v>
      </c>
      <c r="Z122" s="327">
        <f t="shared" si="53"/>
        <v>2.144842164422606E-2</v>
      </c>
      <c r="AA122" s="328">
        <f t="shared" si="54"/>
        <v>0.10671908434851862</v>
      </c>
    </row>
    <row r="123" spans="1:27" ht="12" customHeight="1" x14ac:dyDescent="0.15">
      <c r="A123" s="269">
        <f t="shared" si="28"/>
        <v>108</v>
      </c>
      <c r="B123" s="322">
        <f t="shared" si="29"/>
        <v>99.692307692307693</v>
      </c>
      <c r="C123" s="323">
        <f t="shared" si="30"/>
        <v>432</v>
      </c>
      <c r="D123" s="327">
        <f t="shared" si="31"/>
        <v>2.6998978773488055E-2</v>
      </c>
      <c r="E123" s="327">
        <f t="shared" si="32"/>
        <v>3.4165605919396561E-2</v>
      </c>
      <c r="F123" s="327">
        <f t="shared" si="33"/>
        <v>9.4052984051360644E-2</v>
      </c>
      <c r="G123" s="327">
        <f t="shared" si="34"/>
        <v>8.1924474068016923E-2</v>
      </c>
      <c r="H123" s="327">
        <f t="shared" si="35"/>
        <v>5.7445420556237553E-2</v>
      </c>
      <c r="I123" s="327">
        <f t="shared" si="36"/>
        <v>5.0057424718218613E-2</v>
      </c>
      <c r="J123" s="327">
        <f t="shared" si="37"/>
        <v>4.5378975568124589E-4</v>
      </c>
      <c r="K123" s="327">
        <f t="shared" si="38"/>
        <v>2.6928748019769682E-4</v>
      </c>
      <c r="L123" s="327">
        <f t="shared" si="39"/>
        <v>1.1470751497350329E-2</v>
      </c>
      <c r="M123" s="327">
        <f t="shared" si="40"/>
        <v>2.0602490351536971E-2</v>
      </c>
      <c r="N123" s="327">
        <f t="shared" si="41"/>
        <v>4.3014484565527721E-2</v>
      </c>
      <c r="O123" s="328">
        <f t="shared" si="42"/>
        <v>4.6030203570048854E-2</v>
      </c>
      <c r="P123" s="327">
        <f t="shared" si="43"/>
        <v>0.17493401019797161</v>
      </c>
      <c r="Q123" s="327">
        <f t="shared" si="44"/>
        <v>0.18386146353988558</v>
      </c>
      <c r="R123" s="327">
        <f t="shared" si="45"/>
        <v>0.20693381743283679</v>
      </c>
      <c r="S123" s="327">
        <f t="shared" si="46"/>
        <v>0.14965243953000759</v>
      </c>
      <c r="T123" s="327">
        <f t="shared" si="47"/>
        <v>6.9337649938631006E-3</v>
      </c>
      <c r="U123" s="328">
        <f t="shared" si="48"/>
        <v>7.1555394229634417E-2</v>
      </c>
      <c r="V123" s="327">
        <f t="shared" si="49"/>
        <v>0.10125679143873839</v>
      </c>
      <c r="W123" s="327">
        <f t="shared" si="50"/>
        <v>0.11996261985376763</v>
      </c>
      <c r="X123" s="327">
        <f t="shared" si="51"/>
        <v>0.15762615710532213</v>
      </c>
      <c r="Y123" s="327">
        <f t="shared" si="52"/>
        <v>0.14015150444221208</v>
      </c>
      <c r="Z123" s="327">
        <f t="shared" si="53"/>
        <v>2.0098770608496581E-2</v>
      </c>
      <c r="AA123" s="328">
        <f t="shared" si="54"/>
        <v>0.10482323778806291</v>
      </c>
    </row>
    <row r="124" spans="1:27" ht="12" customHeight="1" x14ac:dyDescent="0.15">
      <c r="A124" s="269">
        <f t="shared" si="28"/>
        <v>109</v>
      </c>
      <c r="B124" s="322">
        <f t="shared" si="29"/>
        <v>100.61538461538461</v>
      </c>
      <c r="C124" s="323">
        <f t="shared" si="30"/>
        <v>436</v>
      </c>
      <c r="D124" s="327">
        <f t="shared" si="31"/>
        <v>2.6110956169448984E-2</v>
      </c>
      <c r="E124" s="327">
        <f t="shared" si="32"/>
        <v>3.3177928913697662E-2</v>
      </c>
      <c r="F124" s="327">
        <f t="shared" si="33"/>
        <v>9.2866350341242243E-2</v>
      </c>
      <c r="G124" s="327">
        <f t="shared" si="34"/>
        <v>8.0957040893449961E-2</v>
      </c>
      <c r="H124" s="327">
        <f t="shared" si="35"/>
        <v>5.6398083236892618E-2</v>
      </c>
      <c r="I124" s="327">
        <f t="shared" si="36"/>
        <v>4.9017945739164404E-2</v>
      </c>
      <c r="J124" s="327">
        <f t="shared" si="37"/>
        <v>4.2257095044629858E-4</v>
      </c>
      <c r="K124" s="327">
        <f t="shared" si="38"/>
        <v>2.4899466934555185E-4</v>
      </c>
      <c r="L124" s="327">
        <f t="shared" si="39"/>
        <v>1.1226654441694128E-2</v>
      </c>
      <c r="M124" s="327">
        <f t="shared" si="40"/>
        <v>2.0326416891905813E-2</v>
      </c>
      <c r="N124" s="327">
        <f t="shared" si="41"/>
        <v>4.283265885689911E-2</v>
      </c>
      <c r="O124" s="328">
        <f t="shared" si="42"/>
        <v>4.5607808885218717E-2</v>
      </c>
      <c r="P124" s="327">
        <f t="shared" si="43"/>
        <v>0.17213287736358107</v>
      </c>
      <c r="Q124" s="327">
        <f t="shared" si="44"/>
        <v>0.1818614688343736</v>
      </c>
      <c r="R124" s="327">
        <f t="shared" si="45"/>
        <v>0.20465917671174494</v>
      </c>
      <c r="S124" s="327">
        <f t="shared" si="46"/>
        <v>0.14765723114061968</v>
      </c>
      <c r="T124" s="327">
        <f t="shared" si="47"/>
        <v>6.116249569075821E-3</v>
      </c>
      <c r="U124" s="328">
        <f t="shared" si="48"/>
        <v>6.9364657981811573E-2</v>
      </c>
      <c r="V124" s="327">
        <f t="shared" si="49"/>
        <v>9.9132287121423857E-2</v>
      </c>
      <c r="W124" s="327">
        <f t="shared" si="50"/>
        <v>0.11805221956643544</v>
      </c>
      <c r="X124" s="327">
        <f t="shared" si="51"/>
        <v>0.15581115176657234</v>
      </c>
      <c r="Y124" s="327">
        <f t="shared" si="52"/>
        <v>0.13853085895713055</v>
      </c>
      <c r="Z124" s="327">
        <f t="shared" si="53"/>
        <v>1.8818895989203836E-2</v>
      </c>
      <c r="AA124" s="328">
        <f t="shared" si="54"/>
        <v>0.10296641691672781</v>
      </c>
    </row>
    <row r="125" spans="1:27" ht="12" customHeight="1" x14ac:dyDescent="0.15">
      <c r="A125" s="269">
        <f t="shared" si="28"/>
        <v>110</v>
      </c>
      <c r="B125" s="322">
        <f t="shared" si="29"/>
        <v>101.53846153846153</v>
      </c>
      <c r="C125" s="323">
        <f t="shared" si="30"/>
        <v>440</v>
      </c>
      <c r="D125" s="327">
        <f t="shared" si="31"/>
        <v>2.5252141490342935E-2</v>
      </c>
      <c r="E125" s="327">
        <f t="shared" si="32"/>
        <v>3.2219336904429151E-2</v>
      </c>
      <c r="F125" s="327">
        <f t="shared" si="33"/>
        <v>9.1701508114595875E-2</v>
      </c>
      <c r="G125" s="327">
        <f t="shared" si="34"/>
        <v>8.0008729457130542E-2</v>
      </c>
      <c r="H125" s="327">
        <f t="shared" si="35"/>
        <v>5.5376247016701768E-2</v>
      </c>
      <c r="I125" s="327">
        <f t="shared" si="36"/>
        <v>4.8003643032853427E-2</v>
      </c>
      <c r="J125" s="327">
        <f t="shared" si="37"/>
        <v>3.9349986623875624E-4</v>
      </c>
      <c r="K125" s="327">
        <f t="shared" si="38"/>
        <v>2.3022622554141808E-4</v>
      </c>
      <c r="L125" s="327">
        <f t="shared" si="39"/>
        <v>1.0989253140056277E-2</v>
      </c>
      <c r="M125" s="327">
        <f t="shared" si="40"/>
        <v>2.0056438972584224E-2</v>
      </c>
      <c r="N125" s="327">
        <f t="shared" si="41"/>
        <v>4.2656695098977626E-2</v>
      </c>
      <c r="O125" s="328">
        <f t="shared" si="42"/>
        <v>4.5192965692423342E-2</v>
      </c>
      <c r="P125" s="327">
        <f t="shared" si="43"/>
        <v>0.16937659770066374</v>
      </c>
      <c r="Q125" s="327">
        <f t="shared" si="44"/>
        <v>0.17988866512762633</v>
      </c>
      <c r="R125" s="327">
        <f t="shared" si="45"/>
        <v>0.20242004636640221</v>
      </c>
      <c r="S125" s="327">
        <f t="shared" si="46"/>
        <v>0.14570198677438909</v>
      </c>
      <c r="T125" s="327">
        <f t="shared" si="47"/>
        <v>5.3795157105372545E-3</v>
      </c>
      <c r="U125" s="328">
        <f t="shared" si="48"/>
        <v>6.7237204569467357E-2</v>
      </c>
      <c r="V125" s="327">
        <f t="shared" si="49"/>
        <v>9.7052357775626402E-2</v>
      </c>
      <c r="W125" s="327">
        <f t="shared" si="50"/>
        <v>0.11617534921318289</v>
      </c>
      <c r="X125" s="327">
        <f t="shared" si="51"/>
        <v>0.15402636696044647</v>
      </c>
      <c r="Y125" s="327">
        <f t="shared" si="52"/>
        <v>0.13694055524089632</v>
      </c>
      <c r="Z125" s="327">
        <f t="shared" si="53"/>
        <v>1.760617264252853E-2</v>
      </c>
      <c r="AA125" s="328">
        <f t="shared" si="54"/>
        <v>0.10114769469809437</v>
      </c>
    </row>
    <row r="126" spans="1:27" ht="12" customHeight="1" x14ac:dyDescent="0.15">
      <c r="A126" s="269">
        <f t="shared" si="28"/>
        <v>111</v>
      </c>
      <c r="B126" s="322">
        <f t="shared" si="29"/>
        <v>102.46153846153847</v>
      </c>
      <c r="C126" s="323">
        <f t="shared" si="30"/>
        <v>444</v>
      </c>
      <c r="D126" s="327">
        <f t="shared" si="31"/>
        <v>2.4421574059183739E-2</v>
      </c>
      <c r="E126" s="327">
        <f t="shared" si="32"/>
        <v>3.1288953322058964E-2</v>
      </c>
      <c r="F126" s="327">
        <f t="shared" si="33"/>
        <v>9.0557920937962444E-2</v>
      </c>
      <c r="G126" s="327">
        <f t="shared" si="34"/>
        <v>7.9079015578622763E-2</v>
      </c>
      <c r="H126" s="327">
        <f t="shared" si="35"/>
        <v>5.4379175996541886E-2</v>
      </c>
      <c r="I126" s="327">
        <f t="shared" si="36"/>
        <v>4.7013808288780545E-2</v>
      </c>
      <c r="J126" s="327">
        <f t="shared" si="37"/>
        <v>3.6642874898613393E-4</v>
      </c>
      <c r="K126" s="327">
        <f t="shared" si="38"/>
        <v>2.1286804674835468E-4</v>
      </c>
      <c r="L126" s="327">
        <f t="shared" si="39"/>
        <v>1.0758320721462988E-2</v>
      </c>
      <c r="M126" s="327">
        <f t="shared" si="40"/>
        <v>1.979237034846024E-2</v>
      </c>
      <c r="N126" s="327">
        <f t="shared" si="41"/>
        <v>4.2486384256526039E-2</v>
      </c>
      <c r="O126" s="328">
        <f t="shared" si="42"/>
        <v>4.4785474328744794E-2</v>
      </c>
      <c r="P126" s="327">
        <f t="shared" si="43"/>
        <v>0.16666445299729948</v>
      </c>
      <c r="Q126" s="327">
        <f t="shared" si="44"/>
        <v>0.17794257534140479</v>
      </c>
      <c r="R126" s="327">
        <f t="shared" si="45"/>
        <v>0.20021569416858753</v>
      </c>
      <c r="S126" s="327">
        <f t="shared" si="46"/>
        <v>0.14378567001169554</v>
      </c>
      <c r="T126" s="327">
        <f t="shared" si="47"/>
        <v>4.7175228573579338E-3</v>
      </c>
      <c r="U126" s="328">
        <f t="shared" si="48"/>
        <v>6.517136954867131E-2</v>
      </c>
      <c r="V126" s="327">
        <f t="shared" si="49"/>
        <v>9.5016068158207304E-2</v>
      </c>
      <c r="W126" s="327">
        <f t="shared" si="50"/>
        <v>0.1143313433006496</v>
      </c>
      <c r="X126" s="327">
        <f t="shared" si="51"/>
        <v>0.15227112967666223</v>
      </c>
      <c r="Y126" s="327">
        <f t="shared" si="52"/>
        <v>0.13537982325689288</v>
      </c>
      <c r="Z126" s="327">
        <f t="shared" si="53"/>
        <v>1.6458018825905221E-2</v>
      </c>
      <c r="AA126" s="328">
        <f t="shared" si="54"/>
        <v>9.9366169314496933E-2</v>
      </c>
    </row>
    <row r="127" spans="1:27" ht="12" customHeight="1" x14ac:dyDescent="0.15">
      <c r="A127" s="269">
        <f t="shared" si="28"/>
        <v>112</v>
      </c>
      <c r="B127" s="322">
        <f t="shared" si="29"/>
        <v>103.38461538461539</v>
      </c>
      <c r="C127" s="323">
        <f t="shared" si="30"/>
        <v>448</v>
      </c>
      <c r="D127" s="327">
        <f t="shared" si="31"/>
        <v>2.3618324796583292E-2</v>
      </c>
      <c r="E127" s="327">
        <f t="shared" si="32"/>
        <v>3.0385928817528093E-2</v>
      </c>
      <c r="F127" s="327">
        <f t="shared" si="33"/>
        <v>8.943506909923471E-2</v>
      </c>
      <c r="G127" s="327">
        <f t="shared" si="34"/>
        <v>7.8167393306326646E-2</v>
      </c>
      <c r="H127" s="327">
        <f t="shared" si="35"/>
        <v>5.3406158461551778E-2</v>
      </c>
      <c r="I127" s="327">
        <f t="shared" si="36"/>
        <v>4.6047756200114809E-2</v>
      </c>
      <c r="J127" s="327">
        <f t="shared" si="37"/>
        <v>3.4122000946774141E-4</v>
      </c>
      <c r="K127" s="327">
        <f t="shared" si="38"/>
        <v>1.968145373891888E-4</v>
      </c>
      <c r="L127" s="327">
        <f t="shared" si="39"/>
        <v>1.0533639509614279E-2</v>
      </c>
      <c r="M127" s="327">
        <f t="shared" si="40"/>
        <v>1.9534032007810197E-2</v>
      </c>
      <c r="N127" s="327">
        <f t="shared" si="41"/>
        <v>4.2321525866519251E-2</v>
      </c>
      <c r="O127" s="328">
        <f t="shared" si="42"/>
        <v>4.438514209164815E-2</v>
      </c>
      <c r="P127" s="327">
        <f t="shared" si="43"/>
        <v>0.16399573654194499</v>
      </c>
      <c r="Q127" s="327">
        <f t="shared" si="44"/>
        <v>0.17602273333491938</v>
      </c>
      <c r="R127" s="327">
        <f t="shared" si="45"/>
        <v>0.198045406773807</v>
      </c>
      <c r="S127" s="327">
        <f t="shared" si="46"/>
        <v>0.1419072764721831</v>
      </c>
      <c r="T127" s="327">
        <f t="shared" si="47"/>
        <v>4.1244683480190078E-3</v>
      </c>
      <c r="U127" s="328">
        <f t="shared" si="48"/>
        <v>6.3165524812537899E-2</v>
      </c>
      <c r="V127" s="327">
        <f t="shared" si="49"/>
        <v>9.3022502648692884E-2</v>
      </c>
      <c r="W127" s="327">
        <f t="shared" si="50"/>
        <v>0.11251955171904632</v>
      </c>
      <c r="X127" s="327">
        <f t="shared" si="51"/>
        <v>0.15054478586224418</v>
      </c>
      <c r="Y127" s="327">
        <f t="shared" si="52"/>
        <v>0.13384791724646619</v>
      </c>
      <c r="Z127" s="327">
        <f t="shared" si="53"/>
        <v>1.5371898288970003E-2</v>
      </c>
      <c r="AA127" s="328">
        <f t="shared" si="54"/>
        <v>9.7620963390292803E-2</v>
      </c>
    </row>
    <row r="128" spans="1:27" ht="12" customHeight="1" x14ac:dyDescent="0.15">
      <c r="A128" s="269">
        <f t="shared" si="28"/>
        <v>113</v>
      </c>
      <c r="B128" s="322">
        <f t="shared" si="29"/>
        <v>104.30769230769231</v>
      </c>
      <c r="C128" s="323">
        <f t="shared" si="30"/>
        <v>452</v>
      </c>
      <c r="D128" s="327">
        <f t="shared" si="31"/>
        <v>2.2841495181475859E-2</v>
      </c>
      <c r="E128" s="327">
        <f t="shared" si="32"/>
        <v>2.9509440382671583E-2</v>
      </c>
      <c r="F128" s="327">
        <f t="shared" si="33"/>
        <v>8.8332448973977074E-2</v>
      </c>
      <c r="G128" s="327">
        <f t="shared" si="34"/>
        <v>7.7273374154320076E-2</v>
      </c>
      <c r="H128" s="327">
        <f t="shared" si="35"/>
        <v>5.2456505997793827E-2</v>
      </c>
      <c r="I128" s="327">
        <f t="shared" si="36"/>
        <v>4.5104823608084987E-2</v>
      </c>
      <c r="J128" s="327">
        <f t="shared" si="37"/>
        <v>3.1774552401610641E-4</v>
      </c>
      <c r="K128" s="327">
        <f t="shared" si="38"/>
        <v>1.8196797710435907E-4</v>
      </c>
      <c r="L128" s="327">
        <f t="shared" si="39"/>
        <v>1.0315000588058565E-2</v>
      </c>
      <c r="M128" s="327">
        <f t="shared" si="40"/>
        <v>1.9281251832760873E-2</v>
      </c>
      <c r="N128" s="327">
        <f t="shared" si="41"/>
        <v>4.216192762617918E-2</v>
      </c>
      <c r="O128" s="328">
        <f t="shared" si="42"/>
        <v>4.3991782938711615E-2</v>
      </c>
      <c r="P128" s="327">
        <f t="shared" si="43"/>
        <v>0.16136975293928343</v>
      </c>
      <c r="Q128" s="327">
        <f t="shared" si="44"/>
        <v>0.17412868358103797</v>
      </c>
      <c r="R128" s="327">
        <f t="shared" si="45"/>
        <v>0.1959084891376337</v>
      </c>
      <c r="S128" s="327">
        <f t="shared" si="46"/>
        <v>0.14006583270445597</v>
      </c>
      <c r="T128" s="327">
        <f t="shared" si="47"/>
        <v>3.5947993797758276E-3</v>
      </c>
      <c r="U128" s="328">
        <f t="shared" si="48"/>
        <v>6.1218078169058998E-2</v>
      </c>
      <c r="V128" s="327">
        <f t="shared" si="49"/>
        <v>9.1070764837564294E-2</v>
      </c>
      <c r="W128" s="327">
        <f t="shared" si="50"/>
        <v>0.11073933931658245</v>
      </c>
      <c r="X128" s="327">
        <f t="shared" si="51"/>
        <v>0.14884669977329423</v>
      </c>
      <c r="Y128" s="327">
        <f t="shared" si="52"/>
        <v>0.13234411482784669</v>
      </c>
      <c r="Z128" s="327">
        <f t="shared" si="53"/>
        <v>1.4345322229134655E-2</v>
      </c>
      <c r="AA128" s="328">
        <f t="shared" si="54"/>
        <v>9.591122324179413E-2</v>
      </c>
    </row>
    <row r="129" spans="1:27" ht="12" customHeight="1" x14ac:dyDescent="0.15">
      <c r="A129" s="269">
        <f t="shared" si="28"/>
        <v>114</v>
      </c>
      <c r="B129" s="322">
        <f t="shared" si="29"/>
        <v>105.23076923076923</v>
      </c>
      <c r="C129" s="323">
        <f t="shared" si="30"/>
        <v>456</v>
      </c>
      <c r="D129" s="327">
        <f t="shared" si="31"/>
        <v>2.2090216246025238E-2</v>
      </c>
      <c r="E129" s="327">
        <f t="shared" si="32"/>
        <v>2.8658690500641199E-2</v>
      </c>
      <c r="F129" s="327">
        <f t="shared" si="33"/>
        <v>8.7249572420073473E-2</v>
      </c>
      <c r="G129" s="327">
        <f t="shared" si="34"/>
        <v>7.6396486376353295E-2</v>
      </c>
      <c r="H129" s="327">
        <f t="shared" si="35"/>
        <v>5.1529552644198048E-2</v>
      </c>
      <c r="I129" s="327">
        <f t="shared" si="36"/>
        <v>4.4184368682486097E-2</v>
      </c>
      <c r="J129" s="327">
        <f t="shared" si="37"/>
        <v>2.9588598332717356E-4</v>
      </c>
      <c r="K129" s="327">
        <f t="shared" si="38"/>
        <v>1.6823793610022881E-4</v>
      </c>
      <c r="L129" s="327">
        <f t="shared" si="39"/>
        <v>1.0102203388898556E-2</v>
      </c>
      <c r="M129" s="327">
        <f t="shared" si="40"/>
        <v>1.9033864278381708E-2</v>
      </c>
      <c r="N129" s="327">
        <f t="shared" si="41"/>
        <v>4.2007405003980501E-2</v>
      </c>
      <c r="O129" s="328">
        <f t="shared" si="42"/>
        <v>4.3605217202754454E-2</v>
      </c>
      <c r="P129" s="327">
        <f t="shared" si="43"/>
        <v>0.15878581792902349</v>
      </c>
      <c r="Q129" s="327">
        <f t="shared" si="44"/>
        <v>0.17225998085452471</v>
      </c>
      <c r="R129" s="327">
        <f t="shared" si="45"/>
        <v>0.19380426395291317</v>
      </c>
      <c r="S129" s="327">
        <f t="shared" si="46"/>
        <v>0.13826039511622928</v>
      </c>
      <c r="T129" s="327">
        <f t="shared" si="47"/>
        <v>3.123222694991626E-3</v>
      </c>
      <c r="U129" s="328">
        <f t="shared" si="48"/>
        <v>5.9327472901464784E-2</v>
      </c>
      <c r="V129" s="327">
        <f t="shared" si="49"/>
        <v>8.9159977123185644E-2</v>
      </c>
      <c r="W129" s="327">
        <f t="shared" si="50"/>
        <v>0.10899008548820766</v>
      </c>
      <c r="X129" s="327">
        <f t="shared" si="51"/>
        <v>0.14717625335284423</v>
      </c>
      <c r="Y129" s="327">
        <f t="shared" si="52"/>
        <v>0.13086771613293274</v>
      </c>
      <c r="Z129" s="327">
        <f t="shared" si="53"/>
        <v>1.3375851109188399E-2</v>
      </c>
      <c r="AA129" s="328">
        <f t="shared" si="54"/>
        <v>9.4236118152859261E-2</v>
      </c>
    </row>
    <row r="130" spans="1:27" ht="12" customHeight="1" x14ac:dyDescent="0.15">
      <c r="A130" s="269">
        <f t="shared" si="28"/>
        <v>115</v>
      </c>
      <c r="B130" s="322">
        <f t="shared" si="29"/>
        <v>106.15384615384616</v>
      </c>
      <c r="C130" s="323">
        <f t="shared" si="30"/>
        <v>460</v>
      </c>
      <c r="D130" s="327">
        <f t="shared" si="31"/>
        <v>2.136364760359034E-2</v>
      </c>
      <c r="E130" s="327">
        <f t="shared" si="32"/>
        <v>2.7832906325226652E-2</v>
      </c>
      <c r="F130" s="327">
        <f t="shared" si="33"/>
        <v>8.6185966199244457E-2</v>
      </c>
      <c r="G130" s="327">
        <f t="shared" si="34"/>
        <v>7.553627427494411E-2</v>
      </c>
      <c r="H130" s="327">
        <f t="shared" si="35"/>
        <v>5.0624654078264851E-2</v>
      </c>
      <c r="I130" s="327">
        <f t="shared" si="36"/>
        <v>4.3285770136591739E-2</v>
      </c>
      <c r="J130" s="327">
        <f t="shared" si="37"/>
        <v>2.7553028606958589E-4</v>
      </c>
      <c r="K130" s="327">
        <f t="shared" si="38"/>
        <v>1.5554073367125124E-4</v>
      </c>
      <c r="L130" s="327">
        <f t="shared" si="39"/>
        <v>9.8950553035936917E-3</v>
      </c>
      <c r="M130" s="327">
        <f t="shared" si="40"/>
        <v>1.8791710069240328E-2</v>
      </c>
      <c r="N130" s="327">
        <f t="shared" si="41"/>
        <v>4.1857780872177494E-2</v>
      </c>
      <c r="O130" s="328">
        <f t="shared" si="42"/>
        <v>4.3225271321449835E-2</v>
      </c>
      <c r="P130" s="327">
        <f t="shared" si="43"/>
        <v>0.15624325820759938</v>
      </c>
      <c r="Q130" s="327">
        <f t="shared" si="44"/>
        <v>0.17041618993177177</v>
      </c>
      <c r="R130" s="327">
        <f t="shared" si="45"/>
        <v>0.19173207110699697</v>
      </c>
      <c r="S130" s="327">
        <f t="shared" si="46"/>
        <v>0.13649004894354416</v>
      </c>
      <c r="T130" s="327">
        <f t="shared" si="47"/>
        <v>2.7047119985089607E-3</v>
      </c>
      <c r="U130" s="328">
        <f t="shared" si="48"/>
        <v>5.749218731293948E-2</v>
      </c>
      <c r="V130" s="327">
        <f t="shared" si="49"/>
        <v>8.7289280317189424E-2</v>
      </c>
      <c r="W130" s="327">
        <f t="shared" si="50"/>
        <v>0.10727118377808478</v>
      </c>
      <c r="X130" s="327">
        <f t="shared" si="51"/>
        <v>0.14553284563358271</v>
      </c>
      <c r="Y130" s="327">
        <f t="shared" si="52"/>
        <v>0.12941804298019385</v>
      </c>
      <c r="Z130" s="327">
        <f t="shared" si="53"/>
        <v>1.2461096334789947E-2</v>
      </c>
      <c r="AA130" s="328">
        <f t="shared" si="54"/>
        <v>9.2594839675187446E-2</v>
      </c>
    </row>
    <row r="131" spans="1:27" ht="12" customHeight="1" x14ac:dyDescent="0.15">
      <c r="A131" s="269">
        <f t="shared" si="28"/>
        <v>116</v>
      </c>
      <c r="B131" s="322">
        <f t="shared" si="29"/>
        <v>107.07692307692308</v>
      </c>
      <c r="C131" s="323">
        <f t="shared" si="30"/>
        <v>464</v>
      </c>
      <c r="D131" s="327">
        <f t="shared" si="31"/>
        <v>2.066097650866202E-2</v>
      </c>
      <c r="E131" s="327">
        <f t="shared" si="32"/>
        <v>2.7031338888021797E-2</v>
      </c>
      <c r="F131" s="327">
        <f t="shared" si="33"/>
        <v>8.5141171424059081E-2</v>
      </c>
      <c r="G131" s="327">
        <f t="shared" si="34"/>
        <v>7.4692297543649186E-2</v>
      </c>
      <c r="H131" s="327">
        <f t="shared" si="35"/>
        <v>4.9741186834073609E-2</v>
      </c>
      <c r="I131" s="327">
        <f t="shared" si="36"/>
        <v>4.2408426474852989E-2</v>
      </c>
      <c r="J131" s="327">
        <f t="shared" si="37"/>
        <v>2.5657497421107447E-4</v>
      </c>
      <c r="K131" s="327">
        <f t="shared" si="38"/>
        <v>1.4379893672788538E-4</v>
      </c>
      <c r="L131" s="327">
        <f t="shared" si="39"/>
        <v>9.6933713145235245E-3</v>
      </c>
      <c r="M131" s="327">
        <f t="shared" si="40"/>
        <v>1.85546359123368E-2</v>
      </c>
      <c r="N131" s="327">
        <f t="shared" si="41"/>
        <v>4.1712885159504075E-2</v>
      </c>
      <c r="O131" s="328">
        <f t="shared" si="42"/>
        <v>4.2851777580570842E-2</v>
      </c>
      <c r="P131" s="327">
        <f t="shared" si="43"/>
        <v>0.15374141125272667</v>
      </c>
      <c r="Q131" s="327">
        <f t="shared" si="44"/>
        <v>0.1685968853015066</v>
      </c>
      <c r="R131" s="327">
        <f t="shared" si="45"/>
        <v>0.18969126715821016</v>
      </c>
      <c r="S131" s="327">
        <f t="shared" si="46"/>
        <v>0.13475390725769021</v>
      </c>
      <c r="T131" s="327">
        <f t="shared" si="47"/>
        <v>2.3345131356529271E-3</v>
      </c>
      <c r="U131" s="328">
        <f t="shared" si="48"/>
        <v>5.5710734257402916E-2</v>
      </c>
      <c r="V131" s="327">
        <f t="shared" si="49"/>
        <v>8.5457833258141089E-2</v>
      </c>
      <c r="W131" s="327">
        <f t="shared" si="50"/>
        <v>0.10558204149523921</v>
      </c>
      <c r="X131" s="327">
        <f t="shared" si="51"/>
        <v>0.14391589216431844</v>
      </c>
      <c r="Y131" s="327">
        <f t="shared" si="52"/>
        <v>0.12799443808203748</v>
      </c>
      <c r="Z131" s="327">
        <f t="shared" si="53"/>
        <v>1.1598721790185517E-2</v>
      </c>
      <c r="AA131" s="328">
        <f t="shared" si="54"/>
        <v>9.09866009523983E-2</v>
      </c>
    </row>
    <row r="132" spans="1:27" ht="12" customHeight="1" x14ac:dyDescent="0.15">
      <c r="A132" s="269">
        <f t="shared" si="28"/>
        <v>117</v>
      </c>
      <c r="B132" s="322">
        <f t="shared" si="29"/>
        <v>108</v>
      </c>
      <c r="C132" s="323">
        <f t="shared" si="30"/>
        <v>468</v>
      </c>
      <c r="D132" s="327">
        <f t="shared" si="31"/>
        <v>1.9981416947719353E-2</v>
      </c>
      <c r="E132" s="327">
        <f t="shared" si="32"/>
        <v>2.6253262332416278E-2</v>
      </c>
      <c r="F132" s="327">
        <f t="shared" si="33"/>
        <v>8.4114743029145234E-2</v>
      </c>
      <c r="G132" s="327">
        <f t="shared" si="34"/>
        <v>7.3864130640703143E-2</v>
      </c>
      <c r="H132" s="327">
        <f t="shared" si="35"/>
        <v>4.8878547551212244E-2</v>
      </c>
      <c r="I132" s="327">
        <f t="shared" si="36"/>
        <v>4.155175527183963E-2</v>
      </c>
      <c r="J132" s="327">
        <f t="shared" si="37"/>
        <v>2.3892370719198473E-4</v>
      </c>
      <c r="K132" s="327">
        <f t="shared" si="38"/>
        <v>1.3294089539289547E-4</v>
      </c>
      <c r="L132" s="327">
        <f t="shared" si="39"/>
        <v>9.4969736460618348E-3</v>
      </c>
      <c r="M132" s="327">
        <f t="shared" si="40"/>
        <v>1.83224942254069E-2</v>
      </c>
      <c r="N132" s="327">
        <f t="shared" si="41"/>
        <v>4.1572554522791981E-2</v>
      </c>
      <c r="O132" s="328">
        <f t="shared" si="42"/>
        <v>4.2484573870075405E-2</v>
      </c>
      <c r="P132" s="327">
        <f t="shared" si="43"/>
        <v>0.15127962515076634</v>
      </c>
      <c r="Q132" s="327">
        <f t="shared" si="44"/>
        <v>0.16680165088598903</v>
      </c>
      <c r="R132" s="327">
        <f t="shared" si="45"/>
        <v>0.1876812248307842</v>
      </c>
      <c r="S132" s="327">
        <f t="shared" si="46"/>
        <v>0.13305111000850464</v>
      </c>
      <c r="T132" s="327">
        <f t="shared" si="47"/>
        <v>2.0081470851219529E-3</v>
      </c>
      <c r="U132" s="328">
        <f t="shared" si="48"/>
        <v>5.3981660657967501E-2</v>
      </c>
      <c r="V132" s="327">
        <f t="shared" si="49"/>
        <v>8.366481243330974E-2</v>
      </c>
      <c r="W132" s="327">
        <f t="shared" si="50"/>
        <v>0.10392207934185226</v>
      </c>
      <c r="X132" s="327">
        <f t="shared" si="51"/>
        <v>0.14232482445909289</v>
      </c>
      <c r="Y132" s="327">
        <f t="shared" si="52"/>
        <v>0.12659626428506132</v>
      </c>
      <c r="Z132" s="327">
        <f t="shared" si="53"/>
        <v>1.0786445230960635E-2</v>
      </c>
      <c r="AA132" s="328">
        <f t="shared" si="54"/>
        <v>8.9410636067009941E-2</v>
      </c>
    </row>
    <row r="133" spans="1:27" ht="12" customHeight="1" x14ac:dyDescent="0.15">
      <c r="A133" s="269">
        <f t="shared" si="28"/>
        <v>118</v>
      </c>
      <c r="B133" s="322">
        <f t="shared" si="29"/>
        <v>108.92307692307692</v>
      </c>
      <c r="C133" s="323">
        <f t="shared" si="30"/>
        <v>472</v>
      </c>
      <c r="D133" s="327">
        <f t="shared" si="31"/>
        <v>1.9324208759988637E-2</v>
      </c>
      <c r="E133" s="327">
        <f t="shared" si="32"/>
        <v>2.5497973173443159E-2</v>
      </c>
      <c r="F133" s="327">
        <f t="shared" si="33"/>
        <v>8.3106249265378906E-2</v>
      </c>
      <c r="G133" s="327">
        <f t="shared" si="34"/>
        <v>7.3051362192327218E-2</v>
      </c>
      <c r="H133" s="327">
        <f t="shared" si="35"/>
        <v>4.8036152253304674E-2</v>
      </c>
      <c r="I133" s="327">
        <f t="shared" si="36"/>
        <v>4.0715192480969775E-2</v>
      </c>
      <c r="J133" s="327">
        <f t="shared" si="37"/>
        <v>2.2248677227343296E-4</v>
      </c>
      <c r="K133" s="327">
        <f t="shared" si="38"/>
        <v>1.2290031294268151E-4</v>
      </c>
      <c r="L133" s="327">
        <f t="shared" si="39"/>
        <v>9.305691434000174E-3</v>
      </c>
      <c r="M133" s="327">
        <f t="shared" si="40"/>
        <v>1.809514287965526E-2</v>
      </c>
      <c r="N133" s="327">
        <f t="shared" si="41"/>
        <v>4.1436632036339134E-2</v>
      </c>
      <c r="O133" s="328">
        <f t="shared" si="42"/>
        <v>4.2123503452287214E-2</v>
      </c>
      <c r="P133" s="327">
        <f t="shared" si="43"/>
        <v>0.14885725842685404</v>
      </c>
      <c r="Q133" s="327">
        <f t="shared" si="44"/>
        <v>0.165030079772234</v>
      </c>
      <c r="R133" s="327">
        <f t="shared" si="45"/>
        <v>0.18570133252752774</v>
      </c>
      <c r="S133" s="327">
        <f t="shared" si="46"/>
        <v>0.13138082310275312</v>
      </c>
      <c r="T133" s="327">
        <f t="shared" si="47"/>
        <v>1.7214108444505499E-3</v>
      </c>
      <c r="U133" s="328">
        <f t="shared" si="48"/>
        <v>5.2303547014577068E-2</v>
      </c>
      <c r="V133" s="327">
        <f t="shared" si="49"/>
        <v>8.1909411608374297E-2</v>
      </c>
      <c r="W133" s="327">
        <f t="shared" si="50"/>
        <v>0.10229073105369628</v>
      </c>
      <c r="X133" s="327">
        <f t="shared" si="51"/>
        <v>0.14075908946791837</v>
      </c>
      <c r="Y133" s="327">
        <f t="shared" si="52"/>
        <v>0.12522290384169288</v>
      </c>
      <c r="Z133" s="327">
        <f t="shared" si="53"/>
        <v>1.0022039533113775E-2</v>
      </c>
      <c r="AA133" s="328">
        <f t="shared" si="54"/>
        <v>8.7866199409470047E-2</v>
      </c>
    </row>
    <row r="134" spans="1:27" ht="12" customHeight="1" x14ac:dyDescent="0.15">
      <c r="A134" s="269">
        <f t="shared" si="28"/>
        <v>119</v>
      </c>
      <c r="B134" s="322">
        <f t="shared" si="29"/>
        <v>109.84615384615384</v>
      </c>
      <c r="C134" s="323">
        <f t="shared" si="30"/>
        <v>476</v>
      </c>
      <c r="D134" s="327">
        <f t="shared" si="31"/>
        <v>1.8688616787121481E-2</v>
      </c>
      <c r="E134" s="327">
        <f t="shared" si="32"/>
        <v>2.4764789582543096E-2</v>
      </c>
      <c r="F134" s="327">
        <f t="shared" si="33"/>
        <v>8.2115271215900121E-2</v>
      </c>
      <c r="G134" s="327">
        <f t="shared" si="34"/>
        <v>7.2253594424110876E-2</v>
      </c>
      <c r="H134" s="327">
        <f t="shared" si="35"/>
        <v>4.7213435654875797E-2</v>
      </c>
      <c r="I134" s="327">
        <f t="shared" si="36"/>
        <v>3.9898191771643443E-2</v>
      </c>
      <c r="J134" s="327">
        <f t="shared" si="37"/>
        <v>2.0718062857142468E-4</v>
      </c>
      <c r="K134" s="327">
        <f t="shared" si="38"/>
        <v>1.1361584756890715E-4</v>
      </c>
      <c r="L134" s="327">
        <f t="shared" si="39"/>
        <v>9.1193604122321581E-3</v>
      </c>
      <c r="M134" s="327">
        <f t="shared" si="40"/>
        <v>1.7872444956042892E-2</v>
      </c>
      <c r="N134" s="327">
        <f t="shared" si="41"/>
        <v>4.1304966897939631E-2</v>
      </c>
      <c r="O134" s="328">
        <f t="shared" si="42"/>
        <v>4.176841474147943E-2</v>
      </c>
      <c r="P134" s="327">
        <f t="shared" si="43"/>
        <v>0.14647367987774892</v>
      </c>
      <c r="Q134" s="327">
        <f t="shared" si="44"/>
        <v>0.16328177395282423</v>
      </c>
      <c r="R134" s="327">
        <f t="shared" si="45"/>
        <v>0.18375099385953175</v>
      </c>
      <c r="S134" s="327">
        <f t="shared" si="46"/>
        <v>0.12974223751633218</v>
      </c>
      <c r="T134" s="327">
        <f t="shared" si="47"/>
        <v>1.4703763075340477E-3</v>
      </c>
      <c r="U134" s="328">
        <f t="shared" si="48"/>
        <v>5.0675006902248354E-2</v>
      </c>
      <c r="V134" s="327">
        <f t="shared" si="49"/>
        <v>8.0190841464899396E-2</v>
      </c>
      <c r="W134" s="327">
        <f t="shared" si="50"/>
        <v>0.10068744305223096</v>
      </c>
      <c r="X134" s="327">
        <f t="shared" si="51"/>
        <v>0.13921814906816388</v>
      </c>
      <c r="Y134" s="327">
        <f t="shared" si="52"/>
        <v>0.12387375771178681</v>
      </c>
      <c r="Z134" s="327">
        <f t="shared" si="53"/>
        <v>9.3033337982146667E-3</v>
      </c>
      <c r="AA134" s="328">
        <f t="shared" si="54"/>
        <v>8.6352565068419262E-2</v>
      </c>
    </row>
    <row r="135" spans="1:27" ht="12" customHeight="1" x14ac:dyDescent="0.15">
      <c r="A135" s="269">
        <f t="shared" si="28"/>
        <v>120</v>
      </c>
      <c r="B135" s="322">
        <f t="shared" si="29"/>
        <v>110.76923076923077</v>
      </c>
      <c r="C135" s="323">
        <f t="shared" si="30"/>
        <v>480</v>
      </c>
      <c r="D135" s="327">
        <f t="shared" si="31"/>
        <v>1.8073930050840743E-2</v>
      </c>
      <c r="E135" s="327">
        <f t="shared" si="32"/>
        <v>2.4053050696350043E-2</v>
      </c>
      <c r="F135" s="327">
        <f t="shared" si="33"/>
        <v>8.1141402332870483E-2</v>
      </c>
      <c r="G135" s="327">
        <f t="shared" si="34"/>
        <v>7.1470442618968191E-2</v>
      </c>
      <c r="H135" s="327">
        <f t="shared" si="35"/>
        <v>4.640985049534934E-2</v>
      </c>
      <c r="I135" s="327">
        <f t="shared" si="36"/>
        <v>3.9100223893468122E-2</v>
      </c>
      <c r="J135" s="327">
        <f t="shared" si="37"/>
        <v>1.9292748245948674E-4</v>
      </c>
      <c r="K135" s="327">
        <f t="shared" si="38"/>
        <v>1.0503074361993366E-4</v>
      </c>
      <c r="L135" s="327">
        <f t="shared" si="39"/>
        <v>8.937822615684432E-3</v>
      </c>
      <c r="M135" s="327">
        <f t="shared" si="40"/>
        <v>1.765426851431369E-2</v>
      </c>
      <c r="N135" s="327">
        <f t="shared" si="41"/>
        <v>4.1177414150560969E-2</v>
      </c>
      <c r="O135" s="328">
        <f t="shared" si="42"/>
        <v>4.1419161094211919E-2</v>
      </c>
      <c r="P135" s="327">
        <f t="shared" si="43"/>
        <v>0.14412826840735932</v>
      </c>
      <c r="Q135" s="327">
        <f t="shared" si="44"/>
        <v>0.1615563440758967</v>
      </c>
      <c r="R135" s="327">
        <f t="shared" si="45"/>
        <v>0.18182962719224205</v>
      </c>
      <c r="S135" s="327">
        <f t="shared" si="46"/>
        <v>0.12813456843906601</v>
      </c>
      <c r="T135" s="327">
        <f t="shared" si="47"/>
        <v>1.2513872535315706E-3</v>
      </c>
      <c r="U135" s="328">
        <f t="shared" si="48"/>
        <v>4.9094686461237491E-2</v>
      </c>
      <c r="V135" s="327">
        <f t="shared" si="49"/>
        <v>7.8508329245416925E-2</v>
      </c>
      <c r="W135" s="327">
        <f t="shared" si="50"/>
        <v>9.9111674107902642E-2</v>
      </c>
      <c r="X135" s="327">
        <f t="shared" si="51"/>
        <v>0.1377014795756637</v>
      </c>
      <c r="Y135" s="327">
        <f t="shared" si="52"/>
        <v>0.12254824489282377</v>
      </c>
      <c r="Z135" s="327">
        <f t="shared" si="53"/>
        <v>8.6282143148876025E-3</v>
      </c>
      <c r="AA135" s="328">
        <f t="shared" si="54"/>
        <v>8.4869026241408685E-2</v>
      </c>
    </row>
    <row r="136" spans="1:27" ht="12" customHeight="1" x14ac:dyDescent="0.15">
      <c r="A136" s="269">
        <f t="shared" si="28"/>
        <v>121</v>
      </c>
      <c r="B136" s="322">
        <f t="shared" si="29"/>
        <v>111.69230769230769</v>
      </c>
      <c r="C136" s="323">
        <f t="shared" si="30"/>
        <v>484</v>
      </c>
      <c r="D136" s="327">
        <f t="shared" si="31"/>
        <v>1.7479460957634588E-2</v>
      </c>
      <c r="E136" s="327">
        <f t="shared" si="32"/>
        <v>2.3362115948634767E-2</v>
      </c>
      <c r="F136" s="327">
        <f t="shared" si="33"/>
        <v>8.0184247993947855E-2</v>
      </c>
      <c r="G136" s="327">
        <f t="shared" si="34"/>
        <v>7.0701534600256147E-2</v>
      </c>
      <c r="H136" s="327">
        <f t="shared" si="35"/>
        <v>4.562486689902992E-2</v>
      </c>
      <c r="I136" s="327">
        <f t="shared" si="36"/>
        <v>3.8320776066336881E-2</v>
      </c>
      <c r="J136" s="327">
        <f t="shared" si="37"/>
        <v>1.7965489218179409E-4</v>
      </c>
      <c r="K136" s="327">
        <f t="shared" si="38"/>
        <v>9.7092490152497676E-5</v>
      </c>
      <c r="L136" s="327">
        <f t="shared" si="39"/>
        <v>8.7609260985449522E-3</v>
      </c>
      <c r="M136" s="327">
        <f t="shared" si="40"/>
        <v>1.7440486373999361E-2</v>
      </c>
      <c r="N136" s="327">
        <f t="shared" si="41"/>
        <v>4.1053834418722478E-2</v>
      </c>
      <c r="O136" s="328">
        <f t="shared" si="42"/>
        <v>4.1075600609816292E-2</v>
      </c>
      <c r="P136" s="327">
        <f t="shared" si="43"/>
        <v>0.1418204128649018</v>
      </c>
      <c r="Q136" s="327">
        <f t="shared" si="44"/>
        <v>0.15985340920390761</v>
      </c>
      <c r="R136" s="327">
        <f t="shared" si="45"/>
        <v>0.1799366652072566</v>
      </c>
      <c r="S136" s="327">
        <f t="shared" si="46"/>
        <v>0.12655705445090781</v>
      </c>
      <c r="T136" s="327">
        <f t="shared" si="47"/>
        <v>1.0610545839925293E-3</v>
      </c>
      <c r="U136" s="328">
        <f t="shared" si="48"/>
        <v>4.7561263880379068E-2</v>
      </c>
      <c r="V136" s="327">
        <f t="shared" si="49"/>
        <v>7.6861118405954859E-2</v>
      </c>
      <c r="W136" s="327">
        <f t="shared" si="50"/>
        <v>9.7562895014212198E-2</v>
      </c>
      <c r="X136" s="327">
        <f t="shared" si="51"/>
        <v>0.13620857127467079</v>
      </c>
      <c r="Y136" s="327">
        <f t="shared" si="52"/>
        <v>0.12124580177741731</v>
      </c>
      <c r="Z136" s="327">
        <f t="shared" si="53"/>
        <v>7.9946253773290395E-3</v>
      </c>
      <c r="AA136" s="328">
        <f t="shared" si="54"/>
        <v>8.3414894665316264E-2</v>
      </c>
    </row>
    <row r="137" spans="1:27" ht="12" customHeight="1" x14ac:dyDescent="0.15">
      <c r="A137" s="269">
        <f t="shared" si="28"/>
        <v>122</v>
      </c>
      <c r="B137" s="322">
        <f t="shared" si="29"/>
        <v>112.61538461538461</v>
      </c>
      <c r="C137" s="323">
        <f t="shared" si="30"/>
        <v>488</v>
      </c>
      <c r="D137" s="327">
        <f t="shared" si="31"/>
        <v>1.6904544529608798E-2</v>
      </c>
      <c r="E137" s="327">
        <f t="shared" si="32"/>
        <v>2.2691364424577733E-2</v>
      </c>
      <c r="F137" s="327">
        <f t="shared" si="33"/>
        <v>7.9243425077511476E-2</v>
      </c>
      <c r="G137" s="327">
        <f t="shared" si="34"/>
        <v>6.9946510238728984E-2</v>
      </c>
      <c r="H137" s="327">
        <f t="shared" si="35"/>
        <v>4.4857971759972554E-2</v>
      </c>
      <c r="I137" s="327">
        <f t="shared" si="36"/>
        <v>3.7559351395172635E-2</v>
      </c>
      <c r="J137" s="327">
        <f t="shared" si="37"/>
        <v>1.6729539966722854E-4</v>
      </c>
      <c r="K137" s="327">
        <f t="shared" si="38"/>
        <v>8.9752504782622145E-5</v>
      </c>
      <c r="L137" s="327">
        <f t="shared" si="39"/>
        <v>8.5885246669012982E-3</v>
      </c>
      <c r="M137" s="327">
        <f t="shared" si="40"/>
        <v>1.7230975906693313E-2</v>
      </c>
      <c r="N137" s="327">
        <f t="shared" si="41"/>
        <v>4.093409365869257E-2</v>
      </c>
      <c r="O137" s="328">
        <f t="shared" si="42"/>
        <v>4.0737595940459476E-2</v>
      </c>
      <c r="P137" s="327">
        <f t="shared" si="43"/>
        <v>0.13954951188565184</v>
      </c>
      <c r="Q137" s="327">
        <f t="shared" si="44"/>
        <v>0.15817259658080479</v>
      </c>
      <c r="R137" s="327">
        <f t="shared" si="45"/>
        <v>0.17807155447923484</v>
      </c>
      <c r="S137" s="327">
        <f t="shared" si="46"/>
        <v>0.12500895672839249</v>
      </c>
      <c r="T137" s="327">
        <f t="shared" si="47"/>
        <v>8.962499600133093E-4</v>
      </c>
      <c r="U137" s="328">
        <f t="shared" si="48"/>
        <v>4.6073448874759393E-2</v>
      </c>
      <c r="V137" s="327">
        <f t="shared" si="49"/>
        <v>7.5248468275856031E-2</v>
      </c>
      <c r="W137" s="327">
        <f t="shared" si="50"/>
        <v>9.6040588272134866E-2</v>
      </c>
      <c r="X137" s="327">
        <f t="shared" si="51"/>
        <v>0.13473892796582099</v>
      </c>
      <c r="Y137" s="327">
        <f t="shared" si="52"/>
        <v>0.11996588153690138</v>
      </c>
      <c r="Z137" s="327">
        <f t="shared" si="53"/>
        <v>7.400569962034453E-3</v>
      </c>
      <c r="AA137" s="328">
        <f t="shared" si="54"/>
        <v>8.1989500065739462E-2</v>
      </c>
    </row>
    <row r="138" spans="1:27" ht="12" customHeight="1" x14ac:dyDescent="0.15">
      <c r="A138" s="269">
        <f t="shared" si="28"/>
        <v>123</v>
      </c>
      <c r="B138" s="322">
        <f t="shared" si="29"/>
        <v>113.53846153846153</v>
      </c>
      <c r="C138" s="323">
        <f t="shared" si="30"/>
        <v>492</v>
      </c>
      <c r="D138" s="327">
        <f t="shared" si="31"/>
        <v>1.6348537660637201E-2</v>
      </c>
      <c r="E138" s="327">
        <f t="shared" si="32"/>
        <v>2.2040194236574318E-2</v>
      </c>
      <c r="F138" s="327">
        <f t="shared" si="33"/>
        <v>7.8318561555721478E-2</v>
      </c>
      <c r="G138" s="327">
        <f t="shared" si="34"/>
        <v>6.9205020982078674E-2</v>
      </c>
      <c r="H138" s="327">
        <f t="shared" si="35"/>
        <v>4.4108668150692212E-2</v>
      </c>
      <c r="I138" s="327">
        <f t="shared" si="36"/>
        <v>3.681546830822402E-2</v>
      </c>
      <c r="J138" s="327">
        <f t="shared" si="37"/>
        <v>1.5578618767306778E-4</v>
      </c>
      <c r="K138" s="327">
        <f t="shared" si="38"/>
        <v>8.2965840971798468E-5</v>
      </c>
      <c r="L138" s="327">
        <f t="shared" si="39"/>
        <v>8.4204776249595659E-3</v>
      </c>
      <c r="M138" s="327">
        <f t="shared" si="40"/>
        <v>1.7025618838930782E-2</v>
      </c>
      <c r="N138" s="327">
        <f t="shared" si="41"/>
        <v>4.0818062921680991E-2</v>
      </c>
      <c r="O138" s="328">
        <f t="shared" si="42"/>
        <v>4.0405014110254781E-2</v>
      </c>
      <c r="P138" s="327">
        <f t="shared" si="43"/>
        <v>0.13731497373424437</v>
      </c>
      <c r="Q138" s="327">
        <f t="shared" si="44"/>
        <v>0.1565135414072481</v>
      </c>
      <c r="R138" s="327">
        <f t="shared" si="45"/>
        <v>0.17623375506732997</v>
      </c>
      <c r="S138" s="327">
        <f t="shared" si="46"/>
        <v>0.12348955828021833</v>
      </c>
      <c r="T138" s="327">
        <f t="shared" si="47"/>
        <v>7.5409800341008084E-4</v>
      </c>
      <c r="U138" s="328">
        <f t="shared" si="48"/>
        <v>4.4629982158811754E-2</v>
      </c>
      <c r="V138" s="327">
        <f t="shared" si="49"/>
        <v>7.3669653724734455E-2</v>
      </c>
      <c r="W138" s="327">
        <f t="shared" si="50"/>
        <v>9.4544247784494578E-2</v>
      </c>
      <c r="X138" s="327">
        <f t="shared" si="51"/>
        <v>0.13329206653131209</v>
      </c>
      <c r="Y138" s="327">
        <f t="shared" si="52"/>
        <v>0.11870795352982354</v>
      </c>
      <c r="Z138" s="327">
        <f t="shared" si="53"/>
        <v>6.8441102643632601E-3</v>
      </c>
      <c r="AA138" s="328">
        <f t="shared" si="54"/>
        <v>8.0592189624669519E-2</v>
      </c>
    </row>
    <row r="139" spans="1:27" ht="12" customHeight="1" x14ac:dyDescent="0.15">
      <c r="A139" s="269">
        <f t="shared" si="28"/>
        <v>124</v>
      </c>
      <c r="B139" s="322">
        <f t="shared" si="29"/>
        <v>114.46153846153847</v>
      </c>
      <c r="C139" s="323">
        <f t="shared" si="30"/>
        <v>496</v>
      </c>
      <c r="D139" s="327">
        <f t="shared" si="31"/>
        <v>1.5810818396978021E-2</v>
      </c>
      <c r="E139" s="327">
        <f t="shared" si="32"/>
        <v>2.1408021920808287E-2</v>
      </c>
      <c r="F139" s="327">
        <f t="shared" si="33"/>
        <v>7.7409296104552827E-2</v>
      </c>
      <c r="G139" s="327">
        <f t="shared" si="34"/>
        <v>6.8476729405885395E-2</v>
      </c>
      <c r="H139" s="327">
        <f t="shared" si="35"/>
        <v>4.3376474753713597E-2</v>
      </c>
      <c r="I139" s="327">
        <f t="shared" si="36"/>
        <v>3.6088660017845386E-2</v>
      </c>
      <c r="J139" s="327">
        <f t="shared" si="37"/>
        <v>1.4506876051572845E-4</v>
      </c>
      <c r="K139" s="327">
        <f t="shared" si="38"/>
        <v>7.6690917020911855E-5</v>
      </c>
      <c r="L139" s="327">
        <f t="shared" si="39"/>
        <v>8.2566495340671286E-3</v>
      </c>
      <c r="M139" s="327">
        <f t="shared" si="40"/>
        <v>1.6824301065056769E-2</v>
      </c>
      <c r="N139" s="327">
        <f t="shared" si="41"/>
        <v>4.0705618129256896E-2</v>
      </c>
      <c r="O139" s="328">
        <f t="shared" si="42"/>
        <v>4.0077726342921303E-2</v>
      </c>
      <c r="P139" s="327">
        <f t="shared" si="43"/>
        <v>0.13511621615048361</v>
      </c>
      <c r="Q139" s="327">
        <f t="shared" si="44"/>
        <v>0.15487588662354351</v>
      </c>
      <c r="R139" s="327">
        <f t="shared" si="45"/>
        <v>0.17442274012058312</v>
      </c>
      <c r="S139" s="327">
        <f t="shared" si="46"/>
        <v>0.12199816321087605</v>
      </c>
      <c r="T139" s="327">
        <f t="shared" si="47"/>
        <v>6.3196723513514366E-4</v>
      </c>
      <c r="U139" s="328">
        <f t="shared" si="48"/>
        <v>4.3229634915851411E-2</v>
      </c>
      <c r="V139" s="327">
        <f t="shared" si="49"/>
        <v>7.2123964836419668E-2</v>
      </c>
      <c r="W139" s="327">
        <f t="shared" si="50"/>
        <v>9.3073378559915529E-2</v>
      </c>
      <c r="X139" s="327">
        <f t="shared" si="51"/>
        <v>0.13186751651654705</v>
      </c>
      <c r="Y139" s="327">
        <f t="shared" si="52"/>
        <v>0.11747150273423498</v>
      </c>
      <c r="Z139" s="327">
        <f t="shared" si="53"/>
        <v>6.3233680970156778E-3</v>
      </c>
      <c r="AA139" s="328">
        <f t="shared" si="54"/>
        <v>7.9222327465779951E-2</v>
      </c>
    </row>
    <row r="140" spans="1:27" ht="12" customHeight="1" x14ac:dyDescent="0.15">
      <c r="A140" s="269">
        <f t="shared" si="28"/>
        <v>125</v>
      </c>
      <c r="B140" s="322">
        <f t="shared" si="29"/>
        <v>115.38461538461539</v>
      </c>
      <c r="C140" s="323">
        <f t="shared" si="30"/>
        <v>500</v>
      </c>
      <c r="D140" s="327">
        <f t="shared" si="31"/>
        <v>1.5290785241551403E-2</v>
      </c>
      <c r="E140" s="327">
        <f t="shared" si="32"/>
        <v>2.079428185385743E-2</v>
      </c>
      <c r="F140" s="327">
        <f t="shared" si="33"/>
        <v>7.6515277729986453E-2</v>
      </c>
      <c r="G140" s="327">
        <f t="shared" si="34"/>
        <v>6.7761308784871022E-2</v>
      </c>
      <c r="H140" s="327">
        <f t="shared" si="35"/>
        <v>4.2660925315006329E-2</v>
      </c>
      <c r="I140" s="327">
        <f t="shared" si="36"/>
        <v>3.537847400275429E-2</v>
      </c>
      <c r="J140" s="327">
        <f t="shared" si="37"/>
        <v>1.3508864676587787E-4</v>
      </c>
      <c r="K140" s="327">
        <f t="shared" si="38"/>
        <v>7.0889265170859017E-5</v>
      </c>
      <c r="L140" s="327">
        <f t="shared" si="39"/>
        <v>8.0969099838115177E-3</v>
      </c>
      <c r="M140" s="327">
        <f t="shared" si="40"/>
        <v>1.6626912469503541E-2</v>
      </c>
      <c r="N140" s="327">
        <f t="shared" si="41"/>
        <v>4.0596639860274036E-2</v>
      </c>
      <c r="O140" s="328">
        <f t="shared" si="42"/>
        <v>3.9755607897525386E-2</v>
      </c>
      <c r="P140" s="327">
        <f t="shared" si="43"/>
        <v>0.13295266619762192</v>
      </c>
      <c r="Q140" s="327">
        <f t="shared" si="44"/>
        <v>0.1532592826999698</v>
      </c>
      <c r="R140" s="327">
        <f t="shared" si="45"/>
        <v>0.17263799549674153</v>
      </c>
      <c r="S140" s="327">
        <f t="shared" si="46"/>
        <v>0.1205340960112798</v>
      </c>
      <c r="T140" s="327">
        <f t="shared" si="47"/>
        <v>5.2745993037754484E-4</v>
      </c>
      <c r="U140" s="328">
        <f t="shared" si="48"/>
        <v>4.1871208265002346E-2</v>
      </c>
      <c r="V140" s="327">
        <f t="shared" si="49"/>
        <v>7.0610706589741765E-2</v>
      </c>
      <c r="W140" s="327">
        <f t="shared" si="50"/>
        <v>9.1627496425990926E-2</v>
      </c>
      <c r="X140" s="327">
        <f t="shared" si="51"/>
        <v>0.13046481972752499</v>
      </c>
      <c r="Y140" s="327">
        <f t="shared" si="52"/>
        <v>0.11625602920271476</v>
      </c>
      <c r="Z140" s="327">
        <f t="shared" si="53"/>
        <v>5.8365251529250367E-3</v>
      </c>
      <c r="AA140" s="328">
        <f t="shared" si="54"/>
        <v>7.787929415668926E-2</v>
      </c>
    </row>
    <row r="141" spans="1:27" ht="12" customHeight="1" x14ac:dyDescent="0.15">
      <c r="A141" s="269">
        <f t="shared" si="28"/>
        <v>126</v>
      </c>
      <c r="B141" s="322">
        <f t="shared" si="29"/>
        <v>116.30769230769231</v>
      </c>
      <c r="C141" s="323">
        <f t="shared" si="30"/>
        <v>504</v>
      </c>
      <c r="D141" s="327">
        <f t="shared" si="31"/>
        <v>1.4787856481099978E-2</v>
      </c>
      <c r="E141" s="327">
        <f t="shared" si="32"/>
        <v>2.0198425688622932E-2</v>
      </c>
      <c r="F141" s="327">
        <f t="shared" si="33"/>
        <v>7.5636165409585066E-2</v>
      </c>
      <c r="G141" s="327">
        <f t="shared" si="34"/>
        <v>6.7058442683410394E-2</v>
      </c>
      <c r="H141" s="327">
        <f t="shared" si="35"/>
        <v>4.1961568118392953E-2</v>
      </c>
      <c r="I141" s="327">
        <f t="shared" si="36"/>
        <v>3.468447151080245E-2</v>
      </c>
      <c r="J141" s="327">
        <f t="shared" si="37"/>
        <v>1.2579512239685513E-4</v>
      </c>
      <c r="K141" s="327">
        <f t="shared" si="38"/>
        <v>6.5525299326120632E-5</v>
      </c>
      <c r="L141" s="327">
        <f t="shared" si="39"/>
        <v>7.9411333745130763E-3</v>
      </c>
      <c r="M141" s="327">
        <f t="shared" si="40"/>
        <v>1.6433346757936885E-2</v>
      </c>
      <c r="N141" s="327">
        <f t="shared" si="41"/>
        <v>4.0491013148631405E-2</v>
      </c>
      <c r="O141" s="328">
        <f t="shared" si="42"/>
        <v>3.9438537911863913E-2</v>
      </c>
      <c r="P141" s="327">
        <f t="shared" si="43"/>
        <v>0.13082376011306773</v>
      </c>
      <c r="Q141" s="327">
        <f t="shared" si="44"/>
        <v>0.15166338743418942</v>
      </c>
      <c r="R141" s="327">
        <f t="shared" si="45"/>
        <v>0.1708790193939812</v>
      </c>
      <c r="S141" s="327">
        <f t="shared" si="46"/>
        <v>0.11909670087538085</v>
      </c>
      <c r="T141" s="327">
        <f t="shared" si="47"/>
        <v>4.3840107294908177E-4</v>
      </c>
      <c r="U141" s="328">
        <f t="shared" si="48"/>
        <v>4.055353272639417E-2</v>
      </c>
      <c r="V141" s="327">
        <f t="shared" si="49"/>
        <v>6.9129198546014223E-2</v>
      </c>
      <c r="W141" s="327">
        <f t="shared" si="50"/>
        <v>9.0206127751319851E-2</v>
      </c>
      <c r="X141" s="327">
        <f t="shared" si="51"/>
        <v>0.12908352984329574</v>
      </c>
      <c r="Y141" s="327">
        <f t="shared" si="52"/>
        <v>0.11506104753911736</v>
      </c>
      <c r="Z141" s="327">
        <f t="shared" si="53"/>
        <v>5.3818231354851864E-3</v>
      </c>
      <c r="AA141" s="328">
        <f t="shared" si="54"/>
        <v>7.656248622758044E-2</v>
      </c>
    </row>
    <row r="142" spans="1:27" ht="12" customHeight="1" x14ac:dyDescent="0.15">
      <c r="A142" s="269">
        <f t="shared" si="28"/>
        <v>127</v>
      </c>
      <c r="B142" s="322">
        <f t="shared" si="29"/>
        <v>117.23076923076923</v>
      </c>
      <c r="C142" s="323">
        <f t="shared" si="30"/>
        <v>508</v>
      </c>
      <c r="D142" s="327">
        <f t="shared" si="31"/>
        <v>1.4301469535479741E-2</v>
      </c>
      <c r="E142" s="327">
        <f t="shared" si="32"/>
        <v>1.9619921808904334E-2</v>
      </c>
      <c r="F142" s="327">
        <f t="shared" si="33"/>
        <v>7.4771627748726033E-2</v>
      </c>
      <c r="G142" s="327">
        <f t="shared" si="34"/>
        <v>6.6367824564317196E-2</v>
      </c>
      <c r="H142" s="327">
        <f t="shared" si="35"/>
        <v>4.1277965480058847E-2</v>
      </c>
      <c r="I142" s="327">
        <f t="shared" si="36"/>
        <v>3.4006227081352369E-2</v>
      </c>
      <c r="J142" s="327">
        <f t="shared" si="37"/>
        <v>1.1714095297930568E-4</v>
      </c>
      <c r="K142" s="327">
        <f t="shared" si="38"/>
        <v>6.056610002636E-5</v>
      </c>
      <c r="L142" s="327">
        <f t="shared" si="39"/>
        <v>7.7891987104754534E-3</v>
      </c>
      <c r="M142" s="327">
        <f t="shared" si="40"/>
        <v>1.6243501296765505E-2</v>
      </c>
      <c r="N142" s="327">
        <f t="shared" si="41"/>
        <v>4.0388627291241139E-2</v>
      </c>
      <c r="O142" s="328">
        <f t="shared" si="42"/>
        <v>3.912639925307989E-2</v>
      </c>
      <c r="P142" s="327">
        <f t="shared" si="43"/>
        <v>0.1287289431614845</v>
      </c>
      <c r="Q142" s="327">
        <f t="shared" si="44"/>
        <v>0.15008786575545741</v>
      </c>
      <c r="R142" s="327">
        <f t="shared" si="45"/>
        <v>0.16914532199504395</v>
      </c>
      <c r="S142" s="327">
        <f t="shared" si="46"/>
        <v>0.11768534104179261</v>
      </c>
      <c r="T142" s="327">
        <f t="shared" si="47"/>
        <v>3.6282659170709983E-4</v>
      </c>
      <c r="U142" s="328">
        <f t="shared" si="48"/>
        <v>3.927546768546164E-2</v>
      </c>
      <c r="V142" s="327">
        <f t="shared" si="49"/>
        <v>6.7678774543073583E-2</v>
      </c>
      <c r="W142" s="327">
        <f t="shared" si="50"/>
        <v>8.8808809176086134E-2</v>
      </c>
      <c r="X142" s="327">
        <f t="shared" si="51"/>
        <v>0.12772321204283221</v>
      </c>
      <c r="Y142" s="327">
        <f t="shared" si="52"/>
        <v>0.1138860863960854</v>
      </c>
      <c r="Z142" s="327">
        <f t="shared" si="53"/>
        <v>4.957563759429913E-3</v>
      </c>
      <c r="AA142" s="328">
        <f t="shared" si="54"/>
        <v>7.5271315705584319E-2</v>
      </c>
    </row>
    <row r="143" spans="1:27" ht="12" customHeight="1" x14ac:dyDescent="0.15">
      <c r="A143" s="269">
        <f t="shared" si="28"/>
        <v>128</v>
      </c>
      <c r="B143" s="322">
        <f t="shared" si="29"/>
        <v>118.15384615384616</v>
      </c>
      <c r="C143" s="323">
        <f t="shared" si="30"/>
        <v>512</v>
      </c>
      <c r="D143" s="327">
        <f t="shared" si="31"/>
        <v>1.383108032835338E-2</v>
      </c>
      <c r="E143" s="327">
        <f t="shared" si="32"/>
        <v>1.9058254801963975E-2</v>
      </c>
      <c r="F143" s="327">
        <f t="shared" si="33"/>
        <v>7.3921342650798749E-2</v>
      </c>
      <c r="G143" s="327">
        <f t="shared" si="34"/>
        <v>6.5689157414977037E-2</v>
      </c>
      <c r="H143" s="327">
        <f t="shared" si="35"/>
        <v>4.0609693262331228E-2</v>
      </c>
      <c r="I143" s="327">
        <f t="shared" si="36"/>
        <v>3.3343328086390178E-2</v>
      </c>
      <c r="J143" s="327">
        <f t="shared" si="37"/>
        <v>1.0908215361172842E-4</v>
      </c>
      <c r="K143" s="327">
        <f t="shared" si="38"/>
        <v>5.5981215391962754E-5</v>
      </c>
      <c r="L143" s="327">
        <f t="shared" si="39"/>
        <v>7.6409894033917514E-3</v>
      </c>
      <c r="M143" s="327">
        <f t="shared" si="40"/>
        <v>1.6057276960540115E-2</v>
      </c>
      <c r="N143" s="327">
        <f t="shared" si="41"/>
        <v>4.0289375665616328E-2</v>
      </c>
      <c r="O143" s="328">
        <f t="shared" si="42"/>
        <v>3.8819078375122738E-2</v>
      </c>
      <c r="P143" s="327">
        <f t="shared" si="43"/>
        <v>0.12666766949024152</v>
      </c>
      <c r="Q143" s="327">
        <f t="shared" si="44"/>
        <v>0.14853238953535011</v>
      </c>
      <c r="R143" s="327">
        <f t="shared" si="45"/>
        <v>0.16743642512331436</v>
      </c>
      <c r="S143" s="327">
        <f t="shared" si="46"/>
        <v>0.11629939815947614</v>
      </c>
      <c r="T143" s="327">
        <f t="shared" si="47"/>
        <v>2.9897105901271234E-4</v>
      </c>
      <c r="U143" s="328">
        <f t="shared" si="48"/>
        <v>3.8035900857108729E-2</v>
      </c>
      <c r="V143" s="327">
        <f t="shared" si="49"/>
        <v>6.6258782395738861E-2</v>
      </c>
      <c r="W143" s="327">
        <f t="shared" si="50"/>
        <v>8.7435087350863486E-2</v>
      </c>
      <c r="X143" s="327">
        <f t="shared" si="51"/>
        <v>0.12638344264570489</v>
      </c>
      <c r="Y143" s="327">
        <f t="shared" si="52"/>
        <v>0.11273068799241089</v>
      </c>
      <c r="Z143" s="327">
        <f t="shared" si="53"/>
        <v>4.5621086260601452E-3</v>
      </c>
      <c r="AA143" s="328">
        <f t="shared" si="54"/>
        <v>7.4005209664361526E-2</v>
      </c>
    </row>
    <row r="144" spans="1:27" ht="12" customHeight="1" x14ac:dyDescent="0.15">
      <c r="A144" s="269">
        <f t="shared" ref="A144:A207" si="55">+A143+1</f>
        <v>129</v>
      </c>
      <c r="B144" s="322">
        <f t="shared" ref="B144:B207" si="56">12*C144/52</f>
        <v>119.07692307692308</v>
      </c>
      <c r="C144" s="323">
        <f t="shared" ref="C144:C207" si="57">+C143+4</f>
        <v>516</v>
      </c>
      <c r="D144" s="327">
        <f t="shared" ref="D144:D207" si="58">EXP(-(EXP(-$D$7)*$B144))</f>
        <v>1.3376162678582172E-2</v>
      </c>
      <c r="E144" s="327">
        <f t="shared" ref="E144:E207" si="59">EXP(-EXP(-($E$7/EXP($E$8)))*$B144^(1/EXP($E$8)))</f>
        <v>1.8512924948452473E-2</v>
      </c>
      <c r="F144" s="327">
        <f t="shared" ref="F144:F207" si="60">1 - _xlfn.NORM.S.DIST(((LN($B144) - $F$7)/EXP($F$8)), TRUE())</f>
        <v>7.3084997000715024E-2</v>
      </c>
      <c r="G144" s="327">
        <f t="shared" ref="G144:G207" si="61">1/(1+EXP(-($G$7/EXP($G$8)))*$B144^(1/EXP($G$8)))</f>
        <v>6.5022153389951667E-2</v>
      </c>
      <c r="H144" s="327">
        <f t="shared" ref="H144:H207" si="62">IF($H$8=0,EXP(-EXP($H$7)*$B144),EXP(-(EXP($H$7)/$H$8)*(EXP($H$8*$B144)-1)))</f>
        <v>3.9956340405932052E-2</v>
      </c>
      <c r="I144" s="327">
        <f t="shared" ref="I144:I207" si="63">IF($I$9&gt;0,1-_xlfn.GAMMA.DIST(EXP($I$9*(LN($B144)-$I$7)/$I$8)/$I$9^2,1/$I$9^2,1,TRUE()),_xlfn.GAMMA.DIST(EXP($I$9*(LN($B144)-$I$7)/$I$8)/$I$9^2,1/$I$9^2,1,TRUE()))</f>
        <v>3.2695374289551715E-2</v>
      </c>
      <c r="J144" s="327">
        <f t="shared" ref="J144:J207" si="64">EXP(-(EXP(-$J$7)*$B144))</f>
        <v>1.0157776536677825E-4</v>
      </c>
      <c r="K144" s="327">
        <f t="shared" ref="K144:K207" si="65">EXP(-EXP(-($K$7/EXP($K$8)))*$B144^(1/EXP($K$8)))</f>
        <v>5.174247686299183E-5</v>
      </c>
      <c r="L144" s="327">
        <f t="shared" ref="L144:L207" si="66">1 - _xlfn.NORM.S.DIST(((LN($B144) - $L$7)/EXP($L$8)), TRUE())</f>
        <v>7.4963930853471084E-3</v>
      </c>
      <c r="M144" s="327">
        <f t="shared" ref="M144:M207" si="67">1/(1+EXP(-($M$7/EXP($M$8)))*$B144^(1/EXP($M$8)))</f>
        <v>1.5874577986799011E-2</v>
      </c>
      <c r="N144" s="327">
        <f t="shared" ref="N144:N207" si="68">IF($N$8=0,EXP(-EXP($N$7)*$B144),EXP(-(EXP($N$7)/$N$8)*(EXP($N$8*$B144)-1)))</f>
        <v>4.0193155556528352E-2</v>
      </c>
      <c r="O144" s="328">
        <f t="shared" ref="O144:O207" si="69">IF($O$9&gt;0,1-_xlfn.GAMMA.DIST(EXP($O$9*(LN($B144)-$O$7)/$O$8)/$O$9^2,1/$O$9^2,1,TRUE()),_xlfn.GAMMA.DIST(EXP($O$9*(LN($B144)-$O$7)/$O$8)/$O$9^2,1/$O$9^2,1,TRUE()))</f>
        <v>3.8516465182691084E-2</v>
      </c>
      <c r="P144" s="327">
        <f t="shared" ref="P144:P207" si="70">EXP(-(EXP(-$P$7)*$B144))</f>
        <v>0.12463940198717961</v>
      </c>
      <c r="Q144" s="327">
        <f t="shared" ref="Q144:Q207" si="71">EXP(-EXP(-($Q$7/EXP($Q$8)))*$B144^(1/EXP($Q$8)))</f>
        <v>0.14699663740474969</v>
      </c>
      <c r="R144" s="327">
        <f t="shared" ref="R144:R207" si="72">1 - _xlfn.NORM.S.DIST(((LN($B144) - $R$7)/EXP($R$8)), TRUE())</f>
        <v>0.16575186191038238</v>
      </c>
      <c r="S144" s="327">
        <f t="shared" ref="S144:S207" si="73">1/(1+EXP(-($S$7/EXP($S$8)))*$B144^(1/EXP($S$8)))</f>
        <v>0.11493827167657857</v>
      </c>
      <c r="T144" s="327">
        <f t="shared" ref="T144:T207" si="74">IF($T$8=0,EXP(-EXP($T$7)*$B144),EXP(-(EXP($T$7)/$T$8)*(EXP($T$8*$B144)-1)))</f>
        <v>2.452550257373105E-4</v>
      </c>
      <c r="U144" s="328">
        <f t="shared" ref="U144:U207" si="75">IF($U$9&gt;0,1-_xlfn.GAMMA.DIST(EXP($U$9*(LN($B144)-$U$7)/$U$8)/$U$9^2,1/$U$9^2,1,TRUE()),_xlfn.GAMMA.DIST(EXP($U$9*(LN($B144)-$U$7)/$U$8)/$U$9^2,1/$U$9^2,1,TRUE()))</f>
        <v>3.683374775045245E-2</v>
      </c>
      <c r="V144" s="327">
        <f t="shared" ref="V144:V207" si="76">EXP(-(EXP(-$V$7)*$B144))</f>
        <v>6.4868583602555527E-2</v>
      </c>
      <c r="W144" s="327">
        <f t="shared" ref="W144:W207" si="77">EXP(-EXP(-($W$7/EXP($W$8)))*$B144^(1/EXP($W$8)))</f>
        <v>8.6084518683344088E-2</v>
      </c>
      <c r="X144" s="327">
        <f t="shared" ref="X144:X207" si="78">1 - _xlfn.NORM.S.DIST(((LN($B144) - $X$7)/EXP($X$8)), TRUE())</f>
        <v>0.12506380876596912</v>
      </c>
      <c r="Y144" s="327">
        <f t="shared" ref="Y144:Y207" si="79">1/(1+EXP(-($Y$7/EXP($Y$8)))*$B144^(1/EXP($Y$8)))</f>
        <v>0.1115944076493733</v>
      </c>
      <c r="Z144" s="327">
        <f t="shared" ref="Z144:Z207" si="80">IF($Z$8=0,EXP(-EXP($Z$7)*$B144),EXP(-(EXP($Z$7)/$Z$8)*(EXP($Z$8*$B144)-1)))</f>
        <v>4.1938789768721004E-3</v>
      </c>
      <c r="AA144" s="328">
        <f t="shared" ref="AA144:AA207" si="81">IF($AA$9&gt;0,1-_xlfn.GAMMA.DIST(EXP($AA$9*(LN($B144)-$AA$7)/$AA$8)/$AA$9^2,1/$AA$9^2,1,TRUE()),_xlfn.GAMMA.DIST(EXP($AA$9*(LN($B144)-$AA$7)/$AA$8)/$AA$9^2,1/$AA$9^2,1,TRUE()))</f>
        <v>7.2763609788332739E-2</v>
      </c>
    </row>
    <row r="145" spans="1:27" ht="12" customHeight="1" x14ac:dyDescent="0.15">
      <c r="A145" s="269">
        <f t="shared" si="55"/>
        <v>130</v>
      </c>
      <c r="B145" s="322">
        <f t="shared" si="56"/>
        <v>120</v>
      </c>
      <c r="C145" s="323">
        <f t="shared" si="57"/>
        <v>520</v>
      </c>
      <c r="D145" s="327">
        <f t="shared" si="58"/>
        <v>1.2936207711635476E-2</v>
      </c>
      <c r="E145" s="327">
        <f t="shared" si="59"/>
        <v>1.798344772909008E-2</v>
      </c>
      <c r="F145" s="327">
        <f t="shared" si="60"/>
        <v>7.2262286361110317E-2</v>
      </c>
      <c r="G145" s="327">
        <f t="shared" si="61"/>
        <v>6.4366533469228965E-2</v>
      </c>
      <c r="H145" s="327">
        <f t="shared" si="62"/>
        <v>3.9317508479944134E-2</v>
      </c>
      <c r="I145" s="327">
        <f t="shared" si="63"/>
        <v>3.2061977422276122E-2</v>
      </c>
      <c r="J145" s="327">
        <f t="shared" si="64"/>
        <v>9.4589647117114206E-5</v>
      </c>
      <c r="K145" s="327">
        <f t="shared" si="65"/>
        <v>4.7823828637716392E-5</v>
      </c>
      <c r="L145" s="327">
        <f t="shared" si="66"/>
        <v>7.3553014308889164E-3</v>
      </c>
      <c r="M145" s="327">
        <f t="shared" si="67"/>
        <v>1.5695311837944578E-2</v>
      </c>
      <c r="N145" s="327">
        <f t="shared" si="68"/>
        <v>4.0099867991219174E-2</v>
      </c>
      <c r="O145" s="328">
        <f t="shared" si="69"/>
        <v>3.8218452901316251E-2</v>
      </c>
      <c r="P145" s="327">
        <f t="shared" si="70"/>
        <v>0.12264361214065415</v>
      </c>
      <c r="Q145" s="327">
        <f t="shared" si="71"/>
        <v>0.14548029457683653</v>
      </c>
      <c r="R145" s="327">
        <f t="shared" si="72"/>
        <v>0.16409117647465798</v>
      </c>
      <c r="S145" s="327">
        <f t="shared" si="73"/>
        <v>0.11360137825154455</v>
      </c>
      <c r="T145" s="327">
        <f t="shared" si="74"/>
        <v>2.0027215933680748E-4</v>
      </c>
      <c r="U145" s="328">
        <f t="shared" si="75"/>
        <v>3.5667951134808584E-2</v>
      </c>
      <c r="V145" s="327">
        <f t="shared" si="76"/>
        <v>6.3507553058692351E-2</v>
      </c>
      <c r="W145" s="327">
        <f t="shared" si="77"/>
        <v>8.4756669092704559E-2</v>
      </c>
      <c r="X145" s="327">
        <f t="shared" si="78"/>
        <v>0.12376390797870762</v>
      </c>
      <c r="Y145" s="327">
        <f t="shared" si="79"/>
        <v>0.11047681334522476</v>
      </c>
      <c r="Z145" s="327">
        <f t="shared" si="80"/>
        <v>3.8513553299742908E-3</v>
      </c>
      <c r="AA145" s="328">
        <f t="shared" si="81"/>
        <v>7.1545971951033183E-2</v>
      </c>
    </row>
    <row r="146" spans="1:27" ht="12" customHeight="1" x14ac:dyDescent="0.15">
      <c r="A146" s="269">
        <f t="shared" si="55"/>
        <v>131</v>
      </c>
      <c r="B146" s="322">
        <f t="shared" si="56"/>
        <v>120.92307692307692</v>
      </c>
      <c r="C146" s="323">
        <f t="shared" si="57"/>
        <v>524</v>
      </c>
      <c r="D146" s="327">
        <f t="shared" si="58"/>
        <v>1.2510723290359614E-2</v>
      </c>
      <c r="E146" s="327">
        <f t="shared" si="59"/>
        <v>1.7469353347520204E-2</v>
      </c>
      <c r="F146" s="327">
        <f t="shared" si="60"/>
        <v>7.1452914680652513E-2</v>
      </c>
      <c r="G146" s="327">
        <f t="shared" si="61"/>
        <v>6.3722027131338552E-2</v>
      </c>
      <c r="H146" s="327">
        <f t="shared" si="62"/>
        <v>3.8692811248763941E-2</v>
      </c>
      <c r="I146" s="327">
        <f t="shared" si="63"/>
        <v>3.1442760776344336E-2</v>
      </c>
      <c r="J146" s="327">
        <f t="shared" si="64"/>
        <v>8.8082281682743687E-5</v>
      </c>
      <c r="K146" s="327">
        <f t="shared" si="65"/>
        <v>4.4201169797288662E-5</v>
      </c>
      <c r="L146" s="327">
        <f t="shared" si="66"/>
        <v>7.2176099876706257E-3</v>
      </c>
      <c r="M146" s="327">
        <f t="shared" si="67"/>
        <v>1.5519389069761632E-2</v>
      </c>
      <c r="N146" s="327">
        <f t="shared" si="68"/>
        <v>4.000941758268603E-2</v>
      </c>
      <c r="O146" s="328">
        <f t="shared" si="69"/>
        <v>3.7924937953266527E-2</v>
      </c>
      <c r="P146" s="327">
        <f t="shared" si="70"/>
        <v>0.12067977990181929</v>
      </c>
      <c r="Q146" s="327">
        <f t="shared" si="71"/>
        <v>0.14398305267584877</v>
      </c>
      <c r="R146" s="327">
        <f t="shared" si="72"/>
        <v>0.16245392361062128</v>
      </c>
      <c r="S146" s="327">
        <f t="shared" si="73"/>
        <v>0.11228815118565093</v>
      </c>
      <c r="T146" s="327">
        <f t="shared" si="74"/>
        <v>1.627763412880524E-4</v>
      </c>
      <c r="U146" s="328">
        <f t="shared" si="75"/>
        <v>3.453748050753136E-2</v>
      </c>
      <c r="V146" s="327">
        <f t="shared" si="76"/>
        <v>6.2175078774862183E-2</v>
      </c>
      <c r="W146" s="327">
        <f t="shared" si="77"/>
        <v>8.3451113771331367E-2</v>
      </c>
      <c r="X146" s="327">
        <f t="shared" si="78"/>
        <v>0.12248334799869676</v>
      </c>
      <c r="Y146" s="327">
        <f t="shared" si="79"/>
        <v>0.10937748528703259</v>
      </c>
      <c r="Z146" s="327">
        <f t="shared" si="80"/>
        <v>3.5330770039917634E-3</v>
      </c>
      <c r="AA146" s="328">
        <f t="shared" si="81"/>
        <v>7.0351765807086464E-2</v>
      </c>
    </row>
    <row r="147" spans="1:27" ht="12" customHeight="1" x14ac:dyDescent="0.15">
      <c r="A147" s="269">
        <f t="shared" si="55"/>
        <v>132</v>
      </c>
      <c r="B147" s="322">
        <f t="shared" si="56"/>
        <v>121.84615384615384</v>
      </c>
      <c r="C147" s="323">
        <f t="shared" si="57"/>
        <v>528</v>
      </c>
      <c r="D147" s="327">
        <f t="shared" si="58"/>
        <v>1.2099233464469356E-2</v>
      </c>
      <c r="E147" s="327">
        <f t="shared" si="59"/>
        <v>1.6970186268774588E-2</v>
      </c>
      <c r="F147" s="327">
        <f t="shared" si="60"/>
        <v>7.0656594013900786E-2</v>
      </c>
      <c r="G147" s="327">
        <f t="shared" si="61"/>
        <v>6.3088372040597737E-2</v>
      </c>
      <c r="H147" s="327">
        <f t="shared" si="62"/>
        <v>3.8081874255346496E-2</v>
      </c>
      <c r="I147" s="327">
        <f t="shared" si="63"/>
        <v>3.0837358812089377E-2</v>
      </c>
      <c r="J147" s="327">
        <f t="shared" si="64"/>
        <v>8.2022595314603435E-5</v>
      </c>
      <c r="K147" s="327">
        <f t="shared" si="65"/>
        <v>4.0852208177659892E-5</v>
      </c>
      <c r="L147" s="327">
        <f t="shared" si="66"/>
        <v>7.0832180152035074E-3</v>
      </c>
      <c r="M147" s="327">
        <f t="shared" si="67"/>
        <v>1.5346723206212389E-2</v>
      </c>
      <c r="N147" s="327">
        <f t="shared" si="68"/>
        <v>3.9921712380586415E-2</v>
      </c>
      <c r="O147" s="328">
        <f t="shared" si="69"/>
        <v>3.7635819838969374E-2</v>
      </c>
      <c r="P147" s="327">
        <f t="shared" si="70"/>
        <v>0.11874739354911718</v>
      </c>
      <c r="Q147" s="327">
        <f t="shared" si="71"/>
        <v>0.14250460957138109</v>
      </c>
      <c r="R147" s="327">
        <f t="shared" si="72"/>
        <v>0.16083966848830888</v>
      </c>
      <c r="S147" s="327">
        <f t="shared" si="73"/>
        <v>0.11099803987615273</v>
      </c>
      <c r="T147" s="327">
        <f t="shared" si="74"/>
        <v>1.3166886804157825E-4</v>
      </c>
      <c r="U147" s="328">
        <f t="shared" si="75"/>
        <v>3.3441331564274757E-2</v>
      </c>
      <c r="V147" s="327">
        <f t="shared" si="76"/>
        <v>6.0870561602140189E-2</v>
      </c>
      <c r="W147" s="327">
        <f t="shared" si="77"/>
        <v>8.2167436953643785E-2</v>
      </c>
      <c r="X147" s="327">
        <f t="shared" si="78"/>
        <v>0.12122174637068883</v>
      </c>
      <c r="Y147" s="327">
        <f t="shared" si="79"/>
        <v>0.10829601549912397</v>
      </c>
      <c r="Z147" s="327">
        <f t="shared" si="80"/>
        <v>3.2376415344409983E-3</v>
      </c>
      <c r="AA147" s="328">
        <f t="shared" si="81"/>
        <v>6.9180474397311453E-2</v>
      </c>
    </row>
    <row r="148" spans="1:27" ht="12" customHeight="1" x14ac:dyDescent="0.15">
      <c r="A148" s="269">
        <f t="shared" si="55"/>
        <v>133</v>
      </c>
      <c r="B148" s="322">
        <f t="shared" si="56"/>
        <v>122.76923076923077</v>
      </c>
      <c r="C148" s="323">
        <f t="shared" si="57"/>
        <v>532</v>
      </c>
      <c r="D148" s="327">
        <f t="shared" si="58"/>
        <v>1.1701277938146057E-2</v>
      </c>
      <c r="E148" s="327">
        <f t="shared" si="59"/>
        <v>1.6485504772811219E-2</v>
      </c>
      <c r="F148" s="327">
        <f t="shared" si="60"/>
        <v>6.9873044252187322E-2</v>
      </c>
      <c r="G148" s="327">
        <f t="shared" si="61"/>
        <v>6.2465313747791212E-2</v>
      </c>
      <c r="H148" s="327">
        <f t="shared" si="62"/>
        <v>3.7484334420078036E-2</v>
      </c>
      <c r="I148" s="327">
        <f t="shared" si="63"/>
        <v>3.0245416781604417E-2</v>
      </c>
      <c r="J148" s="327">
        <f t="shared" si="64"/>
        <v>7.6379789596903982E-5</v>
      </c>
      <c r="K148" s="327">
        <f t="shared" si="65"/>
        <v>3.7756325118907594E-5</v>
      </c>
      <c r="L148" s="327">
        <f t="shared" si="66"/>
        <v>6.9520283312796138E-3</v>
      </c>
      <c r="M148" s="327">
        <f t="shared" si="67"/>
        <v>1.5177230620165384E-2</v>
      </c>
      <c r="N148" s="327">
        <f t="shared" si="68"/>
        <v>3.9836663729339764E-2</v>
      </c>
      <c r="O148" s="328">
        <f t="shared" si="69"/>
        <v>3.7351001023668791E-2</v>
      </c>
      <c r="P148" s="327">
        <f t="shared" si="70"/>
        <v>0.11684594955493734</v>
      </c>
      <c r="Q148" s="327">
        <f t="shared" si="71"/>
        <v>0.14104466921800887</v>
      </c>
      <c r="R148" s="327">
        <f t="shared" si="72"/>
        <v>0.15924798636265636</v>
      </c>
      <c r="S148" s="327">
        <f t="shared" si="73"/>
        <v>0.10973050928925003</v>
      </c>
      <c r="T148" s="327">
        <f t="shared" si="74"/>
        <v>1.0598588593804213E-4</v>
      </c>
      <c r="U148" s="328">
        <f t="shared" si="75"/>
        <v>3.237852567220012E-2</v>
      </c>
      <c r="V148" s="327">
        <f t="shared" si="76"/>
        <v>5.9593414962555546E-2</v>
      </c>
      <c r="W148" s="327">
        <f t="shared" si="77"/>
        <v>8.0905231691760754E-2</v>
      </c>
      <c r="X148" s="327">
        <f t="shared" si="78"/>
        <v>0.11997873017082827</v>
      </c>
      <c r="Y148" s="327">
        <f t="shared" si="79"/>
        <v>0.10723200742741691</v>
      </c>
      <c r="Z148" s="327">
        <f t="shared" si="80"/>
        <v>2.9637039878164738E-3</v>
      </c>
      <c r="AA148" s="328">
        <f t="shared" si="81"/>
        <v>6.8031593766496812E-2</v>
      </c>
    </row>
    <row r="149" spans="1:27" ht="12" customHeight="1" x14ac:dyDescent="0.15">
      <c r="A149" s="269">
        <f t="shared" si="55"/>
        <v>134</v>
      </c>
      <c r="B149" s="322">
        <f t="shared" si="56"/>
        <v>123.69230769230769</v>
      </c>
      <c r="C149" s="323">
        <f t="shared" si="57"/>
        <v>536</v>
      </c>
      <c r="D149" s="327">
        <f t="shared" si="58"/>
        <v>1.1316411555147119E-2</v>
      </c>
      <c r="E149" s="327">
        <f t="shared" si="59"/>
        <v>1.6014880522603948E-2</v>
      </c>
      <c r="F149" s="327">
        <f t="shared" si="60"/>
        <v>6.9101992865023609E-2</v>
      </c>
      <c r="G149" s="327">
        <f t="shared" si="61"/>
        <v>6.1852605403628247E-2</v>
      </c>
      <c r="H149" s="327">
        <f t="shared" si="62"/>
        <v>3.6899839654641317E-2</v>
      </c>
      <c r="I149" s="327">
        <f t="shared" si="63"/>
        <v>2.9666590366306478E-2</v>
      </c>
      <c r="J149" s="327">
        <f t="shared" si="64"/>
        <v>7.112518491387777E-5</v>
      </c>
      <c r="K149" s="327">
        <f t="shared" si="65"/>
        <v>3.4894450286191582E-5</v>
      </c>
      <c r="L149" s="327">
        <f t="shared" si="66"/>
        <v>6.8239471656552642E-3</v>
      </c>
      <c r="M149" s="327">
        <f t="shared" si="67"/>
        <v>1.5010830419737027E-2</v>
      </c>
      <c r="N149" s="327">
        <f t="shared" si="68"/>
        <v>3.9754186133028092E-2</v>
      </c>
      <c r="O149" s="328">
        <f t="shared" si="69"/>
        <v>3.7070386829049236E-2</v>
      </c>
      <c r="P149" s="327">
        <f t="shared" si="70"/>
        <v>0.11497495245441085</v>
      </c>
      <c r="Q149" s="327">
        <f t="shared" si="71"/>
        <v>0.13960294150002708</v>
      </c>
      <c r="R149" s="327">
        <f t="shared" si="72"/>
        <v>0.15767846229232552</v>
      </c>
      <c r="S149" s="327">
        <f t="shared" si="73"/>
        <v>0.10848503945212096</v>
      </c>
      <c r="T149" s="327">
        <f t="shared" si="74"/>
        <v>8.4886175632045325E-5</v>
      </c>
      <c r="U149" s="328">
        <f t="shared" si="75"/>
        <v>3.1348109346613473E-2</v>
      </c>
      <c r="V149" s="327">
        <f t="shared" si="76"/>
        <v>5.8343064585336016E-2</v>
      </c>
      <c r="W149" s="327">
        <f t="shared" si="77"/>
        <v>7.9664099637769756E-2</v>
      </c>
      <c r="X149" s="327">
        <f t="shared" si="78"/>
        <v>0.11875393571874049</v>
      </c>
      <c r="Y149" s="327">
        <f t="shared" si="79"/>
        <v>0.10618507555895229</v>
      </c>
      <c r="Z149" s="327">
        <f t="shared" si="80"/>
        <v>2.7099761788605169E-3</v>
      </c>
      <c r="AA149" s="328">
        <f t="shared" si="81"/>
        <v>6.6904632593392632E-2</v>
      </c>
    </row>
    <row r="150" spans="1:27" ht="12" customHeight="1" x14ac:dyDescent="0.15">
      <c r="A150" s="269">
        <f t="shared" si="55"/>
        <v>135</v>
      </c>
      <c r="B150" s="322">
        <f t="shared" si="56"/>
        <v>124.61538461538461</v>
      </c>
      <c r="C150" s="323">
        <f t="shared" si="57"/>
        <v>540</v>
      </c>
      <c r="D150" s="327">
        <f t="shared" si="58"/>
        <v>1.0944203800850594E-2</v>
      </c>
      <c r="E150" s="327">
        <f t="shared" si="59"/>
        <v>1.5557898146283359E-2</v>
      </c>
      <c r="F150" s="327">
        <f t="shared" si="60"/>
        <v>6.8343174651555261E-2</v>
      </c>
      <c r="G150" s="327">
        <f t="shared" si="61"/>
        <v>6.1250007484355495E-2</v>
      </c>
      <c r="H150" s="327">
        <f t="shared" si="62"/>
        <v>3.6328048490266121E-2</v>
      </c>
      <c r="I150" s="327">
        <f t="shared" si="63"/>
        <v>2.9100545328240024E-2</v>
      </c>
      <c r="J150" s="327">
        <f t="shared" si="64"/>
        <v>6.6232074685347925E-5</v>
      </c>
      <c r="K150" s="327">
        <f t="shared" si="65"/>
        <v>3.2248945815906254E-5</v>
      </c>
      <c r="L150" s="327">
        <f t="shared" si="66"/>
        <v>6.6988840206086975E-3</v>
      </c>
      <c r="M150" s="327">
        <f t="shared" si="67"/>
        <v>1.4847444339943439E-2</v>
      </c>
      <c r="N150" s="327">
        <f t="shared" si="68"/>
        <v>3.9674197126722682E-2</v>
      </c>
      <c r="O150" s="328">
        <f t="shared" si="69"/>
        <v>3.6793885329574984E-2</v>
      </c>
      <c r="P150" s="327">
        <f t="shared" si="70"/>
        <v>0.11313391471630566</v>
      </c>
      <c r="Q150" s="327">
        <f t="shared" si="71"/>
        <v>0.13817914208110826</v>
      </c>
      <c r="R150" s="327">
        <f t="shared" si="72"/>
        <v>0.15613069086767006</v>
      </c>
      <c r="S150" s="327">
        <f t="shared" si="73"/>
        <v>0.10726112496329067</v>
      </c>
      <c r="T150" s="327">
        <f t="shared" si="74"/>
        <v>6.7639385846715304E-5</v>
      </c>
      <c r="U150" s="328">
        <f t="shared" si="75"/>
        <v>3.0349153731474954E-2</v>
      </c>
      <c r="V150" s="327">
        <f t="shared" si="76"/>
        <v>5.7118948248686179E-2</v>
      </c>
      <c r="W150" s="327">
        <f t="shared" si="77"/>
        <v>7.8443650832366166E-2</v>
      </c>
      <c r="X150" s="327">
        <f t="shared" si="78"/>
        <v>0.11754700829985543</v>
      </c>
      <c r="Y150" s="327">
        <f t="shared" si="79"/>
        <v>0.10515484505597601</v>
      </c>
      <c r="Z150" s="327">
        <f t="shared" si="80"/>
        <v>2.4752257966888813E-3</v>
      </c>
      <c r="AA150" s="328">
        <f t="shared" si="81"/>
        <v>6.5799111832488766E-2</v>
      </c>
    </row>
    <row r="151" spans="1:27" ht="12" customHeight="1" x14ac:dyDescent="0.15">
      <c r="A151" s="269">
        <f t="shared" si="55"/>
        <v>136</v>
      </c>
      <c r="B151" s="322">
        <f t="shared" si="56"/>
        <v>125.53846153846153</v>
      </c>
      <c r="C151" s="323">
        <f t="shared" si="57"/>
        <v>544</v>
      </c>
      <c r="D151" s="327">
        <f t="shared" si="58"/>
        <v>1.0584238320678098E-2</v>
      </c>
      <c r="E151" s="327">
        <f t="shared" si="59"/>
        <v>1.5114154832848522E-2</v>
      </c>
      <c r="F151" s="327">
        <f t="shared" si="60"/>
        <v>6.7596331501618367E-2</v>
      </c>
      <c r="G151" s="327">
        <f t="shared" si="61"/>
        <v>6.065728752893805E-2</v>
      </c>
      <c r="H151" s="327">
        <f t="shared" si="62"/>
        <v>3.5768629719783958E-2</v>
      </c>
      <c r="I151" s="327">
        <f t="shared" si="63"/>
        <v>2.8546957174542031E-2</v>
      </c>
      <c r="J151" s="327">
        <f t="shared" si="64"/>
        <v>6.1675589630271537E-5</v>
      </c>
      <c r="K151" s="327">
        <f t="shared" si="65"/>
        <v>2.980349909560956E-5</v>
      </c>
      <c r="L151" s="327">
        <f t="shared" si="66"/>
        <v>6.5767515380085184E-3</v>
      </c>
      <c r="M151" s="327">
        <f t="shared" si="67"/>
        <v>1.4686996639379205E-2</v>
      </c>
      <c r="N151" s="327">
        <f t="shared" si="68"/>
        <v>3.959661715388664E-2</v>
      </c>
      <c r="O151" s="328">
        <f t="shared" si="69"/>
        <v>3.6521407253306923E-2</v>
      </c>
      <c r="P151" s="327">
        <f t="shared" si="70"/>
        <v>0.11132235661598916</v>
      </c>
      <c r="Q151" s="327">
        <f t="shared" si="71"/>
        <v>0.13677299225869258</v>
      </c>
      <c r="R151" s="327">
        <f t="shared" si="72"/>
        <v>0.15460427594749948</v>
      </c>
      <c r="S151" s="327">
        <f t="shared" si="73"/>
        <v>0.10605827452063787</v>
      </c>
      <c r="T151" s="327">
        <f t="shared" si="74"/>
        <v>5.3614800125403723E-5</v>
      </c>
      <c r="U151" s="328">
        <f t="shared" si="75"/>
        <v>2.9380754084190608E-2</v>
      </c>
      <c r="V151" s="327">
        <f t="shared" si="76"/>
        <v>5.5920515526983579E-2</v>
      </c>
      <c r="W151" s="327">
        <f t="shared" si="77"/>
        <v>7.7243503499640084E-2</v>
      </c>
      <c r="X151" s="327">
        <f t="shared" si="78"/>
        <v>0.11635760189754796</v>
      </c>
      <c r="Y151" s="327">
        <f t="shared" si="79"/>
        <v>0.10414095140394866</v>
      </c>
      <c r="Z151" s="327">
        <f t="shared" si="80"/>
        <v>2.2582754456168604E-3</v>
      </c>
      <c r="AA151" s="328">
        <f t="shared" si="81"/>
        <v>6.4714564367165384E-2</v>
      </c>
    </row>
    <row r="152" spans="1:27" ht="12" customHeight="1" x14ac:dyDescent="0.15">
      <c r="A152" s="269">
        <f t="shared" si="55"/>
        <v>137</v>
      </c>
      <c r="B152" s="322">
        <f t="shared" si="56"/>
        <v>126.46153846153847</v>
      </c>
      <c r="C152" s="323">
        <f t="shared" si="57"/>
        <v>548</v>
      </c>
      <c r="D152" s="327">
        <f t="shared" si="58"/>
        <v>1.0236112454357252E-2</v>
      </c>
      <c r="E152" s="327">
        <f t="shared" si="59"/>
        <v>1.4683259940983146E-2</v>
      </c>
      <c r="F152" s="327">
        <f t="shared" si="60"/>
        <v>6.686121216596641E-2</v>
      </c>
      <c r="G152" s="327">
        <f t="shared" si="61"/>
        <v>6.0074219887253436E-2</v>
      </c>
      <c r="H152" s="327">
        <f t="shared" si="62"/>
        <v>3.5221262052931489E-2</v>
      </c>
      <c r="I152" s="327">
        <f t="shared" si="63"/>
        <v>2.8005510834506531E-2</v>
      </c>
      <c r="J152" s="327">
        <f t="shared" si="64"/>
        <v>5.7432571368372945E-5</v>
      </c>
      <c r="K152" s="327">
        <f t="shared" si="65"/>
        <v>2.7543023537292152E-5</v>
      </c>
      <c r="L152" s="327">
        <f t="shared" si="66"/>
        <v>6.4574653725503195E-3</v>
      </c>
      <c r="M152" s="327">
        <f t="shared" si="67"/>
        <v>1.452941400165601E-2</v>
      </c>
      <c r="N152" s="327">
        <f t="shared" si="68"/>
        <v>3.9521369449524814E-2</v>
      </c>
      <c r="O152" s="328">
        <f t="shared" si="69"/>
        <v>3.6252865886973337E-2</v>
      </c>
      <c r="P152" s="327">
        <f t="shared" si="70"/>
        <v>0.10953980611042488</v>
      </c>
      <c r="Q152" s="327">
        <f t="shared" si="71"/>
        <v>0.13538421882292609</v>
      </c>
      <c r="R152" s="327">
        <f t="shared" si="72"/>
        <v>0.15309883040431882</v>
      </c>
      <c r="S152" s="327">
        <f t="shared" si="73"/>
        <v>0.10487601046635922</v>
      </c>
      <c r="T152" s="327">
        <f t="shared" si="74"/>
        <v>4.2270704021829421E-5</v>
      </c>
      <c r="U152" s="328">
        <f t="shared" si="75"/>
        <v>2.8442029265059343E-2</v>
      </c>
      <c r="V152" s="327">
        <f t="shared" si="76"/>
        <v>5.4747227543279209E-2</v>
      </c>
      <c r="W152" s="327">
        <f t="shared" si="77"/>
        <v>7.606328384779952E-2</v>
      </c>
      <c r="X152" s="327">
        <f t="shared" si="78"/>
        <v>0.11518537893469438</v>
      </c>
      <c r="Y152" s="327">
        <f t="shared" si="79"/>
        <v>0.10314304007289145</v>
      </c>
      <c r="Z152" s="327">
        <f t="shared" si="80"/>
        <v>2.0580016066721924E-3</v>
      </c>
      <c r="AA152" s="328">
        <f t="shared" si="81"/>
        <v>6.3650534673814541E-2</v>
      </c>
    </row>
    <row r="153" spans="1:27" ht="12" customHeight="1" x14ac:dyDescent="0.15">
      <c r="A153" s="269">
        <f t="shared" si="55"/>
        <v>138</v>
      </c>
      <c r="B153" s="322">
        <f t="shared" si="56"/>
        <v>127.38461538461539</v>
      </c>
      <c r="C153" s="323">
        <f t="shared" si="57"/>
        <v>552</v>
      </c>
      <c r="D153" s="327">
        <f t="shared" si="58"/>
        <v>9.899436785502657E-3</v>
      </c>
      <c r="E153" s="327">
        <f t="shared" si="59"/>
        <v>1.426483462053022E-2</v>
      </c>
      <c r="F153" s="327">
        <f t="shared" si="60"/>
        <v>6.6137572035266379E-2</v>
      </c>
      <c r="G153" s="327">
        <f t="shared" si="61"/>
        <v>5.9500585478771885E-2</v>
      </c>
      <c r="H153" s="327">
        <f t="shared" si="62"/>
        <v>3.4685633784370215E-2</v>
      </c>
      <c r="I153" s="327">
        <f t="shared" si="63"/>
        <v>2.7475900348723492E-2</v>
      </c>
      <c r="J153" s="327">
        <f t="shared" si="64"/>
        <v>5.3481454717447755E-5</v>
      </c>
      <c r="K153" s="327">
        <f t="shared" si="65"/>
        <v>2.5453566750806576E-5</v>
      </c>
      <c r="L153" s="327">
        <f t="shared" si="66"/>
        <v>6.3409440708405151E-3</v>
      </c>
      <c r="M153" s="327">
        <f t="shared" si="67"/>
        <v>1.4374625441350538E-2</v>
      </c>
      <c r="N153" s="327">
        <f t="shared" si="68"/>
        <v>3.9448379928771586E-2</v>
      </c>
      <c r="O153" s="328">
        <f t="shared" si="69"/>
        <v>3.5988176985082845E-2</v>
      </c>
      <c r="P153" s="327">
        <f t="shared" si="70"/>
        <v>0.10778579871517086</v>
      </c>
      <c r="Q153" s="327">
        <f t="shared" si="71"/>
        <v>0.13401255391997946</v>
      </c>
      <c r="R153" s="327">
        <f t="shared" si="72"/>
        <v>0.15161397587773351</v>
      </c>
      <c r="S153" s="327">
        <f t="shared" si="73"/>
        <v>0.10371386834824972</v>
      </c>
      <c r="T153" s="327">
        <f t="shared" si="74"/>
        <v>3.3144404224864301E-5</v>
      </c>
      <c r="U153" s="328">
        <f t="shared" si="75"/>
        <v>2.7532121231715445E-2</v>
      </c>
      <c r="V153" s="327">
        <f t="shared" si="76"/>
        <v>5.3598556726990633E-2</v>
      </c>
      <c r="W153" s="327">
        <f t="shared" si="77"/>
        <v>7.4902625875622422E-2</v>
      </c>
      <c r="X153" s="327">
        <f t="shared" si="78"/>
        <v>0.11403001002426516</v>
      </c>
      <c r="Y153" s="327">
        <f t="shared" si="79"/>
        <v>0.10216076619150233</v>
      </c>
      <c r="Z153" s="327">
        <f t="shared" si="80"/>
        <v>1.8733335258930531E-3</v>
      </c>
      <c r="AA153" s="328">
        <f t="shared" si="81"/>
        <v>6.2606578496551935E-2</v>
      </c>
    </row>
    <row r="154" spans="1:27" ht="12" customHeight="1" x14ac:dyDescent="0.15">
      <c r="A154" s="269">
        <f t="shared" si="55"/>
        <v>139</v>
      </c>
      <c r="B154" s="322">
        <f t="shared" si="56"/>
        <v>128.30769230769232</v>
      </c>
      <c r="C154" s="323">
        <f t="shared" si="57"/>
        <v>556</v>
      </c>
      <c r="D154" s="327">
        <f t="shared" si="58"/>
        <v>9.5738347060116049E-3</v>
      </c>
      <c r="E154" s="327">
        <f t="shared" si="59"/>
        <v>1.3858511446194301E-2</v>
      </c>
      <c r="F154" s="327">
        <f t="shared" si="60"/>
        <v>6.5425172927475295E-2</v>
      </c>
      <c r="G154" s="327">
        <f t="shared" si="61"/>
        <v>5.8936171561226006E-2</v>
      </c>
      <c r="H154" s="327">
        <f t="shared" si="62"/>
        <v>3.416144247391447E-2</v>
      </c>
      <c r="I154" s="327">
        <f t="shared" si="63"/>
        <v>2.6957828569784459E-2</v>
      </c>
      <c r="J154" s="327">
        <f t="shared" si="64"/>
        <v>4.9802158088110692E-5</v>
      </c>
      <c r="K154" s="327">
        <f t="shared" si="65"/>
        <v>2.3522225568052144E-5</v>
      </c>
      <c r="L154" s="327">
        <f t="shared" si="66"/>
        <v>6.227108956021965E-3</v>
      </c>
      <c r="M154" s="327">
        <f t="shared" si="67"/>
        <v>1.4222562214225557E-2</v>
      </c>
      <c r="N154" s="327">
        <f t="shared" si="68"/>
        <v>3.937757708062694E-2</v>
      </c>
      <c r="O154" s="328">
        <f t="shared" si="69"/>
        <v>3.5727258682881215E-2</v>
      </c>
      <c r="P154" s="327">
        <f t="shared" si="70"/>
        <v>0.1060598773833475</v>
      </c>
      <c r="Q154" s="327">
        <f t="shared" si="71"/>
        <v>0.13265773491958097</v>
      </c>
      <c r="R154" s="327">
        <f t="shared" si="72"/>
        <v>0.15014934253572343</v>
      </c>
      <c r="S154" s="327">
        <f t="shared" si="73"/>
        <v>0.10257139649666819</v>
      </c>
      <c r="T154" s="327">
        <f t="shared" si="74"/>
        <v>2.5842935766930995E-5</v>
      </c>
      <c r="U154" s="328">
        <f t="shared" si="75"/>
        <v>2.6650194538877514E-2</v>
      </c>
      <c r="V154" s="327">
        <f t="shared" si="76"/>
        <v>5.2473986576679156E-2</v>
      </c>
      <c r="W154" s="327">
        <f t="shared" si="77"/>
        <v>7.3761171184446125E-2</v>
      </c>
      <c r="X154" s="327">
        <f t="shared" si="78"/>
        <v>0.1128911737285917</v>
      </c>
      <c r="Y154" s="327">
        <f t="shared" si="79"/>
        <v>0.10119379423350477</v>
      </c>
      <c r="Z154" s="327">
        <f t="shared" si="80"/>
        <v>1.7032520355903928E-3</v>
      </c>
      <c r="AA154" s="328">
        <f t="shared" si="81"/>
        <v>6.1582262532147158E-2</v>
      </c>
    </row>
    <row r="155" spans="1:27" ht="12" customHeight="1" x14ac:dyDescent="0.15">
      <c r="A155" s="269">
        <f t="shared" si="55"/>
        <v>140</v>
      </c>
      <c r="B155" s="322">
        <f t="shared" si="56"/>
        <v>129.23076923076923</v>
      </c>
      <c r="C155" s="323">
        <f t="shared" si="57"/>
        <v>560</v>
      </c>
      <c r="D155" s="327">
        <f t="shared" si="58"/>
        <v>9.2589419947872731E-3</v>
      </c>
      <c r="E155" s="327">
        <f t="shared" si="59"/>
        <v>1.3463934063055408E-2</v>
      </c>
      <c r="F155" s="327">
        <f t="shared" si="60"/>
        <v>6.4723782883232883E-2</v>
      </c>
      <c r="G155" s="327">
        <f t="shared" si="61"/>
        <v>5.8380771508797905E-2</v>
      </c>
      <c r="H155" s="327">
        <f t="shared" si="62"/>
        <v>3.3648394638480073E-2</v>
      </c>
      <c r="I155" s="327">
        <f t="shared" si="63"/>
        <v>2.6451006874074867E-2</v>
      </c>
      <c r="J155" s="327">
        <f t="shared" si="64"/>
        <v>4.6375981418920187E-5</v>
      </c>
      <c r="K155" s="327">
        <f t="shared" si="65"/>
        <v>2.1737067409095367E-5</v>
      </c>
      <c r="L155" s="327">
        <f t="shared" si="66"/>
        <v>6.1158840176581686E-3</v>
      </c>
      <c r="M155" s="327">
        <f t="shared" si="67"/>
        <v>1.4073157731502167E-2</v>
      </c>
      <c r="N155" s="327">
        <f t="shared" si="68"/>
        <v>3.9308891866567226E-2</v>
      </c>
      <c r="O155" s="328">
        <f t="shared" si="69"/>
        <v>3.5470031412962628E-2</v>
      </c>
      <c r="P155" s="327">
        <f t="shared" si="70"/>
        <v>0.10436159238654379</v>
      </c>
      <c r="Q155" s="327">
        <f t="shared" si="71"/>
        <v>0.13131950428660533</v>
      </c>
      <c r="R155" s="327">
        <f t="shared" si="72"/>
        <v>0.1487045688434987</v>
      </c>
      <c r="S155" s="327">
        <f t="shared" si="73"/>
        <v>0.10144815561659411</v>
      </c>
      <c r="T155" s="327">
        <f t="shared" si="74"/>
        <v>2.0034478996275524E-5</v>
      </c>
      <c r="U155" s="328">
        <f t="shared" si="75"/>
        <v>2.5795435843685821E-2</v>
      </c>
      <c r="V155" s="327">
        <f t="shared" si="76"/>
        <v>5.1373011427804274E-2</v>
      </c>
      <c r="W155" s="327">
        <f t="shared" si="77"/>
        <v>7.2638568795500652E-2</v>
      </c>
      <c r="X155" s="327">
        <f t="shared" si="78"/>
        <v>0.11176855632695715</v>
      </c>
      <c r="Y155" s="327">
        <f t="shared" si="79"/>
        <v>0.10024179771571312</v>
      </c>
      <c r="Z155" s="327">
        <f t="shared" si="80"/>
        <v>1.5467883148051111E-3</v>
      </c>
      <c r="AA155" s="328">
        <f t="shared" si="81"/>
        <v>6.0577164124818728E-2</v>
      </c>
    </row>
    <row r="156" spans="1:27" ht="12" customHeight="1" x14ac:dyDescent="0.15">
      <c r="A156" s="269">
        <f t="shared" si="55"/>
        <v>141</v>
      </c>
      <c r="B156" s="322">
        <f t="shared" si="56"/>
        <v>130.15384615384616</v>
      </c>
      <c r="C156" s="323">
        <f t="shared" si="57"/>
        <v>564</v>
      </c>
      <c r="D156" s="327">
        <f t="shared" si="58"/>
        <v>8.9544064103179912E-3</v>
      </c>
      <c r="E156" s="327">
        <f t="shared" si="59"/>
        <v>1.3080756843495155E-2</v>
      </c>
      <c r="F156" s="327">
        <f t="shared" si="60"/>
        <v>6.4033175968922329E-2</v>
      </c>
      <c r="G156" s="327">
        <f t="shared" si="61"/>
        <v>5.7834184599377253E-2</v>
      </c>
      <c r="H156" s="327">
        <f t="shared" si="62"/>
        <v>3.3146205455287681E-2</v>
      </c>
      <c r="I156" s="327">
        <f t="shared" si="63"/>
        <v>2.5955154884191201E-2</v>
      </c>
      <c r="J156" s="327">
        <f t="shared" si="64"/>
        <v>4.3185511133130362E-5</v>
      </c>
      <c r="K156" s="327">
        <f t="shared" si="65"/>
        <v>2.0087057518994995E-5</v>
      </c>
      <c r="L156" s="327">
        <f t="shared" si="66"/>
        <v>6.0071958066040265E-3</v>
      </c>
      <c r="M156" s="327">
        <f t="shared" si="67"/>
        <v>1.392634747797409E-2</v>
      </c>
      <c r="N156" s="327">
        <f t="shared" si="68"/>
        <v>3.9242257623774299E-2</v>
      </c>
      <c r="O156" s="328">
        <f t="shared" si="69"/>
        <v>3.5216417825358809E-2</v>
      </c>
      <c r="P156" s="327">
        <f t="shared" si="70"/>
        <v>0.10269050119762974</v>
      </c>
      <c r="Q156" s="327">
        <f t="shared" si="71"/>
        <v>0.12999760945657265</v>
      </c>
      <c r="R156" s="327">
        <f t="shared" si="72"/>
        <v>0.14727930133966527</v>
      </c>
      <c r="S156" s="327">
        <f t="shared" si="73"/>
        <v>0.10034371839419497</v>
      </c>
      <c r="T156" s="327">
        <f t="shared" si="74"/>
        <v>1.5440494640459876E-5</v>
      </c>
      <c r="U156" s="328">
        <f t="shared" si="75"/>
        <v>2.4967053416882656E-2</v>
      </c>
      <c r="V156" s="327">
        <f t="shared" si="76"/>
        <v>5.0295136225350798E-2</v>
      </c>
      <c r="W156" s="327">
        <f t="shared" si="77"/>
        <v>7.1534474972411208E-2</v>
      </c>
      <c r="X156" s="327">
        <f t="shared" si="78"/>
        <v>0.11066185159118413</v>
      </c>
      <c r="Y156" s="327">
        <f t="shared" si="79"/>
        <v>9.9304458907327101E-2</v>
      </c>
      <c r="Z156" s="327">
        <f t="shared" si="80"/>
        <v>1.4030225952112185E-3</v>
      </c>
      <c r="AA156" s="328">
        <f t="shared" si="81"/>
        <v>5.9590870970550158E-2</v>
      </c>
    </row>
    <row r="157" spans="1:27" ht="12" customHeight="1" x14ac:dyDescent="0.15">
      <c r="A157" s="269">
        <f t="shared" si="55"/>
        <v>142</v>
      </c>
      <c r="B157" s="322">
        <f t="shared" si="56"/>
        <v>131.07692307692307</v>
      </c>
      <c r="C157" s="323">
        <f t="shared" si="57"/>
        <v>568</v>
      </c>
      <c r="D157" s="327">
        <f t="shared" si="58"/>
        <v>8.6598872966571882E-3</v>
      </c>
      <c r="E157" s="327">
        <f t="shared" si="59"/>
        <v>1.2708644555149456E-2</v>
      </c>
      <c r="F157" s="327">
        <f t="shared" si="60"/>
        <v>6.3353132087067943E-2</v>
      </c>
      <c r="G157" s="327">
        <f t="shared" si="61"/>
        <v>5.7296215810468391E-2</v>
      </c>
      <c r="H157" s="327">
        <f t="shared" si="62"/>
        <v>3.2654598475875353E-2</v>
      </c>
      <c r="I157" s="327">
        <f t="shared" si="63"/>
        <v>2.5470000201547993E-2</v>
      </c>
      <c r="J157" s="327">
        <f t="shared" si="64"/>
        <v>4.0214531634016627E-5</v>
      </c>
      <c r="K157" s="327">
        <f t="shared" si="65"/>
        <v>1.8561991638940667E-5</v>
      </c>
      <c r="L157" s="327">
        <f t="shared" si="66"/>
        <v>5.9009733346101489E-3</v>
      </c>
      <c r="M157" s="327">
        <f t="shared" si="67"/>
        <v>1.3782068933766959E-2</v>
      </c>
      <c r="N157" s="327">
        <f t="shared" si="68"/>
        <v>3.9177609972741341E-2</v>
      </c>
      <c r="O157" s="328">
        <f t="shared" si="69"/>
        <v>3.4966342710937334E-2</v>
      </c>
      <c r="P157" s="327">
        <f t="shared" si="70"/>
        <v>0.10104616837544626</v>
      </c>
      <c r="Q157" s="327">
        <f t="shared" si="71"/>
        <v>0.12869180271490899</v>
      </c>
      <c r="R157" s="327">
        <f t="shared" si="72"/>
        <v>0.14587319441943536</v>
      </c>
      <c r="S157" s="327">
        <f t="shared" si="73"/>
        <v>9.9257669117353384E-2</v>
      </c>
      <c r="T157" s="327">
        <f t="shared" si="74"/>
        <v>1.1828573241013762E-5</v>
      </c>
      <c r="U157" s="328">
        <f t="shared" si="75"/>
        <v>2.4164276660062489E-2</v>
      </c>
      <c r="V157" s="327">
        <f t="shared" si="76"/>
        <v>4.9239876301226844E-2</v>
      </c>
      <c r="W157" s="327">
        <f t="shared" si="77"/>
        <v>7.0448553048692422E-2</v>
      </c>
      <c r="X157" s="327">
        <f t="shared" si="78"/>
        <v>0.10957076056889936</v>
      </c>
      <c r="Y157" s="327">
        <f t="shared" si="79"/>
        <v>9.8381468549985598E-2</v>
      </c>
      <c r="Z157" s="327">
        <f t="shared" si="80"/>
        <v>1.2710828187078452E-3</v>
      </c>
      <c r="AA157" s="328">
        <f t="shared" si="81"/>
        <v>5.8622980830602578E-2</v>
      </c>
    </row>
    <row r="158" spans="1:27" ht="12" customHeight="1" x14ac:dyDescent="0.15">
      <c r="A158" s="269">
        <f t="shared" si="55"/>
        <v>143</v>
      </c>
      <c r="B158" s="322">
        <f t="shared" si="56"/>
        <v>132</v>
      </c>
      <c r="C158" s="323">
        <f t="shared" si="57"/>
        <v>572</v>
      </c>
      <c r="D158" s="327">
        <f t="shared" si="58"/>
        <v>8.3750552023627908E-3</v>
      </c>
      <c r="E158" s="327">
        <f t="shared" si="59"/>
        <v>1.2347272039514938E-2</v>
      </c>
      <c r="F158" s="327">
        <f t="shared" si="60"/>
        <v>6.2683436793753544E-2</v>
      </c>
      <c r="G158" s="327">
        <f t="shared" si="61"/>
        <v>5.6766675623343206E-2</v>
      </c>
      <c r="H158" s="327">
        <f t="shared" si="62"/>
        <v>3.2173305350491885E-2</v>
      </c>
      <c r="I158" s="327">
        <f t="shared" si="63"/>
        <v>2.4995278148753242E-2</v>
      </c>
      <c r="J158" s="327">
        <f t="shared" si="64"/>
        <v>3.7447942888943933E-5</v>
      </c>
      <c r="K158" s="327">
        <f t="shared" si="65"/>
        <v>1.7152433707586593E-5</v>
      </c>
      <c r="L158" s="327">
        <f t="shared" si="66"/>
        <v>5.7971479784214575E-3</v>
      </c>
      <c r="M158" s="327">
        <f t="shared" si="67"/>
        <v>1.364026149955698E-2</v>
      </c>
      <c r="N158" s="327">
        <f t="shared" si="68"/>
        <v>3.9114886729027951E-2</v>
      </c>
      <c r="O158" s="328">
        <f t="shared" si="69"/>
        <v>3.4719732927951025E-2</v>
      </c>
      <c r="P158" s="327">
        <f t="shared" si="70"/>
        <v>9.9428165451340769E-2</v>
      </c>
      <c r="Q158" s="327">
        <f t="shared" si="71"/>
        <v>0.12740184107983402</v>
      </c>
      <c r="R158" s="327">
        <f t="shared" si="72"/>
        <v>0.14448591012463119</v>
      </c>
      <c r="S158" s="327">
        <f t="shared" si="73"/>
        <v>9.8189603309618179E-2</v>
      </c>
      <c r="T158" s="327">
        <f t="shared" si="74"/>
        <v>9.0059846369918709E-6</v>
      </c>
      <c r="U158" s="328">
        <f t="shared" si="75"/>
        <v>2.3386355629199107E-2</v>
      </c>
      <c r="V158" s="327">
        <f t="shared" si="76"/>
        <v>4.820675715633195E-2</v>
      </c>
      <c r="W158" s="327">
        <f t="shared" si="77"/>
        <v>6.9380473260068548E-2</v>
      </c>
      <c r="X158" s="327">
        <f t="shared" si="78"/>
        <v>0.10849499137417529</v>
      </c>
      <c r="Y158" s="327">
        <f t="shared" si="79"/>
        <v>9.7472525588132755E-2</v>
      </c>
      <c r="Z158" s="327">
        <f t="shared" si="80"/>
        <v>1.1501432529049849E-3</v>
      </c>
      <c r="AA158" s="328">
        <f t="shared" si="81"/>
        <v>5.7673101253901238E-2</v>
      </c>
    </row>
    <row r="159" spans="1:27" ht="12" customHeight="1" x14ac:dyDescent="0.15">
      <c r="A159" s="269">
        <f t="shared" si="55"/>
        <v>144</v>
      </c>
      <c r="B159" s="322">
        <f t="shared" si="56"/>
        <v>132.92307692307693</v>
      </c>
      <c r="C159" s="323">
        <f t="shared" si="57"/>
        <v>576</v>
      </c>
      <c r="D159" s="327">
        <f t="shared" si="58"/>
        <v>8.0995915119703148E-3</v>
      </c>
      <c r="E159" s="327">
        <f t="shared" si="59"/>
        <v>1.1996323900852136E-2</v>
      </c>
      <c r="F159" s="327">
        <f t="shared" si="60"/>
        <v>6.2023881122765467E-2</v>
      </c>
      <c r="G159" s="327">
        <f t="shared" si="61"/>
        <v>5.6245379835062705E-2</v>
      </c>
      <c r="H159" s="327">
        <f t="shared" si="62"/>
        <v>3.1702065562463244E-2</v>
      </c>
      <c r="I159" s="327">
        <f t="shared" si="63"/>
        <v>2.453073152135532E-2</v>
      </c>
      <c r="J159" s="327">
        <f t="shared" si="64"/>
        <v>3.4871683683302915E-5</v>
      </c>
      <c r="K159" s="327">
        <f t="shared" si="65"/>
        <v>1.5849658218366924E-5</v>
      </c>
      <c r="L159" s="327">
        <f t="shared" si="66"/>
        <v>5.6956533881419302E-3</v>
      </c>
      <c r="M159" s="327">
        <f t="shared" si="67"/>
        <v>1.350086642507395E-2</v>
      </c>
      <c r="N159" s="327">
        <f t="shared" si="68"/>
        <v>3.9054027818950343E-2</v>
      </c>
      <c r="O159" s="328">
        <f t="shared" si="69"/>
        <v>3.4476517331587506E-2</v>
      </c>
      <c r="P159" s="327">
        <f t="shared" si="70"/>
        <v>9.7836070817519841E-2</v>
      </c>
      <c r="Q159" s="327">
        <f t="shared" si="71"/>
        <v>0.12612748618874375</v>
      </c>
      <c r="R159" s="327">
        <f t="shared" si="72"/>
        <v>0.14311711794024085</v>
      </c>
      <c r="S159" s="327">
        <f t="shared" si="73"/>
        <v>9.7139127377071172E-2</v>
      </c>
      <c r="T159" s="327">
        <f t="shared" si="74"/>
        <v>6.8139041074982365E-6</v>
      </c>
      <c r="U159" s="328">
        <f t="shared" si="75"/>
        <v>2.2632560564630699E-2</v>
      </c>
      <c r="V159" s="327">
        <f t="shared" si="76"/>
        <v>4.7195314247198063E-2</v>
      </c>
      <c r="W159" s="327">
        <f t="shared" si="77"/>
        <v>6.8329912581461733E-2</v>
      </c>
      <c r="X159" s="327">
        <f t="shared" si="78"/>
        <v>0.10743425898525838</v>
      </c>
      <c r="Y159" s="327">
        <f t="shared" si="79"/>
        <v>9.6577336909272046E-2</v>
      </c>
      <c r="Z159" s="327">
        <f t="shared" si="80"/>
        <v>1.039423070642689E-3</v>
      </c>
      <c r="AA159" s="328">
        <f t="shared" si="81"/>
        <v>5.6740849307997054E-2</v>
      </c>
    </row>
    <row r="160" spans="1:27" ht="12" customHeight="1" x14ac:dyDescent="0.15">
      <c r="A160" s="269">
        <f t="shared" si="55"/>
        <v>145</v>
      </c>
      <c r="B160" s="322">
        <f t="shared" si="56"/>
        <v>133.84615384615384</v>
      </c>
      <c r="C160" s="323">
        <f t="shared" si="57"/>
        <v>580</v>
      </c>
      <c r="D160" s="327">
        <f t="shared" si="58"/>
        <v>7.8331880895869642E-3</v>
      </c>
      <c r="E160" s="327">
        <f t="shared" si="59"/>
        <v>1.1655494205039257E-2</v>
      </c>
      <c r="F160" s="327">
        <f t="shared" si="60"/>
        <v>6.1374261416171416E-2</v>
      </c>
      <c r="G160" s="327">
        <f t="shared" si="61"/>
        <v>5.5732149378004359E-2</v>
      </c>
      <c r="H160" s="327">
        <f t="shared" si="62"/>
        <v>3.1240626172139477E-2</v>
      </c>
      <c r="I160" s="327">
        <f t="shared" si="63"/>
        <v>2.4076110348579371E-2</v>
      </c>
      <c r="J160" s="327">
        <f t="shared" si="64"/>
        <v>3.2472660154247324E-5</v>
      </c>
      <c r="K160" s="327">
        <f t="shared" si="65"/>
        <v>1.4645596886281937E-5</v>
      </c>
      <c r="L160" s="327">
        <f t="shared" si="66"/>
        <v>5.5964253996546587E-3</v>
      </c>
      <c r="M160" s="327">
        <f t="shared" si="67"/>
        <v>1.3363826740723742E-2</v>
      </c>
      <c r="N160" s="327">
        <f t="shared" si="68"/>
        <v>3.899497519900514E-2</v>
      </c>
      <c r="O160" s="328">
        <f t="shared" si="69"/>
        <v>3.4236626706378469E-2</v>
      </c>
      <c r="P160" s="327">
        <f t="shared" si="70"/>
        <v>9.6269469617189657E-2</v>
      </c>
      <c r="Q160" s="327">
        <f t="shared" si="71"/>
        <v>0.1248685041879638</v>
      </c>
      <c r="R160" s="327">
        <f t="shared" si="72"/>
        <v>0.14176649459729096</v>
      </c>
      <c r="S160" s="327">
        <f t="shared" si="73"/>
        <v>9.6105858267616251E-2</v>
      </c>
      <c r="T160" s="327">
        <f t="shared" si="74"/>
        <v>5.1222842900499407E-6</v>
      </c>
      <c r="U160" s="328">
        <f t="shared" si="75"/>
        <v>2.190218142766398E-2</v>
      </c>
      <c r="V160" s="327">
        <f t="shared" si="76"/>
        <v>4.6205092777106847E-2</v>
      </c>
      <c r="W160" s="327">
        <f t="shared" si="77"/>
        <v>6.7296554568493719E-2</v>
      </c>
      <c r="X160" s="327">
        <f t="shared" si="78"/>
        <v>0.10638828504911058</v>
      </c>
      <c r="Y160" s="327">
        <f t="shared" si="79"/>
        <v>9.5695617093701099E-2</v>
      </c>
      <c r="Z160" s="327">
        <f t="shared" si="80"/>
        <v>9.381848995902416E-4</v>
      </c>
      <c r="AA160" s="328">
        <f t="shared" si="81"/>
        <v>5.582585131830653E-2</v>
      </c>
    </row>
    <row r="161" spans="1:27" ht="12" customHeight="1" x14ac:dyDescent="0.15">
      <c r="A161" s="269">
        <f t="shared" si="55"/>
        <v>146</v>
      </c>
      <c r="B161" s="322">
        <f t="shared" si="56"/>
        <v>134.76923076923077</v>
      </c>
      <c r="C161" s="323">
        <f t="shared" si="57"/>
        <v>584</v>
      </c>
      <c r="D161" s="327">
        <f t="shared" si="58"/>
        <v>7.575546934208398E-3</v>
      </c>
      <c r="E161" s="327">
        <f t="shared" si="59"/>
        <v>1.1324486188042597E-2</v>
      </c>
      <c r="F161" s="327">
        <f t="shared" si="60"/>
        <v>6.0734379161066943E-2</v>
      </c>
      <c r="G161" s="327">
        <f t="shared" si="61"/>
        <v>5.5226810146554083E-2</v>
      </c>
      <c r="H161" s="327">
        <f t="shared" si="62"/>
        <v>3.0788741570047306E-2</v>
      </c>
      <c r="I161" s="327">
        <f t="shared" si="63"/>
        <v>2.3631171662689021E-2</v>
      </c>
      <c r="J161" s="327">
        <f t="shared" si="64"/>
        <v>3.023867924100653E-5</v>
      </c>
      <c r="K161" s="327">
        <f t="shared" si="65"/>
        <v>1.3532789303305265E-5</v>
      </c>
      <c r="L161" s="327">
        <f t="shared" si="66"/>
        <v>5.4994019508924907E-3</v>
      </c>
      <c r="M161" s="327">
        <f t="shared" si="67"/>
        <v>1.3229087192174128E-2</v>
      </c>
      <c r="N161" s="327">
        <f t="shared" si="68"/>
        <v>3.8937672778836495E-2</v>
      </c>
      <c r="O161" s="328">
        <f t="shared" si="69"/>
        <v>3.3999993701331999E-2</v>
      </c>
      <c r="P161" s="327">
        <f t="shared" si="70"/>
        <v>9.4727953636455572E-2</v>
      </c>
      <c r="Q161" s="327">
        <f t="shared" si="71"/>
        <v>0.12362466562574827</v>
      </c>
      <c r="R161" s="327">
        <f t="shared" si="72"/>
        <v>0.14043372388181552</v>
      </c>
      <c r="S161" s="327">
        <f t="shared" si="73"/>
        <v>9.5089423142218313E-2</v>
      </c>
      <c r="T161" s="327">
        <f t="shared" si="74"/>
        <v>3.8253360666839094E-6</v>
      </c>
      <c r="U161" s="328">
        <f t="shared" si="75"/>
        <v>2.1194527443937572E-2</v>
      </c>
      <c r="V161" s="327">
        <f t="shared" si="76"/>
        <v>4.5235647491589662E-2</v>
      </c>
      <c r="W161" s="327">
        <f t="shared" si="77"/>
        <v>6.6280089203350878E-2</v>
      </c>
      <c r="X161" s="327">
        <f t="shared" si="78"/>
        <v>0.10535679769249617</v>
      </c>
      <c r="Y161" s="327">
        <f t="shared" si="79"/>
        <v>9.4827088173337057E-2</v>
      </c>
      <c r="Z161" s="327">
        <f t="shared" si="80"/>
        <v>8.457333478535269E-4</v>
      </c>
      <c r="AA161" s="328">
        <f t="shared" si="81"/>
        <v>5.4927742615349606E-2</v>
      </c>
    </row>
    <row r="162" spans="1:27" ht="12" customHeight="1" x14ac:dyDescent="0.15">
      <c r="A162" s="269">
        <f t="shared" si="55"/>
        <v>147</v>
      </c>
      <c r="B162" s="322">
        <f t="shared" si="56"/>
        <v>135.69230769230768</v>
      </c>
      <c r="C162" s="323">
        <f t="shared" si="57"/>
        <v>588</v>
      </c>
      <c r="D162" s="327">
        <f t="shared" si="58"/>
        <v>7.3263798463724002E-3</v>
      </c>
      <c r="E162" s="327">
        <f t="shared" si="59"/>
        <v>1.1003011973683334E-2</v>
      </c>
      <c r="F162" s="327">
        <f t="shared" si="60"/>
        <v>6.0104040832228756E-2</v>
      </c>
      <c r="G162" s="327">
        <f t="shared" si="61"/>
        <v>5.4729192830638804E-2</v>
      </c>
      <c r="H162" s="327">
        <f t="shared" si="62"/>
        <v>3.034617323888911E-2</v>
      </c>
      <c r="I162" s="327">
        <f t="shared" si="63"/>
        <v>2.3195679276627912E-2</v>
      </c>
      <c r="J162" s="327">
        <f t="shared" si="64"/>
        <v>2.8158386713534561E-5</v>
      </c>
      <c r="K162" s="327">
        <f t="shared" si="65"/>
        <v>1.2504337285341554E-5</v>
      </c>
      <c r="L162" s="327">
        <f t="shared" si="66"/>
        <v>5.4045230017708557E-3</v>
      </c>
      <c r="M162" s="327">
        <f t="shared" si="67"/>
        <v>1.3096594177757364E-2</v>
      </c>
      <c r="N162" s="327">
        <f t="shared" si="68"/>
        <v>3.8882066347567378E-2</v>
      </c>
      <c r="O162" s="328">
        <f t="shared" si="69"/>
        <v>3.3766552767663431E-2</v>
      </c>
      <c r="P162" s="327">
        <f t="shared" si="70"/>
        <v>9.3211121197952593E-2</v>
      </c>
      <c r="Q162" s="327">
        <f t="shared" si="71"/>
        <v>0.12239574534841555</v>
      </c>
      <c r="R162" s="327">
        <f t="shared" si="72"/>
        <v>0.13911849644970409</v>
      </c>
      <c r="S162" s="327">
        <f t="shared" si="73"/>
        <v>9.4089459057640407E-2</v>
      </c>
      <c r="T162" s="327">
        <f t="shared" si="74"/>
        <v>2.8375772046240816E-6</v>
      </c>
      <c r="U162" s="328">
        <f t="shared" si="75"/>
        <v>2.0508926653667769E-2</v>
      </c>
      <c r="V162" s="327">
        <f t="shared" si="76"/>
        <v>4.4286542478218359E-2</v>
      </c>
      <c r="W162" s="327">
        <f t="shared" si="77"/>
        <v>6.5280212744875582E-2</v>
      </c>
      <c r="X162" s="327">
        <f t="shared" si="78"/>
        <v>0.10433953133936613</v>
      </c>
      <c r="Y162" s="327">
        <f t="shared" si="79"/>
        <v>9.3971479399263577E-2</v>
      </c>
      <c r="Z162" s="327">
        <f t="shared" si="80"/>
        <v>7.614135113753602E-4</v>
      </c>
      <c r="AA162" s="328">
        <f t="shared" si="81"/>
        <v>5.404616728971301E-2</v>
      </c>
    </row>
    <row r="163" spans="1:27" ht="12" customHeight="1" x14ac:dyDescent="0.15">
      <c r="A163" s="269">
        <f t="shared" si="55"/>
        <v>148</v>
      </c>
      <c r="B163" s="322">
        <f t="shared" si="56"/>
        <v>136.61538461538461</v>
      </c>
      <c r="C163" s="323">
        <f t="shared" si="57"/>
        <v>592</v>
      </c>
      <c r="D163" s="327">
        <f t="shared" si="58"/>
        <v>7.0854081057766553E-3</v>
      </c>
      <c r="E163" s="327">
        <f t="shared" si="59"/>
        <v>1.0690792300390297E-2</v>
      </c>
      <c r="F163" s="327">
        <f t="shared" si="60"/>
        <v>5.9483057740430278E-2</v>
      </c>
      <c r="G163" s="327">
        <f t="shared" si="61"/>
        <v>5.4239132755790724E-2</v>
      </c>
      <c r="H163" s="327">
        <f t="shared" si="62"/>
        <v>2.991268952404378E-2</v>
      </c>
      <c r="I163" s="327">
        <f t="shared" si="63"/>
        <v>2.2769403569604663E-2</v>
      </c>
      <c r="J163" s="327">
        <f t="shared" si="64"/>
        <v>2.6221209464523087E-5</v>
      </c>
      <c r="K163" s="327">
        <f t="shared" si="65"/>
        <v>1.1553862635679457E-5</v>
      </c>
      <c r="L163" s="327">
        <f t="shared" si="66"/>
        <v>5.3117304576021374E-3</v>
      </c>
      <c r="M163" s="327">
        <f t="shared" si="67"/>
        <v>1.296629568855049E-2</v>
      </c>
      <c r="N163" s="327">
        <f t="shared" si="68"/>
        <v>3.8828103503326161E-2</v>
      </c>
      <c r="O163" s="328">
        <f t="shared" si="69"/>
        <v>3.3536240099002183E-2</v>
      </c>
      <c r="P163" s="327">
        <f t="shared" si="70"/>
        <v>9.1718577056178974E-2</v>
      </c>
      <c r="Q163" s="327">
        <f t="shared" si="71"/>
        <v>0.1211815223995041</v>
      </c>
      <c r="R163" s="327">
        <f t="shared" si="72"/>
        <v>0.13782050964722381</v>
      </c>
      <c r="S163" s="327">
        <f t="shared" si="73"/>
        <v>9.3105612660239798E-2</v>
      </c>
      <c r="T163" s="327">
        <f t="shared" si="74"/>
        <v>2.0904045682757113E-6</v>
      </c>
      <c r="U163" s="328">
        <f t="shared" si="75"/>
        <v>1.9844725468879831E-2</v>
      </c>
      <c r="V163" s="327">
        <f t="shared" si="76"/>
        <v>4.335735097059655E-2</v>
      </c>
      <c r="W163" s="327">
        <f t="shared" si="77"/>
        <v>6.4296627582742211E-2</v>
      </c>
      <c r="X163" s="327">
        <f t="shared" si="78"/>
        <v>0.10333622653429475</v>
      </c>
      <c r="Y163" s="327">
        <f t="shared" si="79"/>
        <v>9.3128527017644153E-2</v>
      </c>
      <c r="Z163" s="327">
        <f t="shared" si="80"/>
        <v>6.8460946874708399E-4</v>
      </c>
      <c r="AA163" s="328">
        <f t="shared" si="81"/>
        <v>5.3180777954477509E-2</v>
      </c>
    </row>
    <row r="164" spans="1:27" ht="12" customHeight="1" x14ac:dyDescent="0.15">
      <c r="A164" s="269">
        <f t="shared" si="55"/>
        <v>149</v>
      </c>
      <c r="B164" s="322">
        <f t="shared" si="56"/>
        <v>137.53846153846155</v>
      </c>
      <c r="C164" s="323">
        <f t="shared" si="57"/>
        <v>596</v>
      </c>
      <c r="D164" s="327">
        <f t="shared" si="58"/>
        <v>6.8523621594999765E-3</v>
      </c>
      <c r="E164" s="327">
        <f t="shared" si="59"/>
        <v>1.0387556256639046E-2</v>
      </c>
      <c r="F164" s="327">
        <f t="shared" si="60"/>
        <v>5.8871245886184642E-2</v>
      </c>
      <c r="G164" s="327">
        <f t="shared" si="61"/>
        <v>5.3756469729450897E-2</v>
      </c>
      <c r="H164" s="327">
        <f t="shared" si="62"/>
        <v>2.9488065412239948E-2</v>
      </c>
      <c r="I164" s="327">
        <f t="shared" si="63"/>
        <v>2.2352121280310056E-2</v>
      </c>
      <c r="J164" s="327">
        <f t="shared" si="64"/>
        <v>2.4417301771479645E-5</v>
      </c>
      <c r="K164" s="327">
        <f t="shared" si="65"/>
        <v>1.0675468070289596E-5</v>
      </c>
      <c r="L164" s="327">
        <f t="shared" si="66"/>
        <v>5.2209680958203997E-3</v>
      </c>
      <c r="M164" s="327">
        <f t="shared" si="67"/>
        <v>1.28381412510023E-2</v>
      </c>
      <c r="N164" s="327">
        <f t="shared" si="68"/>
        <v>3.8775733585809054E-2</v>
      </c>
      <c r="O164" s="328">
        <f t="shared" si="69"/>
        <v>3.3308993573961304E-2</v>
      </c>
      <c r="P164" s="327">
        <f t="shared" si="70"/>
        <v>9.0249932294506313E-2</v>
      </c>
      <c r="Q164" s="327">
        <f t="shared" si="71"/>
        <v>0.11998177992184629</v>
      </c>
      <c r="R164" s="327">
        <f t="shared" si="72"/>
        <v>0.13653946733701727</v>
      </c>
      <c r="S164" s="327">
        <f t="shared" si="73"/>
        <v>9.213753989040932E-2</v>
      </c>
      <c r="T164" s="327">
        <f t="shared" si="74"/>
        <v>1.5291440692709855E-6</v>
      </c>
      <c r="U164" s="328">
        <f t="shared" si="75"/>
        <v>1.9201288237714609E-2</v>
      </c>
      <c r="V164" s="327">
        <f t="shared" si="76"/>
        <v>4.2447655156463572E-2</v>
      </c>
      <c r="W164" s="327">
        <f t="shared" si="77"/>
        <v>6.332904209559044E-2</v>
      </c>
      <c r="X164" s="327">
        <f t="shared" si="78"/>
        <v>0.10234662977174058</v>
      </c>
      <c r="Y164" s="327">
        <f t="shared" si="79"/>
        <v>9.2297974053663231E-2</v>
      </c>
      <c r="Z164" s="327">
        <f t="shared" si="80"/>
        <v>6.1474276886187135E-4</v>
      </c>
      <c r="AA164" s="328">
        <f t="shared" si="81"/>
        <v>5.2331235514857521E-2</v>
      </c>
    </row>
    <row r="165" spans="1:27" ht="12" customHeight="1" x14ac:dyDescent="0.15">
      <c r="A165" s="269">
        <f t="shared" si="55"/>
        <v>150</v>
      </c>
      <c r="B165" s="322">
        <f t="shared" si="56"/>
        <v>138.46153846153845</v>
      </c>
      <c r="C165" s="323">
        <f t="shared" si="57"/>
        <v>600</v>
      </c>
      <c r="D165" s="327">
        <f t="shared" si="58"/>
        <v>6.6269813204782764E-3</v>
      </c>
      <c r="E165" s="327">
        <f t="shared" si="59"/>
        <v>1.0093041024790122E-2</v>
      </c>
      <c r="F165" s="327">
        <f t="shared" si="60"/>
        <v>5.8268425818690406E-2</v>
      </c>
      <c r="G165" s="327">
        <f t="shared" si="61"/>
        <v>5.3281047893235206E-2</v>
      </c>
      <c r="H165" s="327">
        <f t="shared" si="62"/>
        <v>2.9072082318085019E-2</v>
      </c>
      <c r="I165" s="327">
        <f t="shared" si="63"/>
        <v>2.1943615307457254E-2</v>
      </c>
      <c r="J165" s="327">
        <f t="shared" si="64"/>
        <v>2.2737495255745515E-5</v>
      </c>
      <c r="K165" s="327">
        <f t="shared" si="65"/>
        <v>9.8637010692069738E-6</v>
      </c>
      <c r="L165" s="327">
        <f t="shared" si="66"/>
        <v>5.1321814958569245E-3</v>
      </c>
      <c r="M165" s="327">
        <f t="shared" si="67"/>
        <v>1.2712081871983163E-2</v>
      </c>
      <c r="N165" s="327">
        <f t="shared" si="68"/>
        <v>3.8724907611727678E-2</v>
      </c>
      <c r="O165" s="328">
        <f t="shared" si="69"/>
        <v>3.3084752700962117E-2</v>
      </c>
      <c r="P165" s="327">
        <f t="shared" si="70"/>
        <v>8.8804804223838046E-2</v>
      </c>
      <c r="Q165" s="327">
        <f t="shared" si="71"/>
        <v>0.11879630506245703</v>
      </c>
      <c r="R165" s="327">
        <f t="shared" si="72"/>
        <v>0.13527507972938591</v>
      </c>
      <c r="S165" s="327">
        <f t="shared" si="73"/>
        <v>9.1184905697258206E-2</v>
      </c>
      <c r="T165" s="327">
        <f t="shared" si="74"/>
        <v>1.1105320528958473E-6</v>
      </c>
      <c r="U165" s="328">
        <f t="shared" si="75"/>
        <v>1.8577996815881459E-2</v>
      </c>
      <c r="V165" s="327">
        <f t="shared" si="76"/>
        <v>4.1557045989824688E-2</v>
      </c>
      <c r="W165" s="327">
        <f t="shared" si="77"/>
        <v>6.2377170512987613E-2</v>
      </c>
      <c r="X165" s="327">
        <f t="shared" si="78"/>
        <v>0.10137049333090964</v>
      </c>
      <c r="Y165" s="327">
        <f t="shared" si="79"/>
        <v>9.147957010317237E-2</v>
      </c>
      <c r="Z165" s="327">
        <f t="shared" si="80"/>
        <v>5.512709166321418E-4</v>
      </c>
      <c r="AA165" s="328">
        <f t="shared" si="81"/>
        <v>5.1497208944810469E-2</v>
      </c>
    </row>
    <row r="166" spans="1:27" ht="12" customHeight="1" x14ac:dyDescent="0.15">
      <c r="A166" s="269">
        <f t="shared" si="55"/>
        <v>151</v>
      </c>
      <c r="B166" s="322">
        <f t="shared" si="56"/>
        <v>139.38461538461539</v>
      </c>
      <c r="C166" s="323">
        <f t="shared" si="57"/>
        <v>604</v>
      </c>
      <c r="D166" s="327">
        <f t="shared" si="58"/>
        <v>6.4090134758978618E-3</v>
      </c>
      <c r="E166" s="327">
        <f t="shared" si="59"/>
        <v>9.8069916330464878E-3</v>
      </c>
      <c r="F166" s="327">
        <f t="shared" si="60"/>
        <v>5.7674422499769284E-2</v>
      </c>
      <c r="G166" s="327">
        <f t="shared" si="61"/>
        <v>5.2812715580897007E-2</v>
      </c>
      <c r="H166" s="327">
        <f t="shared" si="62"/>
        <v>2.866452787814738E-2</v>
      </c>
      <c r="I166" s="327">
        <f t="shared" si="63"/>
        <v>2.1543674517359723E-2</v>
      </c>
      <c r="J166" s="327">
        <f t="shared" si="64"/>
        <v>2.1173252284120822E-5</v>
      </c>
      <c r="K166" s="327">
        <f t="shared" si="65"/>
        <v>9.1135204357372886E-6</v>
      </c>
      <c r="L166" s="327">
        <f t="shared" si="66"/>
        <v>5.0453179720130192E-3</v>
      </c>
      <c r="M166" s="327">
        <f t="shared" si="67"/>
        <v>1.2588069986140323E-2</v>
      </c>
      <c r="N166" s="327">
        <f t="shared" si="68"/>
        <v>3.8675578213000203E-2</v>
      </c>
      <c r="O166" s="328">
        <f t="shared" si="69"/>
        <v>3.2863458565210189E-2</v>
      </c>
      <c r="P166" s="327">
        <f t="shared" si="70"/>
        <v>8.738281628289099E-2</v>
      </c>
      <c r="Q166" s="327">
        <f t="shared" si="71"/>
        <v>0.11762488888013951</v>
      </c>
      <c r="R166" s="327">
        <f t="shared" si="72"/>
        <v>0.13402706321867441</v>
      </c>
      <c r="S166" s="327">
        <f t="shared" si="73"/>
        <v>9.0247383763146435E-2</v>
      </c>
      <c r="T166" s="327">
        <f t="shared" si="74"/>
        <v>8.0058237791985621E-7</v>
      </c>
      <c r="U166" s="328">
        <f t="shared" si="75"/>
        <v>1.7974250145315507E-2</v>
      </c>
      <c r="V166" s="327">
        <f t="shared" si="76"/>
        <v>4.0685123007022705E-2</v>
      </c>
      <c r="W166" s="327">
        <f t="shared" si="77"/>
        <v>6.1440732781096692E-2</v>
      </c>
      <c r="X166" s="327">
        <f t="shared" si="78"/>
        <v>0.10040757511600795</v>
      </c>
      <c r="Y166" s="327">
        <f t="shared" si="79"/>
        <v>9.0673071131731245E-2</v>
      </c>
      <c r="Z166" s="327">
        <f t="shared" si="80"/>
        <v>4.9368586176762362E-4</v>
      </c>
      <c r="AA166" s="328">
        <f t="shared" si="81"/>
        <v>5.0678375070382198E-2</v>
      </c>
    </row>
    <row r="167" spans="1:27" ht="12" customHeight="1" x14ac:dyDescent="0.15">
      <c r="A167" s="269">
        <f t="shared" si="55"/>
        <v>152</v>
      </c>
      <c r="B167" s="322">
        <f t="shared" si="56"/>
        <v>140.30769230769232</v>
      </c>
      <c r="C167" s="323">
        <f t="shared" si="57"/>
        <v>608</v>
      </c>
      <c r="D167" s="327">
        <f t="shared" si="58"/>
        <v>6.198214805180101E-3</v>
      </c>
      <c r="E167" s="327">
        <f t="shared" si="59"/>
        <v>9.5291607152631474E-3</v>
      </c>
      <c r="F167" s="327">
        <f t="shared" si="60"/>
        <v>5.7089065172589604E-2</v>
      </c>
      <c r="G167" s="327">
        <f t="shared" si="61"/>
        <v>5.2351325181737345E-2</v>
      </c>
      <c r="H167" s="327">
        <f t="shared" si="62"/>
        <v>2.8265195752301572E-2</v>
      </c>
      <c r="I167" s="327">
        <f t="shared" si="63"/>
        <v>2.1152093558267415E-2</v>
      </c>
      <c r="J167" s="327">
        <f t="shared" si="64"/>
        <v>1.9716622576259638E-5</v>
      </c>
      <c r="K167" s="327">
        <f t="shared" si="65"/>
        <v>8.420265361437006E-6</v>
      </c>
      <c r="L167" s="327">
        <f t="shared" si="66"/>
        <v>4.9603265091870963E-3</v>
      </c>
      <c r="M167" s="327">
        <f t="shared" si="67"/>
        <v>1.24660594054484E-2</v>
      </c>
      <c r="N167" s="327">
        <f t="shared" si="68"/>
        <v>3.8627699577551453E-2</v>
      </c>
      <c r="O167" s="328">
        <f t="shared" si="69"/>
        <v>3.2645053777726515E-2</v>
      </c>
      <c r="P167" s="327">
        <f t="shared" si="70"/>
        <v>8.5983597940074083E-2</v>
      </c>
      <c r="Q167" s="327">
        <f t="shared" si="71"/>
        <v>0.11646732625571618</v>
      </c>
      <c r="R167" s="327">
        <f t="shared" si="72"/>
        <v>0.13279514022458305</v>
      </c>
      <c r="S167" s="327">
        <f t="shared" si="73"/>
        <v>8.9324656237704816E-2</v>
      </c>
      <c r="T167" s="327">
        <f t="shared" si="74"/>
        <v>5.7279486879629637E-7</v>
      </c>
      <c r="U167" s="328">
        <f t="shared" si="75"/>
        <v>1.7389463840085995E-2</v>
      </c>
      <c r="V167" s="327">
        <f t="shared" si="76"/>
        <v>3.9831494146669297E-2</v>
      </c>
      <c r="W167" s="327">
        <f t="shared" si="77"/>
        <v>6.0519454431938347E-2</v>
      </c>
      <c r="X167" s="327">
        <f t="shared" si="78"/>
        <v>9.9457638501684986E-2</v>
      </c>
      <c r="Y167" s="327">
        <f t="shared" si="79"/>
        <v>8.9878239280749034E-2</v>
      </c>
      <c r="Z167" s="327">
        <f t="shared" si="80"/>
        <v>4.4151249536846681E-4</v>
      </c>
      <c r="AA167" s="328">
        <f t="shared" si="81"/>
        <v>4.9874418359562744E-2</v>
      </c>
    </row>
    <row r="168" spans="1:27" ht="12" customHeight="1" x14ac:dyDescent="0.15">
      <c r="A168" s="269">
        <f t="shared" si="55"/>
        <v>153</v>
      </c>
      <c r="B168" s="322">
        <f t="shared" si="56"/>
        <v>141.23076923076923</v>
      </c>
      <c r="C168" s="323">
        <f t="shared" si="57"/>
        <v>612</v>
      </c>
      <c r="D168" s="327">
        <f t="shared" si="58"/>
        <v>5.9943495072417056E-3</v>
      </c>
      <c r="E168" s="327">
        <f t="shared" si="59"/>
        <v>9.2593082783489159E-3</v>
      </c>
      <c r="F168" s="327">
        <f t="shared" si="60"/>
        <v>5.6512187234984412E-2</v>
      </c>
      <c r="G168" s="327">
        <f t="shared" si="61"/>
        <v>5.1896733009223275E-2</v>
      </c>
      <c r="H168" s="327">
        <f t="shared" si="62"/>
        <v>2.7873885432057481E-2</v>
      </c>
      <c r="I168" s="327">
        <f t="shared" si="63"/>
        <v>2.0768672681196643E-2</v>
      </c>
      <c r="J168" s="327">
        <f t="shared" si="64"/>
        <v>1.8360202797291384E-5</v>
      </c>
      <c r="K168" s="327">
        <f t="shared" si="65"/>
        <v>7.7796268098230308E-6</v>
      </c>
      <c r="L168" s="327">
        <f t="shared" si="66"/>
        <v>4.8771577013182466E-3</v>
      </c>
      <c r="M168" s="327">
        <f t="shared" si="67"/>
        <v>1.2346005270849758E-2</v>
      </c>
      <c r="N168" s="327">
        <f t="shared" si="68"/>
        <v>3.8581227392595584E-2</v>
      </c>
      <c r="O168" s="328">
        <f t="shared" si="69"/>
        <v>3.2429482426341145E-2</v>
      </c>
      <c r="P168" s="327">
        <f t="shared" si="70"/>
        <v>8.4606784596937393E-2</v>
      </c>
      <c r="Q168" s="327">
        <f t="shared" si="71"/>
        <v>0.11532341580479297</v>
      </c>
      <c r="R168" s="327">
        <f t="shared" si="72"/>
        <v>0.13157903903823509</v>
      </c>
      <c r="S168" s="327">
        <f t="shared" si="73"/>
        <v>8.8416413480982434E-2</v>
      </c>
      <c r="T168" s="327">
        <f t="shared" si="74"/>
        <v>4.0666293790632904E-7</v>
      </c>
      <c r="U168" s="328">
        <f t="shared" si="75"/>
        <v>1.6823069779585031E-2</v>
      </c>
      <c r="V168" s="327">
        <f t="shared" si="76"/>
        <v>3.8995775573353812E-2</v>
      </c>
      <c r="W168" s="327">
        <f t="shared" si="77"/>
        <v>5.961306645612742E-2</v>
      </c>
      <c r="X168" s="327">
        <f t="shared" si="78"/>
        <v>9.8520452183468499E-2</v>
      </c>
      <c r="Y168" s="327">
        <f t="shared" si="79"/>
        <v>8.9094842680443917E-2</v>
      </c>
      <c r="Z168" s="327">
        <f t="shared" si="80"/>
        <v>3.9430715883131869E-4</v>
      </c>
      <c r="AA168" s="328">
        <f t="shared" si="81"/>
        <v>4.9085030718436284E-2</v>
      </c>
    </row>
    <row r="169" spans="1:27" ht="12" customHeight="1" x14ac:dyDescent="0.15">
      <c r="A169" s="269">
        <f t="shared" si="55"/>
        <v>154</v>
      </c>
      <c r="B169" s="322">
        <f t="shared" si="56"/>
        <v>142.15384615384616</v>
      </c>
      <c r="C169" s="323">
        <f t="shared" si="57"/>
        <v>616</v>
      </c>
      <c r="D169" s="327">
        <f t="shared" si="58"/>
        <v>5.797189536725777E-3</v>
      </c>
      <c r="E169" s="327">
        <f t="shared" si="59"/>
        <v>8.9972014770098273E-3</v>
      </c>
      <c r="F169" s="327">
        <f t="shared" si="60"/>
        <v>5.5943626117177181E-2</v>
      </c>
      <c r="G169" s="327">
        <f t="shared" si="61"/>
        <v>5.1448799174587161E-2</v>
      </c>
      <c r="H169" s="327">
        <f t="shared" si="62"/>
        <v>2.7490402055607207E-2</v>
      </c>
      <c r="I169" s="327">
        <f t="shared" si="63"/>
        <v>2.039321756700041E-2</v>
      </c>
      <c r="J169" s="327">
        <f t="shared" si="64"/>
        <v>1.7097098930298387E-5</v>
      </c>
      <c r="K169" s="327">
        <f t="shared" si="65"/>
        <v>7.1876210456712563E-6</v>
      </c>
      <c r="L169" s="327">
        <f t="shared" si="66"/>
        <v>4.7957636924188529E-3</v>
      </c>
      <c r="M169" s="327">
        <f t="shared" si="67"/>
        <v>1.2227864005886055E-2</v>
      </c>
      <c r="N169" s="327">
        <f t="shared" si="68"/>
        <v>3.8536118790281196E-2</v>
      </c>
      <c r="O169" s="328">
        <f t="shared" si="69"/>
        <v>3.2216690028561715E-2</v>
      </c>
      <c r="P169" s="327">
        <f t="shared" si="70"/>
        <v>8.3252017493167893E-2</v>
      </c>
      <c r="Q169" s="327">
        <f t="shared" si="71"/>
        <v>0.11419295979297181</v>
      </c>
      <c r="R169" s="327">
        <f t="shared" si="72"/>
        <v>0.13037849367283993</v>
      </c>
      <c r="S169" s="327">
        <f t="shared" si="73"/>
        <v>8.7522353815377957E-2</v>
      </c>
      <c r="T169" s="327">
        <f t="shared" si="74"/>
        <v>2.8644082776836857E-7</v>
      </c>
      <c r="U169" s="328">
        <f t="shared" si="75"/>
        <v>1.6274515709019055E-2</v>
      </c>
      <c r="V169" s="327">
        <f t="shared" si="76"/>
        <v>3.8177591505051171E-2</v>
      </c>
      <c r="W169" s="327">
        <f t="shared" si="77"/>
        <v>5.8721305178980852E-2</v>
      </c>
      <c r="X169" s="327">
        <f t="shared" si="78"/>
        <v>9.7595790033011331E-2</v>
      </c>
      <c r="Y169" s="327">
        <f t="shared" si="79"/>
        <v>8.832265526934896E-2</v>
      </c>
      <c r="Z169" s="327">
        <f t="shared" si="80"/>
        <v>3.5165616929775533E-4</v>
      </c>
      <c r="AA169" s="328">
        <f t="shared" si="81"/>
        <v>4.8309911293416885E-2</v>
      </c>
    </row>
    <row r="170" spans="1:27" ht="12" customHeight="1" x14ac:dyDescent="0.15">
      <c r="A170" s="269">
        <f t="shared" si="55"/>
        <v>155</v>
      </c>
      <c r="B170" s="322">
        <f t="shared" si="56"/>
        <v>143.07692307692307</v>
      </c>
      <c r="C170" s="323">
        <f t="shared" si="57"/>
        <v>620</v>
      </c>
      <c r="D170" s="327">
        <f t="shared" si="58"/>
        <v>5.6065143489084394E-3</v>
      </c>
      <c r="E170" s="327">
        <f t="shared" si="59"/>
        <v>8.7426143955942753E-3</v>
      </c>
      <c r="F170" s="327">
        <f t="shared" si="60"/>
        <v>5.5383223163740447E-2</v>
      </c>
      <c r="G170" s="327">
        <f t="shared" si="61"/>
        <v>5.1007387465192906E-2</v>
      </c>
      <c r="H170" s="327">
        <f t="shared" si="62"/>
        <v>2.7114556229333592E-2</v>
      </c>
      <c r="I170" s="327">
        <f t="shared" si="63"/>
        <v>2.002553915943639E-2</v>
      </c>
      <c r="J170" s="327">
        <f t="shared" si="64"/>
        <v>1.5920891237406971E-5</v>
      </c>
      <c r="K170" s="327">
        <f t="shared" si="65"/>
        <v>6.6405651496363336E-6</v>
      </c>
      <c r="L170" s="327">
        <f t="shared" si="66"/>
        <v>4.7160981200718988E-3</v>
      </c>
      <c r="M170" s="327">
        <f t="shared" si="67"/>
        <v>1.211159327222695E-2</v>
      </c>
      <c r="N170" s="327">
        <f t="shared" si="68"/>
        <v>3.8492332295586178E-2</v>
      </c>
      <c r="O170" s="328">
        <f t="shared" si="69"/>
        <v>3.2006623486233995E-2</v>
      </c>
      <c r="P170" s="327">
        <f t="shared" si="70"/>
        <v>8.1918943613106185E-2</v>
      </c>
      <c r="Q170" s="327">
        <f t="shared" si="71"/>
        <v>0.11307576405343046</v>
      </c>
      <c r="R170" s="327">
        <f t="shared" si="72"/>
        <v>0.12919324371879326</v>
      </c>
      <c r="S170" s="327">
        <f t="shared" si="73"/>
        <v>8.6642183286031307E-2</v>
      </c>
      <c r="T170" s="327">
        <f t="shared" si="74"/>
        <v>2.0013395409052805E-7</v>
      </c>
      <c r="U170" s="328">
        <f t="shared" si="75"/>
        <v>1.5743264847210559E-2</v>
      </c>
      <c r="V170" s="327">
        <f t="shared" si="76"/>
        <v>3.737657404415106E-2</v>
      </c>
      <c r="W170" s="327">
        <f t="shared" si="77"/>
        <v>5.7843912139889209E-2</v>
      </c>
      <c r="X170" s="327">
        <f t="shared" si="78"/>
        <v>9.6683430957967498E-2</v>
      </c>
      <c r="Y170" s="327">
        <f t="shared" si="79"/>
        <v>8.7561456620109154E-2</v>
      </c>
      <c r="Z170" s="327">
        <f t="shared" si="80"/>
        <v>3.1317436559554249E-4</v>
      </c>
      <c r="AA170" s="328">
        <f t="shared" si="81"/>
        <v>4.7548766279366994E-2</v>
      </c>
    </row>
    <row r="171" spans="1:27" ht="12" customHeight="1" x14ac:dyDescent="0.15">
      <c r="A171" s="269">
        <f t="shared" si="55"/>
        <v>156</v>
      </c>
      <c r="B171" s="322">
        <f t="shared" si="56"/>
        <v>144</v>
      </c>
      <c r="C171" s="323">
        <f t="shared" si="57"/>
        <v>624</v>
      </c>
      <c r="D171" s="327">
        <f t="shared" si="58"/>
        <v>5.4221106529957208E-3</v>
      </c>
      <c r="E171" s="327">
        <f t="shared" si="59"/>
        <v>8.4953278368045948E-3</v>
      </c>
      <c r="F171" s="327">
        <f t="shared" si="60"/>
        <v>5.4830823519616434E-2</v>
      </c>
      <c r="G171" s="327">
        <f t="shared" si="61"/>
        <v>5.0572365227461218E-2</v>
      </c>
      <c r="H171" s="327">
        <f t="shared" si="62"/>
        <v>2.674616385553457E-2</v>
      </c>
      <c r="I171" s="327">
        <f t="shared" si="63"/>
        <v>1.966545350400084E-2</v>
      </c>
      <c r="J171" s="327">
        <f t="shared" si="64"/>
        <v>1.4825601631405976E-5</v>
      </c>
      <c r="K171" s="327">
        <f t="shared" si="65"/>
        <v>6.1350543698429332E-6</v>
      </c>
      <c r="L171" s="327">
        <f t="shared" si="66"/>
        <v>4.6381160612786188E-3</v>
      </c>
      <c r="M171" s="327">
        <f t="shared" si="67"/>
        <v>1.1997151927006936E-2</v>
      </c>
      <c r="N171" s="327">
        <f t="shared" si="68"/>
        <v>3.8449827776354521E-2</v>
      </c>
      <c r="O171" s="328">
        <f t="shared" si="69"/>
        <v>3.1799231041915357E-2</v>
      </c>
      <c r="P171" s="327">
        <f t="shared" si="70"/>
        <v>8.0607215593760037E-2</v>
      </c>
      <c r="Q171" s="327">
        <f t="shared" si="71"/>
        <v>0.11197163790678605</v>
      </c>
      <c r="R171" s="327">
        <f t="shared" si="72"/>
        <v>0.1280230342030646</v>
      </c>
      <c r="S171" s="327">
        <f t="shared" si="73"/>
        <v>8.5775615429353538E-2</v>
      </c>
      <c r="T171" s="327">
        <f t="shared" si="74"/>
        <v>1.3867909792451852E-7</v>
      </c>
      <c r="U171" s="328">
        <f t="shared" si="75"/>
        <v>1.5228795501710968E-2</v>
      </c>
      <c r="V171" s="327">
        <f t="shared" si="76"/>
        <v>3.6592363012032121E-2</v>
      </c>
      <c r="W171" s="327">
        <f t="shared" si="77"/>
        <v>5.6980633974851584E-2</v>
      </c>
      <c r="X171" s="327">
        <f t="shared" si="78"/>
        <v>9.5783158766328258E-2</v>
      </c>
      <c r="Y171" s="327">
        <f t="shared" si="79"/>
        <v>8.6811031771319158E-2</v>
      </c>
      <c r="Z171" s="327">
        <f t="shared" si="80"/>
        <v>2.7850367833620425E-4</v>
      </c>
      <c r="AA171" s="328">
        <f t="shared" si="81"/>
        <v>4.6801308733406599E-2</v>
      </c>
    </row>
    <row r="172" spans="1:27" ht="12" customHeight="1" x14ac:dyDescent="0.15">
      <c r="A172" s="269">
        <f t="shared" si="55"/>
        <v>157</v>
      </c>
      <c r="B172" s="322">
        <f t="shared" si="56"/>
        <v>144.92307692307693</v>
      </c>
      <c r="C172" s="323">
        <f t="shared" si="57"/>
        <v>628</v>
      </c>
      <c r="D172" s="327">
        <f t="shared" si="58"/>
        <v>5.2437721735348062E-3</v>
      </c>
      <c r="E172" s="327">
        <f t="shared" si="59"/>
        <v>8.2551291170523573E-3</v>
      </c>
      <c r="F172" s="327">
        <f t="shared" si="60"/>
        <v>5.428627602004088E-2</v>
      </c>
      <c r="G172" s="327">
        <f t="shared" si="61"/>
        <v>5.0143603254161548E-2</v>
      </c>
      <c r="H172" s="327">
        <f t="shared" si="62"/>
        <v>2.6385045966128763E-2</v>
      </c>
      <c r="I172" s="327">
        <f t="shared" si="63"/>
        <v>1.9312781592305539E-2</v>
      </c>
      <c r="J172" s="327">
        <f t="shared" si="64"/>
        <v>1.3805663292059901E-5</v>
      </c>
      <c r="K172" s="327">
        <f t="shared" si="65"/>
        <v>5.6679411731404149E-6</v>
      </c>
      <c r="L172" s="327">
        <f t="shared" si="66"/>
        <v>4.5617739805462465E-3</v>
      </c>
      <c r="M172" s="327">
        <f t="shared" si="67"/>
        <v>1.1884499981886421E-2</v>
      </c>
      <c r="N172" s="327">
        <f t="shared" si="68"/>
        <v>3.8408566395374259E-2</v>
      </c>
      <c r="O172" s="328">
        <f t="shared" si="69"/>
        <v>3.1594462236886098E-2</v>
      </c>
      <c r="P172" s="327">
        <f t="shared" si="70"/>
        <v>7.9316491634291247E-2</v>
      </c>
      <c r="Q172" s="327">
        <f t="shared" si="71"/>
        <v>0.11088039408317082</v>
      </c>
      <c r="R172" s="327">
        <f t="shared" si="72"/>
        <v>0.12686761545272773</v>
      </c>
      <c r="S172" s="327">
        <f t="shared" si="73"/>
        <v>8.4922371049398496E-2</v>
      </c>
      <c r="T172" s="327">
        <f t="shared" si="74"/>
        <v>9.528457236157955E-8</v>
      </c>
      <c r="U172" s="328">
        <f t="shared" si="75"/>
        <v>1.4730600691212681E-2</v>
      </c>
      <c r="V172" s="327">
        <f t="shared" si="76"/>
        <v>3.5824605787107243E-2</v>
      </c>
      <c r="W172" s="327">
        <f t="shared" si="77"/>
        <v>5.6131222302078558E-2</v>
      </c>
      <c r="X172" s="327">
        <f t="shared" si="78"/>
        <v>9.4894762035057534E-2</v>
      </c>
      <c r="Y172" s="327">
        <f t="shared" si="79"/>
        <v>8.6071171065168359E-2</v>
      </c>
      <c r="Z172" s="327">
        <f t="shared" si="80"/>
        <v>2.4731172753928425E-4</v>
      </c>
      <c r="AA172" s="328">
        <f t="shared" si="81"/>
        <v>4.6067258394223654E-2</v>
      </c>
    </row>
    <row r="173" spans="1:27" ht="12" customHeight="1" x14ac:dyDescent="0.15">
      <c r="A173" s="269">
        <f t="shared" si="55"/>
        <v>158</v>
      </c>
      <c r="B173" s="322">
        <f t="shared" si="56"/>
        <v>145.84615384615384</v>
      </c>
      <c r="C173" s="323">
        <f t="shared" si="57"/>
        <v>632</v>
      </c>
      <c r="D173" s="327">
        <f t="shared" si="58"/>
        <v>5.0712994196726322E-3</v>
      </c>
      <c r="E173" s="327">
        <f t="shared" si="59"/>
        <v>8.0218118682384067E-3</v>
      </c>
      <c r="F173" s="327">
        <f t="shared" si="60"/>
        <v>5.3749433084215203E-2</v>
      </c>
      <c r="G173" s="327">
        <f t="shared" si="61"/>
        <v>4.9720975675882066E-2</v>
      </c>
      <c r="H173" s="327">
        <f t="shared" si="62"/>
        <v>2.6031028562115682E-2</v>
      </c>
      <c r="I173" s="327">
        <f t="shared" si="63"/>
        <v>1.8967349211786111E-2</v>
      </c>
      <c r="J173" s="327">
        <f t="shared" si="64"/>
        <v>1.285589237268989E-5</v>
      </c>
      <c r="K173" s="327">
        <f t="shared" si="65"/>
        <v>5.2363158689311676E-6</v>
      </c>
      <c r="L173" s="327">
        <f t="shared" si="66"/>
        <v>4.4870296801114984E-3</v>
      </c>
      <c r="M173" s="327">
        <f t="shared" si="67"/>
        <v>1.1773598563756964E-2</v>
      </c>
      <c r="N173" s="327">
        <f t="shared" si="68"/>
        <v>3.8368510564400639E-2</v>
      </c>
      <c r="O173" s="328">
        <f t="shared" si="69"/>
        <v>3.1392267870727728E-2</v>
      </c>
      <c r="P173" s="327">
        <f t="shared" si="70"/>
        <v>7.8046435406951373E-2</v>
      </c>
      <c r="Q173" s="327">
        <f t="shared" si="71"/>
        <v>0.10980184864644289</v>
      </c>
      <c r="R173" s="327">
        <f t="shared" si="72"/>
        <v>0.12572674296249342</v>
      </c>
      <c r="S173" s="327">
        <f t="shared" si="73"/>
        <v>8.4082178001779986E-2</v>
      </c>
      <c r="T173" s="327">
        <f t="shared" si="74"/>
        <v>6.4903867305751978E-8</v>
      </c>
      <c r="U173" s="328">
        <f t="shared" si="75"/>
        <v>1.4248187775242727E-2</v>
      </c>
      <c r="V173" s="327">
        <f t="shared" si="76"/>
        <v>3.5072957146266723E-2</v>
      </c>
      <c r="W173" s="327">
        <f t="shared" si="77"/>
        <v>5.5295433610565888E-2</v>
      </c>
      <c r="X173" s="327">
        <f t="shared" si="78"/>
        <v>9.401803398286579E-2</v>
      </c>
      <c r="Y173" s="327">
        <f t="shared" si="79"/>
        <v>8.5341669990665309E-2</v>
      </c>
      <c r="Z173" s="327">
        <f t="shared" si="80"/>
        <v>2.1929045085644977E-4</v>
      </c>
      <c r="AA173" s="328">
        <f t="shared" si="81"/>
        <v>4.5346341506709131E-2</v>
      </c>
    </row>
    <row r="174" spans="1:27" ht="12" customHeight="1" x14ac:dyDescent="0.15">
      <c r="A174" s="269">
        <f t="shared" si="55"/>
        <v>159</v>
      </c>
      <c r="B174" s="322">
        <f t="shared" si="56"/>
        <v>146.76923076923077</v>
      </c>
      <c r="C174" s="323">
        <f t="shared" si="57"/>
        <v>636</v>
      </c>
      <c r="D174" s="327">
        <f t="shared" si="58"/>
        <v>4.9044994620037995E-3</v>
      </c>
      <c r="E174" s="327">
        <f t="shared" si="59"/>
        <v>7.7951758457488491E-3</v>
      </c>
      <c r="F174" s="327">
        <f t="shared" si="60"/>
        <v>5.3220150612581119E-2</v>
      </c>
      <c r="G174" s="327">
        <f t="shared" si="61"/>
        <v>4.9304359856502923E-2</v>
      </c>
      <c r="H174" s="327">
        <f t="shared" si="62"/>
        <v>2.5683942458574381E-2</v>
      </c>
      <c r="I174" s="327">
        <f t="shared" si="63"/>
        <v>1.8628986800537151E-2</v>
      </c>
      <c r="J174" s="327">
        <f t="shared" si="64"/>
        <v>1.1971461653221698E-5</v>
      </c>
      <c r="K174" s="327">
        <f t="shared" si="65"/>
        <v>4.8374886879481755E-6</v>
      </c>
      <c r="L174" s="327">
        <f t="shared" si="66"/>
        <v>4.4138422522002063E-3</v>
      </c>
      <c r="M174" s="327">
        <f t="shared" si="67"/>
        <v>1.1664409877015343E-2</v>
      </c>
      <c r="N174" s="327">
        <f t="shared" si="68"/>
        <v>3.8329623900033263E-2</v>
      </c>
      <c r="O174" s="328">
        <f t="shared" si="69"/>
        <v>3.1192599962399939E-2</v>
      </c>
      <c r="P174" s="327">
        <f t="shared" si="70"/>
        <v>7.6796715969443763E-2</v>
      </c>
      <c r="Q174" s="327">
        <f t="shared" si="71"/>
        <v>0.10873582092046556</v>
      </c>
      <c r="R174" s="327">
        <f t="shared" si="72"/>
        <v>0.12460017726611261</v>
      </c>
      <c r="S174" s="327">
        <f t="shared" si="73"/>
        <v>8.3254770984858159E-2</v>
      </c>
      <c r="T174" s="327">
        <f t="shared" si="74"/>
        <v>4.3819564776760326E-8</v>
      </c>
      <c r="U174" s="328">
        <f t="shared" si="75"/>
        <v>1.3781078091108956E-2</v>
      </c>
      <c r="V174" s="327">
        <f t="shared" si="76"/>
        <v>3.4337079109648186E-2</v>
      </c>
      <c r="W174" s="327">
        <f t="shared" si="77"/>
        <v>5.4473029151553776E-2</v>
      </c>
      <c r="X174" s="327">
        <f t="shared" si="78"/>
        <v>9.3152772346977053E-2</v>
      </c>
      <c r="Y174" s="327">
        <f t="shared" si="79"/>
        <v>8.4622329032226731E-2</v>
      </c>
      <c r="Z174" s="327">
        <f t="shared" si="80"/>
        <v>1.9415476516931662E-4</v>
      </c>
      <c r="AA174" s="328">
        <f t="shared" si="81"/>
        <v>4.4638290651738632E-2</v>
      </c>
    </row>
    <row r="175" spans="1:27" ht="12" customHeight="1" x14ac:dyDescent="0.15">
      <c r="A175" s="269">
        <f t="shared" si="55"/>
        <v>160</v>
      </c>
      <c r="B175" s="322">
        <f t="shared" si="56"/>
        <v>147.69230769230768</v>
      </c>
      <c r="C175" s="323">
        <f t="shared" si="57"/>
        <v>640</v>
      </c>
      <c r="D175" s="327">
        <f t="shared" si="58"/>
        <v>4.7431857167582357E-3</v>
      </c>
      <c r="E175" s="327">
        <f t="shared" si="59"/>
        <v>7.5750267424639179E-3</v>
      </c>
      <c r="F175" s="327">
        <f t="shared" si="60"/>
        <v>5.269828788755504E-2</v>
      </c>
      <c r="G175" s="327">
        <f t="shared" si="61"/>
        <v>4.8893636292502006E-2</v>
      </c>
      <c r="H175" s="327">
        <f t="shared" si="62"/>
        <v>2.5343623134992884E-2</v>
      </c>
      <c r="I175" s="327">
        <f t="shared" si="63"/>
        <v>1.829752930707973E-2</v>
      </c>
      <c r="J175" s="327">
        <f t="shared" si="64"/>
        <v>1.1147876005792318E-5</v>
      </c>
      <c r="K175" s="327">
        <f t="shared" si="65"/>
        <v>4.4689732071181922E-6</v>
      </c>
      <c r="L175" s="327">
        <f t="shared" si="66"/>
        <v>4.3421720332312841E-3</v>
      </c>
      <c r="M175" s="327">
        <f t="shared" si="67"/>
        <v>1.1556897167334365E-2</v>
      </c>
      <c r="N175" s="327">
        <f t="shared" si="68"/>
        <v>3.8291871181361861E-2</v>
      </c>
      <c r="O175" s="328">
        <f t="shared" si="69"/>
        <v>3.0995411712752496E-2</v>
      </c>
      <c r="P175" s="327">
        <f t="shared" si="70"/>
        <v>7.5567007678689319E-2</v>
      </c>
      <c r="Q175" s="327">
        <f t="shared" si="71"/>
        <v>0.10768213341738216</v>
      </c>
      <c r="R175" s="327">
        <f t="shared" si="72"/>
        <v>0.12348768381151809</v>
      </c>
      <c r="S175" s="327">
        <f t="shared" si="73"/>
        <v>8.2439891337925147E-2</v>
      </c>
      <c r="T175" s="327">
        <f t="shared" si="74"/>
        <v>2.9317445780965741E-8</v>
      </c>
      <c r="U175" s="328">
        <f t="shared" si="75"/>
        <v>1.3328806598064347E-2</v>
      </c>
      <c r="V175" s="327">
        <f t="shared" si="76"/>
        <v>3.3616640788663547E-2</v>
      </c>
      <c r="W175" s="327">
        <f t="shared" si="77"/>
        <v>5.3663774832778025E-2</v>
      </c>
      <c r="X175" s="327">
        <f t="shared" si="78"/>
        <v>9.2298779263739417E-2</v>
      </c>
      <c r="Y175" s="327">
        <f t="shared" si="79"/>
        <v>8.3912953523422151E-2</v>
      </c>
      <c r="Z175" s="327">
        <f t="shared" si="80"/>
        <v>1.7164126403547005E-4</v>
      </c>
      <c r="AA175" s="328">
        <f t="shared" si="81"/>
        <v>4.3942844580936224E-2</v>
      </c>
    </row>
    <row r="176" spans="1:27" ht="12" customHeight="1" x14ac:dyDescent="0.15">
      <c r="A176" s="269">
        <f t="shared" si="55"/>
        <v>161</v>
      </c>
      <c r="B176" s="322">
        <f t="shared" si="56"/>
        <v>148.61538461538461</v>
      </c>
      <c r="C176" s="323">
        <f t="shared" si="57"/>
        <v>644</v>
      </c>
      <c r="D176" s="327">
        <f t="shared" si="58"/>
        <v>4.5871777370870689E-3</v>
      </c>
      <c r="E176" s="327">
        <f t="shared" si="59"/>
        <v>7.3611760085845069E-3</v>
      </c>
      <c r="F176" s="327">
        <f t="shared" si="60"/>
        <v>5.2183707477591157E-2</v>
      </c>
      <c r="G176" s="327">
        <f t="shared" si="61"/>
        <v>4.8488688515934457E-2</v>
      </c>
      <c r="H176" s="327">
        <f t="shared" si="62"/>
        <v>2.50099105907284E-2</v>
      </c>
      <c r="I176" s="327">
        <f t="shared" si="63"/>
        <v>1.7972816054873775E-2</v>
      </c>
      <c r="J176" s="327">
        <f t="shared" si="64"/>
        <v>1.0380949548217894E-5</v>
      </c>
      <c r="K176" s="327">
        <f t="shared" si="65"/>
        <v>4.1284710197614364E-6</v>
      </c>
      <c r="L176" s="327">
        <f t="shared" si="66"/>
        <v>4.2719805598745442E-3</v>
      </c>
      <c r="M176" s="327">
        <f t="shared" si="67"/>
        <v>1.1451024686862715E-2</v>
      </c>
      <c r="N176" s="327">
        <f t="shared" si="68"/>
        <v>3.8255218309298775E-2</v>
      </c>
      <c r="O176" s="328">
        <f t="shared" si="69"/>
        <v>3.080065746841008E-2</v>
      </c>
      <c r="P176" s="327">
        <f t="shared" si="70"/>
        <v>7.4356990105972187E-2</v>
      </c>
      <c r="Q176" s="327">
        <f t="shared" si="71"/>
        <v>0.10664061176782724</v>
      </c>
      <c r="R176" s="327">
        <f t="shared" si="72"/>
        <v>0.12238903283958213</v>
      </c>
      <c r="S176" s="327">
        <f t="shared" si="73"/>
        <v>8.1637286846132071E-2</v>
      </c>
      <c r="T176" s="327">
        <f t="shared" si="74"/>
        <v>1.9433625173620794E-8</v>
      </c>
      <c r="U176" s="328">
        <f t="shared" si="75"/>
        <v>1.289092152864979E-2</v>
      </c>
      <c r="V176" s="327">
        <f t="shared" si="76"/>
        <v>3.2911318237214375E-2</v>
      </c>
      <c r="W176" s="327">
        <f t="shared" si="77"/>
        <v>5.2867441115435405E-2</v>
      </c>
      <c r="X176" s="327">
        <f t="shared" si="78"/>
        <v>9.1455861152945905E-2</v>
      </c>
      <c r="Y176" s="327">
        <f t="shared" si="79"/>
        <v>8.3213353505677448E-2</v>
      </c>
      <c r="Z176" s="327">
        <f t="shared" si="80"/>
        <v>1.5150695315941477E-4</v>
      </c>
      <c r="AA176" s="328">
        <f t="shared" si="81"/>
        <v>4.3259748056256875E-2</v>
      </c>
    </row>
    <row r="177" spans="1:27" ht="12" customHeight="1" x14ac:dyDescent="0.15">
      <c r="A177" s="269">
        <f t="shared" si="55"/>
        <v>162</v>
      </c>
      <c r="B177" s="322">
        <f t="shared" si="56"/>
        <v>149.53846153846155</v>
      </c>
      <c r="C177" s="323">
        <f t="shared" si="57"/>
        <v>648</v>
      </c>
      <c r="D177" s="327">
        <f t="shared" si="58"/>
        <v>4.4363010112133386E-3</v>
      </c>
      <c r="E177" s="327">
        <f t="shared" si="59"/>
        <v>7.1534406770873121E-3</v>
      </c>
      <c r="F177" s="327">
        <f t="shared" si="60"/>
        <v>5.1676275144442285E-2</v>
      </c>
      <c r="G177" s="327">
        <f t="shared" si="61"/>
        <v>4.8089403000931362E-2</v>
      </c>
      <c r="H177" s="327">
        <f t="shared" si="62"/>
        <v>2.4682649205407563E-2</v>
      </c>
      <c r="I177" s="327">
        <f t="shared" si="63"/>
        <v>1.7654690611397905E-2</v>
      </c>
      <c r="J177" s="327">
        <f t="shared" si="64"/>
        <v>9.6667843692064946E-6</v>
      </c>
      <c r="K177" s="327">
        <f t="shared" si="65"/>
        <v>3.8138575578881176E-6</v>
      </c>
      <c r="L177" s="327">
        <f t="shared" si="66"/>
        <v>4.2032305268787651E-3</v>
      </c>
      <c r="M177" s="327">
        <f t="shared" si="67"/>
        <v>1.1346757660789195E-2</v>
      </c>
      <c r="N177" s="327">
        <f t="shared" si="68"/>
        <v>3.8219632267521217E-2</v>
      </c>
      <c r="O177" s="328">
        <f t="shared" si="69"/>
        <v>3.0608292686972287E-2</v>
      </c>
      <c r="P177" s="327">
        <f t="shared" si="70"/>
        <v>7.316634795344519E-2</v>
      </c>
      <c r="Q177" s="327">
        <f t="shared" si="71"/>
        <v>0.10561108465300742</v>
      </c>
      <c r="R177" s="327">
        <f t="shared" si="72"/>
        <v>0.12130399926637203</v>
      </c>
      <c r="S177" s="327">
        <f t="shared" si="73"/>
        <v>8.0846711551910255E-2</v>
      </c>
      <c r="T177" s="327">
        <f t="shared" si="74"/>
        <v>1.2760217222332098E-8</v>
      </c>
      <c r="U177" s="328">
        <f t="shared" si="75"/>
        <v>1.2466984047162732E-2</v>
      </c>
      <c r="V177" s="327">
        <f t="shared" si="76"/>
        <v>3.2220794306029199E-2</v>
      </c>
      <c r="W177" s="327">
        <f t="shared" si="77"/>
        <v>5.2083802913778565E-2</v>
      </c>
      <c r="X177" s="327">
        <f t="shared" si="78"/>
        <v>9.062382860573226E-2</v>
      </c>
      <c r="Y177" s="327">
        <f t="shared" si="79"/>
        <v>8.2523343591747747E-2</v>
      </c>
      <c r="Z177" s="327">
        <f t="shared" si="80"/>
        <v>1.335280257711474E-4</v>
      </c>
      <c r="AA177" s="328">
        <f t="shared" si="81"/>
        <v>4.2588751694234261E-2</v>
      </c>
    </row>
    <row r="178" spans="1:27" ht="12" customHeight="1" x14ac:dyDescent="0.15">
      <c r="A178" s="269">
        <f t="shared" si="55"/>
        <v>163</v>
      </c>
      <c r="B178" s="322">
        <f t="shared" si="56"/>
        <v>150.46153846153845</v>
      </c>
      <c r="C178" s="323">
        <f t="shared" si="57"/>
        <v>652</v>
      </c>
      <c r="D178" s="327">
        <f t="shared" si="58"/>
        <v>4.2903867672217403E-3</v>
      </c>
      <c r="E178" s="327">
        <f t="shared" si="59"/>
        <v>6.9516431946257057E-3</v>
      </c>
      <c r="F178" s="327">
        <f t="shared" si="60"/>
        <v>5.1175859753497921E-2</v>
      </c>
      <c r="G178" s="327">
        <f t="shared" si="61"/>
        <v>4.769566907357279E-2</v>
      </c>
      <c r="H178" s="327">
        <f t="shared" si="62"/>
        <v>2.4361687604082485E-2</v>
      </c>
      <c r="I178" s="327">
        <f t="shared" si="63"/>
        <v>1.7343000661623198E-2</v>
      </c>
      <c r="J178" s="327">
        <f t="shared" si="64"/>
        <v>9.0017507171853467E-6</v>
      </c>
      <c r="K178" s="327">
        <f t="shared" si="65"/>
        <v>3.5231689803055558E-6</v>
      </c>
      <c r="L178" s="327">
        <f t="shared" si="66"/>
        <v>4.1358857465889631E-3</v>
      </c>
      <c r="M178" s="327">
        <f t="shared" si="67"/>
        <v>1.1244062255209955E-2</v>
      </c>
      <c r="N178" s="327">
        <f t="shared" si="68"/>
        <v>3.8185081084949946E-2</v>
      </c>
      <c r="O178" s="328">
        <f t="shared" si="69"/>
        <v>3.0418273903473361E-2</v>
      </c>
      <c r="P178" s="327">
        <f t="shared" si="70"/>
        <v>7.1994770971971461E-2</v>
      </c>
      <c r="Q178" s="327">
        <f t="shared" si="71"/>
        <v>0.1045933837385936</v>
      </c>
      <c r="R178" s="327">
        <f t="shared" si="72"/>
        <v>0.12023236256878445</v>
      </c>
      <c r="S178" s="327">
        <f t="shared" si="73"/>
        <v>8.0067925572648399E-2</v>
      </c>
      <c r="T178" s="327">
        <f t="shared" si="74"/>
        <v>8.297431050675928E-9</v>
      </c>
      <c r="U178" s="328">
        <f t="shared" si="75"/>
        <v>1.2056567915201599E-2</v>
      </c>
      <c r="V178" s="327">
        <f t="shared" si="76"/>
        <v>3.1544758500056856E-2</v>
      </c>
      <c r="W178" s="327">
        <f t="shared" si="77"/>
        <v>5.1312639497262232E-2</v>
      </c>
      <c r="X178" s="327">
        <f t="shared" si="78"/>
        <v>8.9802496275920629E-2</v>
      </c>
      <c r="Y178" s="327">
        <f t="shared" si="79"/>
        <v>8.1842742833775725E-2</v>
      </c>
      <c r="Z178" s="327">
        <f t="shared" si="80"/>
        <v>1.1749867950607443E-4</v>
      </c>
      <c r="AA178" s="328">
        <f t="shared" si="81"/>
        <v>4.1929611814739309E-2</v>
      </c>
    </row>
    <row r="179" spans="1:27" ht="12" customHeight="1" x14ac:dyDescent="0.15">
      <c r="A179" s="269">
        <f t="shared" si="55"/>
        <v>164</v>
      </c>
      <c r="B179" s="322">
        <f t="shared" si="56"/>
        <v>151.38461538461539</v>
      </c>
      <c r="C179" s="323">
        <f t="shared" si="57"/>
        <v>656</v>
      </c>
      <c r="D179" s="327">
        <f t="shared" si="58"/>
        <v>4.1492717842689644E-3</v>
      </c>
      <c r="E179" s="327">
        <f t="shared" si="59"/>
        <v>6.7556112577005388E-3</v>
      </c>
      <c r="F179" s="327">
        <f t="shared" si="60"/>
        <v>5.0682333187079487E-2</v>
      </c>
      <c r="G179" s="327">
        <f t="shared" si="61"/>
        <v>4.7307378824994598E-2</v>
      </c>
      <c r="H179" s="327">
        <f t="shared" si="62"/>
        <v>2.4046878526966478E-2</v>
      </c>
      <c r="I179" s="327">
        <f t="shared" si="63"/>
        <v>1.703759788571757E-2</v>
      </c>
      <c r="J179" s="327">
        <f t="shared" si="64"/>
        <v>8.3824685520525534E-6</v>
      </c>
      <c r="K179" s="327">
        <f t="shared" si="65"/>
        <v>3.254590046687957E-6</v>
      </c>
      <c r="L179" s="327">
        <f t="shared" si="66"/>
        <v>4.0699111100779284E-3</v>
      </c>
      <c r="M179" s="327">
        <f t="shared" si="67"/>
        <v>1.1142905546240672E-2</v>
      </c>
      <c r="N179" s="327">
        <f t="shared" si="68"/>
        <v>3.8151533799695082E-2</v>
      </c>
      <c r="O179" s="328">
        <f t="shared" si="69"/>
        <v>3.0230558698047989E-2</v>
      </c>
      <c r="P179" s="327">
        <f t="shared" si="70"/>
        <v>7.0841953880281874E-2</v>
      </c>
      <c r="Q179" s="327">
        <f t="shared" si="71"/>
        <v>0.10358734361036481</v>
      </c>
      <c r="R179" s="327">
        <f t="shared" si="72"/>
        <v>0.11917390667345029</v>
      </c>
      <c r="S179" s="327">
        <f t="shared" si="73"/>
        <v>7.9300694924395745E-2</v>
      </c>
      <c r="T179" s="327">
        <f t="shared" si="74"/>
        <v>5.3421141280100204E-9</v>
      </c>
      <c r="U179" s="328">
        <f t="shared" si="75"/>
        <v>1.1659259164224611E-2</v>
      </c>
      <c r="V179" s="327">
        <f t="shared" si="76"/>
        <v>3.0882906838851872E-2</v>
      </c>
      <c r="W179" s="327">
        <f t="shared" si="77"/>
        <v>5.0553734395166895E-2</v>
      </c>
      <c r="X179" s="327">
        <f t="shared" si="78"/>
        <v>8.8991682774692826E-2</v>
      </c>
      <c r="Y179" s="327">
        <f t="shared" si="79"/>
        <v>8.1171374595763873E-2</v>
      </c>
      <c r="Z179" s="327">
        <f t="shared" si="80"/>
        <v>1.032299760980682E-4</v>
      </c>
      <c r="AA179" s="328">
        <f t="shared" si="81"/>
        <v>4.1282090294108897E-2</v>
      </c>
    </row>
    <row r="180" spans="1:27" ht="12" customHeight="1" x14ac:dyDescent="0.15">
      <c r="A180" s="269">
        <f t="shared" si="55"/>
        <v>165</v>
      </c>
      <c r="B180" s="322">
        <f t="shared" si="56"/>
        <v>152.30769230769232</v>
      </c>
      <c r="C180" s="323">
        <f t="shared" si="57"/>
        <v>660</v>
      </c>
      <c r="D180" s="327">
        <f t="shared" si="58"/>
        <v>4.0127982100036097E-3</v>
      </c>
      <c r="E180" s="327">
        <f t="shared" si="59"/>
        <v>6.5651776539307162E-3</v>
      </c>
      <c r="F180" s="327">
        <f t="shared" si="60"/>
        <v>5.0195570260583744E-2</v>
      </c>
      <c r="G180" s="327">
        <f t="shared" si="61"/>
        <v>4.6924427027598303E-2</v>
      </c>
      <c r="H180" s="327">
        <f t="shared" si="62"/>
        <v>2.373807870358036E-2</v>
      </c>
      <c r="I180" s="327">
        <f t="shared" si="63"/>
        <v>1.6738337840823792E-2</v>
      </c>
      <c r="J180" s="327">
        <f t="shared" si="64"/>
        <v>7.8057903660900996E-6</v>
      </c>
      <c r="K180" s="327">
        <f t="shared" si="65"/>
        <v>3.0064429037193436E-6</v>
      </c>
      <c r="L180" s="327">
        <f t="shared" si="66"/>
        <v>4.0052725498189723E-3</v>
      </c>
      <c r="M180" s="327">
        <f t="shared" si="67"/>
        <v>1.1043255490318487E-2</v>
      </c>
      <c r="N180" s="327">
        <f t="shared" si="68"/>
        <v>3.8118960424403291E-2</v>
      </c>
      <c r="O180" s="328">
        <f t="shared" si="69"/>
        <v>3.0045105664754362E-2</v>
      </c>
      <c r="P180" s="327">
        <f t="shared" si="70"/>
        <v>6.970759628542729E-2</v>
      </c>
      <c r="Q180" s="327">
        <f t="shared" si="71"/>
        <v>0.10259280171155145</v>
      </c>
      <c r="R180" s="327">
        <f t="shared" si="72"/>
        <v>0.11812841984880451</v>
      </c>
      <c r="S180" s="327">
        <f t="shared" si="73"/>
        <v>7.8544791351374321E-2</v>
      </c>
      <c r="T180" s="327">
        <f t="shared" si="74"/>
        <v>3.4046065754965011E-9</v>
      </c>
      <c r="U180" s="328">
        <f t="shared" si="75"/>
        <v>1.1274655775057374E-2</v>
      </c>
      <c r="V180" s="327">
        <f t="shared" si="76"/>
        <v>3.0234941719889358E-2</v>
      </c>
      <c r="W180" s="327">
        <f t="shared" si="77"/>
        <v>4.9806875303626E-2</v>
      </c>
      <c r="X180" s="327">
        <f t="shared" si="78"/>
        <v>8.819121056847179E-2</v>
      </c>
      <c r="Y180" s="327">
        <f t="shared" si="79"/>
        <v>8.0509066430292625E-2</v>
      </c>
      <c r="Z180" s="327">
        <f t="shared" si="80"/>
        <v>9.0548744923767894E-5</v>
      </c>
      <c r="AA180" s="328">
        <f t="shared" si="81"/>
        <v>4.0645954422503183E-2</v>
      </c>
    </row>
    <row r="181" spans="1:27" ht="12" customHeight="1" x14ac:dyDescent="0.15">
      <c r="A181" s="269">
        <f t="shared" si="55"/>
        <v>166</v>
      </c>
      <c r="B181" s="322">
        <f t="shared" si="56"/>
        <v>153.23076923076923</v>
      </c>
      <c r="C181" s="323">
        <f t="shared" si="57"/>
        <v>664</v>
      </c>
      <c r="D181" s="327">
        <f t="shared" si="58"/>
        <v>3.8808133839912306E-3</v>
      </c>
      <c r="E181" s="327">
        <f t="shared" si="59"/>
        <v>6.380180108258156E-3</v>
      </c>
      <c r="F181" s="327">
        <f t="shared" si="60"/>
        <v>4.9715448641363569E-2</v>
      </c>
      <c r="G181" s="327">
        <f t="shared" si="61"/>
        <v>4.6546711054235336E-2</v>
      </c>
      <c r="H181" s="327">
        <f t="shared" si="62"/>
        <v>2.3435148731146372E-2</v>
      </c>
      <c r="I181" s="327">
        <f t="shared" si="63"/>
        <v>1.6445079846758137E-2</v>
      </c>
      <c r="J181" s="327">
        <f t="shared" si="64"/>
        <v>7.2687851867246994E-6</v>
      </c>
      <c r="K181" s="327">
        <f t="shared" si="65"/>
        <v>2.7771767149357616E-6</v>
      </c>
      <c r="L181" s="327">
        <f t="shared" si="66"/>
        <v>3.9419370038314971E-3</v>
      </c>
      <c r="M181" s="327">
        <f t="shared" si="67"/>
        <v>1.0945080895640932E-2</v>
      </c>
      <c r="N181" s="327">
        <f t="shared" si="68"/>
        <v>3.8087331912943591E-2</v>
      </c>
      <c r="O181" s="328">
        <f t="shared" si="69"/>
        <v>2.9861874381504679E-2</v>
      </c>
      <c r="P181" s="327">
        <f t="shared" si="70"/>
        <v>6.8591402604503998E-2</v>
      </c>
      <c r="Q181" s="327">
        <f t="shared" si="71"/>
        <v>0.10160959828181877</v>
      </c>
      <c r="R181" s="327">
        <f t="shared" si="72"/>
        <v>0.11709569460021352</v>
      </c>
      <c r="S181" s="327">
        <f t="shared" si="73"/>
        <v>7.7799992161085726E-2</v>
      </c>
      <c r="T181" s="327">
        <f t="shared" si="74"/>
        <v>2.1473508202340706E-9</v>
      </c>
      <c r="U181" s="328">
        <f t="shared" si="75"/>
        <v>1.0902367364282628E-2</v>
      </c>
      <c r="V181" s="327">
        <f t="shared" si="76"/>
        <v>2.9600571784747592E-2</v>
      </c>
      <c r="W181" s="327">
        <f t="shared" si="77"/>
        <v>4.9071853994985794E-2</v>
      </c>
      <c r="X181" s="327">
        <f t="shared" si="78"/>
        <v>8.7400905879900681E-2</v>
      </c>
      <c r="Y181" s="327">
        <f t="shared" si="79"/>
        <v>7.9855649959324038E-2</v>
      </c>
      <c r="Z181" s="327">
        <f t="shared" si="80"/>
        <v>7.929653117231339E-5</v>
      </c>
      <c r="AA181" s="328">
        <f t="shared" si="81"/>
        <v>4.0020976765354432E-2</v>
      </c>
    </row>
    <row r="182" spans="1:27" ht="12" customHeight="1" x14ac:dyDescent="0.15">
      <c r="A182" s="269">
        <f t="shared" si="55"/>
        <v>167</v>
      </c>
      <c r="B182" s="322">
        <f t="shared" si="56"/>
        <v>154.15384615384616</v>
      </c>
      <c r="C182" s="323">
        <f t="shared" si="57"/>
        <v>668</v>
      </c>
      <c r="D182" s="327">
        <f t="shared" si="58"/>
        <v>3.7531696669471748E-3</v>
      </c>
      <c r="E182" s="327">
        <f t="shared" si="59"/>
        <v>6.2004611339292661E-3</v>
      </c>
      <c r="F182" s="327">
        <f t="shared" si="60"/>
        <v>4.9241848770246066E-2</v>
      </c>
      <c r="G182" s="327">
        <f t="shared" si="61"/>
        <v>4.6174130800246245E-2</v>
      </c>
      <c r="H182" s="327">
        <f t="shared" si="62"/>
        <v>2.3137952957073847E-2</v>
      </c>
      <c r="I182" s="327">
        <f t="shared" si="63"/>
        <v>1.6157686875487576E-2</v>
      </c>
      <c r="J182" s="327">
        <f t="shared" si="64"/>
        <v>6.7687236798306769E-6</v>
      </c>
      <c r="K182" s="327">
        <f t="shared" si="65"/>
        <v>2.5653580710009263E-6</v>
      </c>
      <c r="L182" s="327">
        <f t="shared" si="66"/>
        <v>3.8798723812341063E-3</v>
      </c>
      <c r="M182" s="327">
        <f t="shared" si="67"/>
        <v>1.0848351394692372E-2</v>
      </c>
      <c r="N182" s="327">
        <f t="shared" si="68"/>
        <v>3.8056620128372853E-2</v>
      </c>
      <c r="O182" s="328">
        <f t="shared" si="69"/>
        <v>2.9680825381059275E-2</v>
      </c>
      <c r="P182" s="327">
        <f t="shared" si="70"/>
        <v>6.7493081987632833E-2</v>
      </c>
      <c r="Q182" s="327">
        <f t="shared" si="71"/>
        <v>0.10063757629784549</v>
      </c>
      <c r="R182" s="327">
        <f t="shared" si="72"/>
        <v>0.11607552756806561</v>
      </c>
      <c r="S182" s="327">
        <f t="shared" si="73"/>
        <v>7.706608006481204E-2</v>
      </c>
      <c r="T182" s="327">
        <f t="shared" si="74"/>
        <v>1.3400378008250281E-9</v>
      </c>
      <c r="U182" s="328">
        <f t="shared" si="75"/>
        <v>1.0542014877436445E-2</v>
      </c>
      <c r="V182" s="327">
        <f t="shared" si="76"/>
        <v>2.8979511788098145E-2</v>
      </c>
      <c r="W182" s="327">
        <f t="shared" si="77"/>
        <v>4.8348466229430231E-2</v>
      </c>
      <c r="X182" s="327">
        <f t="shared" si="78"/>
        <v>8.6620598591810594E-2</v>
      </c>
      <c r="Y182" s="327">
        <f t="shared" si="79"/>
        <v>7.9210960758939422E-2</v>
      </c>
      <c r="Z182" s="327">
        <f t="shared" si="80"/>
        <v>6.932858916176279E-5</v>
      </c>
      <c r="AA182" s="328">
        <f t="shared" si="81"/>
        <v>3.9406935028781565E-2</v>
      </c>
    </row>
    <row r="183" spans="1:27" ht="12" customHeight="1" x14ac:dyDescent="0.15">
      <c r="A183" s="269">
        <f t="shared" si="55"/>
        <v>168</v>
      </c>
      <c r="B183" s="322">
        <f t="shared" si="56"/>
        <v>155.07692307692307</v>
      </c>
      <c r="C183" s="323">
        <f t="shared" si="57"/>
        <v>672</v>
      </c>
      <c r="D183" s="327">
        <f t="shared" si="58"/>
        <v>3.6297242755860891E-3</v>
      </c>
      <c r="E183" s="327">
        <f t="shared" si="59"/>
        <v>6.0258678880984193E-3</v>
      </c>
      <c r="F183" s="327">
        <f t="shared" si="60"/>
        <v>4.8774653785587652E-2</v>
      </c>
      <c r="G183" s="327">
        <f t="shared" si="61"/>
        <v>4.5806588608239149E-2</v>
      </c>
      <c r="H183" s="327">
        <f t="shared" si="62"/>
        <v>2.2846359365386704E-2</v>
      </c>
      <c r="I183" s="327">
        <f t="shared" si="63"/>
        <v>1.587602544424338E-2</v>
      </c>
      <c r="J183" s="327">
        <f t="shared" si="64"/>
        <v>6.3030642778625097E-6</v>
      </c>
      <c r="K183" s="327">
        <f t="shared" si="65"/>
        <v>2.3696621218743439E-6</v>
      </c>
      <c r="L183" s="327">
        <f t="shared" si="66"/>
        <v>3.8190475291421944E-3</v>
      </c>
      <c r="M183" s="327">
        <f t="shared" si="67"/>
        <v>1.0753037417810146E-2</v>
      </c>
      <c r="N183" s="327">
        <f t="shared" si="68"/>
        <v>3.8026797812124438E-2</v>
      </c>
      <c r="O183" s="328">
        <f t="shared" si="69"/>
        <v>2.950192012303951E-2</v>
      </c>
      <c r="P183" s="327">
        <f t="shared" si="70"/>
        <v>6.6412348242171834E-2</v>
      </c>
      <c r="Q183" s="327">
        <f t="shared" si="71"/>
        <v>9.9676581415442292E-2</v>
      </c>
      <c r="R183" s="327">
        <f t="shared" si="72"/>
        <v>0.11506771942872696</v>
      </c>
      <c r="S183" s="327">
        <f t="shared" si="73"/>
        <v>7.6342843023315829E-2</v>
      </c>
      <c r="T183" s="327">
        <f t="shared" si="74"/>
        <v>8.271844214486236E-10</v>
      </c>
      <c r="U183" s="328">
        <f t="shared" si="75"/>
        <v>1.0193230288935595E-2</v>
      </c>
      <c r="V183" s="327">
        <f t="shared" si="76"/>
        <v>2.8371482469445188E-2</v>
      </c>
      <c r="W183" s="327">
        <f t="shared" si="77"/>
        <v>4.7636511668806683E-2</v>
      </c>
      <c r="X183" s="327">
        <f t="shared" si="78"/>
        <v>8.5850122154074948E-2</v>
      </c>
      <c r="Y183" s="327">
        <f t="shared" si="79"/>
        <v>7.8574838247863363E-2</v>
      </c>
      <c r="Z183" s="327">
        <f t="shared" si="80"/>
        <v>6.0512921082543881E-5</v>
      </c>
      <c r="AA183" s="328">
        <f t="shared" si="81"/>
        <v>3.8803611928840853E-2</v>
      </c>
    </row>
    <row r="184" spans="1:27" ht="12" customHeight="1" x14ac:dyDescent="0.15">
      <c r="A184" s="269">
        <f t="shared" si="55"/>
        <v>169</v>
      </c>
      <c r="B184" s="322">
        <f t="shared" si="56"/>
        <v>156</v>
      </c>
      <c r="C184" s="323">
        <f t="shared" si="57"/>
        <v>676</v>
      </c>
      <c r="D184" s="327">
        <f t="shared" si="58"/>
        <v>3.5103391229033914E-3</v>
      </c>
      <c r="E184" s="327">
        <f t="shared" si="59"/>
        <v>5.8562520319054229E-3</v>
      </c>
      <c r="F184" s="327">
        <f t="shared" si="60"/>
        <v>4.8313749449771293E-2</v>
      </c>
      <c r="G184" s="327">
        <f t="shared" si="61"/>
        <v>4.5443989195496998E-2</v>
      </c>
      <c r="H184" s="327">
        <f t="shared" si="62"/>
        <v>2.2560239466948819E-2</v>
      </c>
      <c r="I184" s="327">
        <f t="shared" si="63"/>
        <v>1.5599965512140823E-2</v>
      </c>
      <c r="J184" s="327">
        <f t="shared" si="64"/>
        <v>5.8694402623125253E-6</v>
      </c>
      <c r="K184" s="327">
        <f t="shared" si="65"/>
        <v>2.1888643767061894E-6</v>
      </c>
      <c r="L184" s="327">
        <f t="shared" si="66"/>
        <v>3.7594322008533965E-3</v>
      </c>
      <c r="M184" s="327">
        <f t="shared" si="67"/>
        <v>1.0659110167745485E-2</v>
      </c>
      <c r="N184" s="327">
        <f t="shared" si="68"/>
        <v>3.7997838554366545E-2</v>
      </c>
      <c r="O184" s="328">
        <f t="shared" si="69"/>
        <v>2.9325120966918333E-2</v>
      </c>
      <c r="P184" s="327">
        <f t="shared" si="70"/>
        <v>6.5348919758141749E-2</v>
      </c>
      <c r="Q184" s="327">
        <f t="shared" si="71"/>
        <v>9.8726461913163727E-2</v>
      </c>
      <c r="R184" s="327">
        <f t="shared" si="72"/>
        <v>0.11407207479826897</v>
      </c>
      <c r="S184" s="327">
        <f t="shared" si="73"/>
        <v>7.563007409754903E-2</v>
      </c>
      <c r="T184" s="327">
        <f t="shared" si="74"/>
        <v>5.0495154069230068E-10</v>
      </c>
      <c r="U184" s="328">
        <f t="shared" si="75"/>
        <v>9.8556563086547033E-3</v>
      </c>
      <c r="V184" s="327">
        <f t="shared" si="76"/>
        <v>2.7776210427555362E-2</v>
      </c>
      <c r="W184" s="327">
        <f t="shared" si="77"/>
        <v>4.6935793792585619E-2</v>
      </c>
      <c r="X184" s="327">
        <f t="shared" si="78"/>
        <v>8.508931349324711E-2</v>
      </c>
      <c r="Y184" s="327">
        <f t="shared" si="79"/>
        <v>7.7947125579631904E-2</v>
      </c>
      <c r="Z184" s="327">
        <f t="shared" si="80"/>
        <v>5.2729361220421775E-5</v>
      </c>
      <c r="AA184" s="328">
        <f t="shared" si="81"/>
        <v>3.8210795064492764E-2</v>
      </c>
    </row>
    <row r="185" spans="1:27" ht="12" customHeight="1" x14ac:dyDescent="0.15">
      <c r="A185" s="269">
        <f t="shared" si="55"/>
        <v>170</v>
      </c>
      <c r="B185" s="322">
        <f t="shared" si="56"/>
        <v>156.92307692307693</v>
      </c>
      <c r="C185" s="323">
        <f t="shared" si="57"/>
        <v>680</v>
      </c>
      <c r="D185" s="327">
        <f t="shared" si="58"/>
        <v>3.3948806637100382E-3</v>
      </c>
      <c r="E185" s="327">
        <f t="shared" si="59"/>
        <v>5.6914695948836582E-3</v>
      </c>
      <c r="F185" s="327">
        <f t="shared" si="60"/>
        <v>4.7859024078058532E-2</v>
      </c>
      <c r="G185" s="327">
        <f t="shared" si="61"/>
        <v>4.5086239583909227E-2</v>
      </c>
      <c r="H185" s="327">
        <f t="shared" si="62"/>
        <v>2.2279468193348712E-2</v>
      </c>
      <c r="I185" s="327">
        <f t="shared" si="63"/>
        <v>1.532938038017484E-2</v>
      </c>
      <c r="J185" s="327">
        <f t="shared" si="64"/>
        <v>5.4656477348408314E-6</v>
      </c>
      <c r="K185" s="327">
        <f t="shared" si="65"/>
        <v>2.0218331213441313E-6</v>
      </c>
      <c r="L185" s="327">
        <f t="shared" si="66"/>
        <v>3.7009970252614988E-3</v>
      </c>
      <c r="M185" s="327">
        <f t="shared" si="67"/>
        <v>1.0566541595176388E-2</v>
      </c>
      <c r="N185" s="327">
        <f t="shared" si="68"/>
        <v>3.7969716765479507E-2</v>
      </c>
      <c r="O185" s="328">
        <f t="shared" si="69"/>
        <v>2.9150391145949382E-2</v>
      </c>
      <c r="P185" s="327">
        <f t="shared" si="70"/>
        <v>6.430251943484655E-2</v>
      </c>
      <c r="Q185" s="327">
        <f t="shared" si="71"/>
        <v>9.7787068637370869E-2</v>
      </c>
      <c r="R185" s="327">
        <f t="shared" si="72"/>
        <v>0.11308840213888305</v>
      </c>
      <c r="S185" s="327">
        <f t="shared" si="73"/>
        <v>7.4927571304195237E-2</v>
      </c>
      <c r="T185" s="327">
        <f t="shared" si="74"/>
        <v>3.0475258673901095E-10</v>
      </c>
      <c r="U185" s="328">
        <f t="shared" si="75"/>
        <v>9.5289460950704896E-3</v>
      </c>
      <c r="V185" s="327">
        <f t="shared" si="76"/>
        <v>2.7193427997522699E-2</v>
      </c>
      <c r="W185" s="327">
        <f t="shared" si="77"/>
        <v>4.6246119815896075E-2</v>
      </c>
      <c r="X185" s="327">
        <f t="shared" si="78"/>
        <v>8.4338012924890515E-2</v>
      </c>
      <c r="Y185" s="327">
        <f t="shared" si="79"/>
        <v>7.7327669538273941E-2</v>
      </c>
      <c r="Z185" s="327">
        <f t="shared" si="80"/>
        <v>4.5868705497448928E-5</v>
      </c>
      <c r="AA185" s="328">
        <f t="shared" si="81"/>
        <v>3.7628276794169135E-2</v>
      </c>
    </row>
    <row r="186" spans="1:27" ht="12" customHeight="1" x14ac:dyDescent="0.15">
      <c r="A186" s="269">
        <f t="shared" si="55"/>
        <v>171</v>
      </c>
      <c r="B186" s="322">
        <f t="shared" si="56"/>
        <v>157.84615384615384</v>
      </c>
      <c r="C186" s="323">
        <f t="shared" si="57"/>
        <v>684</v>
      </c>
      <c r="D186" s="327">
        <f t="shared" si="58"/>
        <v>3.2832197452478205E-3</v>
      </c>
      <c r="E186" s="327">
        <f t="shared" si="59"/>
        <v>5.5313808435598017E-3</v>
      </c>
      <c r="F186" s="327">
        <f t="shared" si="60"/>
        <v>4.7410368469706032E-2</v>
      </c>
      <c r="G186" s="327">
        <f t="shared" si="61"/>
        <v>4.4733249032326998E-2</v>
      </c>
      <c r="H186" s="327">
        <f t="shared" si="62"/>
        <v>2.2003923794311028E-2</v>
      </c>
      <c r="I186" s="327">
        <f t="shared" si="63"/>
        <v>1.5064146594469863E-2</v>
      </c>
      <c r="J186" s="327">
        <f t="shared" si="64"/>
        <v>5.0896344159401671E-6</v>
      </c>
      <c r="K186" s="327">
        <f t="shared" si="65"/>
        <v>1.8675224070827022E-6</v>
      </c>
      <c r="L186" s="327">
        <f t="shared" si="66"/>
        <v>3.6437134774479629E-3</v>
      </c>
      <c r="M186" s="327">
        <f t="shared" si="67"/>
        <v>1.047530437513155E-2</v>
      </c>
      <c r="N186" s="327">
        <f t="shared" si="68"/>
        <v>3.7942407648603668E-2</v>
      </c>
      <c r="O186" s="328">
        <f t="shared" si="69"/>
        <v>2.8977694741995835E-2</v>
      </c>
      <c r="P186" s="327">
        <f t="shared" si="70"/>
        <v>6.327287460866815E-2</v>
      </c>
      <c r="Q186" s="327">
        <f t="shared" si="71"/>
        <v>9.6858254948693864E-2</v>
      </c>
      <c r="R186" s="327">
        <f t="shared" si="72"/>
        <v>0.11211651366789288</v>
      </c>
      <c r="S186" s="327">
        <f t="shared" si="73"/>
        <v>7.4235137475867755E-2</v>
      </c>
      <c r="T186" s="327">
        <f t="shared" si="74"/>
        <v>1.8179467168447812E-10</v>
      </c>
      <c r="U186" s="328">
        <f t="shared" si="75"/>
        <v>9.2127629748861573E-3</v>
      </c>
      <c r="V186" s="327">
        <f t="shared" si="76"/>
        <v>2.6622873130412665E-2</v>
      </c>
      <c r="W186" s="327">
        <f t="shared" si="77"/>
        <v>4.5567300609575999E-2</v>
      </c>
      <c r="X186" s="327">
        <f t="shared" si="78"/>
        <v>8.359606406850506E-2</v>
      </c>
      <c r="Y186" s="327">
        <f t="shared" si="79"/>
        <v>7.6716320437371935E-2</v>
      </c>
      <c r="Z186" s="327">
        <f t="shared" si="80"/>
        <v>3.9831885969828133E-5</v>
      </c>
      <c r="AA186" s="328">
        <f t="shared" si="81"/>
        <v>3.7055854115824682E-2</v>
      </c>
    </row>
    <row r="187" spans="1:27" ht="12" customHeight="1" x14ac:dyDescent="0.15">
      <c r="A187" s="269">
        <f t="shared" si="55"/>
        <v>172</v>
      </c>
      <c r="B187" s="322">
        <f t="shared" si="56"/>
        <v>158.76923076923077</v>
      </c>
      <c r="C187" s="323">
        <f t="shared" si="57"/>
        <v>688</v>
      </c>
      <c r="D187" s="327">
        <f t="shared" si="58"/>
        <v>3.175231462718019E-3</v>
      </c>
      <c r="E187" s="327">
        <f t="shared" si="59"/>
        <v>5.3758501541113597E-3</v>
      </c>
      <c r="F187" s="327">
        <f t="shared" si="60"/>
        <v>4.6967675841265155E-2</v>
      </c>
      <c r="G187" s="327">
        <f t="shared" si="61"/>
        <v>4.4384928971245907E-2</v>
      </c>
      <c r="H187" s="327">
        <f t="shared" si="62"/>
        <v>2.1733487738506609E-2</v>
      </c>
      <c r="I187" s="327">
        <f t="shared" si="63"/>
        <v>1.4804143852665819E-2</v>
      </c>
      <c r="J187" s="327">
        <f t="shared" si="64"/>
        <v>4.7394892142050829E-6</v>
      </c>
      <c r="K187" s="327">
        <f t="shared" si="65"/>
        <v>1.7249655677560946E-6</v>
      </c>
      <c r="L187" s="327">
        <f t="shared" si="66"/>
        <v>3.5875538503995497E-3</v>
      </c>
      <c r="M187" s="327">
        <f t="shared" si="67"/>
        <v>1.038537188428636E-2</v>
      </c>
      <c r="N187" s="327">
        <f t="shared" si="68"/>
        <v>3.7915887173211871E-2</v>
      </c>
      <c r="O187" s="328">
        <f t="shared" si="69"/>
        <v>2.8806996661224046E-2</v>
      </c>
      <c r="P187" s="327">
        <f t="shared" si="70"/>
        <v>6.225971698201771E-2</v>
      </c>
      <c r="Q187" s="327">
        <f t="shared" si="71"/>
        <v>9.5939876669857135E-2</v>
      </c>
      <c r="R187" s="327">
        <f t="shared" si="72"/>
        <v>0.11115622526928215</v>
      </c>
      <c r="S187" s="327">
        <f t="shared" si="73"/>
        <v>7.3552580125799877E-2</v>
      </c>
      <c r="T187" s="327">
        <f t="shared" si="74"/>
        <v>1.0716032389297662E-10</v>
      </c>
      <c r="U187" s="328">
        <f t="shared" si="75"/>
        <v>8.906780169048556E-3</v>
      </c>
      <c r="V187" s="327">
        <f t="shared" si="76"/>
        <v>2.6064289275431453E-2</v>
      </c>
      <c r="W187" s="327">
        <f t="shared" si="77"/>
        <v>4.4899150622180507E-2</v>
      </c>
      <c r="X187" s="327">
        <f t="shared" si="78"/>
        <v>8.2863313764962032E-2</v>
      </c>
      <c r="Y187" s="327">
        <f t="shared" si="79"/>
        <v>7.6112932022380814E-2</v>
      </c>
      <c r="Z187" s="327">
        <f t="shared" si="80"/>
        <v>3.4529189737108878E-5</v>
      </c>
      <c r="AA187" s="328">
        <f t="shared" si="81"/>
        <v>3.6493328550367576E-2</v>
      </c>
    </row>
    <row r="188" spans="1:27" ht="12" customHeight="1" x14ac:dyDescent="0.15">
      <c r="A188" s="269">
        <f t="shared" si="55"/>
        <v>173</v>
      </c>
      <c r="B188" s="322">
        <f t="shared" si="56"/>
        <v>159.69230769230768</v>
      </c>
      <c r="C188" s="323">
        <f t="shared" si="57"/>
        <v>692</v>
      </c>
      <c r="D188" s="327">
        <f t="shared" si="58"/>
        <v>3.0707950195619396E-3</v>
      </c>
      <c r="E188" s="327">
        <f t="shared" si="59"/>
        <v>5.2247458889526852E-3</v>
      </c>
      <c r="F188" s="327">
        <f t="shared" si="60"/>
        <v>4.6530841761987074E-2</v>
      </c>
      <c r="G188" s="327">
        <f t="shared" si="61"/>
        <v>4.4041192939725353E-2</v>
      </c>
      <c r="H188" s="327">
        <f t="shared" si="62"/>
        <v>2.1468044617639091E-2</v>
      </c>
      <c r="I188" s="327">
        <f t="shared" si="63"/>
        <v>1.4549254913328147E-2</v>
      </c>
      <c r="J188" s="327">
        <f t="shared" si="64"/>
        <v>4.4134325131910335E-6</v>
      </c>
      <c r="K188" s="327">
        <f t="shared" si="65"/>
        <v>1.5932692254860818E-6</v>
      </c>
      <c r="L188" s="327">
        <f t="shared" si="66"/>
        <v>3.5324912278020815E-3</v>
      </c>
      <c r="M188" s="327">
        <f t="shared" si="67"/>
        <v>1.0296718179094388E-2</v>
      </c>
      <c r="N188" s="327">
        <f t="shared" si="68"/>
        <v>3.789013204966319E-2</v>
      </c>
      <c r="O188" s="328">
        <f t="shared" si="69"/>
        <v>2.8638262610627033E-2</v>
      </c>
      <c r="P188" s="327">
        <f t="shared" si="70"/>
        <v>6.1262782553424759E-2</v>
      </c>
      <c r="Q188" s="327">
        <f t="shared" si="71"/>
        <v>9.5031792034822954E-2</v>
      </c>
      <c r="R188" s="327">
        <f t="shared" si="72"/>
        <v>0.11020735640766233</v>
      </c>
      <c r="S188" s="327">
        <f t="shared" si="73"/>
        <v>7.2879711316867046E-2</v>
      </c>
      <c r="T188" s="327">
        <f t="shared" si="74"/>
        <v>6.240025585244692E-11</v>
      </c>
      <c r="U188" s="328">
        <f t="shared" si="75"/>
        <v>8.6106805250657503E-3</v>
      </c>
      <c r="V188" s="327">
        <f t="shared" si="76"/>
        <v>2.5517425264567649E-2</v>
      </c>
      <c r="W188" s="327">
        <f t="shared" si="77"/>
        <v>4.4241487803892747E-2</v>
      </c>
      <c r="X188" s="327">
        <f t="shared" si="78"/>
        <v>8.2139611996365547E-2</v>
      </c>
      <c r="Y188" s="327">
        <f t="shared" si="79"/>
        <v>7.5517361376085751E-2</v>
      </c>
      <c r="Z188" s="327">
        <f t="shared" si="80"/>
        <v>2.9879521548040754E-5</v>
      </c>
      <c r="AA188" s="328">
        <f t="shared" si="81"/>
        <v>3.5940506028360186E-2</v>
      </c>
    </row>
    <row r="189" spans="1:27" ht="12" customHeight="1" x14ac:dyDescent="0.15">
      <c r="A189" s="269">
        <f t="shared" si="55"/>
        <v>174</v>
      </c>
      <c r="B189" s="322">
        <f t="shared" si="56"/>
        <v>160.61538461538461</v>
      </c>
      <c r="C189" s="323">
        <f t="shared" si="57"/>
        <v>696</v>
      </c>
      <c r="D189" s="327">
        <f t="shared" si="58"/>
        <v>2.9697935923368693E-3</v>
      </c>
      <c r="E189" s="327">
        <f t="shared" si="59"/>
        <v>5.0779402771237844E-3</v>
      </c>
      <c r="F189" s="327">
        <f t="shared" si="60"/>
        <v>4.6099764091252382E-2</v>
      </c>
      <c r="G189" s="327">
        <f t="shared" si="61"/>
        <v>4.3701956524455722E-2</v>
      </c>
      <c r="H189" s="327">
        <f t="shared" si="62"/>
        <v>2.1207482053689539E-2</v>
      </c>
      <c r="I189" s="327">
        <f t="shared" si="63"/>
        <v>1.4299365508270823E-2</v>
      </c>
      <c r="J189" s="327">
        <f t="shared" si="64"/>
        <v>4.1098071264961434E-6</v>
      </c>
      <c r="K189" s="327">
        <f t="shared" si="65"/>
        <v>1.4716077483653763E-6</v>
      </c>
      <c r="L189" s="327">
        <f t="shared" si="66"/>
        <v>3.4784994578670458E-3</v>
      </c>
      <c r="M189" s="327">
        <f t="shared" si="67"/>
        <v>1.0209317974718652E-2</v>
      </c>
      <c r="N189" s="327">
        <f t="shared" si="68"/>
        <v>3.7865119704695895E-2</v>
      </c>
      <c r="O189" s="328">
        <f t="shared" si="69"/>
        <v>2.8471459075344624E-2</v>
      </c>
      <c r="P189" s="327">
        <f t="shared" si="70"/>
        <v>6.0281811548745214E-2</v>
      </c>
      <c r="Q189" s="327">
        <f t="shared" si="71"/>
        <v>9.413386163921357E-2</v>
      </c>
      <c r="R189" s="327">
        <f t="shared" si="72"/>
        <v>0.10926973004459717</v>
      </c>
      <c r="S189" s="327">
        <f t="shared" si="73"/>
        <v>7.2216347534785272E-2</v>
      </c>
      <c r="T189" s="327">
        <f t="shared" si="74"/>
        <v>3.5885236541919146E-11</v>
      </c>
      <c r="U189" s="328">
        <f t="shared" si="75"/>
        <v>8.3241562555342874E-3</v>
      </c>
      <c r="V189" s="327">
        <f t="shared" si="76"/>
        <v>2.4982035199654088E-2</v>
      </c>
      <c r="W189" s="327">
        <f t="shared" si="77"/>
        <v>4.3594133532282774E-2</v>
      </c>
      <c r="X189" s="327">
        <f t="shared" si="78"/>
        <v>8.142481180825345E-2</v>
      </c>
      <c r="Y189" s="327">
        <f t="shared" si="79"/>
        <v>7.4929468827082929E-2</v>
      </c>
      <c r="Z189" s="327">
        <f t="shared" si="80"/>
        <v>2.5809709234903008E-5</v>
      </c>
      <c r="AA189" s="328">
        <f t="shared" si="81"/>
        <v>3.5397196779890394E-2</v>
      </c>
    </row>
    <row r="190" spans="1:27" ht="12" customHeight="1" x14ac:dyDescent="0.15">
      <c r="A190" s="269">
        <f t="shared" si="55"/>
        <v>175</v>
      </c>
      <c r="B190" s="322">
        <f t="shared" si="56"/>
        <v>161.53846153846155</v>
      </c>
      <c r="C190" s="323">
        <f t="shared" si="57"/>
        <v>700</v>
      </c>
      <c r="D190" s="327">
        <f t="shared" si="58"/>
        <v>2.8721142000364759E-3</v>
      </c>
      <c r="E190" s="327">
        <f t="shared" si="59"/>
        <v>4.935309298361272E-3</v>
      </c>
      <c r="F190" s="327">
        <f t="shared" si="60"/>
        <v>4.5674342917956912E-2</v>
      </c>
      <c r="G190" s="327">
        <f t="shared" si="61"/>
        <v>4.3367137300891312E-2</v>
      </c>
      <c r="H190" s="327">
        <f t="shared" si="62"/>
        <v>2.0951690609206094E-2</v>
      </c>
      <c r="I190" s="327">
        <f t="shared" si="63"/>
        <v>1.4054364257691243E-2</v>
      </c>
      <c r="J190" s="327">
        <f t="shared" si="64"/>
        <v>3.8270698750950602E-6</v>
      </c>
      <c r="K190" s="327">
        <f t="shared" si="65"/>
        <v>1.3592181261093358E-6</v>
      </c>
      <c r="L190" s="327">
        <f t="shared" si="66"/>
        <v>3.4255531281441876E-3</v>
      </c>
      <c r="M190" s="327">
        <f t="shared" si="67"/>
        <v>1.0123146624729556E-2</v>
      </c>
      <c r="N190" s="327">
        <f t="shared" si="68"/>
        <v>3.7840828257820334E-2</v>
      </c>
      <c r="O190" s="328">
        <f t="shared" si="69"/>
        <v>2.8306553296749821E-2</v>
      </c>
      <c r="P190" s="327">
        <f t="shared" si="70"/>
        <v>5.9316548353471499E-2</v>
      </c>
      <c r="Q190" s="327">
        <f t="shared" si="71"/>
        <v>9.3245948391975031E-2</v>
      </c>
      <c r="R190" s="327">
        <f t="shared" si="72"/>
        <v>0.10834317255721582</v>
      </c>
      <c r="S190" s="327">
        <f t="shared" si="73"/>
        <v>7.156230956534082E-2</v>
      </c>
      <c r="T190" s="327">
        <f t="shared" si="74"/>
        <v>2.0374976894955543E-11</v>
      </c>
      <c r="U190" s="328">
        <f t="shared" si="75"/>
        <v>8.0469086827811287E-3</v>
      </c>
      <c r="V190" s="327">
        <f t="shared" si="76"/>
        <v>2.4457878341799476E-2</v>
      </c>
      <c r="W190" s="327">
        <f t="shared" si="77"/>
        <v>4.2956912539864514E-2</v>
      </c>
      <c r="X190" s="327">
        <f t="shared" si="78"/>
        <v>8.0718769234064291E-2</v>
      </c>
      <c r="Y190" s="327">
        <f t="shared" si="79"/>
        <v>7.4349117861176109E-2</v>
      </c>
      <c r="Z190" s="327">
        <f t="shared" si="80"/>
        <v>2.2253850970383855E-5</v>
      </c>
      <c r="AA190" s="328">
        <f t="shared" si="81"/>
        <v>3.4863215227513678E-2</v>
      </c>
    </row>
    <row r="191" spans="1:27" ht="12" customHeight="1" x14ac:dyDescent="0.15">
      <c r="A191" s="269">
        <f t="shared" si="55"/>
        <v>176</v>
      </c>
      <c r="B191" s="322">
        <f t="shared" si="56"/>
        <v>162.46153846153845</v>
      </c>
      <c r="C191" s="323">
        <f t="shared" si="57"/>
        <v>704</v>
      </c>
      <c r="D191" s="327">
        <f t="shared" si="58"/>
        <v>2.7776475777093203E-3</v>
      </c>
      <c r="E191" s="327">
        <f t="shared" si="59"/>
        <v>4.7967325707340882E-3</v>
      </c>
      <c r="F191" s="327">
        <f t="shared" si="60"/>
        <v>4.5254480501780714E-2</v>
      </c>
      <c r="G191" s="327">
        <f t="shared" si="61"/>
        <v>4.3036654776366999E-2</v>
      </c>
      <c r="H191" s="327">
        <f t="shared" si="62"/>
        <v>2.0700563700529483E-2</v>
      </c>
      <c r="I191" s="327">
        <f t="shared" si="63"/>
        <v>1.3814142588014278E-2</v>
      </c>
      <c r="J191" s="327">
        <f t="shared" si="64"/>
        <v>3.5637837441162739E-6</v>
      </c>
      <c r="K191" s="327">
        <f t="shared" si="65"/>
        <v>1.2553952322506461E-6</v>
      </c>
      <c r="L191" s="327">
        <f t="shared" si="66"/>
        <v>3.3736275412807881E-3</v>
      </c>
      <c r="M191" s="327">
        <f t="shared" si="67"/>
        <v>1.0038180101537281E-2</v>
      </c>
      <c r="N191" s="327">
        <f t="shared" si="68"/>
        <v>3.7817236498574408E-2</v>
      </c>
      <c r="O191" s="328">
        <f t="shared" si="69"/>
        <v>2.814351325127051E-2</v>
      </c>
      <c r="P191" s="327">
        <f t="shared" si="70"/>
        <v>5.8366741446126358E-2</v>
      </c>
      <c r="Q191" s="327">
        <f t="shared" si="71"/>
        <v>9.2367917468244215E-2</v>
      </c>
      <c r="R191" s="327">
        <f t="shared" si="72"/>
        <v>0.10742751365903924</v>
      </c>
      <c r="S191" s="327">
        <f t="shared" si="73"/>
        <v>7.0917422375505926E-2</v>
      </c>
      <c r="T191" s="327">
        <f t="shared" si="74"/>
        <v>1.1418319536929466E-11</v>
      </c>
      <c r="U191" s="328">
        <f t="shared" si="75"/>
        <v>7.7786479895247673E-3</v>
      </c>
      <c r="V191" s="327">
        <f t="shared" si="76"/>
        <v>2.3944719003139783E-2</v>
      </c>
      <c r="W191" s="327">
        <f t="shared" si="77"/>
        <v>4.2329652843398624E-2</v>
      </c>
      <c r="X191" s="327">
        <f t="shared" si="78"/>
        <v>8.0021343221790331E-2</v>
      </c>
      <c r="Y191" s="327">
        <f t="shared" si="79"/>
        <v>7.3776175035581745E-2</v>
      </c>
      <c r="Z191" s="327">
        <f t="shared" si="80"/>
        <v>1.9152703218982512E-5</v>
      </c>
      <c r="AA191" s="328">
        <f t="shared" si="81"/>
        <v>3.4338379882172809E-2</v>
      </c>
    </row>
    <row r="192" spans="1:27" ht="12" customHeight="1" x14ac:dyDescent="0.15">
      <c r="A192" s="269">
        <f t="shared" si="55"/>
        <v>177</v>
      </c>
      <c r="B192" s="322">
        <f t="shared" si="56"/>
        <v>163.38461538461539</v>
      </c>
      <c r="C192" s="323">
        <f t="shared" si="57"/>
        <v>708</v>
      </c>
      <c r="D192" s="327">
        <f t="shared" si="58"/>
        <v>2.6862880542342189E-3</v>
      </c>
      <c r="E192" s="327">
        <f t="shared" si="59"/>
        <v>4.6620932417311325E-3</v>
      </c>
      <c r="F192" s="327">
        <f t="shared" si="60"/>
        <v>4.4840081216273253E-2</v>
      </c>
      <c r="G192" s="327">
        <f t="shared" si="61"/>
        <v>4.2710430335123527E-2</v>
      </c>
      <c r="H192" s="327">
        <f t="shared" si="62"/>
        <v>2.0453997513849881E-2</v>
      </c>
      <c r="I192" s="327">
        <f t="shared" si="63"/>
        <v>1.3578594652350007E-2</v>
      </c>
      <c r="J192" s="327">
        <f t="shared" si="64"/>
        <v>3.3186105791998098E-6</v>
      </c>
      <c r="K192" s="327">
        <f t="shared" si="65"/>
        <v>1.1594874438078468E-6</v>
      </c>
      <c r="L192" s="327">
        <f t="shared" si="66"/>
        <v>3.322698691685777E-3</v>
      </c>
      <c r="M192" s="327">
        <f t="shared" si="67"/>
        <v>9.9543949775281089E-3</v>
      </c>
      <c r="N192" s="327">
        <f t="shared" si="68"/>
        <v>3.7794323864605045E-2</v>
      </c>
      <c r="O192" s="328">
        <f t="shared" si="69"/>
        <v>2.7982307629918185E-2</v>
      </c>
      <c r="P192" s="327">
        <f t="shared" si="70"/>
        <v>5.7432143332722854E-2</v>
      </c>
      <c r="Q192" s="327">
        <f t="shared" si="71"/>
        <v>9.1499636263381548E-2</v>
      </c>
      <c r="R192" s="327">
        <f t="shared" si="72"/>
        <v>0.10652258632295208</v>
      </c>
      <c r="S192" s="327">
        <f t="shared" si="73"/>
        <v>7.0281514998305664E-2</v>
      </c>
      <c r="T192" s="327">
        <f t="shared" si="74"/>
        <v>6.3139326424046102E-12</v>
      </c>
      <c r="U192" s="328">
        <f t="shared" si="75"/>
        <v>7.5190929754587188E-3</v>
      </c>
      <c r="V192" s="327">
        <f t="shared" si="76"/>
        <v>2.3442326440860823E-2</v>
      </c>
      <c r="W192" s="327">
        <f t="shared" si="77"/>
        <v>4.1712185674893036E-2</v>
      </c>
      <c r="X192" s="327">
        <f t="shared" si="78"/>
        <v>7.9332395562745628E-2</v>
      </c>
      <c r="Y192" s="327">
        <f t="shared" si="79"/>
        <v>7.321050989584281E-2</v>
      </c>
      <c r="Z192" s="327">
        <f t="shared" si="80"/>
        <v>1.6453108148355878E-5</v>
      </c>
      <c r="AA192" s="328">
        <f t="shared" si="81"/>
        <v>3.3822513242001584E-2</v>
      </c>
    </row>
    <row r="193" spans="1:27" ht="12" customHeight="1" x14ac:dyDescent="0.15">
      <c r="A193" s="269">
        <f t="shared" si="55"/>
        <v>178</v>
      </c>
      <c r="B193" s="322">
        <f t="shared" si="56"/>
        <v>164.30769230769232</v>
      </c>
      <c r="C193" s="323">
        <f t="shared" si="57"/>
        <v>712</v>
      </c>
      <c r="D193" s="327">
        <f t="shared" si="58"/>
        <v>2.5979334341156746E-3</v>
      </c>
      <c r="E193" s="327">
        <f t="shared" si="59"/>
        <v>4.5312778826911105E-3</v>
      </c>
      <c r="F193" s="327">
        <f t="shared" si="60"/>
        <v>4.4431051493691531E-2</v>
      </c>
      <c r="G193" s="327">
        <f t="shared" si="61"/>
        <v>4.2388387185168006E-2</v>
      </c>
      <c r="H193" s="327">
        <f t="shared" si="62"/>
        <v>2.0211890923994044E-2</v>
      </c>
      <c r="I193" s="327">
        <f t="shared" si="63"/>
        <v>1.3347617253474331E-2</v>
      </c>
      <c r="J193" s="327">
        <f t="shared" si="64"/>
        <v>3.0903042853145627E-6</v>
      </c>
      <c r="K193" s="327">
        <f t="shared" si="65"/>
        <v>1.0708925915366931E-6</v>
      </c>
      <c r="L193" s="327">
        <f t="shared" si="66"/>
        <v>3.2727432430614822E-3</v>
      </c>
      <c r="M193" s="327">
        <f t="shared" si="67"/>
        <v>9.8717684068760914E-3</v>
      </c>
      <c r="N193" s="327">
        <f t="shared" si="68"/>
        <v>3.7772070420542279E-2</v>
      </c>
      <c r="O193" s="328">
        <f t="shared" si="69"/>
        <v>2.7822905818496835E-2</v>
      </c>
      <c r="P193" s="327">
        <f t="shared" si="70"/>
        <v>5.6512510482274549E-2</v>
      </c>
      <c r="Q193" s="327">
        <f t="shared" si="71"/>
        <v>9.0640974348140821E-2</v>
      </c>
      <c r="R193" s="327">
        <f t="shared" si="72"/>
        <v>0.1056282267062556</v>
      </c>
      <c r="S193" s="327">
        <f t="shared" si="73"/>
        <v>6.9654420421304597E-2</v>
      </c>
      <c r="T193" s="327">
        <f t="shared" si="74"/>
        <v>3.4439456051399359E-12</v>
      </c>
      <c r="U193" s="328">
        <f t="shared" si="75"/>
        <v>7.2679708196596859E-3</v>
      </c>
      <c r="V193" s="327">
        <f t="shared" si="76"/>
        <v>2.2950474753444496E-2</v>
      </c>
      <c r="W193" s="327">
        <f t="shared" si="77"/>
        <v>4.1104345414256005E-2</v>
      </c>
      <c r="X193" s="327">
        <f t="shared" si="78"/>
        <v>7.8651790822380163E-2</v>
      </c>
      <c r="Y193" s="327">
        <f t="shared" si="79"/>
        <v>7.2651994895354871E-2</v>
      </c>
      <c r="Z193" s="327">
        <f t="shared" si="80"/>
        <v>1.4107459174699351E-5</v>
      </c>
      <c r="AA193" s="328">
        <f t="shared" si="81"/>
        <v>3.3315441693925196E-2</v>
      </c>
    </row>
    <row r="194" spans="1:27" ht="12" customHeight="1" x14ac:dyDescent="0.15">
      <c r="A194" s="269">
        <f t="shared" si="55"/>
        <v>179</v>
      </c>
      <c r="B194" s="322">
        <f t="shared" si="56"/>
        <v>165.23076923076923</v>
      </c>
      <c r="C194" s="323">
        <f t="shared" si="57"/>
        <v>716</v>
      </c>
      <c r="D194" s="327">
        <f t="shared" si="58"/>
        <v>2.5124848831671875E-3</v>
      </c>
      <c r="E194" s="327">
        <f t="shared" si="59"/>
        <v>4.4041763864689967E-3</v>
      </c>
      <c r="F194" s="327">
        <f t="shared" si="60"/>
        <v>4.4027299771527972E-2</v>
      </c>
      <c r="G194" s="327">
        <f t="shared" si="61"/>
        <v>4.2070450306898731E-2</v>
      </c>
      <c r="H194" s="327">
        <f t="shared" si="62"/>
        <v>1.9974145415846255E-2</v>
      </c>
      <c r="I194" s="327">
        <f t="shared" si="63"/>
        <v>1.3121109769240302E-2</v>
      </c>
      <c r="J194" s="327">
        <f t="shared" si="64"/>
        <v>2.8777044934679549E-6</v>
      </c>
      <c r="K194" s="327">
        <f t="shared" si="65"/>
        <v>9.8905421588959892E-7</v>
      </c>
      <c r="L194" s="327">
        <f t="shared" si="66"/>
        <v>3.2237385067676039E-3</v>
      </c>
      <c r="M194" s="327">
        <f t="shared" si="67"/>
        <v>9.7902781080017216E-3</v>
      </c>
      <c r="N194" s="327">
        <f t="shared" si="68"/>
        <v>3.775045683763309E-2</v>
      </c>
      <c r="O194" s="328">
        <f t="shared" si="69"/>
        <v>2.7665277878464813E-2</v>
      </c>
      <c r="P194" s="327">
        <f t="shared" si="70"/>
        <v>5.5607603263337593E-2</v>
      </c>
      <c r="Q194" s="327">
        <f t="shared" si="71"/>
        <v>8.9791803424935243E-2</v>
      </c>
      <c r="R194" s="327">
        <f t="shared" si="72"/>
        <v>0.10474427407773335</v>
      </c>
      <c r="S194" s="327">
        <f t="shared" si="73"/>
        <v>6.9035975478585448E-2</v>
      </c>
      <c r="T194" s="327">
        <f t="shared" si="74"/>
        <v>1.8523967697443697E-12</v>
      </c>
      <c r="U194" s="328">
        <f t="shared" si="75"/>
        <v>7.0250168487238085E-3</v>
      </c>
      <c r="V194" s="327">
        <f t="shared" si="76"/>
        <v>2.2468942779091856E-2</v>
      </c>
      <c r="W194" s="327">
        <f t="shared" si="77"/>
        <v>4.0505969523553884E-2</v>
      </c>
      <c r="X194" s="327">
        <f t="shared" si="78"/>
        <v>7.7979396273070711E-2</v>
      </c>
      <c r="Y194" s="327">
        <f t="shared" si="79"/>
        <v>7.2100505317409913E-2</v>
      </c>
      <c r="Z194" s="327">
        <f t="shared" si="80"/>
        <v>1.2073203239775351E-5</v>
      </c>
      <c r="AA194" s="328">
        <f t="shared" si="81"/>
        <v>3.2816995417971784E-2</v>
      </c>
    </row>
    <row r="195" spans="1:27" ht="12" customHeight="1" x14ac:dyDescent="0.15">
      <c r="A195" s="269">
        <f t="shared" si="55"/>
        <v>180</v>
      </c>
      <c r="B195" s="322">
        <f t="shared" si="56"/>
        <v>166.15384615384616</v>
      </c>
      <c r="C195" s="323">
        <f t="shared" si="57"/>
        <v>720</v>
      </c>
      <c r="D195" s="327">
        <f t="shared" si="58"/>
        <v>2.4298468179545182E-3</v>
      </c>
      <c r="E195" s="327">
        <f t="shared" si="59"/>
        <v>4.280681868236662E-3</v>
      </c>
      <c r="F195" s="327">
        <f t="shared" si="60"/>
        <v>4.362873644066767E-2</v>
      </c>
      <c r="G195" s="327">
        <f t="shared" si="61"/>
        <v>4.1756546403427804E-2</v>
      </c>
      <c r="H195" s="327">
        <f t="shared" si="62"/>
        <v>1.974066500830966E-2</v>
      </c>
      <c r="I195" s="327">
        <f t="shared" si="63"/>
        <v>1.2898974080338244E-2</v>
      </c>
      <c r="J195" s="327">
        <f t="shared" si="64"/>
        <v>2.6797306631190478E-6</v>
      </c>
      <c r="K195" s="327">
        <f t="shared" si="65"/>
        <v>9.1345810567379076E-7</v>
      </c>
      <c r="L195" s="327">
        <f t="shared" si="66"/>
        <v>3.1756624209813289E-3</v>
      </c>
      <c r="M195" s="327">
        <f t="shared" si="67"/>
        <v>9.7099023466517397E-3</v>
      </c>
      <c r="N195" s="327">
        <f t="shared" si="68"/>
        <v>3.7729464374103808E-2</v>
      </c>
      <c r="O195" s="328">
        <f t="shared" si="69"/>
        <v>2.750939452842556E-2</v>
      </c>
      <c r="P195" s="327">
        <f t="shared" si="70"/>
        <v>5.4717185881569319E-2</v>
      </c>
      <c r="Q195" s="327">
        <f t="shared" si="71"/>
        <v>8.8951997285172224E-2</v>
      </c>
      <c r="R195" s="327">
        <f t="shared" si="72"/>
        <v>0.10387057074667116</v>
      </c>
      <c r="S195" s="327">
        <f t="shared" si="73"/>
        <v>6.8426020746098479E-2</v>
      </c>
      <c r="T195" s="327">
        <f t="shared" si="74"/>
        <v>9.821838231615563E-13</v>
      </c>
      <c r="U195" s="328">
        <f t="shared" si="75"/>
        <v>6.7899743105287458E-3</v>
      </c>
      <c r="V195" s="327">
        <f t="shared" si="76"/>
        <v>2.1997513996277269E-2</v>
      </c>
      <c r="W195" s="327">
        <f t="shared" si="77"/>
        <v>3.991689848283031E-2</v>
      </c>
      <c r="X195" s="327">
        <f t="shared" si="78"/>
        <v>7.7315081828823184E-2</v>
      </c>
      <c r="Y195" s="327">
        <f t="shared" si="79"/>
        <v>7.1555919199669554E-2</v>
      </c>
      <c r="Z195" s="327">
        <f t="shared" si="80"/>
        <v>1.0312378355084358E-5</v>
      </c>
      <c r="AA195" s="328">
        <f t="shared" si="81"/>
        <v>3.2327008294210424E-2</v>
      </c>
    </row>
    <row r="196" spans="1:27" ht="12" customHeight="1" x14ac:dyDescent="0.15">
      <c r="A196" s="269">
        <f t="shared" si="55"/>
        <v>181</v>
      </c>
      <c r="B196" s="322">
        <f t="shared" si="56"/>
        <v>167.07692307692307</v>
      </c>
      <c r="C196" s="323">
        <f t="shared" si="57"/>
        <v>724</v>
      </c>
      <c r="D196" s="327">
        <f t="shared" si="58"/>
        <v>2.3499267988753227E-3</v>
      </c>
      <c r="E196" s="327">
        <f t="shared" si="59"/>
        <v>4.1606905693185557E-3</v>
      </c>
      <c r="F196" s="327">
        <f t="shared" si="60"/>
        <v>4.3235273795120821E-2</v>
      </c>
      <c r="G196" s="327">
        <f t="shared" si="61"/>
        <v>4.1446603852537331E-2</v>
      </c>
      <c r="H196" s="327">
        <f t="shared" si="62"/>
        <v>1.951135618071842E-2</v>
      </c>
      <c r="I196" s="327">
        <f t="shared" si="63"/>
        <v>1.2681114500320056E-2</v>
      </c>
      <c r="J196" s="327">
        <f t="shared" si="64"/>
        <v>2.4953765903206497E-6</v>
      </c>
      <c r="K196" s="327">
        <f t="shared" si="65"/>
        <v>8.4362909812524499E-7</v>
      </c>
      <c r="L196" s="327">
        <f t="shared" si="66"/>
        <v>3.1284935306213901E-3</v>
      </c>
      <c r="M196" s="327">
        <f t="shared" si="67"/>
        <v>9.6306199195746126E-3</v>
      </c>
      <c r="N196" s="327">
        <f t="shared" si="68"/>
        <v>3.770907485622188E-2</v>
      </c>
      <c r="O196" s="328">
        <f t="shared" si="69"/>
        <v>2.7355227126222806E-2</v>
      </c>
      <c r="P196" s="327">
        <f t="shared" si="70"/>
        <v>5.3841026318286821E-2</v>
      </c>
      <c r="Q196" s="327">
        <f t="shared" si="71"/>
        <v>8.8121431767624894E-2</v>
      </c>
      <c r="R196" s="327">
        <f t="shared" si="72"/>
        <v>0.10300696199377035</v>
      </c>
      <c r="S196" s="327">
        <f t="shared" si="73"/>
        <v>6.7824400440264845E-2</v>
      </c>
      <c r="T196" s="327">
        <f t="shared" si="74"/>
        <v>5.1320273930019406E-13</v>
      </c>
      <c r="U196" s="328">
        <f t="shared" si="75"/>
        <v>6.5625941535251142E-3</v>
      </c>
      <c r="V196" s="327">
        <f t="shared" si="76"/>
        <v>2.1535976426389419E-2</v>
      </c>
      <c r="W196" s="327">
        <f t="shared" si="77"/>
        <v>3.933697572744433E-2</v>
      </c>
      <c r="X196" s="327">
        <f t="shared" si="78"/>
        <v>7.6658719981825829E-2</v>
      </c>
      <c r="Y196" s="327">
        <f t="shared" si="79"/>
        <v>7.1018117260982006E-2</v>
      </c>
      <c r="Z196" s="327">
        <f t="shared" si="80"/>
        <v>8.7911849003416038E-6</v>
      </c>
      <c r="AA196" s="328">
        <f t="shared" si="81"/>
        <v>3.1845317812239093E-2</v>
      </c>
    </row>
    <row r="197" spans="1:27" ht="12" customHeight="1" x14ac:dyDescent="0.15">
      <c r="A197" s="269">
        <f t="shared" si="55"/>
        <v>182</v>
      </c>
      <c r="B197" s="322">
        <f t="shared" si="56"/>
        <v>168</v>
      </c>
      <c r="C197" s="323">
        <f t="shared" si="57"/>
        <v>728</v>
      </c>
      <c r="D197" s="327">
        <f t="shared" si="58"/>
        <v>2.2726354267554386E-3</v>
      </c>
      <c r="E197" s="327">
        <f t="shared" si="59"/>
        <v>4.0441017639671426E-3</v>
      </c>
      <c r="F197" s="327">
        <f t="shared" si="60"/>
        <v>4.2846825983272052E-2</v>
      </c>
      <c r="G197" s="327">
        <f t="shared" si="61"/>
        <v>4.1140552660207858E-2</v>
      </c>
      <c r="H197" s="327">
        <f t="shared" si="62"/>
        <v>1.9286127801614768E-2</v>
      </c>
      <c r="I197" s="327">
        <f t="shared" si="63"/>
        <v>1.2467437707810891E-2</v>
      </c>
      <c r="J197" s="327">
        <f t="shared" si="64"/>
        <v>2.3237052936777389E-6</v>
      </c>
      <c r="K197" s="327">
        <f t="shared" si="65"/>
        <v>7.791281207123289E-7</v>
      </c>
      <c r="L197" s="327">
        <f t="shared" si="66"/>
        <v>3.0822109680047616E-3</v>
      </c>
      <c r="M197" s="327">
        <f t="shared" si="67"/>
        <v>9.5524101387676821E-3</v>
      </c>
      <c r="N197" s="327">
        <f t="shared" si="68"/>
        <v>3.7689270660028702E-2</v>
      </c>
      <c r="O197" s="328">
        <f t="shared" si="69"/>
        <v>2.7202747651617377E-2</v>
      </c>
      <c r="P197" s="327">
        <f t="shared" si="70"/>
        <v>5.2978896270008839E-2</v>
      </c>
      <c r="Q197" s="327">
        <f t="shared" si="71"/>
        <v>8.7299984717809892E-2</v>
      </c>
      <c r="R197" s="327">
        <f t="shared" si="72"/>
        <v>0.10215329600389544</v>
      </c>
      <c r="S197" s="327">
        <f t="shared" si="73"/>
        <v>6.7230962319721463E-2</v>
      </c>
      <c r="T197" s="327">
        <f t="shared" si="74"/>
        <v>2.6416523495990802E-13</v>
      </c>
      <c r="U197" s="328">
        <f t="shared" si="75"/>
        <v>6.3426348114568043E-3</v>
      </c>
      <c r="V197" s="327">
        <f t="shared" si="76"/>
        <v>2.1084122538414598E-2</v>
      </c>
      <c r="W197" s="327">
        <f t="shared" si="77"/>
        <v>3.8766047586887196E-2</v>
      </c>
      <c r="X197" s="327">
        <f t="shared" si="78"/>
        <v>7.6010185740791991E-2</v>
      </c>
      <c r="Y197" s="327">
        <f t="shared" si="79"/>
        <v>7.0486982830459247E-2</v>
      </c>
      <c r="Z197" s="327">
        <f t="shared" si="80"/>
        <v>7.4795891282103885E-6</v>
      </c>
      <c r="AA197" s="328">
        <f t="shared" si="81"/>
        <v>3.1371764983141093E-2</v>
      </c>
    </row>
    <row r="198" spans="1:27" ht="12" customHeight="1" x14ac:dyDescent="0.15">
      <c r="A198" s="269">
        <f t="shared" si="55"/>
        <v>183</v>
      </c>
      <c r="B198" s="322">
        <f t="shared" si="56"/>
        <v>168.92307692307693</v>
      </c>
      <c r="C198" s="323">
        <f t="shared" si="57"/>
        <v>732</v>
      </c>
      <c r="D198" s="327">
        <f t="shared" si="58"/>
        <v>2.1978862428462843E-3</v>
      </c>
      <c r="E198" s="327">
        <f t="shared" si="59"/>
        <v>3.9308176689850085E-3</v>
      </c>
      <c r="F198" s="327">
        <f t="shared" si="60"/>
        <v>4.2463308960596469E-2</v>
      </c>
      <c r="G198" s="327">
        <f t="shared" si="61"/>
        <v>4.0838324415659162E-2</v>
      </c>
      <c r="H198" s="327">
        <f t="shared" si="62"/>
        <v>1.9064891059807621E-2</v>
      </c>
      <c r="I198" s="327">
        <f t="shared" si="63"/>
        <v>1.2257852680829684E-2</v>
      </c>
      <c r="J198" s="327">
        <f t="shared" si="64"/>
        <v>2.1638442521303414E-6</v>
      </c>
      <c r="K198" s="327">
        <f t="shared" si="65"/>
        <v>7.1954945646085749E-7</v>
      </c>
      <c r="L198" s="327">
        <f t="shared" si="66"/>
        <v>3.0367944342057918E-3</v>
      </c>
      <c r="M198" s="327">
        <f t="shared" si="67"/>
        <v>9.475252816273063E-3</v>
      </c>
      <c r="N198" s="327">
        <f t="shared" si="68"/>
        <v>3.7670034693716395E-2</v>
      </c>
      <c r="O198" s="328">
        <f t="shared" si="69"/>
        <v>2.7051928689523896E-2</v>
      </c>
      <c r="P198" s="327">
        <f t="shared" si="70"/>
        <v>5.2130571088966265E-2</v>
      </c>
      <c r="Q198" s="327">
        <f t="shared" si="71"/>
        <v>8.648753594834116E-2</v>
      </c>
      <c r="R198" s="327">
        <f t="shared" si="72"/>
        <v>0.10130942380060215</v>
      </c>
      <c r="S198" s="327">
        <f t="shared" si="73"/>
        <v>6.6645557590097756E-2</v>
      </c>
      <c r="T198" s="327">
        <f t="shared" si="74"/>
        <v>1.3390677627773087E-13</v>
      </c>
      <c r="U198" s="328">
        <f t="shared" si="75"/>
        <v>6.1298619934098131E-3</v>
      </c>
      <c r="V198" s="327">
        <f t="shared" si="76"/>
        <v>2.0641749155620309E-2</v>
      </c>
      <c r="W198" s="327">
        <f t="shared" si="77"/>
        <v>3.8203963225034873E-2</v>
      </c>
      <c r="X198" s="327">
        <f t="shared" si="78"/>
        <v>7.5369356571033275E-2</v>
      </c>
      <c r="Y198" s="327">
        <f t="shared" si="79"/>
        <v>6.9962401778736374E-2</v>
      </c>
      <c r="Z198" s="327">
        <f t="shared" si="80"/>
        <v>6.3509573044440367E-6</v>
      </c>
      <c r="AA198" s="328">
        <f t="shared" si="81"/>
        <v>3.090619425383867E-2</v>
      </c>
    </row>
    <row r="199" spans="1:27" ht="12" customHeight="1" x14ac:dyDescent="0.15">
      <c r="A199" s="269">
        <f t="shared" si="55"/>
        <v>184</v>
      </c>
      <c r="B199" s="322">
        <f t="shared" si="56"/>
        <v>169.84615384615384</v>
      </c>
      <c r="C199" s="323">
        <f t="shared" si="57"/>
        <v>736</v>
      </c>
      <c r="D199" s="327">
        <f t="shared" si="58"/>
        <v>2.1255956321113876E-3</v>
      </c>
      <c r="E199" s="327">
        <f t="shared" si="59"/>
        <v>3.8207433561045895E-3</v>
      </c>
      <c r="F199" s="327">
        <f t="shared" si="60"/>
        <v>4.2084640443790011E-2</v>
      </c>
      <c r="G199" s="327">
        <f t="shared" si="61"/>
        <v>4.0539852247848993E-2</v>
      </c>
      <c r="H199" s="327">
        <f t="shared" si="62"/>
        <v>1.8847559397633384E-2</v>
      </c>
      <c r="I199" s="327">
        <f t="shared" si="63"/>
        <v>1.2052270633149287E-2</v>
      </c>
      <c r="J199" s="327">
        <f t="shared" si="64"/>
        <v>2.0149809703565975E-6</v>
      </c>
      <c r="K199" s="327">
        <f t="shared" si="65"/>
        <v>6.6451821595951009E-7</v>
      </c>
      <c r="L199" s="327">
        <f t="shared" si="66"/>
        <v>2.9922241810890204E-3</v>
      </c>
      <c r="M199" s="327">
        <f t="shared" si="67"/>
        <v>9.3991282495003957E-3</v>
      </c>
      <c r="N199" s="327">
        <f t="shared" si="68"/>
        <v>3.7651350380623227E-2</v>
      </c>
      <c r="O199" s="328">
        <f t="shared" si="69"/>
        <v>2.6902743413786238E-2</v>
      </c>
      <c r="P199" s="327">
        <f t="shared" si="70"/>
        <v>5.1295829724565055E-2</v>
      </c>
      <c r="Q199" s="327">
        <f t="shared" si="71"/>
        <v>8.5683967200235384E-2</v>
      </c>
      <c r="R199" s="327">
        <f t="shared" si="72"/>
        <v>0.10047519918239145</v>
      </c>
      <c r="S199" s="327">
        <f t="shared" si="73"/>
        <v>6.6068040811721102E-2</v>
      </c>
      <c r="T199" s="327">
        <f t="shared" si="74"/>
        <v>6.6821444583267791E-14</v>
      </c>
      <c r="U199" s="328">
        <f t="shared" si="75"/>
        <v>5.9240484790910042E-3</v>
      </c>
      <c r="V199" s="327">
        <f t="shared" si="76"/>
        <v>2.0208657364196421E-2</v>
      </c>
      <c r="W199" s="327">
        <f t="shared" si="77"/>
        <v>3.7650574581801016E-2</v>
      </c>
      <c r="X199" s="327">
        <f t="shared" si="78"/>
        <v>7.4736112336210025E-2</v>
      </c>
      <c r="Y199" s="327">
        <f t="shared" si="79"/>
        <v>6.9444262451336447E-2</v>
      </c>
      <c r="Z199" s="327">
        <f t="shared" si="80"/>
        <v>5.3817189014050015E-6</v>
      </c>
      <c r="AA199" s="328">
        <f t="shared" si="81"/>
        <v>3.0448453423771449E-2</v>
      </c>
    </row>
    <row r="200" spans="1:27" ht="12" customHeight="1" x14ac:dyDescent="0.15">
      <c r="A200" s="269">
        <f t="shared" si="55"/>
        <v>185</v>
      </c>
      <c r="B200" s="322">
        <f t="shared" si="56"/>
        <v>170.76923076923077</v>
      </c>
      <c r="C200" s="323">
        <f t="shared" si="57"/>
        <v>740</v>
      </c>
      <c r="D200" s="327">
        <f t="shared" si="58"/>
        <v>2.0556827296939377E-3</v>
      </c>
      <c r="E200" s="327">
        <f t="shared" si="59"/>
        <v>3.7137866670383054E-3</v>
      </c>
      <c r="F200" s="327">
        <f t="shared" si="60"/>
        <v>4.1710739866266944E-2</v>
      </c>
      <c r="G200" s="327">
        <f t="shared" si="61"/>
        <v>4.0245070783373062E-2</v>
      </c>
      <c r="H200" s="327">
        <f t="shared" si="62"/>
        <v>1.8634048446341953E-2</v>
      </c>
      <c r="I200" s="327">
        <f t="shared" si="63"/>
        <v>1.1850604952621246E-2</v>
      </c>
      <c r="J200" s="327">
        <f t="shared" si="64"/>
        <v>1.8763588492572493E-6</v>
      </c>
      <c r="K200" s="327">
        <f t="shared" si="65"/>
        <v>6.136880004692853E-7</v>
      </c>
      <c r="L200" s="327">
        <f t="shared" si="66"/>
        <v>2.9484809939882561E-3</v>
      </c>
      <c r="M200" s="327">
        <f t="shared" si="67"/>
        <v>9.3240172070554305E-3</v>
      </c>
      <c r="N200" s="327">
        <f t="shared" si="68"/>
        <v>3.7633201642822862E-2</v>
      </c>
      <c r="O200" s="328">
        <f t="shared" si="69"/>
        <v>2.67551655714716E-2</v>
      </c>
      <c r="P200" s="327">
        <f t="shared" si="70"/>
        <v>5.0474454665786143E-2</v>
      </c>
      <c r="Q200" s="327">
        <f t="shared" si="71"/>
        <v>8.4889162105137417E-2</v>
      </c>
      <c r="R200" s="327">
        <f t="shared" si="72"/>
        <v>9.9650478660636477E-2</v>
      </c>
      <c r="S200" s="327">
        <f t="shared" si="73"/>
        <v>6.5498269810150375E-2</v>
      </c>
      <c r="T200" s="327">
        <f t="shared" si="74"/>
        <v>3.2813929819181866E-14</v>
      </c>
      <c r="U200" s="328">
        <f t="shared" si="75"/>
        <v>5.7249739192362092E-3</v>
      </c>
      <c r="V200" s="327">
        <f t="shared" si="76"/>
        <v>1.9784652423813328E-2</v>
      </c>
      <c r="W200" s="327">
        <f t="shared" si="77"/>
        <v>3.7105736316150412E-2</v>
      </c>
      <c r="X200" s="327">
        <f t="shared" si="78"/>
        <v>7.411033524170163E-2</v>
      </c>
      <c r="Y200" s="327">
        <f t="shared" si="79"/>
        <v>6.8932455604067258E-2</v>
      </c>
      <c r="Z200" s="327">
        <f t="shared" si="80"/>
        <v>4.5510572625544005E-6</v>
      </c>
      <c r="AA200" s="328">
        <f t="shared" si="81"/>
        <v>2.9998393563825942E-2</v>
      </c>
    </row>
    <row r="201" spans="1:27" ht="12" customHeight="1" x14ac:dyDescent="0.15">
      <c r="A201" s="269">
        <f t="shared" si="55"/>
        <v>186</v>
      </c>
      <c r="B201" s="322">
        <f t="shared" si="56"/>
        <v>171.69230769230768</v>
      </c>
      <c r="C201" s="323">
        <f t="shared" si="57"/>
        <v>744</v>
      </c>
      <c r="D201" s="327">
        <f t="shared" si="58"/>
        <v>1.9880693304607237E-3</v>
      </c>
      <c r="E201" s="327">
        <f t="shared" si="59"/>
        <v>3.6098581311159749E-3</v>
      </c>
      <c r="F201" s="327">
        <f t="shared" si="60"/>
        <v>4.1341528334976063E-2</v>
      </c>
      <c r="G201" s="327">
        <f t="shared" si="61"/>
        <v>3.9953916105716886E-2</v>
      </c>
      <c r="H201" s="327">
        <f t="shared" si="62"/>
        <v>1.8424275963534152E-2</v>
      </c>
      <c r="I201" s="327">
        <f t="shared" si="63"/>
        <v>1.1652771141402729E-2</v>
      </c>
      <c r="J201" s="327">
        <f t="shared" si="64"/>
        <v>1.7472733405332964E-6</v>
      </c>
      <c r="K201" s="327">
        <f t="shared" si="65"/>
        <v>5.66738741731035E-7</v>
      </c>
      <c r="L201" s="327">
        <f t="shared" si="66"/>
        <v>2.9055461750067124E-3</v>
      </c>
      <c r="M201" s="327">
        <f t="shared" si="67"/>
        <v>9.2499009150545132E-3</v>
      </c>
      <c r="N201" s="327">
        <f t="shared" si="68"/>
        <v>3.7615572885284339E-2</v>
      </c>
      <c r="O201" s="328">
        <f t="shared" si="69"/>
        <v>2.6609169467664038E-2</v>
      </c>
      <c r="P201" s="327">
        <f t="shared" si="70"/>
        <v>4.9666231884508326E-2</v>
      </c>
      <c r="Q201" s="327">
        <f t="shared" si="71"/>
        <v>8.4103006148442211E-2</v>
      </c>
      <c r="R201" s="327">
        <f t="shared" si="72"/>
        <v>9.883512139913242E-2</v>
      </c>
      <c r="S201" s="327">
        <f t="shared" si="73"/>
        <v>6.493610558944006E-2</v>
      </c>
      <c r="T201" s="327">
        <f t="shared" si="74"/>
        <v>1.5851440762462646E-14</v>
      </c>
      <c r="U201" s="328">
        <f t="shared" si="75"/>
        <v>5.5324246410499711E-3</v>
      </c>
      <c r="V201" s="327">
        <f t="shared" si="76"/>
        <v>1.9369543680056736E-2</v>
      </c>
      <c r="W201" s="327">
        <f t="shared" si="77"/>
        <v>3.6569305750437188E-2</v>
      </c>
      <c r="X201" s="327">
        <f t="shared" si="78"/>
        <v>7.3491909779548337E-2</v>
      </c>
      <c r="Y201" s="327">
        <f t="shared" si="79"/>
        <v>6.8426874340380306E-2</v>
      </c>
      <c r="Z201" s="327">
        <f t="shared" si="80"/>
        <v>3.8406261650681574E-6</v>
      </c>
      <c r="AA201" s="328">
        <f t="shared" si="81"/>
        <v>2.9555868937453322E-2</v>
      </c>
    </row>
    <row r="202" spans="1:27" ht="12" customHeight="1" x14ac:dyDescent="0.15">
      <c r="A202" s="269">
        <f t="shared" si="55"/>
        <v>187</v>
      </c>
      <c r="B202" s="322">
        <f t="shared" si="56"/>
        <v>172.61538461538461</v>
      </c>
      <c r="C202" s="323">
        <f t="shared" si="57"/>
        <v>748</v>
      </c>
      <c r="D202" s="327">
        <f t="shared" si="58"/>
        <v>1.9226798015212223E-3</v>
      </c>
      <c r="E202" s="327">
        <f t="shared" si="59"/>
        <v>3.5088708854277774E-3</v>
      </c>
      <c r="F202" s="327">
        <f t="shared" si="60"/>
        <v>4.0976928588492667E-2</v>
      </c>
      <c r="G202" s="327">
        <f t="shared" si="61"/>
        <v>3.9666325715808567E-2</v>
      </c>
      <c r="H202" s="327">
        <f t="shared" si="62"/>
        <v>1.8218161772579372E-2</v>
      </c>
      <c r="I202" s="327">
        <f t="shared" si="63"/>
        <v>1.1458686758017311E-2</v>
      </c>
      <c r="J202" s="327">
        <f t="shared" si="64"/>
        <v>1.6270683658122705E-6</v>
      </c>
      <c r="K202" s="327">
        <f t="shared" si="65"/>
        <v>5.2337470514777112E-7</v>
      </c>
      <c r="L202" s="327">
        <f t="shared" si="66"/>
        <v>2.8634015269113355E-3</v>
      </c>
      <c r="M202" s="327">
        <f t="shared" si="67"/>
        <v>9.1767610439059399E-3</v>
      </c>
      <c r="N202" s="327">
        <f t="shared" si="68"/>
        <v>3.7598448980580172E-2</v>
      </c>
      <c r="O202" s="328">
        <f t="shared" si="69"/>
        <v>2.646472995073932E-2</v>
      </c>
      <c r="P202" s="327">
        <f t="shared" si="70"/>
        <v>4.8870950779737972E-2</v>
      </c>
      <c r="Q202" s="327">
        <f t="shared" si="71"/>
        <v>8.3325386633288367E-2</v>
      </c>
      <c r="R202" s="327">
        <f t="shared" si="72"/>
        <v>9.8028989155223289E-2</v>
      </c>
      <c r="S202" s="327">
        <f t="shared" si="73"/>
        <v>6.438141224804339E-2</v>
      </c>
      <c r="T202" s="327">
        <f t="shared" si="74"/>
        <v>7.5297865968132491E-15</v>
      </c>
      <c r="U202" s="328">
        <f t="shared" si="75"/>
        <v>5.3461934585766757E-3</v>
      </c>
      <c r="V202" s="327">
        <f t="shared" si="76"/>
        <v>1.8963144478699564E-2</v>
      </c>
      <c r="W202" s="327">
        <f t="shared" si="77"/>
        <v>3.6041142816032774E-2</v>
      </c>
      <c r="X202" s="327">
        <f t="shared" si="78"/>
        <v>7.2880722674911746E-2</v>
      </c>
      <c r="Y202" s="327">
        <f t="shared" si="79"/>
        <v>6.7927414050624205E-2</v>
      </c>
      <c r="Z202" s="327">
        <f t="shared" si="80"/>
        <v>3.2342907263596126E-6</v>
      </c>
      <c r="AA202" s="328">
        <f t="shared" si="81"/>
        <v>2.9120736923908375E-2</v>
      </c>
    </row>
    <row r="203" spans="1:27" ht="12" customHeight="1" x14ac:dyDescent="0.15">
      <c r="A203" s="269">
        <f t="shared" si="55"/>
        <v>188</v>
      </c>
      <c r="B203" s="322">
        <f t="shared" si="56"/>
        <v>173.53846153846155</v>
      </c>
      <c r="C203" s="323">
        <f t="shared" si="57"/>
        <v>752</v>
      </c>
      <c r="D203" s="327">
        <f t="shared" si="58"/>
        <v>1.8594409976240621E-3</v>
      </c>
      <c r="E203" s="327">
        <f t="shared" si="59"/>
        <v>3.4107405973948491E-3</v>
      </c>
      <c r="F203" s="327">
        <f t="shared" si="60"/>
        <v>4.0616864956341092E-2</v>
      </c>
      <c r="G203" s="327">
        <f t="shared" si="61"/>
        <v>3.93822384938253E-2</v>
      </c>
      <c r="H203" s="327">
        <f t="shared" si="62"/>
        <v>1.801562770394519E-2</v>
      </c>
      <c r="I203" s="327">
        <f t="shared" si="63"/>
        <v>1.1268271361187798E-2</v>
      </c>
      <c r="J203" s="327">
        <f t="shared" si="64"/>
        <v>1.5151329821234452E-6</v>
      </c>
      <c r="K203" s="327">
        <f t="shared" si="65"/>
        <v>4.8332264401967507E-7</v>
      </c>
      <c r="L203" s="327">
        <f t="shared" si="66"/>
        <v>2.8220293376001182E-3</v>
      </c>
      <c r="M203" s="327">
        <f t="shared" si="67"/>
        <v>9.1045796955398009E-3</v>
      </c>
      <c r="N203" s="327">
        <f t="shared" si="68"/>
        <v>3.758181525412143E-2</v>
      </c>
      <c r="O203" s="328">
        <f t="shared" si="69"/>
        <v>2.6321822398102841E-2</v>
      </c>
      <c r="P203" s="327">
        <f t="shared" si="70"/>
        <v>4.8088404122732339E-2</v>
      </c>
      <c r="Q203" s="327">
        <f t="shared" si="71"/>
        <v>8.2556192645397056E-2</v>
      </c>
      <c r="R203" s="327">
        <f t="shared" si="72"/>
        <v>9.7231946222454679E-2</v>
      </c>
      <c r="S203" s="327">
        <f t="shared" si="73"/>
        <v>6.3834056897263056E-2</v>
      </c>
      <c r="T203" s="327">
        <f t="shared" si="74"/>
        <v>3.5158596987854425E-15</v>
      </c>
      <c r="U203" s="328">
        <f t="shared" si="75"/>
        <v>5.1660794879049288E-3</v>
      </c>
      <c r="V203" s="327">
        <f t="shared" si="76"/>
        <v>1.8565272081772676E-2</v>
      </c>
      <c r="W203" s="327">
        <f t="shared" si="77"/>
        <v>3.5521110000209979E-2</v>
      </c>
      <c r="X203" s="327">
        <f t="shared" si="78"/>
        <v>7.227666283400791E-2</v>
      </c>
      <c r="Y203" s="327">
        <f t="shared" si="79"/>
        <v>6.7433972353127439E-2</v>
      </c>
      <c r="Z203" s="327">
        <f t="shared" si="80"/>
        <v>2.7178911270806286E-6</v>
      </c>
      <c r="AA203" s="328">
        <f t="shared" si="81"/>
        <v>2.8692857943545258E-2</v>
      </c>
    </row>
    <row r="204" spans="1:27" ht="12" customHeight="1" x14ac:dyDescent="0.15">
      <c r="A204" s="269">
        <f t="shared" si="55"/>
        <v>189</v>
      </c>
      <c r="B204" s="322">
        <f t="shared" si="56"/>
        <v>174.46153846153845</v>
      </c>
      <c r="C204" s="323">
        <f t="shared" si="57"/>
        <v>756</v>
      </c>
      <c r="D204" s="327">
        <f t="shared" si="58"/>
        <v>1.7982821793361434E-3</v>
      </c>
      <c r="E204" s="327">
        <f t="shared" si="59"/>
        <v>3.3153853896912069E-3</v>
      </c>
      <c r="F204" s="327">
        <f t="shared" si="60"/>
        <v>4.026126331950719E-2</v>
      </c>
      <c r="G204" s="327">
        <f t="shared" si="61"/>
        <v>3.9101594662207542E-2</v>
      </c>
      <c r="H204" s="327">
        <f t="shared" si="62"/>
        <v>1.7816597538372884E-2</v>
      </c>
      <c r="I204" s="327">
        <f t="shared" si="63"/>
        <v>1.1081446455381228E-2</v>
      </c>
      <c r="J204" s="327">
        <f t="shared" si="64"/>
        <v>1.4108982767741646E-6</v>
      </c>
      <c r="K204" s="327">
        <f t="shared" si="65"/>
        <v>4.4633009343659029E-7</v>
      </c>
      <c r="L204" s="327">
        <f t="shared" si="66"/>
        <v>2.7814123651165312E-3</v>
      </c>
      <c r="M204" s="327">
        <f t="shared" si="67"/>
        <v>9.0333393910688384E-3</v>
      </c>
      <c r="N204" s="327">
        <f t="shared" si="68"/>
        <v>3.7565657469899358E-2</v>
      </c>
      <c r="O204" s="328">
        <f t="shared" si="69"/>
        <v>2.6180422702374195E-2</v>
      </c>
      <c r="P204" s="327">
        <f t="shared" si="70"/>
        <v>4.7318388003001345E-2</v>
      </c>
      <c r="Q204" s="327">
        <f t="shared" si="71"/>
        <v>8.1795315018732218E-2</v>
      </c>
      <c r="R204" s="327">
        <f t="shared" si="72"/>
        <v>9.6443859374709007E-2</v>
      </c>
      <c r="S204" s="327">
        <f t="shared" si="73"/>
        <v>6.3293909582164923E-2</v>
      </c>
      <c r="T204" s="327">
        <f t="shared" si="74"/>
        <v>1.6130319494300866E-15</v>
      </c>
      <c r="U204" s="328">
        <f t="shared" si="75"/>
        <v>4.9918879671089211E-3</v>
      </c>
      <c r="V204" s="327">
        <f t="shared" si="76"/>
        <v>1.8175747585396477E-2</v>
      </c>
      <c r="W204" s="327">
        <f t="shared" si="77"/>
        <v>3.500907229424749E-2</v>
      </c>
      <c r="X204" s="327">
        <f t="shared" si="78"/>
        <v>7.167962129346428E-2</v>
      </c>
      <c r="Y204" s="327">
        <f t="shared" si="79"/>
        <v>6.6946449037047176E-2</v>
      </c>
      <c r="Z204" s="327">
        <f t="shared" si="80"/>
        <v>2.2790276572320413E-6</v>
      </c>
      <c r="AA204" s="328">
        <f t="shared" si="81"/>
        <v>2.8272095385110663E-2</v>
      </c>
    </row>
    <row r="205" spans="1:27" ht="12" customHeight="1" x14ac:dyDescent="0.15">
      <c r="A205" s="269">
        <f t="shared" si="55"/>
        <v>190</v>
      </c>
      <c r="B205" s="322">
        <f t="shared" si="56"/>
        <v>175.38461538461539</v>
      </c>
      <c r="C205" s="323">
        <f t="shared" si="57"/>
        <v>760</v>
      </c>
      <c r="D205" s="327">
        <f t="shared" si="58"/>
        <v>1.7391349339129481E-3</v>
      </c>
      <c r="E205" s="327">
        <f t="shared" si="59"/>
        <v>3.222725767443888E-3</v>
      </c>
      <c r="F205" s="327">
        <f t="shared" si="60"/>
        <v>3.9910051072100883E-2</v>
      </c>
      <c r="G205" s="327">
        <f t="shared" si="61"/>
        <v>3.882433574983777E-2</v>
      </c>
      <c r="H205" s="327">
        <f t="shared" si="62"/>
        <v>1.762099695183552E-2</v>
      </c>
      <c r="I205" s="327">
        <f t="shared" si="63"/>
        <v>1.0898135438009215E-2</v>
      </c>
      <c r="J205" s="327">
        <f t="shared" si="64"/>
        <v>1.3138344758454456E-6</v>
      </c>
      <c r="K205" s="327">
        <f t="shared" si="65"/>
        <v>4.1216379328967738E-7</v>
      </c>
      <c r="L205" s="327">
        <f t="shared" si="66"/>
        <v>2.7415338231924213E-3</v>
      </c>
      <c r="M205" s="327">
        <f t="shared" si="67"/>
        <v>8.9630230588638726E-3</v>
      </c>
      <c r="N205" s="327">
        <f t="shared" si="68"/>
        <v>3.7549961816713995E-2</v>
      </c>
      <c r="O205" s="328">
        <f t="shared" si="69"/>
        <v>2.6040507258002041E-2</v>
      </c>
      <c r="P205" s="327">
        <f t="shared" si="70"/>
        <v>4.6560701775173845E-2</v>
      </c>
      <c r="Q205" s="327">
        <f t="shared" si="71"/>
        <v>8.1042646301962784E-2</v>
      </c>
      <c r="R205" s="327">
        <f t="shared" si="72"/>
        <v>9.5664597811780272E-2</v>
      </c>
      <c r="S205" s="327">
        <f t="shared" si="73"/>
        <v>6.2760843204870437E-2</v>
      </c>
      <c r="T205" s="327">
        <f t="shared" si="74"/>
        <v>7.2684299776100661E-16</v>
      </c>
      <c r="U205" s="328">
        <f t="shared" si="75"/>
        <v>4.8234300808276398E-3</v>
      </c>
      <c r="V205" s="327">
        <f t="shared" si="76"/>
        <v>1.7794395839336497E-2</v>
      </c>
      <c r="W205" s="327">
        <f t="shared" si="77"/>
        <v>3.4504897142726226E-2</v>
      </c>
      <c r="X205" s="327">
        <f t="shared" si="78"/>
        <v>7.1089491171058006E-2</v>
      </c>
      <c r="Y205" s="327">
        <f t="shared" si="79"/>
        <v>6.6464746006925743E-2</v>
      </c>
      <c r="Z205" s="327">
        <f t="shared" si="80"/>
        <v>1.9068656324527971E-6</v>
      </c>
      <c r="AA205" s="328">
        <f t="shared" si="81"/>
        <v>2.7858315534974865E-2</v>
      </c>
    </row>
    <row r="206" spans="1:27" ht="12" customHeight="1" x14ac:dyDescent="0.15">
      <c r="A206" s="269">
        <f t="shared" si="55"/>
        <v>191</v>
      </c>
      <c r="B206" s="322">
        <f t="shared" si="56"/>
        <v>176.30769230769232</v>
      </c>
      <c r="C206" s="323">
        <f t="shared" si="57"/>
        <v>764</v>
      </c>
      <c r="D206" s="327">
        <f t="shared" si="58"/>
        <v>1.6819330987714921E-3</v>
      </c>
      <c r="E206" s="327">
        <f t="shared" si="59"/>
        <v>3.1326845476400481E-3</v>
      </c>
      <c r="F206" s="327">
        <f t="shared" si="60"/>
        <v>3.9563157084129719E-2</v>
      </c>
      <c r="G206" s="327">
        <f t="shared" si="61"/>
        <v>3.8550404557341551E-2</v>
      </c>
      <c r="H206" s="327">
        <f t="shared" si="62"/>
        <v>1.7428753462217565E-2</v>
      </c>
      <c r="I206" s="327">
        <f t="shared" si="63"/>
        <v>1.0718263548225471E-2</v>
      </c>
      <c r="J206" s="327">
        <f t="shared" si="64"/>
        <v>1.2234482516108266E-6</v>
      </c>
      <c r="K206" s="327">
        <f t="shared" si="65"/>
        <v>3.8060823065669612E-7</v>
      </c>
      <c r="L206" s="327">
        <f t="shared" si="66"/>
        <v>2.7023773672965046E-3</v>
      </c>
      <c r="M206" s="327">
        <f t="shared" si="67"/>
        <v>8.8936140230274751E-3</v>
      </c>
      <c r="N206" s="327">
        <f t="shared" si="68"/>
        <v>3.7534714894871216E-2</v>
      </c>
      <c r="O206" s="328">
        <f t="shared" si="69"/>
        <v>2.5902052948293595E-2</v>
      </c>
      <c r="P206" s="327">
        <f t="shared" si="70"/>
        <v>4.5815148006715038E-2</v>
      </c>
      <c r="Q206" s="327">
        <f t="shared" si="71"/>
        <v>8.0298080725699869E-2</v>
      </c>
      <c r="R206" s="327">
        <f t="shared" si="72"/>
        <v>9.4894033106344367E-2</v>
      </c>
      <c r="S206" s="327">
        <f t="shared" si="73"/>
        <v>6.2234733450148669E-2</v>
      </c>
      <c r="T206" s="327">
        <f t="shared" si="74"/>
        <v>3.2154668044062805E-16</v>
      </c>
      <c r="U206" s="328">
        <f t="shared" si="75"/>
        <v>4.6605227893870005E-3</v>
      </c>
      <c r="V206" s="327">
        <f t="shared" si="76"/>
        <v>1.7421045368246898E-2</v>
      </c>
      <c r="W206" s="327">
        <f t="shared" si="77"/>
        <v>3.4008454393983881E-2</v>
      </c>
      <c r="X206" s="327">
        <f t="shared" si="78"/>
        <v>7.0506167617790272E-2</v>
      </c>
      <c r="Y206" s="327">
        <f t="shared" si="79"/>
        <v>6.5988767228894782E-2</v>
      </c>
      <c r="Z206" s="327">
        <f t="shared" si="80"/>
        <v>1.5919587734975105E-6</v>
      </c>
      <c r="AA206" s="328">
        <f t="shared" si="81"/>
        <v>2.7451387508242386E-2</v>
      </c>
    </row>
    <row r="207" spans="1:27" ht="12" customHeight="1" x14ac:dyDescent="0.15">
      <c r="A207" s="269">
        <f t="shared" si="55"/>
        <v>192</v>
      </c>
      <c r="B207" s="322">
        <f t="shared" si="56"/>
        <v>177.23076923076923</v>
      </c>
      <c r="C207" s="323">
        <f t="shared" si="57"/>
        <v>768</v>
      </c>
      <c r="D207" s="327">
        <f t="shared" si="58"/>
        <v>1.6266126874803371E-3</v>
      </c>
      <c r="E207" s="327">
        <f t="shared" si="59"/>
        <v>3.0451867906722183E-3</v>
      </c>
      <c r="F207" s="327">
        <f t="shared" si="60"/>
        <v>3.922051166534779E-2</v>
      </c>
      <c r="G207" s="327">
        <f t="shared" si="61"/>
        <v>3.82797451234703E-2</v>
      </c>
      <c r="H207" s="327">
        <f t="shared" si="62"/>
        <v>1.7239796377657105E-2</v>
      </c>
      <c r="I207" s="327">
        <f t="shared" si="63"/>
        <v>1.0541757817269071E-2</v>
      </c>
      <c r="J207" s="327">
        <f t="shared" si="64"/>
        <v>1.1392802151933098E-6</v>
      </c>
      <c r="K207" s="327">
        <f t="shared" si="65"/>
        <v>3.5146429254888524E-7</v>
      </c>
      <c r="L207" s="327">
        <f t="shared" si="66"/>
        <v>2.6639270811686933E-3</v>
      </c>
      <c r="M207" s="327">
        <f t="shared" si="67"/>
        <v>8.8250959922509774E-3</v>
      </c>
      <c r="N207" s="327">
        <f t="shared" si="68"/>
        <v>3.7519903703330339E-2</v>
      </c>
      <c r="O207" s="328">
        <f t="shared" si="69"/>
        <v>2.5765037132844122E-2</v>
      </c>
      <c r="P207" s="327">
        <f t="shared" si="70"/>
        <v>4.50815324264809E-2</v>
      </c>
      <c r="Q207" s="327">
        <f t="shared" si="71"/>
        <v>7.9561514170491621E-2</v>
      </c>
      <c r="R207" s="327">
        <f t="shared" si="72"/>
        <v>9.4132039152285074E-2</v>
      </c>
      <c r="S207" s="327">
        <f t="shared" si="73"/>
        <v>6.1715458713229775E-2</v>
      </c>
      <c r="T207" s="327">
        <f t="shared" si="74"/>
        <v>1.3959460432238081E-16</v>
      </c>
      <c r="U207" s="328">
        <f t="shared" si="75"/>
        <v>4.5029886623695337E-3</v>
      </c>
      <c r="V207" s="327">
        <f t="shared" si="76"/>
        <v>1.7055528294566313E-2</v>
      </c>
      <c r="W207" s="327">
        <f t="shared" si="77"/>
        <v>3.3519616251697609E-2</v>
      </c>
      <c r="X207" s="327">
        <f t="shared" si="78"/>
        <v>6.9929547771257483E-2</v>
      </c>
      <c r="Y207" s="327">
        <f t="shared" si="79"/>
        <v>6.5518418678472995E-2</v>
      </c>
      <c r="Z207" s="327">
        <f t="shared" si="80"/>
        <v>1.3260896925004683E-6</v>
      </c>
      <c r="AA207" s="328">
        <f t="shared" si="81"/>
        <v>2.7051183181688865E-2</v>
      </c>
    </row>
    <row r="208" spans="1:27" ht="12" customHeight="1" x14ac:dyDescent="0.15">
      <c r="A208" s="269">
        <f t="shared" ref="A208:A271" si="82">+A207+1</f>
        <v>193</v>
      </c>
      <c r="B208" s="322">
        <f t="shared" ref="B208:B271" si="83">12*C208/52</f>
        <v>178.15384615384616</v>
      </c>
      <c r="C208" s="323">
        <f t="shared" ref="C208:C271" si="84">+C207+4</f>
        <v>772</v>
      </c>
      <c r="D208" s="327">
        <f t="shared" ref="D208:D271" si="85">EXP(-(EXP(-$D$7)*$B208))</f>
        <v>1.5731118181838387E-3</v>
      </c>
      <c r="E208" s="327">
        <f t="shared" ref="E208:E271" si="86">EXP(-EXP(-($E$7/EXP($E$8)))*$B208^(1/EXP($E$8)))</f>
        <v>2.9601597339554333E-3</v>
      </c>
      <c r="F208" s="327">
        <f t="shared" ref="F208:F271" si="87">1 - _xlfn.NORM.S.DIST(((LN($B208) - $F$7)/EXP($F$8)), TRUE())</f>
        <v>3.888204653014149E-2</v>
      </c>
      <c r="G208" s="327">
        <f t="shared" ref="G208:G271" si="88">1/(1+EXP(-($G$7/EXP($G$8)))*$B208^(1/EXP($G$8)))</f>
        <v>3.8012302692527575E-2</v>
      </c>
      <c r="H208" s="327">
        <f t="shared" ref="H208:H271" si="89">IF($H$8=0,EXP(-EXP($H$7)*$B208),EXP(-(EXP($H$7)/$H$8)*(EXP($H$8*$B208)-1)))</f>
        <v>1.7054056746494052E-2</v>
      </c>
      <c r="I208" s="327">
        <f t="shared" ref="I208:I271" si="90">IF($I$9&gt;0,1-_xlfn.GAMMA.DIST(EXP($I$9*(LN($B208)-$I$7)/$I$8)/$I$9^2,1/$I$9^2,1,TRUE()),_xlfn.GAMMA.DIST(EXP($I$9*(LN($B208)-$I$7)/$I$8)/$I$9^2,1/$I$9^2,1,TRUE()))</f>
        <v>1.0368547020299768E-2</v>
      </c>
      <c r="J208" s="327">
        <f t="shared" ref="J208:J271" si="91">EXP(-(EXP(-$J$7)*$B208))</f>
        <v>1.060902581716866E-6</v>
      </c>
      <c r="K208" s="327">
        <f t="shared" ref="K208:K271" si="92">EXP(-EXP(-($K$7/EXP($K$8)))*$B208^(1/EXP($K$8)))</f>
        <v>3.2454802068565633E-7</v>
      </c>
      <c r="L208" s="327">
        <f t="shared" ref="L208:L271" si="93">1 - _xlfn.NORM.S.DIST(((LN($B208) - $L$7)/EXP($L$8)), TRUE())</f>
        <v>2.626167463822715E-3</v>
      </c>
      <c r="M208" s="327">
        <f t="shared" ref="M208:M271" si="94">1/(1+EXP(-($M$7/EXP($M$8)))*$B208^(1/EXP($M$8)))</f>
        <v>8.7574530490399215E-3</v>
      </c>
      <c r="N208" s="327">
        <f t="shared" ref="N208:N271" si="95">IF($N$8=0,EXP(-EXP($N$7)*$B208),EXP(-(EXP($N$7)/$N$8)*(EXP($N$8*$B208)-1)))</f>
        <v>3.7505515627285303E-2</v>
      </c>
      <c r="O208" s="328">
        <f t="shared" ref="O208:O271" si="96">IF($O$9&gt;0,1-_xlfn.GAMMA.DIST(EXP($O$9*(LN($B208)-$O$7)/$O$8)/$O$9^2,1/$O$9^2,1,TRUE()),_xlfn.GAMMA.DIST(EXP($O$9*(LN($B208)-$O$7)/$O$8)/$O$9^2,1/$O$9^2,1,TRUE()))</f>
        <v>2.5629437635351787E-2</v>
      </c>
      <c r="P208" s="327">
        <f t="shared" ref="P208:P271" si="97">EXP(-(EXP(-$P$7)*$B208))</f>
        <v>4.4359663874096213E-2</v>
      </c>
      <c r="Q208" s="327">
        <f t="shared" ref="Q208:Q271" si="98">EXP(-EXP(-($Q$7/EXP($Q$8)))*$B208^(1/EXP($Q$8)))</f>
        <v>7.8832844135551777E-2</v>
      </c>
      <c r="R208" s="327">
        <f t="shared" ref="R208:R271" si="99">1 - _xlfn.NORM.S.DIST(((LN($B208) - $R$7)/EXP($R$8)), TRUE())</f>
        <v>9.3378492114334799E-2</v>
      </c>
      <c r="S208" s="327">
        <f t="shared" ref="S208:S271" si="100">1/(1+EXP(-($S$7/EXP($S$8)))*$B208^(1/EXP($S$8)))</f>
        <v>6.1202900029767318E-2</v>
      </c>
      <c r="T208" s="327">
        <f t="shared" ref="T208:T271" si="101">IF($T$8=0,EXP(-EXP($T$7)*$B208),EXP(-(EXP($T$7)/$T$8)*(EXP($T$8*$B208)-1)))</f>
        <v>5.9446399705772328E-17</v>
      </c>
      <c r="U208" s="328">
        <f t="shared" ref="U208:U271" si="102">IF($U$9&gt;0,1-_xlfn.GAMMA.DIST(EXP($U$9*(LN($B208)-$U$7)/$U$8)/$U$9^2,1/$U$9^2,1,TRUE()),_xlfn.GAMMA.DIST(EXP($U$9*(LN($B208)-$U$7)/$U$8)/$U$9^2,1/$U$9^2,1,TRUE()))</f>
        <v>4.3506557165355897E-3</v>
      </c>
      <c r="V208" s="327">
        <f t="shared" ref="V208:V271" si="103">EXP(-(EXP(-$V$7)*$B208))</f>
        <v>1.6697680263031475E-2</v>
      </c>
      <c r="W208" s="327">
        <f t="shared" ref="W208:W271" si="104">EXP(-EXP(-($W$7/EXP($W$8)))*$B208^(1/EXP($W$8)))</f>
        <v>3.3038257227567203E-2</v>
      </c>
      <c r="X208" s="327">
        <f t="shared" ref="X208:X271" si="105">1 - _xlfn.NORM.S.DIST(((LN($B208) - $X$7)/EXP($X$8)), TRUE())</f>
        <v>6.9359530710275452E-2</v>
      </c>
      <c r="Y208" s="327">
        <f t="shared" ref="Y208:Y271" si="106">1/(1+EXP(-($Y$7/EXP($Y$8)))*$B208^(1/EXP($Y$8)))</f>
        <v>6.5053608289903045E-2</v>
      </c>
      <c r="Z208" s="327">
        <f t="shared" ref="Z208:Z271" si="107">IF($Z$8=0,EXP(-EXP($Z$7)*$B208),EXP(-(EXP($Z$7)/$Z$8)*(EXP($Z$8*$B208)-1)))</f>
        <v>1.1021261840406954E-6</v>
      </c>
      <c r="AA208" s="328">
        <f t="shared" ref="AA208:AA271" si="108">IF($AA$9&gt;0,1-_xlfn.GAMMA.DIST(EXP($AA$9*(LN($B208)-$AA$7)/$AA$8)/$AA$9^2,1/$AA$9^2,1,TRUE()),_xlfn.GAMMA.DIST(EXP($AA$9*(LN($B208)-$AA$7)/$AA$8)/$AA$9^2,1/$AA$9^2,1,TRUE()))</f>
        <v>2.6657577128469168E-2</v>
      </c>
    </row>
    <row r="209" spans="1:27" ht="12" customHeight="1" x14ac:dyDescent="0.15">
      <c r="A209" s="269">
        <f t="shared" si="82"/>
        <v>194</v>
      </c>
      <c r="B209" s="322">
        <f t="shared" si="83"/>
        <v>179.07692307692307</v>
      </c>
      <c r="C209" s="323">
        <f t="shared" si="84"/>
        <v>776</v>
      </c>
      <c r="D209" s="327">
        <f t="shared" si="85"/>
        <v>1.5213706443806291E-3</v>
      </c>
      <c r="E209" s="327">
        <f t="shared" si="86"/>
        <v>2.8775327275514821E-3</v>
      </c>
      <c r="F209" s="327">
        <f t="shared" si="87"/>
        <v>3.8547694763421569E-2</v>
      </c>
      <c r="G209" s="327">
        <f t="shared" si="88"/>
        <v>3.7748023682801599E-2</v>
      </c>
      <c r="H209" s="327">
        <f t="shared" si="89"/>
        <v>1.6871467308770025E-2</v>
      </c>
      <c r="I209" s="327">
        <f t="shared" si="90"/>
        <v>1.0198561629678582E-2</v>
      </c>
      <c r="J209" s="327">
        <f t="shared" si="91"/>
        <v>9.8791699608558689E-7</v>
      </c>
      <c r="K209" s="327">
        <f t="shared" si="92"/>
        <v>2.9968946059089548E-7</v>
      </c>
      <c r="L209" s="327">
        <f t="shared" si="93"/>
        <v>2.589083416996929E-3</v>
      </c>
      <c r="M209" s="327">
        <f t="shared" si="94"/>
        <v>8.6906696392941678E-3</v>
      </c>
      <c r="N209" s="327">
        <f t="shared" si="95"/>
        <v>3.7491538426162957E-2</v>
      </c>
      <c r="O209" s="328">
        <f t="shared" si="96"/>
        <v>2.5495232731804311E-2</v>
      </c>
      <c r="P209" s="327">
        <f t="shared" si="97"/>
        <v>4.3649354250143511E-2</v>
      </c>
      <c r="Q209" s="327">
        <f t="shared" si="98"/>
        <v>7.8111969708204471E-2</v>
      </c>
      <c r="R209" s="327">
        <f t="shared" si="99"/>
        <v>9.2633270378993715E-2</v>
      </c>
      <c r="S209" s="327">
        <f t="shared" si="100"/>
        <v>6.069694100787619E-2</v>
      </c>
      <c r="T209" s="327">
        <f t="shared" si="101"/>
        <v>2.4821132133124922E-17</v>
      </c>
      <c r="U209" s="328">
        <f t="shared" si="102"/>
        <v>4.2033572580042478E-3</v>
      </c>
      <c r="V209" s="327">
        <f t="shared" si="103"/>
        <v>1.6347340366774647E-2</v>
      </c>
      <c r="W209" s="327">
        <f t="shared" si="104"/>
        <v>3.2564254095067961E-2</v>
      </c>
      <c r="X209" s="327">
        <f t="shared" si="105"/>
        <v>6.8796017410721499E-2</v>
      </c>
      <c r="Y209" s="327">
        <f t="shared" si="106"/>
        <v>6.4594245906976266E-2</v>
      </c>
      <c r="Z209" s="327">
        <f t="shared" si="107"/>
        <v>9.138920764772946E-7</v>
      </c>
      <c r="AA209" s="328">
        <f t="shared" si="108"/>
        <v>2.6270446554544691E-2</v>
      </c>
    </row>
    <row r="210" spans="1:27" ht="12" customHeight="1" x14ac:dyDescent="0.15">
      <c r="A210" s="269">
        <f t="shared" si="82"/>
        <v>195</v>
      </c>
      <c r="B210" s="322">
        <f t="shared" si="83"/>
        <v>180</v>
      </c>
      <c r="C210" s="323">
        <f t="shared" si="84"/>
        <v>780</v>
      </c>
      <c r="D210" s="327">
        <f t="shared" si="85"/>
        <v>1.4713312879788172E-3</v>
      </c>
      <c r="E210" s="327">
        <f t="shared" si="86"/>
        <v>2.7972371717381712E-3</v>
      </c>
      <c r="F210" s="327">
        <f t="shared" si="87"/>
        <v>3.821739078748565E-2</v>
      </c>
      <c r="G210" s="327">
        <f t="shared" si="88"/>
        <v>3.7486855655968321E-2</v>
      </c>
      <c r="H210" s="327">
        <f t="shared" si="89"/>
        <v>1.6691962449226768E-2</v>
      </c>
      <c r="I210" s="327">
        <f t="shared" si="90"/>
        <v>1.0031733769641726E-2</v>
      </c>
      <c r="J210" s="327">
        <f t="shared" si="91"/>
        <v>9.1995250833995601E-7</v>
      </c>
      <c r="K210" s="327">
        <f t="shared" si="92"/>
        <v>2.7673159788494544E-7</v>
      </c>
      <c r="L210" s="327">
        <f t="shared" si="93"/>
        <v>2.5526602330372405E-3</v>
      </c>
      <c r="M210" s="327">
        <f t="shared" si="94"/>
        <v>8.6247305622291475E-3</v>
      </c>
      <c r="N210" s="327">
        <f t="shared" si="95"/>
        <v>3.7477960222023168E-2</v>
      </c>
      <c r="O210" s="328">
        <f t="shared" si="96"/>
        <v>2.5362401139024625E-2</v>
      </c>
      <c r="P210" s="327">
        <f t="shared" si="97"/>
        <v>4.2950418467149386E-2</v>
      </c>
      <c r="Q210" s="327">
        <f t="shared" si="98"/>
        <v>7.7398791534024208E-2</v>
      </c>
      <c r="R210" s="327">
        <f t="shared" si="99"/>
        <v>9.1896254506687702E-2</v>
      </c>
      <c r="S210" s="327">
        <f t="shared" si="100"/>
        <v>6.0197467762177985E-2</v>
      </c>
      <c r="T210" s="327">
        <f t="shared" si="101"/>
        <v>1.0156849997178929E-17</v>
      </c>
      <c r="U210" s="328">
        <f t="shared" si="102"/>
        <v>4.0609317286000035E-3</v>
      </c>
      <c r="V210" s="327">
        <f t="shared" si="103"/>
        <v>1.6004351074971588E-2</v>
      </c>
      <c r="W210" s="327">
        <f t="shared" si="104"/>
        <v>3.2097485844247896E-2</v>
      </c>
      <c r="X210" s="327">
        <f t="shared" si="105"/>
        <v>6.8238910702554723E-2</v>
      </c>
      <c r="Y210" s="327">
        <f t="shared" si="106"/>
        <v>6.4140243235295546E-2</v>
      </c>
      <c r="Z210" s="327">
        <f t="shared" si="107"/>
        <v>7.5605145877345346E-7</v>
      </c>
      <c r="AA210" s="328">
        <f t="shared" si="108"/>
        <v>2.5889671236781764E-2</v>
      </c>
    </row>
    <row r="211" spans="1:27" ht="12" customHeight="1" x14ac:dyDescent="0.15">
      <c r="A211" s="269">
        <f t="shared" si="82"/>
        <v>196</v>
      </c>
      <c r="B211" s="322">
        <f t="shared" si="83"/>
        <v>180.92307692307693</v>
      </c>
      <c r="C211" s="323">
        <f t="shared" si="84"/>
        <v>784</v>
      </c>
      <c r="D211" s="327">
        <f t="shared" si="85"/>
        <v>1.4229377745531126E-3</v>
      </c>
      <c r="E211" s="327">
        <f t="shared" si="86"/>
        <v>2.7192064564631985E-3</v>
      </c>
      <c r="F211" s="327">
        <f t="shared" si="87"/>
        <v>3.7891070329820531E-2</v>
      </c>
      <c r="G211" s="327">
        <f t="shared" si="88"/>
        <v>3.7228747287430995E-2</v>
      </c>
      <c r="H211" s="327">
        <f t="shared" si="89"/>
        <v>1.6515478151753301E-2</v>
      </c>
      <c r="I211" s="327">
        <f t="shared" si="90"/>
        <v>9.8679971723252269E-3</v>
      </c>
      <c r="J211" s="327">
        <f t="shared" si="91"/>
        <v>8.5666368830004181E-7</v>
      </c>
      <c r="K211" s="327">
        <f t="shared" si="92"/>
        <v>2.5552937518322945E-7</v>
      </c>
      <c r="L211" s="327">
        <f t="shared" si="93"/>
        <v>2.5168835831946845E-3</v>
      </c>
      <c r="M211" s="327">
        <f t="shared" si="94"/>
        <v>8.55962096062555E-3</v>
      </c>
      <c r="N211" s="327">
        <f t="shared" si="95"/>
        <v>3.7464769488345241E-2</v>
      </c>
      <c r="O211" s="328">
        <f t="shared" si="96"/>
        <v>2.5230922003561966E-2</v>
      </c>
      <c r="P211" s="327">
        <f t="shared" si="97"/>
        <v>4.2262674401355685E-2</v>
      </c>
      <c r="Q211" s="327">
        <f t="shared" si="98"/>
        <v>7.6693211787652066E-2</v>
      </c>
      <c r="R211" s="327">
        <f t="shared" si="99"/>
        <v>9.116732718513143E-2</v>
      </c>
      <c r="S211" s="327">
        <f t="shared" si="100"/>
        <v>5.9704368849788095E-2</v>
      </c>
      <c r="T211" s="327">
        <f t="shared" si="101"/>
        <v>4.071324020496707E-18</v>
      </c>
      <c r="U211" s="328">
        <f t="shared" si="102"/>
        <v>3.9232225562743084E-3</v>
      </c>
      <c r="V211" s="327">
        <f t="shared" si="103"/>
        <v>1.5668558162007663E-2</v>
      </c>
      <c r="W211" s="327">
        <f t="shared" si="104"/>
        <v>3.1637833637540087E-2</v>
      </c>
      <c r="X211" s="327">
        <f t="shared" si="105"/>
        <v>6.7688115227978574E-2</v>
      </c>
      <c r="Y211" s="327">
        <f t="shared" si="106"/>
        <v>6.3691513795928564E-2</v>
      </c>
      <c r="Z211" s="327">
        <f t="shared" si="107"/>
        <v>6.2400515937224255E-7</v>
      </c>
      <c r="AA211" s="328">
        <f t="shared" si="108"/>
        <v>2.5515133462669315E-2</v>
      </c>
    </row>
    <row r="212" spans="1:27" ht="12" customHeight="1" x14ac:dyDescent="0.15">
      <c r="A212" s="269">
        <f t="shared" si="82"/>
        <v>197</v>
      </c>
      <c r="B212" s="322">
        <f t="shared" si="83"/>
        <v>181.84615384615384</v>
      </c>
      <c r="C212" s="323">
        <f t="shared" si="84"/>
        <v>788</v>
      </c>
      <c r="D212" s="327">
        <f t="shared" si="85"/>
        <v>1.3761359707313687E-3</v>
      </c>
      <c r="E212" s="327">
        <f t="shared" si="86"/>
        <v>2.643375902624224E-3</v>
      </c>
      <c r="F212" s="327">
        <f t="shared" si="87"/>
        <v>3.756867039181333E-2</v>
      </c>
      <c r="G212" s="327">
        <f t="shared" si="88"/>
        <v>3.6973648337563177E-2</v>
      </c>
      <c r="H212" s="327">
        <f t="shared" si="89"/>
        <v>1.6341951955232244E-2</v>
      </c>
      <c r="I212" s="327">
        <f t="shared" si="90"/>
        <v>9.7072871350935008E-3</v>
      </c>
      <c r="J212" s="327">
        <f t="shared" si="91"/>
        <v>7.9772886991318591E-7</v>
      </c>
      <c r="K212" s="327">
        <f t="shared" si="92"/>
        <v>2.3594878350892815E-7</v>
      </c>
      <c r="L212" s="327">
        <f t="shared" si="93"/>
        <v>2.4817395063225778E-3</v>
      </c>
      <c r="M212" s="327">
        <f t="shared" si="94"/>
        <v>8.4953263113950409E-3</v>
      </c>
      <c r="N212" s="327">
        <f t="shared" si="95"/>
        <v>3.7451955039187045E-2</v>
      </c>
      <c r="O212" s="328">
        <f t="shared" si="96"/>
        <v>2.5100774890917422E-2</v>
      </c>
      <c r="P212" s="327">
        <f t="shared" si="97"/>
        <v>4.1585942845263089E-2</v>
      </c>
      <c r="Q212" s="327">
        <f t="shared" si="98"/>
        <v>7.5995134144271351E-2</v>
      </c>
      <c r="R212" s="327">
        <f t="shared" si="99"/>
        <v>9.0446373183860951E-2</v>
      </c>
      <c r="S212" s="327">
        <f t="shared" si="100"/>
        <v>5.9217535208178664E-2</v>
      </c>
      <c r="T212" s="327">
        <f t="shared" si="101"/>
        <v>1.5978814588224117E-18</v>
      </c>
      <c r="U212" s="328">
        <f t="shared" si="102"/>
        <v>3.7900780095110331E-3</v>
      </c>
      <c r="V212" s="327">
        <f t="shared" si="103"/>
        <v>1.5339810638130029E-2</v>
      </c>
      <c r="W212" s="327">
        <f t="shared" si="104"/>
        <v>3.1185180766566671E-2</v>
      </c>
      <c r="X212" s="327">
        <f t="shared" si="105"/>
        <v>6.714353740071155E-2</v>
      </c>
      <c r="Y212" s="327">
        <f t="shared" si="106"/>
        <v>6.3247972880405096E-2</v>
      </c>
      <c r="Z212" s="327">
        <f t="shared" si="107"/>
        <v>5.1379841597736107E-7</v>
      </c>
      <c r="AA212" s="328">
        <f t="shared" si="108"/>
        <v>2.5146717971612831E-2</v>
      </c>
    </row>
    <row r="213" spans="1:27" ht="12" customHeight="1" x14ac:dyDescent="0.15">
      <c r="A213" s="269">
        <f t="shared" si="82"/>
        <v>198</v>
      </c>
      <c r="B213" s="322">
        <f t="shared" si="83"/>
        <v>182.76923076923077</v>
      </c>
      <c r="C213" s="323">
        <f t="shared" si="84"/>
        <v>792</v>
      </c>
      <c r="D213" s="327">
        <f t="shared" si="85"/>
        <v>1.330873523640566E-3</v>
      </c>
      <c r="E213" s="327">
        <f t="shared" si="86"/>
        <v>2.5696827051186872E-3</v>
      </c>
      <c r="F213" s="327">
        <f t="shared" si="87"/>
        <v>3.7250129218343142E-2</v>
      </c>
      <c r="G213" s="327">
        <f t="shared" si="88"/>
        <v>3.672150962382411E-2</v>
      </c>
      <c r="H213" s="327">
        <f t="shared" si="89"/>
        <v>1.6171322910738826E-2</v>
      </c>
      <c r="I213" s="327">
        <f t="shared" si="90"/>
        <v>9.5495404791302585E-3</v>
      </c>
      <c r="J213" s="327">
        <f t="shared" si="91"/>
        <v>7.4284851638310689E-7</v>
      </c>
      <c r="K213" s="327">
        <f t="shared" si="92"/>
        <v>2.1786602258637463E-7</v>
      </c>
      <c r="L213" s="327">
        <f t="shared" si="93"/>
        <v>2.4472143979565875E-3</v>
      </c>
      <c r="M213" s="327">
        <f t="shared" si="94"/>
        <v>8.4318324164504594E-3</v>
      </c>
      <c r="N213" s="327">
        <f t="shared" si="95"/>
        <v>3.7439506018702398E-2</v>
      </c>
      <c r="O213" s="328">
        <f t="shared" si="96"/>
        <v>2.4971939775091441E-2</v>
      </c>
      <c r="P213" s="327">
        <f t="shared" si="97"/>
        <v>4.0920047460934299E-2</v>
      </c>
      <c r="Q213" s="327">
        <f t="shared" si="98"/>
        <v>7.5304463751723838E-2</v>
      </c>
      <c r="R213" s="327">
        <f t="shared" si="99"/>
        <v>8.9733279309902159E-2</v>
      </c>
      <c r="S213" s="327">
        <f t="shared" si="100"/>
        <v>5.8736860094858838E-2</v>
      </c>
      <c r="T213" s="327">
        <f t="shared" si="101"/>
        <v>6.137252821791648E-19</v>
      </c>
      <c r="U213" s="328">
        <f t="shared" si="102"/>
        <v>3.6613510556271489E-3</v>
      </c>
      <c r="V213" s="327">
        <f t="shared" si="103"/>
        <v>1.50179606815549E-2</v>
      </c>
      <c r="W213" s="327">
        <f t="shared" si="104"/>
        <v>3.0739412609907913E-2</v>
      </c>
      <c r="X213" s="327">
        <f t="shared" si="105"/>
        <v>6.660508536633214E-2</v>
      </c>
      <c r="Y213" s="327">
        <f t="shared" si="106"/>
        <v>6.2809537507014901E-2</v>
      </c>
      <c r="Z213" s="327">
        <f t="shared" si="107"/>
        <v>4.2203873773058827E-7</v>
      </c>
      <c r="AA213" s="328">
        <f t="shared" si="108"/>
        <v>2.4784311897755096E-2</v>
      </c>
    </row>
    <row r="214" spans="1:27" ht="12" customHeight="1" x14ac:dyDescent="0.15">
      <c r="A214" s="269">
        <f t="shared" si="82"/>
        <v>199</v>
      </c>
      <c r="B214" s="322">
        <f t="shared" si="83"/>
        <v>183.69230769230768</v>
      </c>
      <c r="C214" s="323">
        <f t="shared" si="84"/>
        <v>796</v>
      </c>
      <c r="D214" s="327">
        <f t="shared" si="85"/>
        <v>1.2870998023444674E-3</v>
      </c>
      <c r="E214" s="327">
        <f t="shared" si="86"/>
        <v>2.4980658776084766E-3</v>
      </c>
      <c r="F214" s="327">
        <f t="shared" si="87"/>
        <v>3.6935386268222015E-2</v>
      </c>
      <c r="G214" s="327">
        <f t="shared" si="88"/>
        <v>3.6472282993715299E-2</v>
      </c>
      <c r="H214" s="327">
        <f t="shared" si="89"/>
        <v>1.6003531540046981E-2</v>
      </c>
      <c r="I214" s="327">
        <f t="shared" si="90"/>
        <v>9.3946955092493178E-3</v>
      </c>
      <c r="J214" s="327">
        <f t="shared" si="91"/>
        <v>6.9174369777119638E-7</v>
      </c>
      <c r="K214" s="327">
        <f t="shared" si="92"/>
        <v>2.0116672480646221E-7</v>
      </c>
      <c r="L214" s="327">
        <f t="shared" si="93"/>
        <v>2.4132949997650588E-3</v>
      </c>
      <c r="M214" s="327">
        <f t="shared" si="94"/>
        <v>8.3691253938689668E-3</v>
      </c>
      <c r="N214" s="327">
        <f t="shared" si="95"/>
        <v>3.7427411891004285E-2</v>
      </c>
      <c r="O214" s="328">
        <f t="shared" si="96"/>
        <v>2.4844397028442412E-2</v>
      </c>
      <c r="P214" s="327">
        <f t="shared" si="97"/>
        <v>4.0264814734045314E-2</v>
      </c>
      <c r="Q214" s="327">
        <f t="shared" si="98"/>
        <v>7.4621107203249631E-2</v>
      </c>
      <c r="R214" s="327">
        <f t="shared" si="99"/>
        <v>8.9027934364542261E-2</v>
      </c>
      <c r="S214" s="327">
        <f t="shared" si="100"/>
        <v>5.8262239028808664E-2</v>
      </c>
      <c r="T214" s="327">
        <f t="shared" si="101"/>
        <v>2.305724720773869E-19</v>
      </c>
      <c r="U214" s="328">
        <f t="shared" si="102"/>
        <v>3.5368992228803631E-3</v>
      </c>
      <c r="V214" s="327">
        <f t="shared" si="103"/>
        <v>1.4702863571999287E-2</v>
      </c>
      <c r="W214" s="327">
        <f t="shared" si="104"/>
        <v>3.0300416591810996E-2</v>
      </c>
      <c r="X214" s="327">
        <f t="shared" si="105"/>
        <v>6.6072668963664261E-2</v>
      </c>
      <c r="Y214" s="327">
        <f t="shared" si="106"/>
        <v>6.2376126378361922E-2</v>
      </c>
      <c r="Z214" s="327">
        <f t="shared" si="107"/>
        <v>3.4582302372145911E-7</v>
      </c>
      <c r="AA214" s="328">
        <f t="shared" si="108"/>
        <v>2.4427804714282964E-2</v>
      </c>
    </row>
    <row r="215" spans="1:27" ht="12" customHeight="1" x14ac:dyDescent="0.15">
      <c r="A215" s="269">
        <f t="shared" si="82"/>
        <v>200</v>
      </c>
      <c r="B215" s="322">
        <f t="shared" si="83"/>
        <v>184.61538461538461</v>
      </c>
      <c r="C215" s="323">
        <f t="shared" si="84"/>
        <v>800</v>
      </c>
      <c r="D215" s="327">
        <f t="shared" si="85"/>
        <v>1.244765841207446E-3</v>
      </c>
      <c r="E215" s="327">
        <f t="shared" si="86"/>
        <v>2.428466198946661E-3</v>
      </c>
      <c r="F215" s="327">
        <f t="shared" si="87"/>
        <v>3.6624382185461712E-2</v>
      </c>
      <c r="G215" s="327">
        <f t="shared" si="88"/>
        <v>3.6225921298550262E-2</v>
      </c>
      <c r="H215" s="327">
        <f t="shared" si="89"/>
        <v>1.5838519795399093E-2</v>
      </c>
      <c r="I215" s="327">
        <f t="shared" si="90"/>
        <v>9.2426919748866965E-3</v>
      </c>
      <c r="J215" s="327">
        <f t="shared" si="91"/>
        <v>6.4415467333233064E-7</v>
      </c>
      <c r="K215" s="327">
        <f t="shared" si="92"/>
        <v>1.8574523804819685E-7</v>
      </c>
      <c r="L215" s="327">
        <f t="shared" si="93"/>
        <v>2.3799683893532819E-3</v>
      </c>
      <c r="M215" s="327">
        <f t="shared" si="94"/>
        <v>8.3071916693375873E-3</v>
      </c>
      <c r="N215" s="327">
        <f t="shared" si="95"/>
        <v>3.7415662430360541E-2</v>
      </c>
      <c r="O215" s="328">
        <f t="shared" si="96"/>
        <v>2.4718127411845824E-2</v>
      </c>
      <c r="P215" s="327">
        <f t="shared" si="97"/>
        <v>3.9620073928672207E-2</v>
      </c>
      <c r="Q215" s="327">
        <f t="shared" si="98"/>
        <v>7.3944972510833942E-2</v>
      </c>
      <c r="R215" s="327">
        <f t="shared" si="99"/>
        <v>8.833022910117394E-2</v>
      </c>
      <c r="S215" s="327">
        <f t="shared" si="100"/>
        <v>5.7793569733613576E-2</v>
      </c>
      <c r="T215" s="327">
        <f t="shared" si="101"/>
        <v>8.468827734737067E-20</v>
      </c>
      <c r="U215" s="328">
        <f t="shared" si="102"/>
        <v>3.4165844662952249E-3</v>
      </c>
      <c r="V215" s="327">
        <f t="shared" si="103"/>
        <v>1.439437762560726E-2</v>
      </c>
      <c r="W215" s="327">
        <f t="shared" si="104"/>
        <v>2.9868082141816521E-2</v>
      </c>
      <c r="X215" s="327">
        <f t="shared" si="105"/>
        <v>6.5546199687174012E-2</v>
      </c>
      <c r="Y215" s="327">
        <f t="shared" si="106"/>
        <v>6.1947659840135366E-2</v>
      </c>
      <c r="Z215" s="327">
        <f t="shared" si="107"/>
        <v>2.8267306352568164E-7</v>
      </c>
      <c r="AA215" s="328">
        <f t="shared" si="108"/>
        <v>2.4077088179174866E-2</v>
      </c>
    </row>
    <row r="216" spans="1:27" ht="12" customHeight="1" x14ac:dyDescent="0.15">
      <c r="A216" s="269">
        <f t="shared" si="82"/>
        <v>201</v>
      </c>
      <c r="B216" s="322">
        <f t="shared" si="83"/>
        <v>185.53846153846155</v>
      </c>
      <c r="C216" s="323">
        <f t="shared" si="84"/>
        <v>804</v>
      </c>
      <c r="D216" s="327">
        <f t="shared" si="85"/>
        <v>1.2038242851211325E-3</v>
      </c>
      <c r="E216" s="327">
        <f t="shared" si="86"/>
        <v>2.3608261612148356E-3</v>
      </c>
      <c r="F216" s="327">
        <f t="shared" si="87"/>
        <v>3.6317058771336619E-2</v>
      </c>
      <c r="G216" s="327">
        <f t="shared" si="88"/>
        <v>3.5982378368008487E-2</v>
      </c>
      <c r="H216" s="327">
        <f t="shared" si="89"/>
        <v>1.5676231020497235E-2</v>
      </c>
      <c r="I216" s="327">
        <f t="shared" si="90"/>
        <v>9.093471032234568E-3</v>
      </c>
      <c r="J216" s="327">
        <f t="shared" si="91"/>
        <v>5.9983957137998674E-7</v>
      </c>
      <c r="K216" s="327">
        <f t="shared" si="92"/>
        <v>1.7150396290376371E-7</v>
      </c>
      <c r="L216" s="327">
        <f t="shared" si="93"/>
        <v>2.3472219704103736E-3</v>
      </c>
      <c r="M216" s="327">
        <f t="shared" si="94"/>
        <v>8.2460179678706825E-3</v>
      </c>
      <c r="N216" s="327">
        <f t="shared" si="95"/>
        <v>3.7404247711710699E-2</v>
      </c>
      <c r="O216" s="328">
        <f t="shared" si="96"/>
        <v>2.4593112065142957E-2</v>
      </c>
      <c r="P216" s="327">
        <f t="shared" si="97"/>
        <v>3.8985657042801998E-2</v>
      </c>
      <c r="Q216" s="327">
        <f t="shared" si="98"/>
        <v>7.327596907914595E-2</v>
      </c>
      <c r="R216" s="327">
        <f t="shared" si="99"/>
        <v>8.7640056184181248E-2</v>
      </c>
      <c r="S216" s="327">
        <f t="shared" si="100"/>
        <v>5.7330752082241199E-2</v>
      </c>
      <c r="T216" s="327">
        <f t="shared" si="101"/>
        <v>3.0394488800850087E-20</v>
      </c>
      <c r="U216" s="328">
        <f t="shared" si="102"/>
        <v>3.300273037125212E-3</v>
      </c>
      <c r="V216" s="327">
        <f t="shared" si="103"/>
        <v>1.4092364131241686E-2</v>
      </c>
      <c r="W216" s="327">
        <f t="shared" si="104"/>
        <v>2.9442300655278621E-2</v>
      </c>
      <c r="X216" s="327">
        <f t="shared" si="105"/>
        <v>6.5025590650344522E-2</v>
      </c>
      <c r="Y216" s="327">
        <f t="shared" si="106"/>
        <v>6.1524059841056862E-2</v>
      </c>
      <c r="Z216" s="327">
        <f t="shared" si="107"/>
        <v>2.3047860611452196E-7</v>
      </c>
      <c r="AA216" s="328">
        <f t="shared" si="108"/>
        <v>2.3732056282349978E-2</v>
      </c>
    </row>
    <row r="217" spans="1:27" ht="12" customHeight="1" x14ac:dyDescent="0.15">
      <c r="A217" s="269">
        <f t="shared" si="82"/>
        <v>202</v>
      </c>
      <c r="B217" s="322">
        <f t="shared" si="83"/>
        <v>186.46153846153845</v>
      </c>
      <c r="C217" s="323">
        <f t="shared" si="84"/>
        <v>808</v>
      </c>
      <c r="D217" s="327">
        <f t="shared" si="85"/>
        <v>1.1642293365326159E-3</v>
      </c>
      <c r="E217" s="327">
        <f t="shared" si="86"/>
        <v>2.2950899193216775E-3</v>
      </c>
      <c r="F217" s="327">
        <f t="shared" si="87"/>
        <v>3.6013358957218911E-2</v>
      </c>
      <c r="G217" s="327">
        <f t="shared" si="88"/>
        <v>3.5741608985447329E-2</v>
      </c>
      <c r="H217" s="327">
        <f t="shared" si="89"/>
        <v>1.5516609912675167E-2</v>
      </c>
      <c r="I217" s="327">
        <f t="shared" si="90"/>
        <v>8.9469752074802233E-3</v>
      </c>
      <c r="J217" s="327">
        <f t="shared" si="91"/>
        <v>5.5857315997100064E-7</v>
      </c>
      <c r="K217" s="327">
        <f t="shared" si="92"/>
        <v>1.5835274019041692E-7</v>
      </c>
      <c r="L217" s="327">
        <f t="shared" si="93"/>
        <v>2.3150434631843408E-3</v>
      </c>
      <c r="M217" s="327">
        <f t="shared" si="94"/>
        <v>8.1855913057894431E-3</v>
      </c>
      <c r="N217" s="327">
        <f t="shared" si="95"/>
        <v>3.7393158101491859E-2</v>
      </c>
      <c r="O217" s="328">
        <f t="shared" si="96"/>
        <v>2.4469332497870363E-2</v>
      </c>
      <c r="P217" s="327">
        <f t="shared" si="97"/>
        <v>3.836139876455584E-2</v>
      </c>
      <c r="Q217" s="327">
        <f t="shared" si="98"/>
        <v>7.2614007680052509E-2</v>
      </c>
      <c r="R217" s="327">
        <f t="shared" si="99"/>
        <v>8.6957310148836675E-2</v>
      </c>
      <c r="S217" s="327">
        <f t="shared" si="100"/>
        <v>5.6873688043408352E-2</v>
      </c>
      <c r="T217" s="327">
        <f t="shared" si="101"/>
        <v>1.0653447125307001E-20</v>
      </c>
      <c r="U217" s="328">
        <f t="shared" si="102"/>
        <v>3.1878353558629779E-3</v>
      </c>
      <c r="V217" s="327">
        <f t="shared" si="103"/>
        <v>1.3796687288112562E-2</v>
      </c>
      <c r="W217" s="327">
        <f t="shared" si="104"/>
        <v>2.9022965454756595E-2</v>
      </c>
      <c r="X217" s="327">
        <f t="shared" si="105"/>
        <v>6.4510756550002823E-2</v>
      </c>
      <c r="Y217" s="327">
        <f t="shared" si="106"/>
        <v>6.1105249893966353E-2</v>
      </c>
      <c r="Z217" s="327">
        <f t="shared" si="107"/>
        <v>1.8744724262968271E-7</v>
      </c>
      <c r="AA217" s="328">
        <f t="shared" si="108"/>
        <v>2.3392605194177518E-2</v>
      </c>
    </row>
    <row r="218" spans="1:27" ht="12" customHeight="1" x14ac:dyDescent="0.15">
      <c r="A218" s="269">
        <f t="shared" si="82"/>
        <v>203</v>
      </c>
      <c r="B218" s="322">
        <f t="shared" si="83"/>
        <v>187.38461538461539</v>
      </c>
      <c r="C218" s="323">
        <f t="shared" si="84"/>
        <v>812</v>
      </c>
      <c r="D218" s="327">
        <f t="shared" si="85"/>
        <v>1.125936704214922E-3</v>
      </c>
      <c r="E218" s="327">
        <f t="shared" si="86"/>
        <v>2.2312032421142789E-3</v>
      </c>
      <c r="F218" s="327">
        <f t="shared" si="87"/>
        <v>3.5713226778161355E-2</v>
      </c>
      <c r="G218" s="327">
        <f t="shared" si="88"/>
        <v>3.5503568863945761E-2</v>
      </c>
      <c r="H218" s="327">
        <f t="shared" si="89"/>
        <v>1.5359602486212346E-2</v>
      </c>
      <c r="I218" s="327">
        <f t="shared" si="90"/>
        <v>8.8031483611148431E-3</v>
      </c>
      <c r="J218" s="327">
        <f t="shared" si="91"/>
        <v>5.2014570216198593E-7</v>
      </c>
      <c r="K218" s="327">
        <f t="shared" si="92"/>
        <v>1.4620828494312328E-7</v>
      </c>
      <c r="L218" s="327">
        <f t="shared" si="93"/>
        <v>2.2834208952747792E-3</v>
      </c>
      <c r="M218" s="327">
        <f t="shared" si="94"/>
        <v>8.1258989829539226E-3</v>
      </c>
      <c r="N218" s="327">
        <f t="shared" si="95"/>
        <v>3.7382384248762675E-2</v>
      </c>
      <c r="O218" s="328">
        <f t="shared" si="96"/>
        <v>2.434677058025923E-2</v>
      </c>
      <c r="P218" s="327">
        <f t="shared" si="97"/>
        <v>3.7747136429113239E-2</v>
      </c>
      <c r="Q218" s="327">
        <f t="shared" si="98"/>
        <v>7.1959000427692627E-2</v>
      </c>
      <c r="R218" s="327">
        <f t="shared" si="99"/>
        <v>8.6281887362183229E-2</v>
      </c>
      <c r="S218" s="327">
        <f t="shared" si="100"/>
        <v>5.6422281629487515E-2</v>
      </c>
      <c r="T218" s="327">
        <f t="shared" si="101"/>
        <v>3.6447852293255772E-21</v>
      </c>
      <c r="U218" s="328">
        <f t="shared" si="102"/>
        <v>3.0791458887176049E-3</v>
      </c>
      <c r="V218" s="327">
        <f t="shared" si="103"/>
        <v>1.3507214144713906E-2</v>
      </c>
      <c r="W218" s="327">
        <f t="shared" si="104"/>
        <v>2.8609971752255499E-2</v>
      </c>
      <c r="X218" s="327">
        <f t="shared" si="105"/>
        <v>6.4001613631567977E-2</v>
      </c>
      <c r="Y218" s="327">
        <f t="shared" si="106"/>
        <v>6.0691155038008843E-2</v>
      </c>
      <c r="Z218" s="327">
        <f t="shared" si="107"/>
        <v>1.520604058537125E-7</v>
      </c>
      <c r="AA218" s="328">
        <f t="shared" si="108"/>
        <v>2.3058633215308877E-2</v>
      </c>
    </row>
    <row r="219" spans="1:27" ht="12" customHeight="1" x14ac:dyDescent="0.15">
      <c r="A219" s="269">
        <f t="shared" si="82"/>
        <v>204</v>
      </c>
      <c r="B219" s="322">
        <f t="shared" si="83"/>
        <v>188.30769230769232</v>
      </c>
      <c r="C219" s="323">
        <f t="shared" si="84"/>
        <v>816</v>
      </c>
      <c r="D219" s="327">
        <f t="shared" si="85"/>
        <v>1.0889035537225069E-3</v>
      </c>
      <c r="E219" s="327">
        <f t="shared" si="86"/>
        <v>2.1691134649559499E-3</v>
      </c>
      <c r="F219" s="327">
        <f t="shared" si="87"/>
        <v>3.5416607347203977E-2</v>
      </c>
      <c r="G219" s="327">
        <f t="shared" si="88"/>
        <v>3.5268214623054926E-2</v>
      </c>
      <c r="H219" s="327">
        <f t="shared" si="89"/>
        <v>1.5205156036751885E-2</v>
      </c>
      <c r="I219" s="327">
        <f t="shared" si="90"/>
        <v>8.6619356532775527E-3</v>
      </c>
      <c r="J219" s="327">
        <f t="shared" si="91"/>
        <v>4.8436189001926196E-7</v>
      </c>
      <c r="K219" s="327">
        <f t="shared" si="92"/>
        <v>1.3499366336927605E-7</v>
      </c>
      <c r="L219" s="327">
        <f t="shared" si="93"/>
        <v>2.2523425927286622E-3</v>
      </c>
      <c r="M219" s="327">
        <f t="shared" si="94"/>
        <v>8.066928575238436E-3</v>
      </c>
      <c r="N219" s="327">
        <f t="shared" si="95"/>
        <v>3.7371917076614899E-2</v>
      </c>
      <c r="O219" s="328">
        <f t="shared" si="96"/>
        <v>2.4225408534496607E-2</v>
      </c>
      <c r="P219" s="327">
        <f t="shared" si="97"/>
        <v>3.7142709976325967E-2</v>
      </c>
      <c r="Q219" s="327">
        <f t="shared" si="98"/>
        <v>7.131086075409751E-2</v>
      </c>
      <c r="R219" s="327">
        <f t="shared" si="99"/>
        <v>8.5613685984870624E-2</v>
      </c>
      <c r="S219" s="327">
        <f t="shared" si="100"/>
        <v>5.5976438845901484E-2</v>
      </c>
      <c r="T219" s="327">
        <f t="shared" si="101"/>
        <v>1.2164588903379383E-21</v>
      </c>
      <c r="U219" s="328">
        <f t="shared" si="102"/>
        <v>2.9740830274771479E-3</v>
      </c>
      <c r="V219" s="327">
        <f t="shared" si="103"/>
        <v>1.3223814539042041E-2</v>
      </c>
      <c r="W219" s="327">
        <f t="shared" si="104"/>
        <v>2.8203216612295488E-2</v>
      </c>
      <c r="X219" s="327">
        <f t="shared" si="105"/>
        <v>6.3498079655192607E-2</v>
      </c>
      <c r="Y219" s="327">
        <f t="shared" si="106"/>
        <v>6.0281701801887431E-2</v>
      </c>
      <c r="Z219" s="327">
        <f t="shared" si="107"/>
        <v>1.2303484445228852E-7</v>
      </c>
      <c r="AA219" s="328">
        <f t="shared" si="108"/>
        <v>2.2730040727792056E-2</v>
      </c>
    </row>
    <row r="220" spans="1:27" ht="12" customHeight="1" x14ac:dyDescent="0.15">
      <c r="A220" s="269">
        <f t="shared" si="82"/>
        <v>205</v>
      </c>
      <c r="B220" s="322">
        <f t="shared" si="83"/>
        <v>189.23076923076923</v>
      </c>
      <c r="C220" s="323">
        <f t="shared" si="84"/>
        <v>820</v>
      </c>
      <c r="D220" s="327">
        <f t="shared" si="85"/>
        <v>1.0530884594762908E-3</v>
      </c>
      <c r="E220" s="327">
        <f t="shared" si="86"/>
        <v>2.1087694437254487E-3</v>
      </c>
      <c r="F220" s="327">
        <f t="shared" si="87"/>
        <v>3.512344683038171E-2</v>
      </c>
      <c r="G220" s="327">
        <f t="shared" si="88"/>
        <v>3.5035503766231893E-2</v>
      </c>
      <c r="H220" s="327">
        <f t="shared" si="89"/>
        <v>1.5053219106786324E-2</v>
      </c>
      <c r="I220" s="327">
        <f t="shared" si="90"/>
        <v>8.5232835101001214E-3</v>
      </c>
      <c r="J220" s="327">
        <f t="shared" si="91"/>
        <v>4.5103985196434498E-7</v>
      </c>
      <c r="K220" s="327">
        <f t="shared" si="92"/>
        <v>1.2463780951235893E-7</v>
      </c>
      <c r="L220" s="327">
        <f t="shared" si="93"/>
        <v>2.2217971714311169E-3</v>
      </c>
      <c r="M220" s="327">
        <f t="shared" si="94"/>
        <v>8.0086679272416816E-3</v>
      </c>
      <c r="N220" s="327">
        <f t="shared" si="95"/>
        <v>3.7361747773862052E-2</v>
      </c>
      <c r="O220" s="328">
        <f t="shared" si="96"/>
        <v>2.4105228926238956E-2</v>
      </c>
      <c r="P220" s="327">
        <f t="shared" si="97"/>
        <v>3.6547961909010836E-2</v>
      </c>
      <c r="Q220" s="327">
        <f t="shared" si="98"/>
        <v>7.0669503385342863E-2</v>
      </c>
      <c r="R220" s="327">
        <f t="shared" si="99"/>
        <v>8.4952605933923064E-2</v>
      </c>
      <c r="S220" s="327">
        <f t="shared" si="100"/>
        <v>5.5536067641959917E-2</v>
      </c>
      <c r="T220" s="327">
        <f t="shared" si="101"/>
        <v>3.9583870962344239E-22</v>
      </c>
      <c r="U220" s="328">
        <f t="shared" si="102"/>
        <v>2.8725289726740932E-3</v>
      </c>
      <c r="V220" s="327">
        <f t="shared" si="103"/>
        <v>1.294636104006801E-2</v>
      </c>
      <c r="W220" s="327">
        <f t="shared" si="104"/>
        <v>2.7802598915788828E-2</v>
      </c>
      <c r="X220" s="327">
        <f t="shared" si="105"/>
        <v>6.3000073862775396E-2</v>
      </c>
      <c r="Y220" s="327">
        <f t="shared" si="106"/>
        <v>5.9876818168148396E-2</v>
      </c>
      <c r="Z220" s="327">
        <f t="shared" si="107"/>
        <v>9.9288983000403017E-8</v>
      </c>
      <c r="AA220" s="328">
        <f t="shared" si="108"/>
        <v>2.2406730147436216E-2</v>
      </c>
    </row>
    <row r="221" spans="1:27" ht="12" customHeight="1" x14ac:dyDescent="0.15">
      <c r="A221" s="269">
        <f t="shared" si="82"/>
        <v>206</v>
      </c>
      <c r="B221" s="322">
        <f t="shared" si="83"/>
        <v>190.15384615384616</v>
      </c>
      <c r="C221" s="323">
        <f t="shared" si="84"/>
        <v>824</v>
      </c>
      <c r="D221" s="327">
        <f t="shared" si="85"/>
        <v>1.0184513584246789E-3</v>
      </c>
      <c r="E221" s="327">
        <f t="shared" si="86"/>
        <v>2.0501215101938644E-3</v>
      </c>
      <c r="F221" s="327">
        <f t="shared" si="87"/>
        <v>3.48336924224113E-2</v>
      </c>
      <c r="G221" s="327">
        <f t="shared" si="88"/>
        <v>3.480539465893373E-2</v>
      </c>
      <c r="H221" s="327">
        <f t="shared" si="89"/>
        <v>1.49037414521761E-2</v>
      </c>
      <c r="I221" s="327">
        <f t="shared" si="90"/>
        <v>8.3871395910231072E-3</v>
      </c>
      <c r="J221" s="327">
        <f t="shared" si="91"/>
        <v>4.2001022840985134E-7</v>
      </c>
      <c r="K221" s="327">
        <f t="shared" si="92"/>
        <v>1.1507507861720683E-7</v>
      </c>
      <c r="L221" s="327">
        <f t="shared" si="93"/>
        <v>2.1917735287778628E-3</v>
      </c>
      <c r="M221" s="327">
        <f t="shared" si="94"/>
        <v>7.951105145223061E-3</v>
      </c>
      <c r="N221" s="327">
        <f t="shared" si="95"/>
        <v>3.7351867786995528E-2</v>
      </c>
      <c r="O221" s="328">
        <f t="shared" si="96"/>
        <v>2.3986214656370165E-2</v>
      </c>
      <c r="P221" s="327">
        <f t="shared" si="97"/>
        <v>3.5962737251909981E-2</v>
      </c>
      <c r="Q221" s="327">
        <f t="shared" si="98"/>
        <v>7.0034844318219075E-2</v>
      </c>
      <c r="R221" s="327">
        <f t="shared" si="99"/>
        <v>8.4298548846408639E-2</v>
      </c>
      <c r="S221" s="327">
        <f t="shared" si="100"/>
        <v>5.5101077863091492E-2</v>
      </c>
      <c r="T221" s="327">
        <f t="shared" si="101"/>
        <v>1.2551057176796552E-22</v>
      </c>
      <c r="U221" s="328">
        <f t="shared" si="102"/>
        <v>2.774369619977346E-3</v>
      </c>
      <c r="V221" s="327">
        <f t="shared" si="103"/>
        <v>1.2674728890438048E-2</v>
      </c>
      <c r="W221" s="327">
        <f t="shared" si="104"/>
        <v>2.7408019324705012E-2</v>
      </c>
      <c r="X221" s="327">
        <f t="shared" si="105"/>
        <v>6.2507516945813357E-2</v>
      </c>
      <c r="Y221" s="327">
        <f t="shared" si="106"/>
        <v>5.9476433538464879E-2</v>
      </c>
      <c r="Z221" s="327">
        <f t="shared" si="107"/>
        <v>7.9913629254722052E-8</v>
      </c>
      <c r="AA221" s="328">
        <f t="shared" si="108"/>
        <v>2.2088605877388479E-2</v>
      </c>
    </row>
    <row r="222" spans="1:27" ht="12" customHeight="1" x14ac:dyDescent="0.15">
      <c r="A222" s="269">
        <f t="shared" si="82"/>
        <v>207</v>
      </c>
      <c r="B222" s="322">
        <f t="shared" si="83"/>
        <v>191.07692307692307</v>
      </c>
      <c r="C222" s="323">
        <f t="shared" si="84"/>
        <v>828</v>
      </c>
      <c r="D222" s="327">
        <f t="shared" si="85"/>
        <v>9.8495350522870978E-4</v>
      </c>
      <c r="E222" s="327">
        <f t="shared" si="86"/>
        <v>1.9931214287368763E-3</v>
      </c>
      <c r="F222" s="327">
        <f t="shared" si="87"/>
        <v>3.4547292323036105E-2</v>
      </c>
      <c r="G222" s="327">
        <f t="shared" si="88"/>
        <v>3.4577846507348804E-2</v>
      </c>
      <c r="H222" s="327">
        <f t="shared" si="89"/>
        <v>1.4756674009666839E-2</v>
      </c>
      <c r="I222" s="327">
        <f t="shared" si="90"/>
        <v>8.2534527570494731E-3</v>
      </c>
      <c r="J222" s="327">
        <f t="shared" si="91"/>
        <v>3.9111531098773296E-7</v>
      </c>
      <c r="K222" s="327">
        <f t="shared" si="92"/>
        <v>1.0624483441657568E-7</v>
      </c>
      <c r="L222" s="327">
        <f t="shared" si="93"/>
        <v>2.1622608356203221E-3</v>
      </c>
      <c r="M222" s="327">
        <f t="shared" si="94"/>
        <v>7.894228590257223E-3</v>
      </c>
      <c r="N222" s="327">
        <f t="shared" si="95"/>
        <v>3.7342268812398806E-2</v>
      </c>
      <c r="O222" s="328">
        <f t="shared" si="96"/>
        <v>2.3868348952995111E-2</v>
      </c>
      <c r="P222" s="327">
        <f t="shared" si="97"/>
        <v>3.5386883511308698E-2</v>
      </c>
      <c r="Q222" s="327">
        <f t="shared" si="98"/>
        <v>6.9406800797405244E-2</v>
      </c>
      <c r="R222" s="327">
        <f t="shared" si="99"/>
        <v>8.3651418043987125E-2</v>
      </c>
      <c r="S222" s="327">
        <f t="shared" si="100"/>
        <v>5.4671381204426252E-2</v>
      </c>
      <c r="T222" s="327">
        <f t="shared" si="101"/>
        <v>3.8754630062762895E-23</v>
      </c>
      <c r="U222" s="328">
        <f t="shared" si="102"/>
        <v>2.6794944497297024E-3</v>
      </c>
      <c r="V222" s="327">
        <f t="shared" si="103"/>
        <v>1.2408795950376271E-2</v>
      </c>
      <c r="W222" s="327">
        <f t="shared" si="104"/>
        <v>2.7019380247503107E-2</v>
      </c>
      <c r="X222" s="327">
        <f t="shared" si="105"/>
        <v>6.202033101407356E-2</v>
      </c>
      <c r="Y222" s="327">
        <f t="shared" si="106"/>
        <v>5.9080478699887425E-2</v>
      </c>
      <c r="Z222" s="327">
        <f t="shared" si="107"/>
        <v>6.4146537968912359E-8</v>
      </c>
      <c r="AA222" s="328">
        <f t="shared" si="108"/>
        <v>2.1775574262888675E-2</v>
      </c>
    </row>
    <row r="223" spans="1:27" ht="12" customHeight="1" x14ac:dyDescent="0.15">
      <c r="A223" s="269">
        <f t="shared" si="82"/>
        <v>208</v>
      </c>
      <c r="B223" s="322">
        <f t="shared" si="83"/>
        <v>192</v>
      </c>
      <c r="C223" s="323">
        <f t="shared" si="84"/>
        <v>832</v>
      </c>
      <c r="D223" s="327">
        <f t="shared" si="85"/>
        <v>9.5255742892120469E-4</v>
      </c>
      <c r="E223" s="327">
        <f t="shared" si="86"/>
        <v>1.9377223543416409E-3</v>
      </c>
      <c r="F223" s="327">
        <f t="shared" si="87"/>
        <v>3.4264195714007961E-2</v>
      </c>
      <c r="G223" s="327">
        <f t="shared" si="88"/>
        <v>3.4352819337745463E-2</v>
      </c>
      <c r="H223" s="327">
        <f t="shared" si="89"/>
        <v>1.4611968865372922E-2</v>
      </c>
      <c r="I223" s="327">
        <f t="shared" si="90"/>
        <v>8.1221730399070324E-3</v>
      </c>
      <c r="J223" s="327">
        <f t="shared" si="91"/>
        <v>3.642082409949308E-7</v>
      </c>
      <c r="K223" s="327">
        <f t="shared" si="92"/>
        <v>9.8091067768928085E-8</v>
      </c>
      <c r="L223" s="327">
        <f t="shared" si="93"/>
        <v>2.1332485284721869E-3</v>
      </c>
      <c r="M223" s="327">
        <f t="shared" si="94"/>
        <v>7.8380268715990287E-3</v>
      </c>
      <c r="N223" s="327">
        <f t="shared" si="95"/>
        <v>3.7332942788810372E-2</v>
      </c>
      <c r="O223" s="328">
        <f t="shared" si="96"/>
        <v>2.3751615363661632E-2</v>
      </c>
      <c r="P223" s="327">
        <f t="shared" si="97"/>
        <v>3.4820250635299609E-2</v>
      </c>
      <c r="Q223" s="327">
        <f t="shared" si="98"/>
        <v>6.878529129313575E-2</v>
      </c>
      <c r="R223" s="327">
        <f t="shared" si="99"/>
        <v>8.3011118498312331E-2</v>
      </c>
      <c r="S223" s="327">
        <f t="shared" si="100"/>
        <v>5.4246891165685956E-2</v>
      </c>
      <c r="T223" s="327">
        <f t="shared" si="101"/>
        <v>1.1646143667498734E-23</v>
      </c>
      <c r="U223" s="328">
        <f t="shared" si="102"/>
        <v>2.5877964195571979E-3</v>
      </c>
      <c r="V223" s="327">
        <f t="shared" si="103"/>
        <v>1.2148442642764315E-2</v>
      </c>
      <c r="W223" s="327">
        <f t="shared" si="104"/>
        <v>2.6636585805315305E-2</v>
      </c>
      <c r="X223" s="327">
        <f t="shared" si="105"/>
        <v>6.1538439565058445E-2</v>
      </c>
      <c r="Y223" s="327">
        <f t="shared" si="106"/>
        <v>5.8688885792031055E-2</v>
      </c>
      <c r="Z223" s="327">
        <f t="shared" si="107"/>
        <v>5.135038567848881E-8</v>
      </c>
      <c r="AA223" s="328">
        <f t="shared" si="108"/>
        <v>2.1467543547169843E-2</v>
      </c>
    </row>
    <row r="224" spans="1:27" ht="12" customHeight="1" x14ac:dyDescent="0.15">
      <c r="A224" s="269">
        <f t="shared" si="82"/>
        <v>209</v>
      </c>
      <c r="B224" s="322">
        <f t="shared" si="83"/>
        <v>192.92307692307693</v>
      </c>
      <c r="C224" s="323">
        <f t="shared" si="84"/>
        <v>836</v>
      </c>
      <c r="D224" s="327">
        <f t="shared" si="85"/>
        <v>9.2122689099145057E-4</v>
      </c>
      <c r="E224" s="327">
        <f t="shared" si="86"/>
        <v>1.8838787918684576E-3</v>
      </c>
      <c r="F224" s="327">
        <f t="shared" si="87"/>
        <v>3.3984352736687873E-2</v>
      </c>
      <c r="G224" s="327">
        <f t="shared" si="88"/>
        <v>3.413027397641643E-2</v>
      </c>
      <c r="H224" s="327">
        <f t="shared" si="89"/>
        <v>1.446957922419582E-2</v>
      </c>
      <c r="I224" s="327">
        <f t="shared" si="90"/>
        <v>7.9932516120932995E-3</v>
      </c>
      <c r="J224" s="327">
        <f t="shared" si="91"/>
        <v>3.3915226298257025E-7</v>
      </c>
      <c r="K224" s="327">
        <f t="shared" si="92"/>
        <v>9.0562044271430306E-8</v>
      </c>
      <c r="L224" s="327">
        <f t="shared" si="93"/>
        <v>2.1047263019696727E-3</v>
      </c>
      <c r="M224" s="327">
        <f t="shared" si="94"/>
        <v>7.7824888402516432E-3</v>
      </c>
      <c r="N224" s="327">
        <f t="shared" si="95"/>
        <v>3.7323881890027152E-2</v>
      </c>
      <c r="O224" s="328">
        <f t="shared" si="96"/>
        <v>2.36359977478031E-2</v>
      </c>
      <c r="P224" s="327">
        <f t="shared" si="97"/>
        <v>3.4262690974683208E-2</v>
      </c>
      <c r="Q224" s="327">
        <f t="shared" si="98"/>
        <v>6.8170235479346156E-2</v>
      </c>
      <c r="R224" s="327">
        <f t="shared" si="99"/>
        <v>8.2377556797265217E-2</v>
      </c>
      <c r="S224" s="327">
        <f t="shared" si="100"/>
        <v>5.3827523007341317E-2</v>
      </c>
      <c r="T224" s="327">
        <f t="shared" si="101"/>
        <v>3.4039551355691152E-24</v>
      </c>
      <c r="U224" s="328">
        <f t="shared" si="102"/>
        <v>2.4991718599732815E-3</v>
      </c>
      <c r="V224" s="327">
        <f t="shared" si="103"/>
        <v>1.189355189937338E-2</v>
      </c>
      <c r="W224" s="327">
        <f t="shared" si="104"/>
        <v>2.6259541798859781E-2</v>
      </c>
      <c r="X224" s="327">
        <f t="shared" si="105"/>
        <v>6.1061767454242077E-2</v>
      </c>
      <c r="Y224" s="327">
        <f t="shared" si="106"/>
        <v>5.8301588275169521E-2</v>
      </c>
      <c r="Z224" s="327">
        <f t="shared" si="107"/>
        <v>4.0993753255078374E-8</v>
      </c>
      <c r="AA224" s="328">
        <f t="shared" si="108"/>
        <v>2.1164423828473389E-2</v>
      </c>
    </row>
    <row r="225" spans="1:27" ht="12" customHeight="1" x14ac:dyDescent="0.15">
      <c r="A225" s="269">
        <f t="shared" si="82"/>
        <v>210</v>
      </c>
      <c r="B225" s="322">
        <f t="shared" si="83"/>
        <v>193.84615384615384</v>
      </c>
      <c r="C225" s="323">
        <f t="shared" si="84"/>
        <v>840</v>
      </c>
      <c r="D225" s="327">
        <f t="shared" si="85"/>
        <v>8.9092684484850767E-4</v>
      </c>
      <c r="E225" s="327">
        <f t="shared" si="86"/>
        <v>1.8315465565290139E-3</v>
      </c>
      <c r="F225" s="327">
        <f t="shared" si="87"/>
        <v>3.3707714470244232E-2</v>
      </c>
      <c r="G225" s="327">
        <f t="shared" si="88"/>
        <v>3.3910172030199637E-2</v>
      </c>
      <c r="H225" s="327">
        <f t="shared" si="89"/>
        <v>1.4329459380146979E-2</v>
      </c>
      <c r="I225" s="327">
        <f t="shared" si="90"/>
        <v>7.8666407577692166E-3</v>
      </c>
      <c r="J225" s="327">
        <f t="shared" si="91"/>
        <v>3.1582002969504372E-7</v>
      </c>
      <c r="K225" s="327">
        <f t="shared" si="92"/>
        <v>8.3609978651877832E-8</v>
      </c>
      <c r="L225" s="327">
        <f t="shared" si="93"/>
        <v>2.0766841015744664E-3</v>
      </c>
      <c r="M225" s="327">
        <f t="shared" si="94"/>
        <v>7.7276035827304659E-3</v>
      </c>
      <c r="N225" s="327">
        <f t="shared" si="95"/>
        <v>3.7315078517839675E-2</v>
      </c>
      <c r="O225" s="328">
        <f t="shared" si="96"/>
        <v>2.3521480269394272E-2</v>
      </c>
      <c r="P225" s="327">
        <f t="shared" si="97"/>
        <v>3.3714059244494506E-2</v>
      </c>
      <c r="Q225" s="327">
        <f t="shared" si="98"/>
        <v>6.75615542122847E-2</v>
      </c>
      <c r="R225" s="327">
        <f t="shared" si="99"/>
        <v>8.1750641111992706E-2</v>
      </c>
      <c r="S225" s="327">
        <f t="shared" si="100"/>
        <v>5.3413193707995708E-2</v>
      </c>
      <c r="T225" s="327">
        <f t="shared" si="101"/>
        <v>9.6705292034219041E-25</v>
      </c>
      <c r="U225" s="328">
        <f t="shared" si="102"/>
        <v>2.413520372905209E-3</v>
      </c>
      <c r="V225" s="327">
        <f t="shared" si="103"/>
        <v>1.1644009108224298E-2</v>
      </c>
      <c r="W225" s="327">
        <f t="shared" si="104"/>
        <v>2.5888155676067986E-2</v>
      </c>
      <c r="X225" s="327">
        <f t="shared" si="105"/>
        <v>6.0590240866054468E-2</v>
      </c>
      <c r="Y225" s="327">
        <f t="shared" si="106"/>
        <v>5.7918520899206703E-2</v>
      </c>
      <c r="Z225" s="327">
        <f t="shared" si="107"/>
        <v>3.2634752629364896E-8</v>
      </c>
      <c r="AA225" s="328">
        <f t="shared" si="108"/>
        <v>2.086612701814472E-2</v>
      </c>
    </row>
    <row r="226" spans="1:27" ht="12" customHeight="1" x14ac:dyDescent="0.15">
      <c r="A226" s="269">
        <f t="shared" si="82"/>
        <v>211</v>
      </c>
      <c r="B226" s="322">
        <f t="shared" si="83"/>
        <v>194.76923076923077</v>
      </c>
      <c r="C226" s="323">
        <f t="shared" si="84"/>
        <v>844</v>
      </c>
      <c r="D226" s="327">
        <f t="shared" si="85"/>
        <v>8.6162339661780734E-4</v>
      </c>
      <c r="E226" s="327">
        <f t="shared" si="86"/>
        <v>1.7806827355438266E-3</v>
      </c>
      <c r="F226" s="327">
        <f t="shared" si="87"/>
        <v>3.3434232910432016E-2</v>
      </c>
      <c r="G226" s="327">
        <f t="shared" si="88"/>
        <v>3.3692475867556443E-2</v>
      </c>
      <c r="H226" s="327">
        <f t="shared" si="89"/>
        <v>1.419156468754563E-2</v>
      </c>
      <c r="I226" s="327">
        <f t="shared" si="90"/>
        <v>7.7422938444819955E-3</v>
      </c>
      <c r="J226" s="327">
        <f t="shared" si="91"/>
        <v>2.9409295482632265E-7</v>
      </c>
      <c r="K226" s="327">
        <f t="shared" si="92"/>
        <v>7.7190733909239434E-8</v>
      </c>
      <c r="L226" s="327">
        <f t="shared" si="93"/>
        <v>2.0491121165110426E-3</v>
      </c>
      <c r="M226" s="327">
        <f t="shared" si="94"/>
        <v>7.6733604150161462E-3</v>
      </c>
      <c r="N226" s="327">
        <f t="shared" si="95"/>
        <v>3.7306525295191142E-2</v>
      </c>
      <c r="O226" s="328">
        <f t="shared" si="96"/>
        <v>2.3408047389813339E-2</v>
      </c>
      <c r="P226" s="327">
        <f t="shared" si="97"/>
        <v>3.3174212486145639E-2</v>
      </c>
      <c r="Q226" s="327">
        <f t="shared" si="98"/>
        <v>6.6959169509580779E-2</v>
      </c>
      <c r="R226" s="327">
        <f t="shared" si="99"/>
        <v>8.1130281164734197E-2</v>
      </c>
      <c r="S226" s="327">
        <f t="shared" si="100"/>
        <v>5.3003821922955809E-2</v>
      </c>
      <c r="T226" s="327">
        <f t="shared" si="101"/>
        <v>2.6686802856174818E-25</v>
      </c>
      <c r="U226" s="328">
        <f t="shared" si="102"/>
        <v>2.3307447330692677E-3</v>
      </c>
      <c r="V226" s="327">
        <f t="shared" si="103"/>
        <v>1.1399702062052102E-2</v>
      </c>
      <c r="W226" s="327">
        <f t="shared" si="104"/>
        <v>2.5522336500407351E-2</v>
      </c>
      <c r="X226" s="327">
        <f t="shared" si="105"/>
        <v>6.01237872855932E-2</v>
      </c>
      <c r="Y226" s="327">
        <f t="shared" si="106"/>
        <v>5.7539619673500138E-2</v>
      </c>
      <c r="Z226" s="327">
        <f t="shared" si="107"/>
        <v>2.5906970920301293E-8</v>
      </c>
      <c r="AA226" s="328">
        <f t="shared" si="108"/>
        <v>2.0572566799782477E-2</v>
      </c>
    </row>
    <row r="227" spans="1:27" ht="12" customHeight="1" x14ac:dyDescent="0.15">
      <c r="A227" s="269">
        <f t="shared" si="82"/>
        <v>212</v>
      </c>
      <c r="B227" s="322">
        <f t="shared" si="83"/>
        <v>195.69230769230768</v>
      </c>
      <c r="C227" s="323">
        <f t="shared" si="84"/>
        <v>848</v>
      </c>
      <c r="D227" s="327">
        <f t="shared" si="85"/>
        <v>8.3328376722719972E-4</v>
      </c>
      <c r="E227" s="327">
        <f t="shared" si="86"/>
        <v>1.731245650943116E-3</v>
      </c>
      <c r="F227" s="327">
        <f t="shared" si="87"/>
        <v>3.3163860948934643E-2</v>
      </c>
      <c r="G227" s="327">
        <f t="shared" si="88"/>
        <v>3.347714860018923E-2</v>
      </c>
      <c r="H227" s="327">
        <f t="shared" si="89"/>
        <v>1.405585153306366E-2</v>
      </c>
      <c r="I227" s="327">
        <f t="shared" si="90"/>
        <v>7.6201652956853216E-3</v>
      </c>
      <c r="J227" s="327">
        <f t="shared" si="91"/>
        <v>2.7386061030389132E-7</v>
      </c>
      <c r="K227" s="327">
        <f t="shared" si="92"/>
        <v>7.1263543326109953E-8</v>
      </c>
      <c r="L227" s="327">
        <f t="shared" si="93"/>
        <v>2.0220007729312428E-3</v>
      </c>
      <c r="M227" s="327">
        <f t="shared" si="94"/>
        <v>7.6197488766900946E-3</v>
      </c>
      <c r="N227" s="327">
        <f t="shared" si="95"/>
        <v>3.7298215059552706E-2</v>
      </c>
      <c r="O227" s="328">
        <f t="shared" si="96"/>
        <v>2.329568386090395E-2</v>
      </c>
      <c r="P227" s="327">
        <f t="shared" si="97"/>
        <v>3.2643010030174807E-2</v>
      </c>
      <c r="Q227" s="327">
        <f t="shared" si="98"/>
        <v>6.6363004529755701E-2</v>
      </c>
      <c r="R227" s="327">
        <f t="shared" si="99"/>
        <v>8.0516388197410693E-2</v>
      </c>
      <c r="S227" s="327">
        <f t="shared" si="100"/>
        <v>5.259932794395443E-2</v>
      </c>
      <c r="T227" s="327">
        <f t="shared" si="101"/>
        <v>7.1487701556378754E-26</v>
      </c>
      <c r="U227" s="328">
        <f t="shared" si="102"/>
        <v>2.2507507921246672E-3</v>
      </c>
      <c r="V227" s="327">
        <f t="shared" si="103"/>
        <v>1.1160520907851884E-2</v>
      </c>
      <c r="W227" s="327">
        <f t="shared" si="104"/>
        <v>2.5161994919883093E-2</v>
      </c>
      <c r="X227" s="327">
        <f t="shared" si="105"/>
        <v>5.966233547104105E-2</v>
      </c>
      <c r="Y227" s="327">
        <f t="shared" si="106"/>
        <v>5.7164821837507519E-2</v>
      </c>
      <c r="Z227" s="327">
        <f t="shared" si="107"/>
        <v>2.0507439324856902E-8</v>
      </c>
      <c r="AA227" s="328">
        <f t="shared" si="108"/>
        <v>2.0283658589411169E-2</v>
      </c>
    </row>
    <row r="228" spans="1:27" ht="12" customHeight="1" x14ac:dyDescent="0.15">
      <c r="A228" s="269">
        <f t="shared" si="82"/>
        <v>213</v>
      </c>
      <c r="B228" s="322">
        <f t="shared" si="83"/>
        <v>196.61538461538461</v>
      </c>
      <c r="C228" s="323">
        <f t="shared" si="84"/>
        <v>852</v>
      </c>
      <c r="D228" s="327">
        <f t="shared" si="85"/>
        <v>8.0587625574001659E-4</v>
      </c>
      <c r="E228" s="327">
        <f t="shared" si="86"/>
        <v>1.6831948234759667E-3</v>
      </c>
      <c r="F228" s="327">
        <f t="shared" si="87"/>
        <v>3.2896552353250952E-2</v>
      </c>
      <c r="G228" s="327">
        <f t="shared" si="88"/>
        <v>3.3264154065179942E-2</v>
      </c>
      <c r="H228" s="327">
        <f t="shared" si="89"/>
        <v>1.3922277308590069E-2</v>
      </c>
      <c r="I228" s="327">
        <f t="shared" si="90"/>
        <v>7.5002105640344929E-3</v>
      </c>
      <c r="J228" s="327">
        <f t="shared" si="91"/>
        <v>2.5502016503697201E-7</v>
      </c>
      <c r="K228" s="327">
        <f t="shared" si="92"/>
        <v>6.5790753618260837E-8</v>
      </c>
      <c r="L228" s="327">
        <f t="shared" si="93"/>
        <v>1.9953407272953472E-3</v>
      </c>
      <c r="M228" s="327">
        <f t="shared" si="94"/>
        <v>7.5667587252461321E-3</v>
      </c>
      <c r="N228" s="327">
        <f t="shared" si="95"/>
        <v>3.7290140856507482E-2</v>
      </c>
      <c r="O228" s="328">
        <f t="shared" si="96"/>
        <v>2.3184374718229976E-2</v>
      </c>
      <c r="P228" s="327">
        <f t="shared" si="97"/>
        <v>3.2120313459591501E-2</v>
      </c>
      <c r="Q228" s="327">
        <f t="shared" si="98"/>
        <v>6.5772983552166542E-2</v>
      </c>
      <c r="R228" s="327">
        <f t="shared" si="99"/>
        <v>7.9908874940957775E-2</v>
      </c>
      <c r="S228" s="327">
        <f t="shared" si="100"/>
        <v>5.2199633659987157E-2</v>
      </c>
      <c r="T228" s="327">
        <f t="shared" si="101"/>
        <v>1.8576182045958309E-26</v>
      </c>
      <c r="U228" s="328">
        <f t="shared" si="102"/>
        <v>2.1734473855351544E-3</v>
      </c>
      <c r="V228" s="327">
        <f t="shared" si="103"/>
        <v>1.0926358097483203E-2</v>
      </c>
      <c r="W228" s="327">
        <f t="shared" si="104"/>
        <v>2.4807043136702619E-2</v>
      </c>
      <c r="X228" s="327">
        <f t="shared" si="105"/>
        <v>5.9205815426768726E-2</v>
      </c>
      <c r="Y228" s="327">
        <f t="shared" si="106"/>
        <v>5.6794065832232142E-2</v>
      </c>
      <c r="Z228" s="327">
        <f t="shared" si="107"/>
        <v>1.6186365580271945E-8</v>
      </c>
      <c r="AA228" s="328">
        <f t="shared" si="108"/>
        <v>1.9999319496646573E-2</v>
      </c>
    </row>
    <row r="229" spans="1:27" ht="12" customHeight="1" x14ac:dyDescent="0.15">
      <c r="A229" s="269">
        <f t="shared" si="82"/>
        <v>214</v>
      </c>
      <c r="B229" s="322">
        <f t="shared" si="83"/>
        <v>197.53846153846155</v>
      </c>
      <c r="C229" s="323">
        <f t="shared" si="84"/>
        <v>856</v>
      </c>
      <c r="D229" s="327">
        <f t="shared" si="85"/>
        <v>7.7937020389415009E-4</v>
      </c>
      <c r="E229" s="327">
        <f t="shared" si="86"/>
        <v>1.6364909375943138E-3</v>
      </c>
      <c r="F229" s="327">
        <f t="shared" si="87"/>
        <v>3.2632261747111868E-2</v>
      </c>
      <c r="G229" s="327">
        <f t="shared" si="88"/>
        <v>3.3053456807633809E-2</v>
      </c>
      <c r="H229" s="327">
        <f t="shared" si="89"/>
        <v>1.379080038488863E-2</v>
      </c>
      <c r="I229" s="327">
        <f t="shared" si="90"/>
        <v>7.3823861054338469E-3</v>
      </c>
      <c r="J229" s="327">
        <f t="shared" si="91"/>
        <v>2.3747586227649752E-7</v>
      </c>
      <c r="K229" s="327">
        <f t="shared" si="92"/>
        <v>6.0737587617807086E-8</v>
      </c>
      <c r="L229" s="327">
        <f t="shared" si="93"/>
        <v>1.969122859965089E-3</v>
      </c>
      <c r="M229" s="327">
        <f t="shared" si="94"/>
        <v>7.5143799305722753E-3</v>
      </c>
      <c r="N229" s="327">
        <f t="shared" si="95"/>
        <v>3.7282295933536103E-2</v>
      </c>
      <c r="O229" s="328">
        <f t="shared" si="96"/>
        <v>2.3074105274517531E-2</v>
      </c>
      <c r="P229" s="327">
        <f t="shared" si="97"/>
        <v>3.1605986573808934E-2</v>
      </c>
      <c r="Q229" s="327">
        <f t="shared" si="98"/>
        <v>6.5189031957372412E-2</v>
      </c>
      <c r="R229" s="327">
        <f t="shared" si="99"/>
        <v>7.9307655585381553E-2</v>
      </c>
      <c r="S229" s="327">
        <f t="shared" si="100"/>
        <v>5.1804662519228897E-2</v>
      </c>
      <c r="T229" s="327">
        <f t="shared" si="101"/>
        <v>4.6791492068076624E-27</v>
      </c>
      <c r="U229" s="328">
        <f t="shared" si="102"/>
        <v>2.0987462420719583E-3</v>
      </c>
      <c r="V229" s="327">
        <f t="shared" si="103"/>
        <v>1.0697108339310953E-2</v>
      </c>
      <c r="W229" s="327">
        <f t="shared" si="104"/>
        <v>2.4457394877586778E-2</v>
      </c>
      <c r="X229" s="327">
        <f t="shared" si="105"/>
        <v>5.8754158377104848E-2</v>
      </c>
      <c r="Y229" s="327">
        <f t="shared" si="106"/>
        <v>5.6427291272442628E-2</v>
      </c>
      <c r="Z229" s="327">
        <f t="shared" si="107"/>
        <v>1.2738397691636391E-8</v>
      </c>
      <c r="AA229" s="328">
        <f t="shared" si="108"/>
        <v>1.9719468286831243E-2</v>
      </c>
    </row>
    <row r="230" spans="1:27" ht="12" customHeight="1" x14ac:dyDescent="0.15">
      <c r="A230" s="269">
        <f t="shared" si="82"/>
        <v>215</v>
      </c>
      <c r="B230" s="322">
        <f t="shared" si="83"/>
        <v>198.46153846153845</v>
      </c>
      <c r="C230" s="323">
        <f t="shared" si="84"/>
        <v>860</v>
      </c>
      <c r="D230" s="327">
        <f t="shared" si="85"/>
        <v>7.5373596180747747E-4</v>
      </c>
      <c r="E230" s="327">
        <f t="shared" si="86"/>
        <v>1.5910958074785684E-3</v>
      </c>
      <c r="F230" s="327">
        <f t="shared" si="87"/>
        <v>3.2370944591408879E-2</v>
      </c>
      <c r="G230" s="327">
        <f t="shared" si="88"/>
        <v>3.2845022063810514E-2</v>
      </c>
      <c r="H230" s="327">
        <f t="shared" si="89"/>
        <v>1.3661380086023555E-2</v>
      </c>
      <c r="I230" s="327">
        <f t="shared" si="90"/>
        <v>7.2666493538086074E-3</v>
      </c>
      <c r="J230" s="327">
        <f t="shared" si="91"/>
        <v>2.2113853293048523E-7</v>
      </c>
      <c r="K230" s="327">
        <f t="shared" si="92"/>
        <v>5.6071925007763844E-8</v>
      </c>
      <c r="L230" s="327">
        <f t="shared" si="93"/>
        <v>1.9433382689978407E-3</v>
      </c>
      <c r="M230" s="327">
        <f t="shared" si="94"/>
        <v>7.4626026695967266E-3</v>
      </c>
      <c r="N230" s="327">
        <f t="shared" si="95"/>
        <v>3.7274673733997198E-2</v>
      </c>
      <c r="O230" s="328">
        <f t="shared" si="96"/>
        <v>2.2964861113277536E-2</v>
      </c>
      <c r="P230" s="327">
        <f t="shared" si="97"/>
        <v>3.109989535315372E-2</v>
      </c>
      <c r="Q230" s="327">
        <f t="shared" si="98"/>
        <v>6.461107620791022E-2</v>
      </c>
      <c r="R230" s="327">
        <f t="shared" si="99"/>
        <v>7.8712645750517396E-2</v>
      </c>
      <c r="S230" s="327">
        <f t="shared" si="100"/>
        <v>5.1414339491997654E-2</v>
      </c>
      <c r="T230" s="327">
        <f t="shared" si="101"/>
        <v>1.1416962392228679E-27</v>
      </c>
      <c r="U230" s="328">
        <f t="shared" si="102"/>
        <v>2.0265618958887899E-3</v>
      </c>
      <c r="V230" s="327">
        <f t="shared" si="103"/>
        <v>1.0472668550860851E-2</v>
      </c>
      <c r="W230" s="327">
        <f t="shared" si="104"/>
        <v>2.4112965364711449E-2</v>
      </c>
      <c r="X230" s="327">
        <f t="shared" si="105"/>
        <v>5.8307296740751746E-2</v>
      </c>
      <c r="Y230" s="327">
        <f t="shared" si="106"/>
        <v>5.6064438919641316E-2</v>
      </c>
      <c r="Z230" s="327">
        <f t="shared" si="107"/>
        <v>9.9952130198674419E-9</v>
      </c>
      <c r="AA230" s="328">
        <f t="shared" si="108"/>
        <v>1.944402534410794E-2</v>
      </c>
    </row>
    <row r="231" spans="1:27" ht="12" customHeight="1" x14ac:dyDescent="0.15">
      <c r="A231" s="269">
        <f t="shared" si="82"/>
        <v>216</v>
      </c>
      <c r="B231" s="322">
        <f t="shared" si="83"/>
        <v>199.38461538461539</v>
      </c>
      <c r="C231" s="323">
        <f t="shared" si="84"/>
        <v>864</v>
      </c>
      <c r="D231" s="327">
        <f t="shared" si="85"/>
        <v>7.2894485481125859E-4</v>
      </c>
      <c r="E231" s="327">
        <f t="shared" si="86"/>
        <v>1.5469723440737981E-3</v>
      </c>
      <c r="F231" s="327">
        <f t="shared" si="87"/>
        <v>3.2112557165621114E-2</v>
      </c>
      <c r="G231" s="327">
        <f t="shared" si="88"/>
        <v>3.2638815744728558E-2</v>
      </c>
      <c r="H231" s="327">
        <f t="shared" si="89"/>
        <v>1.3533976664528415E-2</v>
      </c>
      <c r="I231" s="327">
        <f t="shared" si="90"/>
        <v>7.1529586965841663E-3</v>
      </c>
      <c r="J231" s="327">
        <f t="shared" si="91"/>
        <v>2.0592514236124483E-7</v>
      </c>
      <c r="K231" s="327">
        <f t="shared" si="92"/>
        <v>5.1764099738049223E-8</v>
      </c>
      <c r="L231" s="327">
        <f t="shared" si="93"/>
        <v>1.91797826413731E-3</v>
      </c>
      <c r="M231" s="327">
        <f t="shared" si="94"/>
        <v>7.4114173210925388E-3</v>
      </c>
      <c r="N231" s="327">
        <f t="shared" si="95"/>
        <v>3.7267267891295759E-2</v>
      </c>
      <c r="O231" s="328">
        <f t="shared" si="96"/>
        <v>2.2856628082603702E-2</v>
      </c>
      <c r="P231" s="327">
        <f t="shared" si="97"/>
        <v>3.0601907923944034E-2</v>
      </c>
      <c r="Q231" s="327">
        <f t="shared" si="98"/>
        <v>6.403904382947348E-2</v>
      </c>
      <c r="R231" s="327">
        <f t="shared" si="99"/>
        <v>7.8123762457475543E-2</v>
      </c>
      <c r="S231" s="327">
        <f t="shared" si="100"/>
        <v>5.1028591034731591E-2</v>
      </c>
      <c r="T231" s="327">
        <f t="shared" si="101"/>
        <v>2.6964241716935326E-28</v>
      </c>
      <c r="U231" s="328">
        <f t="shared" si="102"/>
        <v>1.9568116011048353E-3</v>
      </c>
      <c r="V231" s="327">
        <f t="shared" si="103"/>
        <v>1.0252937812468166E-2</v>
      </c>
      <c r="W231" s="327">
        <f t="shared" si="104"/>
        <v>2.3773671287266623E-2</v>
      </c>
      <c r="X231" s="327">
        <f t="shared" si="105"/>
        <v>5.786516410583098E-2</v>
      </c>
      <c r="Y231" s="327">
        <f t="shared" si="106"/>
        <v>5.5705450655760547E-2</v>
      </c>
      <c r="Z231" s="327">
        <f t="shared" si="107"/>
        <v>7.8192508601199296E-9</v>
      </c>
      <c r="AA231" s="328">
        <f t="shared" si="108"/>
        <v>1.91729126354101E-2</v>
      </c>
    </row>
    <row r="232" spans="1:27" ht="12" customHeight="1" x14ac:dyDescent="0.15">
      <c r="A232" s="269">
        <f t="shared" si="82"/>
        <v>217</v>
      </c>
      <c r="B232" s="322">
        <f t="shared" si="83"/>
        <v>200.30769230769232</v>
      </c>
      <c r="C232" s="323">
        <f t="shared" si="84"/>
        <v>868</v>
      </c>
      <c r="D232" s="327">
        <f t="shared" si="85"/>
        <v>7.0496915137443009E-4</v>
      </c>
      <c r="E232" s="327">
        <f t="shared" si="86"/>
        <v>1.5040845231051151E-3</v>
      </c>
      <c r="F232" s="327">
        <f t="shared" si="87"/>
        <v>3.1857056549724816E-2</v>
      </c>
      <c r="G232" s="327">
        <f t="shared" si="88"/>
        <v>3.2434804420226331E-2</v>
      </c>
      <c r="H232" s="327">
        <f t="shared" si="89"/>
        <v>1.3408551277294796E-2</v>
      </c>
      <c r="I232" s="327">
        <f t="shared" si="90"/>
        <v>7.0412734508467079E-3</v>
      </c>
      <c r="J232" s="327">
        <f t="shared" si="91"/>
        <v>1.9175836836101738E-7</v>
      </c>
      <c r="K232" s="327">
        <f t="shared" si="92"/>
        <v>4.7786712856631959E-8</v>
      </c>
      <c r="L232" s="327">
        <f t="shared" si="93"/>
        <v>1.8930343609923073E-3</v>
      </c>
      <c r="M232" s="327">
        <f t="shared" si="94"/>
        <v>7.3608144606355855E-3</v>
      </c>
      <c r="N232" s="327">
        <f t="shared" si="95"/>
        <v>3.7260072223233583E-2</v>
      </c>
      <c r="O232" s="328">
        <f t="shared" si="96"/>
        <v>2.2749392289139924E-2</v>
      </c>
      <c r="P232" s="327">
        <f t="shared" si="97"/>
        <v>3.0111894524126884E-2</v>
      </c>
      <c r="Q232" s="327">
        <f t="shared" si="98"/>
        <v>6.3472863392481788E-2</v>
      </c>
      <c r="R232" s="327">
        <f t="shared" si="99"/>
        <v>7.7540924100750419E-2</v>
      </c>
      <c r="S232" s="327">
        <f t="shared" si="100"/>
        <v>5.0647345054950138E-2</v>
      </c>
      <c r="T232" s="327">
        <f t="shared" si="101"/>
        <v>6.1596093401929911E-29</v>
      </c>
      <c r="U232" s="328">
        <f t="shared" si="102"/>
        <v>1.8894152488311278E-3</v>
      </c>
      <c r="V232" s="327">
        <f t="shared" si="103"/>
        <v>1.0037817321899149E-2</v>
      </c>
      <c r="W232" s="327">
        <f t="shared" si="104"/>
        <v>2.3439430773615499E-2</v>
      </c>
      <c r="X232" s="327">
        <f t="shared" si="105"/>
        <v>5.7427695205540474E-2</v>
      </c>
      <c r="Y232" s="327">
        <f t="shared" si="106"/>
        <v>5.5350269457563391E-2</v>
      </c>
      <c r="Z232" s="327">
        <f t="shared" si="107"/>
        <v>6.0984284295071656E-9</v>
      </c>
      <c r="AA232" s="328">
        <f t="shared" si="108"/>
        <v>1.890605367534115E-2</v>
      </c>
    </row>
    <row r="233" spans="1:27" ht="12" customHeight="1" x14ac:dyDescent="0.15">
      <c r="A233" s="269">
        <f t="shared" si="82"/>
        <v>218</v>
      </c>
      <c r="B233" s="322">
        <f t="shared" si="83"/>
        <v>201.23076923076923</v>
      </c>
      <c r="C233" s="323">
        <f t="shared" si="84"/>
        <v>872</v>
      </c>
      <c r="D233" s="327">
        <f t="shared" si="85"/>
        <v>6.8178203208288596E-4</v>
      </c>
      <c r="E233" s="327">
        <f t="shared" si="86"/>
        <v>1.4623973540429877E-3</v>
      </c>
      <c r="F233" s="327">
        <f t="shared" si="87"/>
        <v>3.1604400606570882E-2</v>
      </c>
      <c r="G233" s="327">
        <f t="shared" si="88"/>
        <v>3.2232955303465871E-2</v>
      </c>
      <c r="H233" s="327">
        <f t="shared" si="89"/>
        <v>1.3285065962157819E-2</v>
      </c>
      <c r="I233" s="327">
        <f t="shared" si="90"/>
        <v>6.9315538401655274E-3</v>
      </c>
      <c r="J233" s="327">
        <f t="shared" si="91"/>
        <v>1.7856620816108814E-7</v>
      </c>
      <c r="K233" s="327">
        <f t="shared" si="92"/>
        <v>4.4114459585461296E-8</v>
      </c>
      <c r="L233" s="327">
        <f t="shared" si="93"/>
        <v>1.868498275398256E-3</v>
      </c>
      <c r="M233" s="327">
        <f t="shared" si="94"/>
        <v>7.3107848557104208E-3</v>
      </c>
      <c r="N233" s="327">
        <f t="shared" si="95"/>
        <v>3.7253080726535381E-2</v>
      </c>
      <c r="O233" s="328">
        <f t="shared" si="96"/>
        <v>2.2643140092211692E-2</v>
      </c>
      <c r="P233" s="327">
        <f t="shared" si="97"/>
        <v>2.9629727469465638E-2</v>
      </c>
      <c r="Q233" s="327">
        <f t="shared" si="98"/>
        <v>6.2912464494030401E-2</v>
      </c>
      <c r="R233" s="327">
        <f t="shared" si="99"/>
        <v>7.6964050420980201E-2</v>
      </c>
      <c r="S233" s="327">
        <f t="shared" si="100"/>
        <v>5.0270530877165986E-2</v>
      </c>
      <c r="T233" s="327">
        <f t="shared" si="101"/>
        <v>1.3599133923438672E-29</v>
      </c>
      <c r="U233" s="328">
        <f t="shared" si="102"/>
        <v>1.8242952865759055E-3</v>
      </c>
      <c r="V233" s="327">
        <f t="shared" si="103"/>
        <v>9.8272103499244187E-3</v>
      </c>
      <c r="W233" s="327">
        <f t="shared" si="104"/>
        <v>2.3110163364041154E-2</v>
      </c>
      <c r="X233" s="327">
        <f t="shared" si="105"/>
        <v>5.6994825894403744E-2</v>
      </c>
      <c r="Y233" s="327">
        <f t="shared" si="106"/>
        <v>5.4998839371726421E-2</v>
      </c>
      <c r="Z233" s="327">
        <f t="shared" si="107"/>
        <v>4.7416998541346836E-9</v>
      </c>
      <c r="AA233" s="328">
        <f t="shared" si="108"/>
        <v>1.8643373491918913E-2</v>
      </c>
    </row>
    <row r="234" spans="1:27" ht="12" customHeight="1" x14ac:dyDescent="0.15">
      <c r="A234" s="269">
        <f t="shared" si="82"/>
        <v>219</v>
      </c>
      <c r="B234" s="322">
        <f t="shared" si="83"/>
        <v>202.15384615384616</v>
      </c>
      <c r="C234" s="323">
        <f t="shared" si="84"/>
        <v>876</v>
      </c>
      <c r="D234" s="327">
        <f t="shared" si="85"/>
        <v>6.5935755963906855E-4</v>
      </c>
      <c r="E234" s="327">
        <f t="shared" si="86"/>
        <v>1.4218768499894155E-3</v>
      </c>
      <c r="F234" s="327">
        <f t="shared" si="87"/>
        <v>3.1354547964716595E-2</v>
      </c>
      <c r="G234" s="327">
        <f t="shared" si="88"/>
        <v>3.2033236235865306E-2</v>
      </c>
      <c r="H234" s="327">
        <f t="shared" si="89"/>
        <v>1.3163483615156285E-2</v>
      </c>
      <c r="I234" s="327">
        <f t="shared" si="90"/>
        <v>6.8237609720585013E-3</v>
      </c>
      <c r="J234" s="327">
        <f t="shared" si="91"/>
        <v>1.6628161247700229E-7</v>
      </c>
      <c r="K234" s="327">
        <f t="shared" si="92"/>
        <v>4.072396955944009E-8</v>
      </c>
      <c r="L234" s="327">
        <f t="shared" si="93"/>
        <v>1.8443619179534521E-3</v>
      </c>
      <c r="M234" s="327">
        <f t="shared" si="94"/>
        <v>7.261319460959403E-3</v>
      </c>
      <c r="N234" s="327">
        <f t="shared" si="95"/>
        <v>3.7246287571544412E-2</v>
      </c>
      <c r="O234" s="328">
        <f t="shared" si="96"/>
        <v>2.2537858098116592E-2</v>
      </c>
      <c r="P234" s="327">
        <f t="shared" si="97"/>
        <v>2.9155281120268949E-2</v>
      </c>
      <c r="Q234" s="327">
        <f t="shared" si="98"/>
        <v>6.2357777740214393E-2</v>
      </c>
      <c r="R234" s="327">
        <f t="shared" si="99"/>
        <v>7.639306247833666E-2</v>
      </c>
      <c r="S234" s="327">
        <f t="shared" si="100"/>
        <v>4.9898079209722598E-2</v>
      </c>
      <c r="T234" s="327">
        <f t="shared" si="101"/>
        <v>2.8994828809271677E-30</v>
      </c>
      <c r="U234" s="328">
        <f t="shared" si="102"/>
        <v>1.7613766399701136E-3</v>
      </c>
      <c r="V234" s="327">
        <f t="shared" si="103"/>
        <v>9.6210221968245444E-3</v>
      </c>
      <c r="W234" s="327">
        <f t="shared" si="104"/>
        <v>2.2785789984066347E-2</v>
      </c>
      <c r="X234" s="327">
        <f t="shared" si="105"/>
        <v>5.6566493125098205E-2</v>
      </c>
      <c r="Y234" s="327">
        <f t="shared" si="106"/>
        <v>5.4651105490585911E-2</v>
      </c>
      <c r="Z234" s="327">
        <f t="shared" si="107"/>
        <v>3.6753354318954285E-9</v>
      </c>
      <c r="AA234" s="328">
        <f t="shared" si="108"/>
        <v>1.8384798593162888E-2</v>
      </c>
    </row>
    <row r="235" spans="1:27" ht="12" customHeight="1" x14ac:dyDescent="0.15">
      <c r="A235" s="269">
        <f t="shared" si="82"/>
        <v>220</v>
      </c>
      <c r="B235" s="322">
        <f t="shared" si="83"/>
        <v>203.07692307692307</v>
      </c>
      <c r="C235" s="323">
        <f t="shared" si="84"/>
        <v>880</v>
      </c>
      <c r="D235" s="327">
        <f t="shared" si="85"/>
        <v>6.3767064984829921E-4</v>
      </c>
      <c r="E235" s="327">
        <f t="shared" si="86"/>
        <v>1.3824899984571839E-3</v>
      </c>
      <c r="F235" s="327">
        <f t="shared" si="87"/>
        <v>3.1107458001699118E-2</v>
      </c>
      <c r="G235" s="327">
        <f t="shared" si="88"/>
        <v>3.1835615672446263E-2</v>
      </c>
      <c r="H235" s="327">
        <f t="shared" si="89"/>
        <v>1.3043767968446428E-2</v>
      </c>
      <c r="I235" s="327">
        <f t="shared" si="90"/>
        <v>6.7178568160781715E-3</v>
      </c>
      <c r="J235" s="327">
        <f t="shared" si="91"/>
        <v>1.5484214472991907E-7</v>
      </c>
      <c r="K235" s="327">
        <f t="shared" si="92"/>
        <v>3.7593659228662771E-8</v>
      </c>
      <c r="L235" s="327">
        <f t="shared" si="93"/>
        <v>1.8206173887251875E-3</v>
      </c>
      <c r="M235" s="327">
        <f t="shared" si="94"/>
        <v>7.2124094135700102E-3</v>
      </c>
      <c r="N235" s="327">
        <f t="shared" si="95"/>
        <v>3.7239687097082731E-2</v>
      </c>
      <c r="O235" s="328">
        <f t="shared" si="96"/>
        <v>2.243353315456878E-2</v>
      </c>
      <c r="P235" s="327">
        <f t="shared" si="97"/>
        <v>2.8688431848652485E-2</v>
      </c>
      <c r="Q235" s="327">
        <f t="shared" si="98"/>
        <v>6.1808734728814575E-2</v>
      </c>
      <c r="R235" s="327">
        <f t="shared" si="99"/>
        <v>7.5827882626530396E-2</v>
      </c>
      <c r="S235" s="327">
        <f t="shared" si="100"/>
        <v>4.9529922112525493E-2</v>
      </c>
      <c r="T235" s="327">
        <f t="shared" si="101"/>
        <v>5.9652858610881677E-31</v>
      </c>
      <c r="U235" s="328">
        <f t="shared" si="102"/>
        <v>1.7005866367491018E-3</v>
      </c>
      <c r="V235" s="327">
        <f t="shared" si="103"/>
        <v>9.4191601498081895E-3</v>
      </c>
      <c r="W235" s="327">
        <f t="shared" si="104"/>
        <v>2.246623291833293E-2</v>
      </c>
      <c r="X235" s="327">
        <f t="shared" si="105"/>
        <v>5.6142634925844037E-2</v>
      </c>
      <c r="Y235" s="327">
        <f t="shared" si="106"/>
        <v>5.4307013928525757E-2</v>
      </c>
      <c r="Z235" s="327">
        <f t="shared" si="107"/>
        <v>2.8398142846795121E-9</v>
      </c>
      <c r="AA235" s="328">
        <f t="shared" si="108"/>
        <v>1.8130256934500433E-2</v>
      </c>
    </row>
    <row r="236" spans="1:27" ht="12" customHeight="1" x14ac:dyDescent="0.15">
      <c r="A236" s="269">
        <f t="shared" si="82"/>
        <v>221</v>
      </c>
      <c r="B236" s="322">
        <f t="shared" si="83"/>
        <v>204</v>
      </c>
      <c r="C236" s="323">
        <f t="shared" si="84"/>
        <v>884</v>
      </c>
      <c r="D236" s="327">
        <f t="shared" si="85"/>
        <v>6.1669704355939668E-4</v>
      </c>
      <c r="E236" s="327">
        <f t="shared" si="86"/>
        <v>1.3442047330149566E-3</v>
      </c>
      <c r="F236" s="327">
        <f t="shared" si="87"/>
        <v>3.0863090827735529E-2</v>
      </c>
      <c r="G236" s="327">
        <f t="shared" si="88"/>
        <v>3.1640062667582791E-2</v>
      </c>
      <c r="H236" s="327">
        <f t="shared" si="89"/>
        <v>1.2925883568848367E-2</v>
      </c>
      <c r="I236" s="327">
        <f t="shared" si="90"/>
        <v>6.6138041825014593E-3</v>
      </c>
      <c r="J236" s="327">
        <f t="shared" si="91"/>
        <v>1.4418966371207851E-7</v>
      </c>
      <c r="K236" s="327">
        <f t="shared" si="92"/>
        <v>3.4703595499886358E-8</v>
      </c>
      <c r="L236" s="327">
        <f t="shared" si="93"/>
        <v>1.7972569721195208E-3</v>
      </c>
      <c r="M236" s="327">
        <f t="shared" si="94"/>
        <v>7.1640460287957291E-3</v>
      </c>
      <c r="N236" s="327">
        <f t="shared" si="95"/>
        <v>3.7233273805469688E-2</v>
      </c>
      <c r="O236" s="328">
        <f t="shared" si="96"/>
        <v>2.2330152345292512E-2</v>
      </c>
      <c r="P236" s="327">
        <f t="shared" si="97"/>
        <v>2.8229058006324768E-2</v>
      </c>
      <c r="Q236" s="327">
        <f t="shared" si="98"/>
        <v>6.1265268032337832E-2</v>
      </c>
      <c r="R236" s="327">
        <f t="shared" si="99"/>
        <v>7.5268434487413494E-2</v>
      </c>
      <c r="S236" s="327">
        <f t="shared" si="100"/>
        <v>4.9165992965642454E-2</v>
      </c>
      <c r="T236" s="327">
        <f t="shared" si="101"/>
        <v>1.1832744958377977E-31</v>
      </c>
      <c r="U236" s="328">
        <f t="shared" si="102"/>
        <v>1.641854932934228E-3</v>
      </c>
      <c r="V236" s="327">
        <f t="shared" si="103"/>
        <v>9.2215334413236379E-3</v>
      </c>
      <c r="W236" s="327">
        <f t="shared" si="104"/>
        <v>2.2151415785027637E-2</v>
      </c>
      <c r="X236" s="327">
        <f t="shared" si="105"/>
        <v>5.5723190378338172E-2</v>
      </c>
      <c r="Y236" s="327">
        <f t="shared" si="106"/>
        <v>5.3966511798987905E-2</v>
      </c>
      <c r="Z236" s="327">
        <f t="shared" si="107"/>
        <v>2.1872376374051599E-9</v>
      </c>
      <c r="AA236" s="328">
        <f t="shared" si="108"/>
        <v>1.7879677886969203E-2</v>
      </c>
    </row>
    <row r="237" spans="1:27" ht="12" customHeight="1" x14ac:dyDescent="0.15">
      <c r="A237" s="269">
        <f t="shared" si="82"/>
        <v>222</v>
      </c>
      <c r="B237" s="322">
        <f t="shared" si="83"/>
        <v>204.92307692307693</v>
      </c>
      <c r="C237" s="323">
        <f t="shared" si="84"/>
        <v>888</v>
      </c>
      <c r="D237" s="327">
        <f t="shared" si="85"/>
        <v>5.9641327952819612E-4</v>
      </c>
      <c r="E237" s="327">
        <f t="shared" si="86"/>
        <v>1.30698990577221E-3</v>
      </c>
      <c r="F237" s="327">
        <f t="shared" si="87"/>
        <v>3.0621407269839973E-2</v>
      </c>
      <c r="G237" s="327">
        <f t="shared" si="88"/>
        <v>3.1446546861139776E-2</v>
      </c>
      <c r="H237" s="327">
        <f t="shared" si="89"/>
        <v>1.280979575700566E-2</v>
      </c>
      <c r="I237" s="327">
        <f t="shared" si="90"/>
        <v>6.5115667016037992E-3</v>
      </c>
      <c r="J237" s="327">
        <f t="shared" si="91"/>
        <v>1.3427002808354317E-7</v>
      </c>
      <c r="K237" s="327">
        <f t="shared" si="92"/>
        <v>3.2035369763246834E-8</v>
      </c>
      <c r="L237" s="327">
        <f t="shared" si="93"/>
        <v>1.7742731319088101E-3</v>
      </c>
      <c r="M237" s="327">
        <f t="shared" si="94"/>
        <v>7.116220795606319E-3</v>
      </c>
      <c r="N237" s="327">
        <f t="shared" si="95"/>
        <v>3.7227042357694279E-2</v>
      </c>
      <c r="O237" s="328">
        <f t="shared" si="96"/>
        <v>2.2227702984760241E-2</v>
      </c>
      <c r="P237" s="327">
        <f t="shared" si="97"/>
        <v>2.7777039892889051E-2</v>
      </c>
      <c r="Q237" s="327">
        <f t="shared" si="98"/>
        <v>6.072731118140396E-2</v>
      </c>
      <c r="R237" s="327">
        <f t="shared" si="99"/>
        <v>7.471464292616492E-2</v>
      </c>
      <c r="S237" s="327">
        <f t="shared" si="100"/>
        <v>4.8806226438744965E-2</v>
      </c>
      <c r="T237" s="327">
        <f t="shared" si="101"/>
        <v>2.2610862828978094E-32</v>
      </c>
      <c r="U237" s="328">
        <f t="shared" si="102"/>
        <v>1.5851134411553058E-3</v>
      </c>
      <c r="V237" s="327">
        <f t="shared" si="103"/>
        <v>9.0280532082450959E-3</v>
      </c>
      <c r="W237" s="327">
        <f t="shared" si="104"/>
        <v>2.1841263510841528E-2</v>
      </c>
      <c r="X237" s="327">
        <f t="shared" si="105"/>
        <v>5.5308099596219185E-2</v>
      </c>
      <c r="Y237" s="327">
        <f t="shared" si="106"/>
        <v>5.3629547192087498E-2</v>
      </c>
      <c r="Z237" s="327">
        <f t="shared" si="107"/>
        <v>1.679182506021228E-9</v>
      </c>
      <c r="AA237" s="328">
        <f t="shared" si="108"/>
        <v>1.7632992206196518E-2</v>
      </c>
    </row>
    <row r="238" spans="1:27" ht="12" customHeight="1" x14ac:dyDescent="0.15">
      <c r="A238" s="269">
        <f t="shared" si="82"/>
        <v>223</v>
      </c>
      <c r="B238" s="322">
        <f t="shared" si="83"/>
        <v>205.84615384615384</v>
      </c>
      <c r="C238" s="323">
        <f t="shared" si="84"/>
        <v>892</v>
      </c>
      <c r="D238" s="327">
        <f t="shared" si="85"/>
        <v>5.7679666817361504E-4</v>
      </c>
      <c r="E238" s="327">
        <f t="shared" si="86"/>
        <v>1.2708152606784736E-3</v>
      </c>
      <c r="F238" s="327">
        <f t="shared" si="87"/>
        <v>3.0382368856342046E-2</v>
      </c>
      <c r="G238" s="327">
        <f t="shared" si="88"/>
        <v>3.1255038464988172E-2</v>
      </c>
      <c r="H238" s="327">
        <f t="shared" si="89"/>
        <v>1.2695470647138538E-2</v>
      </c>
      <c r="I238" s="327">
        <f t="shared" si="90"/>
        <v>6.4111088035008201E-3</v>
      </c>
      <c r="J238" s="327">
        <f t="shared" si="91"/>
        <v>1.250328211983015E-7</v>
      </c>
      <c r="K238" s="327">
        <f t="shared" si="92"/>
        <v>2.9571981514959347E-8</v>
      </c>
      <c r="L238" s="327">
        <f t="shared" si="93"/>
        <v>1.7516585064121237E-3</v>
      </c>
      <c r="M238" s="327">
        <f t="shared" si="94"/>
        <v>7.0689253724628273E-3</v>
      </c>
      <c r="N238" s="327">
        <f t="shared" si="95"/>
        <v>3.7220987568735479E-2</v>
      </c>
      <c r="O238" s="328">
        <f t="shared" si="96"/>
        <v>2.2126172613070792E-2</v>
      </c>
      <c r="P238" s="327">
        <f t="shared" si="97"/>
        <v>2.7332259724652502E-2</v>
      </c>
      <c r="Q238" s="327">
        <f t="shared" si="98"/>
        <v>6.0194798648469543E-2</v>
      </c>
      <c r="R238" s="327">
        <f t="shared" si="99"/>
        <v>7.4166434027043815E-2</v>
      </c>
      <c r="S238" s="327">
        <f t="shared" si="100"/>
        <v>4.8450558461366776E-2</v>
      </c>
      <c r="T238" s="327">
        <f t="shared" si="101"/>
        <v>4.1586421898026681E-33</v>
      </c>
      <c r="U238" s="328">
        <f t="shared" si="102"/>
        <v>1.5302962610572735E-3</v>
      </c>
      <c r="V238" s="327">
        <f t="shared" si="103"/>
        <v>8.838632451915223E-3</v>
      </c>
      <c r="W238" s="327">
        <f t="shared" si="104"/>
        <v>2.1535702306450501E-2</v>
      </c>
      <c r="X238" s="327">
        <f t="shared" si="105"/>
        <v>5.4897303704047884E-2</v>
      </c>
      <c r="Y238" s="327">
        <f t="shared" si="106"/>
        <v>5.3296069152813437E-2</v>
      </c>
      <c r="Z238" s="327">
        <f t="shared" si="107"/>
        <v>1.2849266739106883E-9</v>
      </c>
      <c r="AA238" s="328">
        <f t="shared" si="108"/>
        <v>1.739013200213102E-2</v>
      </c>
    </row>
    <row r="239" spans="1:27" ht="12" customHeight="1" x14ac:dyDescent="0.15">
      <c r="A239" s="269">
        <f t="shared" si="82"/>
        <v>224</v>
      </c>
      <c r="B239" s="322">
        <f t="shared" si="83"/>
        <v>206.76923076923077</v>
      </c>
      <c r="C239" s="323">
        <f t="shared" si="84"/>
        <v>896</v>
      </c>
      <c r="D239" s="327">
        <f t="shared" si="85"/>
        <v>5.5782526619690118E-4</v>
      </c>
      <c r="E239" s="327">
        <f t="shared" si="86"/>
        <v>1.2356514076123134E-3</v>
      </c>
      <c r="F239" s="327">
        <f t="shared" si="87"/>
        <v>3.0145937801798417E-2</v>
      </c>
      <c r="G239" s="327">
        <f t="shared" si="88"/>
        <v>3.1065508249885503E-2</v>
      </c>
      <c r="H239" s="327">
        <f t="shared" si="89"/>
        <v>1.2582875107372347E-2</v>
      </c>
      <c r="I239" s="327">
        <f t="shared" si="90"/>
        <v>6.3123956985393637E-3</v>
      </c>
      <c r="J239" s="327">
        <f t="shared" si="91"/>
        <v>1.1643109486116555E-7</v>
      </c>
      <c r="K239" s="327">
        <f t="shared" si="92"/>
        <v>2.7297730846596266E-8</v>
      </c>
      <c r="L239" s="327">
        <f t="shared" si="93"/>
        <v>1.7294059038220899E-3</v>
      </c>
      <c r="M239" s="327">
        <f t="shared" si="94"/>
        <v>7.0221515832135616E-3</v>
      </c>
      <c r="N239" s="327">
        <f t="shared" si="95"/>
        <v>3.72151044030265E-2</v>
      </c>
      <c r="O239" s="328">
        <f t="shared" si="96"/>
        <v>2.2025548990962967E-2</v>
      </c>
      <c r="P239" s="327">
        <f t="shared" si="97"/>
        <v>2.6894601603935035E-2</v>
      </c>
      <c r="Q239" s="327">
        <f t="shared" si="98"/>
        <v>5.9667665831881191E-2</v>
      </c>
      <c r="R239" s="327">
        <f t="shared" si="99"/>
        <v>7.3623735069693774E-2</v>
      </c>
      <c r="S239" s="327">
        <f t="shared" si="100"/>
        <v>4.8098926193953076E-2</v>
      </c>
      <c r="T239" s="327">
        <f t="shared" si="101"/>
        <v>7.3553867712784247E-34</v>
      </c>
      <c r="U239" s="328">
        <f t="shared" si="102"/>
        <v>1.4773396117357951E-3</v>
      </c>
      <c r="V239" s="327">
        <f t="shared" si="103"/>
        <v>8.6531859990260744E-3</v>
      </c>
      <c r="W239" s="327">
        <f t="shared" si="104"/>
        <v>2.1234659642504799E-2</v>
      </c>
      <c r="X239" s="327">
        <f t="shared" si="105"/>
        <v>5.4490744816789838E-2</v>
      </c>
      <c r="Y239" s="327">
        <f t="shared" si="106"/>
        <v>5.296602765979791E-2</v>
      </c>
      <c r="Z239" s="327">
        <f t="shared" si="107"/>
        <v>9.7998561338104464E-10</v>
      </c>
      <c r="AA239" s="328">
        <f t="shared" si="108"/>
        <v>1.7151030709511073E-2</v>
      </c>
    </row>
    <row r="240" spans="1:27" ht="12" customHeight="1" x14ac:dyDescent="0.15">
      <c r="A240" s="269">
        <f t="shared" si="82"/>
        <v>225</v>
      </c>
      <c r="B240" s="322">
        <f t="shared" si="83"/>
        <v>207.69230769230768</v>
      </c>
      <c r="C240" s="323">
        <f t="shared" si="84"/>
        <v>900</v>
      </c>
      <c r="D240" s="327">
        <f t="shared" si="85"/>
        <v>5.3947785203568952E-4</v>
      </c>
      <c r="E240" s="327">
        <f t="shared" si="86"/>
        <v>1.201469797236116E-3</v>
      </c>
      <c r="F240" s="327">
        <f t="shared" si="87"/>
        <v>2.9912076992283265E-2</v>
      </c>
      <c r="G240" s="327">
        <f t="shared" si="88"/>
        <v>3.0877927532710122E-2</v>
      </c>
      <c r="H240" s="327">
        <f t="shared" si="89"/>
        <v>1.2471976740623381E-2</v>
      </c>
      <c r="I240" s="327">
        <f t="shared" si="90"/>
        <v>6.2153933582218546E-3</v>
      </c>
      <c r="J240" s="327">
        <f t="shared" si="91"/>
        <v>1.0842113071310858E-7</v>
      </c>
      <c r="K240" s="327">
        <f t="shared" si="92"/>
        <v>2.5198119126839084E-8</v>
      </c>
      <c r="L240" s="327">
        <f t="shared" si="93"/>
        <v>1.7075082976741873E-3</v>
      </c>
      <c r="M240" s="327">
        <f t="shared" si="94"/>
        <v>6.9758914131067742E-3</v>
      </c>
      <c r="N240" s="327">
        <f t="shared" si="95"/>
        <v>3.7209387970057503E-2</v>
      </c>
      <c r="O240" s="328">
        <f t="shared" si="96"/>
        <v>2.1925820094960937E-2</v>
      </c>
      <c r="P240" s="327">
        <f t="shared" si="97"/>
        <v>2.6463951488869493E-2</v>
      </c>
      <c r="Q240" s="327">
        <f t="shared" si="98"/>
        <v>5.9145849040250491E-2</v>
      </c>
      <c r="R240" s="327">
        <f t="shared" si="99"/>
        <v>7.3086474505986265E-2</v>
      </c>
      <c r="S240" s="327">
        <f t="shared" si="100"/>
        <v>4.7751267999678569E-2</v>
      </c>
      <c r="T240" s="327">
        <f t="shared" si="101"/>
        <v>1.2499335169063902E-34</v>
      </c>
      <c r="U240" s="328">
        <f t="shared" si="102"/>
        <v>1.4261817661485043E-3</v>
      </c>
      <c r="V240" s="327">
        <f t="shared" si="103"/>
        <v>8.4716304633208148E-3</v>
      </c>
      <c r="W240" s="327">
        <f t="shared" si="104"/>
        <v>2.0938064226115764E-2</v>
      </c>
      <c r="X240" s="327">
        <f t="shared" si="105"/>
        <v>5.4088366019784617E-2</v>
      </c>
      <c r="Y240" s="327">
        <f t="shared" si="106"/>
        <v>5.2639373604636726E-2</v>
      </c>
      <c r="Z240" s="327">
        <f t="shared" si="107"/>
        <v>7.4491058845796453E-10</v>
      </c>
      <c r="AA240" s="328">
        <f t="shared" si="108"/>
        <v>1.6915623059046037E-2</v>
      </c>
    </row>
    <row r="241" spans="1:27" ht="12" customHeight="1" x14ac:dyDescent="0.15">
      <c r="A241" s="269">
        <f t="shared" si="82"/>
        <v>226</v>
      </c>
      <c r="B241" s="322">
        <f t="shared" si="83"/>
        <v>208.61538461538461</v>
      </c>
      <c r="C241" s="323">
        <f t="shared" si="84"/>
        <v>904</v>
      </c>
      <c r="D241" s="327">
        <f t="shared" si="85"/>
        <v>5.2173390212538495E-4</v>
      </c>
      <c r="E241" s="327">
        <f t="shared" si="86"/>
        <v>1.1682426965938092E-3</v>
      </c>
      <c r="F241" s="327">
        <f t="shared" si="87"/>
        <v>2.9680749971048415E-2</v>
      </c>
      <c r="G241" s="327">
        <f t="shared" si="88"/>
        <v>3.0692268164038555E-2</v>
      </c>
      <c r="H241" s="327">
        <f t="shared" si="89"/>
        <v>1.2362743866024572E-2</v>
      </c>
      <c r="I241" s="327">
        <f t="shared" si="90"/>
        <v>6.1200684966482566E-3</v>
      </c>
      <c r="J241" s="327">
        <f t="shared" si="91"/>
        <v>1.0096221803227005E-7</v>
      </c>
      <c r="K241" s="327">
        <f t="shared" si="92"/>
        <v>2.3259757252744606E-8</v>
      </c>
      <c r="L241" s="327">
        <f t="shared" si="93"/>
        <v>1.6859588224543698E-3</v>
      </c>
      <c r="M241" s="327">
        <f t="shared" si="94"/>
        <v>6.9301370049164972E-3</v>
      </c>
      <c r="N241" s="327">
        <f t="shared" si="95"/>
        <v>3.7203833520112764E-2</v>
      </c>
      <c r="O241" s="328">
        <f t="shared" si="96"/>
        <v>2.1826974112647102E-2</v>
      </c>
      <c r="P241" s="327">
        <f t="shared" si="97"/>
        <v>2.6040197163685375E-2</v>
      </c>
      <c r="Q241" s="327">
        <f t="shared" si="98"/>
        <v>5.8629285477143071E-2</v>
      </c>
      <c r="R241" s="327">
        <f t="shared" si="99"/>
        <v>7.2554581937387286E-2</v>
      </c>
      <c r="S241" s="327">
        <f t="shared" si="100"/>
        <v>4.7407523417010239E-2</v>
      </c>
      <c r="T241" s="327">
        <f t="shared" si="101"/>
        <v>2.0388937783496421E-35</v>
      </c>
      <c r="U241" s="328">
        <f t="shared" si="102"/>
        <v>1.3767629874474885E-3</v>
      </c>
      <c r="V241" s="327">
        <f t="shared" si="103"/>
        <v>8.293884208098937E-3</v>
      </c>
      <c r="W241" s="327">
        <f t="shared" si="104"/>
        <v>2.0645845977828006E-2</v>
      </c>
      <c r="X241" s="327">
        <f t="shared" si="105"/>
        <v>5.3690111349191105E-2</v>
      </c>
      <c r="Y241" s="327">
        <f t="shared" si="106"/>
        <v>5.2316058771745999E-2</v>
      </c>
      <c r="Z241" s="327">
        <f t="shared" si="107"/>
        <v>5.64304673368338E-10</v>
      </c>
      <c r="AA241" s="328">
        <f t="shared" si="108"/>
        <v>1.6683845049293655E-2</v>
      </c>
    </row>
    <row r="242" spans="1:27" ht="12" customHeight="1" x14ac:dyDescent="0.15">
      <c r="A242" s="269">
        <f t="shared" si="82"/>
        <v>227</v>
      </c>
      <c r="B242" s="322">
        <f t="shared" si="83"/>
        <v>209.53846153846155</v>
      </c>
      <c r="C242" s="323">
        <f t="shared" si="84"/>
        <v>908</v>
      </c>
      <c r="D242" s="327">
        <f t="shared" si="85"/>
        <v>5.0457356794134523E-4</v>
      </c>
      <c r="E242" s="327">
        <f t="shared" si="86"/>
        <v>1.1359431654288028E-3</v>
      </c>
      <c r="F242" s="327">
        <f t="shared" si="87"/>
        <v>2.9451920924542296E-2</v>
      </c>
      <c r="G242" s="327">
        <f t="shared" si="88"/>
        <v>3.050850251605516E-2</v>
      </c>
      <c r="H242" s="327">
        <f t="shared" si="89"/>
        <v>1.2255145500874498E-2</v>
      </c>
      <c r="I242" s="327">
        <f t="shared" si="90"/>
        <v>6.0263885524602934E-3</v>
      </c>
      <c r="J242" s="327">
        <f t="shared" si="91"/>
        <v>9.4016446821313681E-8</v>
      </c>
      <c r="K242" s="327">
        <f t="shared" si="92"/>
        <v>2.1470280894825024E-8</v>
      </c>
      <c r="L242" s="327">
        <f t="shared" si="93"/>
        <v>1.6647507693378083E-3</v>
      </c>
      <c r="M242" s="327">
        <f t="shared" si="94"/>
        <v>6.8848806551776208E-3</v>
      </c>
      <c r="N242" s="327">
        <f t="shared" si="95"/>
        <v>3.7198436440137823E-2</v>
      </c>
      <c r="O242" s="328">
        <f t="shared" si="96"/>
        <v>2.1728999438058377E-2</v>
      </c>
      <c r="P242" s="327">
        <f t="shared" si="97"/>
        <v>2.5623228209468555E-2</v>
      </c>
      <c r="Q242" s="327">
        <f t="shared" si="98"/>
        <v>5.8117913226073646E-2</v>
      </c>
      <c r="R242" s="327">
        <f t="shared" si="99"/>
        <v>7.2027988092835171E-2</v>
      </c>
      <c r="S242" s="327">
        <f t="shared" si="100"/>
        <v>4.7067633132992816E-2</v>
      </c>
      <c r="T242" s="327">
        <f t="shared" si="101"/>
        <v>3.1894673358631588E-36</v>
      </c>
      <c r="U242" s="328">
        <f t="shared" si="102"/>
        <v>1.3290254671824986E-3</v>
      </c>
      <c r="V242" s="327">
        <f t="shared" si="103"/>
        <v>8.1198673095082535E-3</v>
      </c>
      <c r="W242" s="327">
        <f t="shared" si="104"/>
        <v>2.0357936009066182E-2</v>
      </c>
      <c r="X242" s="327">
        <f t="shared" si="105"/>
        <v>5.3295925772893771E-2</v>
      </c>
      <c r="Y242" s="327">
        <f t="shared" si="106"/>
        <v>5.199603581873731E-2</v>
      </c>
      <c r="Z242" s="327">
        <f t="shared" si="107"/>
        <v>4.2601994774802113E-10</v>
      </c>
      <c r="AA242" s="328">
        <f t="shared" si="108"/>
        <v>1.6455633919215007E-2</v>
      </c>
    </row>
    <row r="243" spans="1:27" ht="12" customHeight="1" x14ac:dyDescent="0.15">
      <c r="A243" s="269">
        <f t="shared" si="82"/>
        <v>228</v>
      </c>
      <c r="B243" s="322">
        <f t="shared" si="83"/>
        <v>210.46153846153845</v>
      </c>
      <c r="C243" s="323">
        <f t="shared" si="84"/>
        <v>912</v>
      </c>
      <c r="D243" s="327">
        <f t="shared" si="85"/>
        <v>4.879776537961573E-4</v>
      </c>
      <c r="E243" s="327">
        <f t="shared" si="86"/>
        <v>1.104545033200649E-3</v>
      </c>
      <c r="F243" s="327">
        <f t="shared" si="87"/>
        <v>2.9225554668776077E-2</v>
      </c>
      <c r="G243" s="327">
        <f t="shared" si="88"/>
        <v>3.0326603470783697E-2</v>
      </c>
      <c r="H243" s="327">
        <f t="shared" si="89"/>
        <v>1.2149151343093391E-2</v>
      </c>
      <c r="I243" s="327">
        <f t="shared" si="90"/>
        <v>5.9343216712705038E-3</v>
      </c>
      <c r="J243" s="327">
        <f t="shared" si="91"/>
        <v>8.7548515129488414E-8</v>
      </c>
      <c r="K243" s="327">
        <f t="shared" si="92"/>
        <v>1.9818272203920608E-8</v>
      </c>
      <c r="L243" s="327">
        <f t="shared" si="93"/>
        <v>1.6438775820565299E-3</v>
      </c>
      <c r="M243" s="327">
        <f t="shared" si="94"/>
        <v>6.8401148105268232E-3</v>
      </c>
      <c r="N243" s="327">
        <f t="shared" si="95"/>
        <v>3.7193192249732096E-2</v>
      </c>
      <c r="O243" s="328">
        <f t="shared" si="96"/>
        <v>2.1631884667202519E-2</v>
      </c>
      <c r="P243" s="327">
        <f t="shared" si="97"/>
        <v>2.5212935975388994E-2</v>
      </c>
      <c r="Q243" s="327">
        <f t="shared" si="98"/>
        <v>5.7611671235800972E-2</v>
      </c>
      <c r="R243" s="327">
        <f t="shared" si="99"/>
        <v>7.1506624807114227E-2</v>
      </c>
      <c r="S243" s="327">
        <f t="shared" si="100"/>
        <v>4.6731538957235773E-2</v>
      </c>
      <c r="T243" s="327">
        <f t="shared" si="101"/>
        <v>4.7801078485367122E-37</v>
      </c>
      <c r="U243" s="328">
        <f t="shared" si="102"/>
        <v>1.2829132653240372E-3</v>
      </c>
      <c r="V243" s="327">
        <f t="shared" si="103"/>
        <v>7.9495015206069875E-3</v>
      </c>
      <c r="W243" s="327">
        <f t="shared" si="104"/>
        <v>2.0074266600044979E-2</v>
      </c>
      <c r="X243" s="327">
        <f t="shared" si="105"/>
        <v>5.2905755171857582E-2</v>
      </c>
      <c r="Y243" s="327">
        <f t="shared" si="106"/>
        <v>5.1679258257297557E-2</v>
      </c>
      <c r="Z243" s="327">
        <f t="shared" si="107"/>
        <v>3.2050478763606625E-10</v>
      </c>
      <c r="AA243" s="328">
        <f t="shared" si="108"/>
        <v>1.6230928121387045E-2</v>
      </c>
    </row>
    <row r="244" spans="1:27" ht="12" customHeight="1" x14ac:dyDescent="0.15">
      <c r="A244" s="269">
        <f t="shared" si="82"/>
        <v>229</v>
      </c>
      <c r="B244" s="322">
        <f t="shared" si="83"/>
        <v>211.38461538461539</v>
      </c>
      <c r="C244" s="323">
        <f t="shared" si="84"/>
        <v>916</v>
      </c>
      <c r="D244" s="327">
        <f t="shared" si="85"/>
        <v>4.7192759536718965E-4</v>
      </c>
      <c r="E244" s="327">
        <f t="shared" si="86"/>
        <v>1.0740228767794251E-3</v>
      </c>
      <c r="F244" s="327">
        <f t="shared" si="87"/>
        <v>2.9001616636029071E-2</v>
      </c>
      <c r="G244" s="327">
        <f t="shared" si="88"/>
        <v>3.0146544408631463E-2</v>
      </c>
      <c r="H244" s="327">
        <f t="shared" si="89"/>
        <v>1.2044731754170694E-2</v>
      </c>
      <c r="I244" s="327">
        <f t="shared" si="90"/>
        <v>5.8438366885669168E-3</v>
      </c>
      <c r="J244" s="327">
        <f t="shared" si="91"/>
        <v>8.1525549630116985E-8</v>
      </c>
      <c r="K244" s="327">
        <f t="shared" si="92"/>
        <v>1.8293187488240257E-8</v>
      </c>
      <c r="L244" s="327">
        <f t="shared" si="93"/>
        <v>1.6233328528914015E-3</v>
      </c>
      <c r="M244" s="327">
        <f t="shared" si="94"/>
        <v>6.7958320641459151E-3</v>
      </c>
      <c r="N244" s="327">
        <f t="shared" si="95"/>
        <v>3.7188096597263444E-2</v>
      </c>
      <c r="O244" s="328">
        <f t="shared" si="96"/>
        <v>2.1535618593690478E-2</v>
      </c>
      <c r="P244" s="327">
        <f t="shared" si="97"/>
        <v>2.4809213550389276E-2</v>
      </c>
      <c r="Q244" s="327">
        <f t="shared" si="98"/>
        <v>5.7110499305914129E-2</v>
      </c>
      <c r="R244" s="327">
        <f t="shared" si="99"/>
        <v>7.0990424999714752E-2</v>
      </c>
      <c r="S244" s="327">
        <f t="shared" si="100"/>
        <v>4.6399183796580409E-2</v>
      </c>
      <c r="T244" s="327">
        <f t="shared" si="101"/>
        <v>6.8568337723355828E-38</v>
      </c>
      <c r="U244" s="328">
        <f t="shared" si="102"/>
        <v>1.2383722520570295E-3</v>
      </c>
      <c r="V244" s="327">
        <f t="shared" si="103"/>
        <v>7.7827102361799488E-3</v>
      </c>
      <c r="W244" s="327">
        <f t="shared" si="104"/>
        <v>1.979477117813221E-2</v>
      </c>
      <c r="X244" s="327">
        <f t="shared" si="105"/>
        <v>5.2519546321920685E-2</v>
      </c>
      <c r="Y244" s="327">
        <f t="shared" si="106"/>
        <v>5.1365680434557782E-2</v>
      </c>
      <c r="Z244" s="327">
        <f t="shared" si="107"/>
        <v>2.4027505643588201E-10</v>
      </c>
      <c r="AA244" s="328">
        <f t="shared" si="108"/>
        <v>1.600966729585851E-2</v>
      </c>
    </row>
    <row r="245" spans="1:27" ht="12" customHeight="1" x14ac:dyDescent="0.15">
      <c r="A245" s="269">
        <f t="shared" si="82"/>
        <v>230</v>
      </c>
      <c r="B245" s="322">
        <f t="shared" si="83"/>
        <v>212.30769230769232</v>
      </c>
      <c r="C245" s="323">
        <f t="shared" si="84"/>
        <v>920</v>
      </c>
      <c r="D245" s="327">
        <f t="shared" si="85"/>
        <v>4.5640543893039133E-4</v>
      </c>
      <c r="E245" s="327">
        <f t="shared" si="86"/>
        <v>1.0443519987972684E-3</v>
      </c>
      <c r="F245" s="327">
        <f t="shared" si="87"/>
        <v>2.8780072861882111E-2</v>
      </c>
      <c r="G245" s="327">
        <f t="shared" si="88"/>
        <v>2.9968299197236075E-2</v>
      </c>
      <c r="H245" s="327">
        <f t="shared" si="89"/>
        <v>1.1941857742588744E-2</v>
      </c>
      <c r="I245" s="327">
        <f t="shared" si="90"/>
        <v>5.7549031130730288E-3</v>
      </c>
      <c r="J245" s="327">
        <f t="shared" si="91"/>
        <v>7.5916938541587828E-8</v>
      </c>
      <c r="K245" s="327">
        <f t="shared" si="92"/>
        <v>1.6885290406246417E-8</v>
      </c>
      <c r="L245" s="327">
        <f t="shared" si="93"/>
        <v>1.6031103187826856E-3</v>
      </c>
      <c r="M245" s="327">
        <f t="shared" si="94"/>
        <v>6.7520251523041971E-3</v>
      </c>
      <c r="N245" s="327">
        <f t="shared" si="95"/>
        <v>3.7183145256100107E-2</v>
      </c>
      <c r="O245" s="328">
        <f t="shared" si="96"/>
        <v>2.1440190204481707E-2</v>
      </c>
      <c r="P245" s="327">
        <f t="shared" si="97"/>
        <v>2.4411955735326573E-2</v>
      </c>
      <c r="Q245" s="327">
        <f t="shared" si="98"/>
        <v>5.6614338072705245E-2</v>
      </c>
      <c r="R245" s="327">
        <f t="shared" si="99"/>
        <v>7.0479322654163457E-2</v>
      </c>
      <c r="S245" s="327">
        <f t="shared" si="100"/>
        <v>4.6070511630428163E-2</v>
      </c>
      <c r="T245" s="327">
        <f t="shared" si="101"/>
        <v>9.404515529440449E-39</v>
      </c>
      <c r="U245" s="328">
        <f t="shared" si="102"/>
        <v>1.195350051296673E-3</v>
      </c>
      <c r="V245" s="327">
        <f t="shared" si="103"/>
        <v>7.6194184582928735E-3</v>
      </c>
      <c r="W245" s="327">
        <f t="shared" si="104"/>
        <v>1.9519384296654205E-2</v>
      </c>
      <c r="X245" s="327">
        <f t="shared" si="105"/>
        <v>5.2137246876012067E-2</v>
      </c>
      <c r="Y245" s="327">
        <f t="shared" si="106"/>
        <v>5.1055257514937627E-2</v>
      </c>
      <c r="Z245" s="327">
        <f t="shared" si="107"/>
        <v>1.79487200660125E-10</v>
      </c>
      <c r="AA245" s="328">
        <f t="shared" si="108"/>
        <v>1.5791792244629121E-2</v>
      </c>
    </row>
    <row r="246" spans="1:27" ht="12" customHeight="1" x14ac:dyDescent="0.15">
      <c r="A246" s="269">
        <f t="shared" si="82"/>
        <v>231</v>
      </c>
      <c r="B246" s="322">
        <f t="shared" si="83"/>
        <v>213.23076923076923</v>
      </c>
      <c r="C246" s="323">
        <f t="shared" si="84"/>
        <v>924</v>
      </c>
      <c r="D246" s="327">
        <f t="shared" si="85"/>
        <v>4.4139382127711407E-4</v>
      </c>
      <c r="E246" s="327">
        <f t="shared" si="86"/>
        <v>1.0155084066374785E-3</v>
      </c>
      <c r="F246" s="327">
        <f t="shared" si="87"/>
        <v>2.856088997257078E-2</v>
      </c>
      <c r="G246" s="327">
        <f t="shared" si="88"/>
        <v>2.9791842180605949E-2</v>
      </c>
      <c r="H246" s="327">
        <f t="shared" si="89"/>
        <v>1.1840500947708421E-2</v>
      </c>
      <c r="I246" s="327">
        <f t="shared" si="90"/>
        <v>5.6674911105545345E-3</v>
      </c>
      <c r="J246" s="327">
        <f t="shared" si="91"/>
        <v>7.0694176042674209E-8</v>
      </c>
      <c r="K246" s="327">
        <f t="shared" si="92"/>
        <v>1.5585590255572475E-8</v>
      </c>
      <c r="L246" s="327">
        <f t="shared" si="93"/>
        <v>1.5832038575571694E-3</v>
      </c>
      <c r="M246" s="327">
        <f t="shared" si="94"/>
        <v>6.7086869509968864E-3</v>
      </c>
      <c r="N246" s="327">
        <f t="shared" si="95"/>
        <v>3.7178334120956981E-2</v>
      </c>
      <c r="O246" s="328">
        <f t="shared" si="96"/>
        <v>2.1345588675738769E-2</v>
      </c>
      <c r="P246" s="327">
        <f t="shared" si="97"/>
        <v>2.4021059015560512E-2</v>
      </c>
      <c r="Q246" s="327">
        <f t="shared" si="98"/>
        <v>5.6123128995319876E-2</v>
      </c>
      <c r="R246" s="327">
        <f t="shared" si="99"/>
        <v>6.9973252797813967E-2</v>
      </c>
      <c r="S246" s="327">
        <f t="shared" si="100"/>
        <v>4.5745467486708873E-2</v>
      </c>
      <c r="T246" s="327">
        <f t="shared" si="101"/>
        <v>1.2320446812666915E-39</v>
      </c>
      <c r="U246" s="328">
        <f t="shared" si="102"/>
        <v>1.1537959858791691E-3</v>
      </c>
      <c r="V246" s="327">
        <f t="shared" si="103"/>
        <v>7.4595527625695114E-3</v>
      </c>
      <c r="W246" s="327">
        <f t="shared" si="104"/>
        <v>1.9248041614133411E-2</v>
      </c>
      <c r="X246" s="327">
        <f t="shared" si="105"/>
        <v>5.1758805346782788E-2</v>
      </c>
      <c r="Y246" s="327">
        <f t="shared" si="106"/>
        <v>5.0747945462450456E-2</v>
      </c>
      <c r="Z246" s="327">
        <f t="shared" si="107"/>
        <v>1.3359485259097685E-10</v>
      </c>
      <c r="AA246" s="328">
        <f t="shared" si="108"/>
        <v>1.5577244906737397E-2</v>
      </c>
    </row>
    <row r="247" spans="1:27" ht="12" customHeight="1" x14ac:dyDescent="0.15">
      <c r="A247" s="269">
        <f t="shared" si="82"/>
        <v>232</v>
      </c>
      <c r="B247" s="322">
        <f t="shared" si="83"/>
        <v>214.15384615384616</v>
      </c>
      <c r="C247" s="323">
        <f t="shared" si="84"/>
        <v>928</v>
      </c>
      <c r="D247" s="327">
        <f t="shared" si="85"/>
        <v>4.268759502914838E-4</v>
      </c>
      <c r="E247" s="327">
        <f t="shared" si="86"/>
        <v>9.8746879204192795E-4</v>
      </c>
      <c r="F247" s="327">
        <f t="shared" si="87"/>
        <v>2.8344035172648163E-2</v>
      </c>
      <c r="G247" s="327">
        <f t="shared" si="88"/>
        <v>2.9617148168545181E-2</v>
      </c>
      <c r="H247" s="327">
        <f t="shared" si="89"/>
        <v>1.174063362410222E-2</v>
      </c>
      <c r="I247" s="327">
        <f t="shared" si="90"/>
        <v>5.5815714880562695E-3</v>
      </c>
      <c r="J247" s="327">
        <f t="shared" si="91"/>
        <v>6.5830717391413523E-8</v>
      </c>
      <c r="K247" s="327">
        <f t="shared" si="92"/>
        <v>1.4385784970034947E-8</v>
      </c>
      <c r="L247" s="327">
        <f t="shared" si="93"/>
        <v>1.5636074842670933E-3</v>
      </c>
      <c r="M247" s="327">
        <f t="shared" si="94"/>
        <v>6.6658104726762179E-3</v>
      </c>
      <c r="N247" s="327">
        <f t="shared" si="95"/>
        <v>3.7173659204351783E-2</v>
      </c>
      <c r="O247" s="328">
        <f t="shared" si="96"/>
        <v>2.1251803368787844E-2</v>
      </c>
      <c r="P247" s="327">
        <f t="shared" si="97"/>
        <v>2.3636421533980032E-2</v>
      </c>
      <c r="Q247" s="327">
        <f t="shared" si="98"/>
        <v>5.5636814342180534E-2</v>
      </c>
      <c r="R247" s="327">
        <f t="shared" si="99"/>
        <v>6.947215148208663E-2</v>
      </c>
      <c r="S247" s="327">
        <f t="shared" si="100"/>
        <v>4.5423997418472313E-2</v>
      </c>
      <c r="T247" s="327">
        <f t="shared" si="101"/>
        <v>1.5400459237056761E-40</v>
      </c>
      <c r="U247" s="328">
        <f t="shared" si="102"/>
        <v>1.113661024382262E-3</v>
      </c>
      <c r="V247" s="327">
        <f t="shared" si="103"/>
        <v>7.3030412651762461E-3</v>
      </c>
      <c r="W247" s="327">
        <f t="shared" si="104"/>
        <v>1.8980679873948945E-2</v>
      </c>
      <c r="X247" s="327">
        <f t="shared" si="105"/>
        <v>5.138417108964044E-2</v>
      </c>
      <c r="Y247" s="327">
        <f t="shared" si="106"/>
        <v>5.0443701023456779E-2</v>
      </c>
      <c r="Z247" s="327">
        <f t="shared" si="107"/>
        <v>9.9073610005472268E-11</v>
      </c>
      <c r="AA247" s="328">
        <f t="shared" si="108"/>
        <v>1.536596833394055E-2</v>
      </c>
    </row>
    <row r="248" spans="1:27" ht="12" customHeight="1" x14ac:dyDescent="0.15">
      <c r="A248" s="269">
        <f t="shared" si="82"/>
        <v>233</v>
      </c>
      <c r="B248" s="322">
        <f t="shared" si="83"/>
        <v>215.07692307692307</v>
      </c>
      <c r="C248" s="323">
        <f t="shared" si="84"/>
        <v>932</v>
      </c>
      <c r="D248" s="327">
        <f t="shared" si="85"/>
        <v>4.1283558616661092E-4</v>
      </c>
      <c r="E248" s="327">
        <f t="shared" si="86"/>
        <v>9.6021051131834842E-4</v>
      </c>
      <c r="F248" s="327">
        <f t="shared" si="87"/>
        <v>2.8129476232950368E-2</v>
      </c>
      <c r="G248" s="327">
        <f t="shared" si="88"/>
        <v>2.9444192426355115E-2</v>
      </c>
      <c r="H248" s="327">
        <f t="shared" si="89"/>
        <v>1.1642228626321346E-2</v>
      </c>
      <c r="I248" s="327">
        <f t="shared" si="90"/>
        <v>5.4971156785603714E-3</v>
      </c>
      <c r="J248" s="327">
        <f t="shared" si="91"/>
        <v>6.1301844011197794E-8</v>
      </c>
      <c r="K248" s="327">
        <f t="shared" si="92"/>
        <v>1.3278208466274622E-8</v>
      </c>
      <c r="L248" s="327">
        <f t="shared" si="93"/>
        <v>1.5443153476362159E-3</v>
      </c>
      <c r="M248" s="327">
        <f t="shared" si="94"/>
        <v>6.6233888630727348E-3</v>
      </c>
      <c r="N248" s="327">
        <f t="shared" si="95"/>
        <v>3.716911663316836E-2</v>
      </c>
      <c r="O248" s="328">
        <f t="shared" si="96"/>
        <v>2.1158823826182484E-2</v>
      </c>
      <c r="P248" s="327">
        <f t="shared" si="97"/>
        <v>2.3257943064462314E-2</v>
      </c>
      <c r="Q248" s="327">
        <f t="shared" si="98"/>
        <v>5.5155337177676012E-2</v>
      </c>
      <c r="R248" s="327">
        <f t="shared" si="99"/>
        <v>6.897595576314397E-2</v>
      </c>
      <c r="S248" s="327">
        <f t="shared" si="100"/>
        <v>4.5106048481082989E-2</v>
      </c>
      <c r="T248" s="327">
        <f t="shared" si="101"/>
        <v>1.8347943943815517E-41</v>
      </c>
      <c r="U248" s="328">
        <f t="shared" si="102"/>
        <v>1.0748977295300666E-3</v>
      </c>
      <c r="V248" s="327">
        <f t="shared" si="103"/>
        <v>7.1498135904994363E-3</v>
      </c>
      <c r="W248" s="327">
        <f t="shared" si="104"/>
        <v>1.8717236884409464E-2</v>
      </c>
      <c r="X248" s="327">
        <f t="shared" si="105"/>
        <v>5.1013294286175626E-2</v>
      </c>
      <c r="Y248" s="327">
        <f t="shared" si="106"/>
        <v>5.0142481709852554E-2</v>
      </c>
      <c r="Z248" s="327">
        <f t="shared" si="107"/>
        <v>7.3201268939496862E-11</v>
      </c>
      <c r="AA248" s="328">
        <f t="shared" si="108"/>
        <v>1.5157906666971255E-2</v>
      </c>
    </row>
    <row r="249" spans="1:27" ht="12" customHeight="1" x14ac:dyDescent="0.15">
      <c r="A249" s="269">
        <f t="shared" si="82"/>
        <v>234</v>
      </c>
      <c r="B249" s="322">
        <f t="shared" si="83"/>
        <v>216</v>
      </c>
      <c r="C249" s="323">
        <f t="shared" si="84"/>
        <v>936</v>
      </c>
      <c r="D249" s="327">
        <f t="shared" si="85"/>
        <v>3.9925702323860622E-4</v>
      </c>
      <c r="E249" s="327">
        <f t="shared" si="86"/>
        <v>9.3371156612935817E-4</v>
      </c>
      <c r="F249" s="327">
        <f t="shared" si="87"/>
        <v>2.7917181478853359E-2</v>
      </c>
      <c r="G249" s="327">
        <f t="shared" si="88"/>
        <v>2.927295066480325E-2</v>
      </c>
      <c r="H249" s="327">
        <f t="shared" si="89"/>
        <v>1.1545259394083622E-2</v>
      </c>
      <c r="I249" s="327">
        <f t="shared" si="90"/>
        <v>5.4140957260481182E-3</v>
      </c>
      <c r="J249" s="327">
        <f t="shared" si="91"/>
        <v>5.7084537858361258E-8</v>
      </c>
      <c r="K249" s="327">
        <f t="shared" si="92"/>
        <v>1.2255782008788671E-8</v>
      </c>
      <c r="L249" s="327">
        <f t="shared" si="93"/>
        <v>1.5253217266117947E-3</v>
      </c>
      <c r="M249" s="327">
        <f t="shared" si="94"/>
        <v>6.5814153981033907E-3</v>
      </c>
      <c r="N249" s="327">
        <f t="shared" si="95"/>
        <v>3.7164702645323115E-2</v>
      </c>
      <c r="O249" s="328">
        <f t="shared" si="96"/>
        <v>2.106663976786699E-2</v>
      </c>
      <c r="P249" s="327">
        <f t="shared" si="97"/>
        <v>2.2885524985756377E-2</v>
      </c>
      <c r="Q249" s="327">
        <f t="shared" si="98"/>
        <v>5.46786413491097E-2</v>
      </c>
      <c r="R249" s="327">
        <f t="shared" si="99"/>
        <v>6.8484603682992584E-2</v>
      </c>
      <c r="S249" s="327">
        <f t="shared" si="100"/>
        <v>4.4791568710001811E-2</v>
      </c>
      <c r="T249" s="327">
        <f t="shared" si="101"/>
        <v>2.0811631422552205E-42</v>
      </c>
      <c r="U249" s="328">
        <f t="shared" si="102"/>
        <v>1.037460208138441E-3</v>
      </c>
      <c r="V249" s="327">
        <f t="shared" si="103"/>
        <v>6.9998008395008998E-3</v>
      </c>
      <c r="W249" s="327">
        <f t="shared" si="104"/>
        <v>1.8457651499229986E-2</v>
      </c>
      <c r="X249" s="327">
        <f t="shared" si="105"/>
        <v>5.0646125927969465E-2</v>
      </c>
      <c r="Y249" s="327">
        <f t="shared" si="106"/>
        <v>4.9844245782679722E-2</v>
      </c>
      <c r="Z249" s="327">
        <f t="shared" si="107"/>
        <v>5.3882989562548841E-11</v>
      </c>
      <c r="AA249" s="328">
        <f t="shared" si="108"/>
        <v>1.4953005112355533E-2</v>
      </c>
    </row>
    <row r="250" spans="1:27" ht="12" customHeight="1" x14ac:dyDescent="0.15">
      <c r="A250" s="269">
        <f t="shared" si="82"/>
        <v>235</v>
      </c>
      <c r="B250" s="322">
        <f t="shared" si="83"/>
        <v>216.92307692307693</v>
      </c>
      <c r="C250" s="323">
        <f t="shared" si="84"/>
        <v>940</v>
      </c>
      <c r="D250" s="327">
        <f t="shared" si="85"/>
        <v>3.8612507241810344E-4</v>
      </c>
      <c r="E250" s="327">
        <f t="shared" si="86"/>
        <v>9.0795058484589278E-4</v>
      </c>
      <c r="F250" s="327">
        <f t="shared" si="87"/>
        <v>2.7707119778816791E-2</v>
      </c>
      <c r="G250" s="327">
        <f t="shared" si="88"/>
        <v>2.9103399030352407E-2</v>
      </c>
      <c r="H250" s="327">
        <f t="shared" si="89"/>
        <v>1.144969993786925E-2</v>
      </c>
      <c r="I250" s="327">
        <f t="shared" si="90"/>
        <v>5.3324842709595588E-3</v>
      </c>
      <c r="J250" s="327">
        <f t="shared" si="91"/>
        <v>5.3157364432747486E-8</v>
      </c>
      <c r="K250" s="327">
        <f t="shared" si="92"/>
        <v>1.1311969287295833E-8</v>
      </c>
      <c r="L250" s="327">
        <f t="shared" si="93"/>
        <v>1.5066210270165969E-3</v>
      </c>
      <c r="M250" s="327">
        <f t="shared" si="94"/>
        <v>6.5398834808642571E-3</v>
      </c>
      <c r="N250" s="327">
        <f t="shared" si="95"/>
        <v>3.7160413586531667E-2</v>
      </c>
      <c r="O250" s="328">
        <f t="shared" si="96"/>
        <v>2.0975241087436942E-2</v>
      </c>
      <c r="P250" s="327">
        <f t="shared" si="97"/>
        <v>2.2519070255785232E-2</v>
      </c>
      <c r="Q250" s="327">
        <f t="shared" si="98"/>
        <v>5.4206671473903074E-2</v>
      </c>
      <c r="R250" s="327">
        <f t="shared" si="99"/>
        <v>6.7998034250999928E-2</v>
      </c>
      <c r="S250" s="327">
        <f t="shared" si="100"/>
        <v>4.4480507099136792E-2</v>
      </c>
      <c r="T250" s="327">
        <f t="shared" si="101"/>
        <v>2.244900954796534E-43</v>
      </c>
      <c r="U250" s="328">
        <f t="shared" si="102"/>
        <v>1.0013040625581615E-3</v>
      </c>
      <c r="V250" s="327">
        <f t="shared" si="103"/>
        <v>6.8529355587373985E-3</v>
      </c>
      <c r="W250" s="327">
        <f t="shared" si="104"/>
        <v>1.8201863598403173E-2</v>
      </c>
      <c r="X250" s="327">
        <f t="shared" si="105"/>
        <v>5.0282617800773921E-2</v>
      </c>
      <c r="Y250" s="327">
        <f t="shared" si="106"/>
        <v>4.9548952236147414E-2</v>
      </c>
      <c r="Z250" s="327">
        <f t="shared" si="107"/>
        <v>3.9512731782025858E-11</v>
      </c>
      <c r="AA250" s="328">
        <f t="shared" si="108"/>
        <v>1.4751209919778185E-2</v>
      </c>
    </row>
    <row r="251" spans="1:27" ht="12" customHeight="1" x14ac:dyDescent="0.15">
      <c r="A251" s="269">
        <f t="shared" si="82"/>
        <v>236</v>
      </c>
      <c r="B251" s="322">
        <f t="shared" si="83"/>
        <v>217.84615384615384</v>
      </c>
      <c r="C251" s="323">
        <f t="shared" si="84"/>
        <v>944</v>
      </c>
      <c r="D251" s="327">
        <f t="shared" si="85"/>
        <v>3.7342504419962159E-4</v>
      </c>
      <c r="E251" s="327">
        <f t="shared" si="86"/>
        <v>8.8290680444808424E-4</v>
      </c>
      <c r="F251" s="327">
        <f t="shared" si="87"/>
        <v>2.7499260533202952E-2</v>
      </c>
      <c r="G251" s="327">
        <f t="shared" si="88"/>
        <v>2.8935514095641834E-2</v>
      </c>
      <c r="H251" s="327">
        <f t="shared" si="89"/>
        <v>1.1355524824912424E-2</v>
      </c>
      <c r="I251" s="327">
        <f t="shared" si="90"/>
        <v>5.2522545360345063E-3</v>
      </c>
      <c r="J251" s="327">
        <f t="shared" si="91"/>
        <v>4.9500363836650414E-8</v>
      </c>
      <c r="K251" s="327">
        <f t="shared" si="92"/>
        <v>1.0440734923624054E-8</v>
      </c>
      <c r="L251" s="327">
        <f t="shared" si="93"/>
        <v>1.4882077782990555E-3</v>
      </c>
      <c r="M251" s="327">
        <f t="shared" si="94"/>
        <v>6.4987866387046841E-3</v>
      </c>
      <c r="N251" s="327">
        <f t="shared" si="95"/>
        <v>3.7156245907172453E-2</v>
      </c>
      <c r="O251" s="328">
        <f t="shared" si="96"/>
        <v>2.0884617848493683E-2</v>
      </c>
      <c r="P251" s="327">
        <f t="shared" si="97"/>
        <v>2.2158483386359212E-2</v>
      </c>
      <c r="Q251" s="327">
        <f t="shared" si="98"/>
        <v>5.3739372927046218E-2</v>
      </c>
      <c r="R251" s="327">
        <f t="shared" si="99"/>
        <v>6.7516187425815444E-2</v>
      </c>
      <c r="S251" s="327">
        <f t="shared" si="100"/>
        <v>4.4172813579746888E-2</v>
      </c>
      <c r="T251" s="327">
        <f t="shared" si="101"/>
        <v>2.300152096309293E-44</v>
      </c>
      <c r="U251" s="328">
        <f t="shared" si="102"/>
        <v>9.6638634357404385E-4</v>
      </c>
      <c r="V251" s="327">
        <f t="shared" si="103"/>
        <v>6.7091517100300816E-3</v>
      </c>
      <c r="W251" s="327">
        <f t="shared" si="104"/>
        <v>1.7949814069456147E-2</v>
      </c>
      <c r="X251" s="327">
        <f t="shared" si="105"/>
        <v>4.9922722469052272E-2</v>
      </c>
      <c r="Y251" s="327">
        <f t="shared" si="106"/>
        <v>4.9256560782051248E-2</v>
      </c>
      <c r="Z251" s="327">
        <f t="shared" si="107"/>
        <v>2.8863854448290865E-11</v>
      </c>
      <c r="AA251" s="328">
        <f t="shared" si="108"/>
        <v>1.4552468359980031E-2</v>
      </c>
    </row>
    <row r="252" spans="1:27" ht="12" customHeight="1" x14ac:dyDescent="0.15">
      <c r="A252" s="269">
        <f t="shared" si="82"/>
        <v>237</v>
      </c>
      <c r="B252" s="322">
        <f t="shared" si="83"/>
        <v>218.76923076923077</v>
      </c>
      <c r="C252" s="323">
        <f t="shared" si="84"/>
        <v>948</v>
      </c>
      <c r="D252" s="327">
        <f t="shared" si="85"/>
        <v>3.6114273222976332E-4</v>
      </c>
      <c r="E252" s="327">
        <f t="shared" si="86"/>
        <v>8.5856005295729552E-4</v>
      </c>
      <c r="F252" s="327">
        <f t="shared" si="87"/>
        <v>2.7293573663366488E-2</v>
      </c>
      <c r="G252" s="327">
        <f t="shared" si="88"/>
        <v>2.8769272850212923E-2</v>
      </c>
      <c r="H252" s="327">
        <f t="shared" si="89"/>
        <v>1.1262709165576446E-2</v>
      </c>
      <c r="I252" s="327">
        <f t="shared" si="90"/>
        <v>5.1733803125264544E-3</v>
      </c>
      <c r="J252" s="327">
        <f t="shared" si="91"/>
        <v>4.6094949328437261E-8</v>
      </c>
      <c r="K252" s="327">
        <f t="shared" si="92"/>
        <v>9.6365061468242281E-9</v>
      </c>
      <c r="L252" s="327">
        <f t="shared" si="93"/>
        <v>1.4700766303782364E-3</v>
      </c>
      <c r="M252" s="327">
        <f t="shared" si="94"/>
        <v>6.4581185203808492E-3</v>
      </c>
      <c r="N252" s="327">
        <f t="shared" si="95"/>
        <v>3.7152196159244116E-2</v>
      </c>
      <c r="O252" s="328">
        <f t="shared" si="96"/>
        <v>2.0794760281090202E-2</v>
      </c>
      <c r="P252" s="327">
        <f t="shared" si="97"/>
        <v>2.1803670418294355E-2</v>
      </c>
      <c r="Q252" s="327">
        <f t="shared" si="98"/>
        <v>5.3276691828790974E-2</v>
      </c>
      <c r="R252" s="327">
        <f t="shared" si="99"/>
        <v>6.7039004097686483E-2</v>
      </c>
      <c r="S252" s="327">
        <f t="shared" si="100"/>
        <v>4.3868438999882582E-2</v>
      </c>
      <c r="T252" s="327">
        <f t="shared" si="101"/>
        <v>2.2359833749875935E-45</v>
      </c>
      <c r="U252" s="328">
        <f t="shared" si="102"/>
        <v>9.3266550472037579E-4</v>
      </c>
      <c r="V252" s="327">
        <f t="shared" si="103"/>
        <v>6.5683846407703301E-3</v>
      </c>
      <c r="W252" s="327">
        <f t="shared" si="104"/>
        <v>1.7701444789083625E-2</v>
      </c>
      <c r="X252" s="327">
        <f t="shared" si="105"/>
        <v>4.956639326087342E-2</v>
      </c>
      <c r="Y252" s="327">
        <f t="shared" si="106"/>
        <v>4.8967031834580406E-2</v>
      </c>
      <c r="Z252" s="327">
        <f t="shared" si="107"/>
        <v>2.1003072738403849E-11</v>
      </c>
      <c r="AA252" s="328">
        <f t="shared" si="108"/>
        <v>1.4356728703174837E-2</v>
      </c>
    </row>
    <row r="253" spans="1:27" ht="12" customHeight="1" x14ac:dyDescent="0.15">
      <c r="A253" s="269">
        <f t="shared" si="82"/>
        <v>238</v>
      </c>
      <c r="B253" s="322">
        <f t="shared" si="83"/>
        <v>219.69230769230768</v>
      </c>
      <c r="C253" s="323">
        <f t="shared" si="84"/>
        <v>952</v>
      </c>
      <c r="D253" s="327">
        <f t="shared" si="85"/>
        <v>3.4926439741587886E-4</v>
      </c>
      <c r="E253" s="327">
        <f t="shared" si="86"/>
        <v>8.3489073238328729E-4</v>
      </c>
      <c r="F253" s="327">
        <f t="shared" si="87"/>
        <v>2.7090029601004595E-2</v>
      </c>
      <c r="G253" s="327">
        <f t="shared" si="88"/>
        <v>2.8604652691472828E-2</v>
      </c>
      <c r="H253" s="327">
        <f t="shared" si="89"/>
        <v>1.11712286001012E-2</v>
      </c>
      <c r="I253" s="327">
        <f t="shared" si="90"/>
        <v>5.0958359467777603E-3</v>
      </c>
      <c r="J253" s="327">
        <f t="shared" si="91"/>
        <v>4.2923812855250637E-8</v>
      </c>
      <c r="K253" s="327">
        <f t="shared" si="92"/>
        <v>8.8941373950681515E-9</v>
      </c>
      <c r="L253" s="327">
        <f t="shared" si="93"/>
        <v>1.4522223505795129E-3</v>
      </c>
      <c r="M253" s="327">
        <f t="shared" si="94"/>
        <v>6.4178728932858496E-3</v>
      </c>
      <c r="N253" s="327">
        <f t="shared" si="95"/>
        <v>3.7148260993413881E-2</v>
      </c>
      <c r="O253" s="328">
        <f t="shared" si="96"/>
        <v>2.0705658778265874E-2</v>
      </c>
      <c r="P253" s="327">
        <f t="shared" si="97"/>
        <v>2.1454538896929273E-2</v>
      </c>
      <c r="Q253" s="327">
        <f t="shared" si="98"/>
        <v>5.2818575032581951E-2</v>
      </c>
      <c r="R253" s="327">
        <f t="shared" si="99"/>
        <v>6.6566426071158813E-2</v>
      </c>
      <c r="S253" s="327">
        <f t="shared" si="100"/>
        <v>4.3567335104348355E-2</v>
      </c>
      <c r="T253" s="327">
        <f t="shared" si="101"/>
        <v>2.0597080166870734E-46</v>
      </c>
      <c r="U253" s="328">
        <f t="shared" si="102"/>
        <v>9.0010135797191637E-4</v>
      </c>
      <c r="V253" s="327">
        <f t="shared" si="103"/>
        <v>6.4305710548486269E-3</v>
      </c>
      <c r="W253" s="327">
        <f t="shared" si="104"/>
        <v>1.7456698605151102E-2</v>
      </c>
      <c r="X253" s="327">
        <f t="shared" si="105"/>
        <v>4.9213584253148701E-2</v>
      </c>
      <c r="Y253" s="327">
        <f t="shared" si="106"/>
        <v>4.8680326495500754E-2</v>
      </c>
      <c r="Z253" s="327">
        <f t="shared" si="107"/>
        <v>1.5223050115980557E-11</v>
      </c>
      <c r="AA253" s="328">
        <f t="shared" si="108"/>
        <v>1.4163940197971403E-2</v>
      </c>
    </row>
    <row r="254" spans="1:27" ht="12" customHeight="1" x14ac:dyDescent="0.15">
      <c r="A254" s="269">
        <f t="shared" si="82"/>
        <v>239</v>
      </c>
      <c r="B254" s="322">
        <f t="shared" si="83"/>
        <v>220.61538461538461</v>
      </c>
      <c r="C254" s="323">
        <f t="shared" si="84"/>
        <v>956</v>
      </c>
      <c r="D254" s="327">
        <f t="shared" si="85"/>
        <v>3.3777675255740173E-4</v>
      </c>
      <c r="E254" s="327">
        <f t="shared" si="86"/>
        <v>8.1187980217125829E-4</v>
      </c>
      <c r="F254" s="327">
        <f t="shared" si="87"/>
        <v>2.6888599277763547E-2</v>
      </c>
      <c r="G254" s="327">
        <f t="shared" si="88"/>
        <v>2.8441631415887968E-2</v>
      </c>
      <c r="H254" s="327">
        <f t="shared" si="89"/>
        <v>1.10810592857115E-2</v>
      </c>
      <c r="I254" s="327">
        <f t="shared" si="90"/>
        <v>5.0195963271463251E-3</v>
      </c>
      <c r="J254" s="327">
        <f t="shared" si="91"/>
        <v>3.9970837084658904E-8</v>
      </c>
      <c r="K254" s="327">
        <f t="shared" si="92"/>
        <v>8.208877621252361E-9</v>
      </c>
      <c r="L254" s="327">
        <f t="shared" si="93"/>
        <v>1.4346398206599442E-3</v>
      </c>
      <c r="M254" s="327">
        <f t="shared" si="94"/>
        <v>6.3780436407542022E-3</v>
      </c>
      <c r="N254" s="327">
        <f t="shared" si="95"/>
        <v>3.714443715615403E-2</v>
      </c>
      <c r="O254" s="328">
        <f t="shared" si="96"/>
        <v>2.0617303892667069E-2</v>
      </c>
      <c r="P254" s="327">
        <f t="shared" si="97"/>
        <v>2.1110997848033827E-2</v>
      </c>
      <c r="Q254" s="327">
        <f t="shared" si="98"/>
        <v>5.2364970113217453E-2</v>
      </c>
      <c r="R254" s="327">
        <f t="shared" si="99"/>
        <v>6.6098396048152042E-2</v>
      </c>
      <c r="S254" s="327">
        <f t="shared" si="100"/>
        <v>4.3269454515171481E-2</v>
      </c>
      <c r="T254" s="327">
        <f t="shared" si="101"/>
        <v>1.7956763686196571E-47</v>
      </c>
      <c r="U254" s="328">
        <f t="shared" si="102"/>
        <v>8.6865503077171446E-4</v>
      </c>
      <c r="V254" s="327">
        <f t="shared" si="103"/>
        <v>6.2956489841933527E-3</v>
      </c>
      <c r="W254" s="327">
        <f t="shared" si="104"/>
        <v>1.7215519319056263E-2</v>
      </c>
      <c r="X254" s="327">
        <f t="shared" si="105"/>
        <v>4.8864250257202313E-2</v>
      </c>
      <c r="Y254" s="327">
        <f t="shared" si="106"/>
        <v>4.8396406539703271E-2</v>
      </c>
      <c r="Z254" s="327">
        <f t="shared" si="107"/>
        <v>1.098979719225429E-11</v>
      </c>
      <c r="AA254" s="328">
        <f t="shared" si="108"/>
        <v>1.3974053050787916E-2</v>
      </c>
    </row>
    <row r="255" spans="1:27" ht="12" customHeight="1" x14ac:dyDescent="0.15">
      <c r="A255" s="269">
        <f t="shared" si="82"/>
        <v>240</v>
      </c>
      <c r="B255" s="322">
        <f t="shared" si="83"/>
        <v>221.53846153846155</v>
      </c>
      <c r="C255" s="323">
        <f t="shared" si="84"/>
        <v>960</v>
      </c>
      <c r="D255" s="327">
        <f t="shared" si="85"/>
        <v>3.2666694748268403E-4</v>
      </c>
      <c r="E255" s="327">
        <f t="shared" si="86"/>
        <v>7.8950876313374203E-4</v>
      </c>
      <c r="F255" s="327">
        <f t="shared" si="87"/>
        <v>2.6689254115090932E-2</v>
      </c>
      <c r="G255" s="327">
        <f t="shared" si="88"/>
        <v>2.8280187210401611E-2</v>
      </c>
      <c r="H255" s="327">
        <f t="shared" si="89"/>
        <v>1.0992177884075721E-2</v>
      </c>
      <c r="I255" s="327">
        <f t="shared" si="90"/>
        <v>4.9446368712721123E-3</v>
      </c>
      <c r="J255" s="327">
        <f t="shared" si="91"/>
        <v>3.7221013488155563E-8</v>
      </c>
      <c r="K255" s="327">
        <f t="shared" si="92"/>
        <v>7.5763400962048113E-9</v>
      </c>
      <c r="L255" s="327">
        <f t="shared" si="93"/>
        <v>1.4173240339179216E-3</v>
      </c>
      <c r="M255" s="327">
        <f t="shared" si="94"/>
        <v>6.338624759438331E-3</v>
      </c>
      <c r="N255" s="327">
        <f t="shared" si="95"/>
        <v>3.7140721486963631E-2</v>
      </c>
      <c r="O255" s="328">
        <f t="shared" si="96"/>
        <v>2.0529686333251584E-2</v>
      </c>
      <c r="P255" s="327">
        <f t="shared" si="97"/>
        <v>2.0772957754103809E-2</v>
      </c>
      <c r="Q255" s="327">
        <f t="shared" si="98"/>
        <v>5.1915825355237803E-2</v>
      </c>
      <c r="R255" s="327">
        <f t="shared" si="99"/>
        <v>6.5634857611400976E-2</v>
      </c>
      <c r="S255" s="327">
        <f t="shared" si="100"/>
        <v>4.2974750712562487E-2</v>
      </c>
      <c r="T255" s="327">
        <f t="shared" si="101"/>
        <v>1.4797337378003053E-48</v>
      </c>
      <c r="U255" s="328">
        <f t="shared" si="102"/>
        <v>8.3828892435811042E-4</v>
      </c>
      <c r="V255" s="327">
        <f t="shared" si="103"/>
        <v>6.1635577609067864E-3</v>
      </c>
      <c r="W255" s="327">
        <f t="shared" si="104"/>
        <v>1.6977851668444371E-2</v>
      </c>
      <c r="X255" s="327">
        <f t="shared" si="105"/>
        <v>4.8518346804667711E-2</v>
      </c>
      <c r="Y255" s="327">
        <f t="shared" si="106"/>
        <v>4.811523440110841E-2</v>
      </c>
      <c r="Z255" s="327">
        <f t="shared" si="107"/>
        <v>7.9017886025693603E-12</v>
      </c>
      <c r="AA255" s="328">
        <f t="shared" si="108"/>
        <v>1.3787018405745921E-2</v>
      </c>
    </row>
    <row r="256" spans="1:27" ht="12" customHeight="1" x14ac:dyDescent="0.15">
      <c r="A256" s="269">
        <f t="shared" si="82"/>
        <v>241</v>
      </c>
      <c r="B256" s="322">
        <f t="shared" si="83"/>
        <v>222.46153846153845</v>
      </c>
      <c r="C256" s="323">
        <f t="shared" si="84"/>
        <v>964</v>
      </c>
      <c r="D256" s="327">
        <f t="shared" si="85"/>
        <v>3.1592255467468959E-4</v>
      </c>
      <c r="E256" s="327">
        <f t="shared" si="86"/>
        <v>7.6775964185292055E-4</v>
      </c>
      <c r="F256" s="327">
        <f t="shared" si="87"/>
        <v>2.6491966014330459E-2</v>
      </c>
      <c r="G256" s="327">
        <f t="shared" si="88"/>
        <v>2.8120298644068516E-2</v>
      </c>
      <c r="H256" s="327">
        <f t="shared" si="89"/>
        <v>1.0904561549104118E-2</v>
      </c>
      <c r="I256" s="327">
        <f t="shared" si="90"/>
        <v>4.8709335136756238E-3</v>
      </c>
      <c r="J256" s="327">
        <f t="shared" si="91"/>
        <v>3.466036606016406E-8</v>
      </c>
      <c r="K256" s="327">
        <f t="shared" si="92"/>
        <v>6.9924745190555271E-9</v>
      </c>
      <c r="L256" s="327">
        <f t="shared" si="93"/>
        <v>1.4002700923869682E-3</v>
      </c>
      <c r="M256" s="327">
        <f t="shared" si="94"/>
        <v>6.2996103567548537E-3</v>
      </c>
      <c r="N256" s="327">
        <f t="shared" si="95"/>
        <v>3.7137110915672983E-2</v>
      </c>
      <c r="O256" s="328">
        <f t="shared" si="96"/>
        <v>2.0442796962074242E-2</v>
      </c>
      <c r="P256" s="327">
        <f t="shared" si="97"/>
        <v>2.0440330531035087E-2</v>
      </c>
      <c r="Q256" s="327">
        <f t="shared" si="98"/>
        <v>5.1471089741534824E-2</v>
      </c>
      <c r="R256" s="327">
        <f t="shared" si="99"/>
        <v>6.5175755208252806E-2</v>
      </c>
      <c r="S256" s="327">
        <f t="shared" si="100"/>
        <v>4.2683178016354524E-2</v>
      </c>
      <c r="T256" s="327">
        <f t="shared" si="101"/>
        <v>1.1510845244647099E-49</v>
      </c>
      <c r="U256" s="328">
        <f t="shared" si="102"/>
        <v>8.0896667335639272E-4</v>
      </c>
      <c r="V256" s="327">
        <f t="shared" si="103"/>
        <v>6.034237989985679E-3</v>
      </c>
      <c r="W256" s="327">
        <f t="shared" si="104"/>
        <v>1.6743641310266975E-2</v>
      </c>
      <c r="X256" s="327">
        <f t="shared" si="105"/>
        <v>4.8175830133701636E-2</v>
      </c>
      <c r="Y256" s="327">
        <f t="shared" si="106"/>
        <v>4.7836773158915068E-2</v>
      </c>
      <c r="Z256" s="327">
        <f t="shared" si="107"/>
        <v>5.6583155864059708E-12</v>
      </c>
      <c r="AA256" s="328">
        <f t="shared" si="108"/>
        <v>1.3602788325032256E-2</v>
      </c>
    </row>
    <row r="257" spans="1:27" ht="12" customHeight="1" x14ac:dyDescent="0.15">
      <c r="A257" s="269">
        <f t="shared" si="82"/>
        <v>242</v>
      </c>
      <c r="B257" s="322">
        <f t="shared" si="83"/>
        <v>223.38461538461539</v>
      </c>
      <c r="C257" s="323">
        <f t="shared" si="84"/>
        <v>968</v>
      </c>
      <c r="D257" s="327">
        <f t="shared" si="85"/>
        <v>3.0553155536947193E-4</v>
      </c>
      <c r="E257" s="327">
        <f t="shared" si="86"/>
        <v>7.4661497553936797E-4</v>
      </c>
      <c r="F257" s="327">
        <f t="shared" si="87"/>
        <v>2.6296707347050474E-2</v>
      </c>
      <c r="G257" s="327">
        <f t="shared" si="88"/>
        <v>2.7961944659900633E-2</v>
      </c>
      <c r="H257" s="327">
        <f t="shared" si="89"/>
        <v>1.0818187915076832E-2</v>
      </c>
      <c r="I257" s="327">
        <f t="shared" si="90"/>
        <v>4.7984626936775632E-3</v>
      </c>
      <c r="J257" s="327">
        <f t="shared" si="91"/>
        <v>3.2275880284852057E-8</v>
      </c>
      <c r="K257" s="327">
        <f t="shared" si="92"/>
        <v>6.4535412588384062E-9</v>
      </c>
      <c r="L257" s="327">
        <f t="shared" si="93"/>
        <v>1.3834732041084763E-3</v>
      </c>
      <c r="M257" s="327">
        <f t="shared" si="94"/>
        <v>6.2609946483986913E-3</v>
      </c>
      <c r="N257" s="327">
        <f t="shared" si="95"/>
        <v>3.7133602459828045E-2</v>
      </c>
      <c r="O257" s="328">
        <f t="shared" si="96"/>
        <v>2.0356626791151449E-2</v>
      </c>
      <c r="P257" s="327">
        <f t="shared" si="97"/>
        <v>2.0113029505171204E-2</v>
      </c>
      <c r="Q257" s="327">
        <f t="shared" si="98"/>
        <v>5.1030712942177509E-2</v>
      </c>
      <c r="R257" s="327">
        <f t="shared" si="99"/>
        <v>6.4721034134813671E-2</v>
      </c>
      <c r="S257" s="327">
        <f t="shared" si="100"/>
        <v>4.2394691567906595E-2</v>
      </c>
      <c r="T257" s="327">
        <f t="shared" si="101"/>
        <v>8.4415261462974253E-51</v>
      </c>
      <c r="U257" s="328">
        <f t="shared" si="102"/>
        <v>7.8065310659458653E-4</v>
      </c>
      <c r="V257" s="327">
        <f t="shared" si="103"/>
        <v>5.9076315226142132E-3</v>
      </c>
      <c r="W257" s="327">
        <f t="shared" si="104"/>
        <v>1.6512834804178016E-2</v>
      </c>
      <c r="X257" s="327">
        <f t="shared" si="105"/>
        <v>4.7836657175505337E-2</v>
      </c>
      <c r="Y257" s="327">
        <f t="shared" si="106"/>
        <v>4.7560986524185861E-2</v>
      </c>
      <c r="Z257" s="327">
        <f t="shared" si="107"/>
        <v>4.0350878067334944E-12</v>
      </c>
      <c r="AA257" s="328">
        <f t="shared" si="108"/>
        <v>1.3421315769715392E-2</v>
      </c>
    </row>
    <row r="258" spans="1:27" ht="12" customHeight="1" x14ac:dyDescent="0.15">
      <c r="A258" s="269">
        <f t="shared" si="82"/>
        <v>243</v>
      </c>
      <c r="B258" s="322">
        <f t="shared" si="83"/>
        <v>224.30769230769232</v>
      </c>
      <c r="C258" s="323">
        <f t="shared" si="84"/>
        <v>972</v>
      </c>
      <c r="D258" s="327">
        <f t="shared" si="85"/>
        <v>2.954823261118926E-4</v>
      </c>
      <c r="E258" s="327">
        <f t="shared" si="86"/>
        <v>7.2605779733356105E-4</v>
      </c>
      <c r="F258" s="327">
        <f t="shared" si="87"/>
        <v>2.610345094559996E-2</v>
      </c>
      <c r="G258" s="327">
        <f t="shared" si="88"/>
        <v>2.7805104566917514E-2</v>
      </c>
      <c r="H258" s="327">
        <f t="shared" si="89"/>
        <v>1.0733035085091653E-2</v>
      </c>
      <c r="I258" s="327">
        <f t="shared" si="90"/>
        <v>4.7272013436310267E-3</v>
      </c>
      <c r="J258" s="327">
        <f t="shared" si="91"/>
        <v>3.0055436989726096E-8</v>
      </c>
      <c r="K258" s="327">
        <f t="shared" si="92"/>
        <v>5.9560875647679924E-9</v>
      </c>
      <c r="L258" s="327">
        <f t="shared" si="93"/>
        <v>1.3669286804837144E-3</v>
      </c>
      <c r="M258" s="327">
        <f t="shared" si="94"/>
        <v>6.222771955922639E-3</v>
      </c>
      <c r="N258" s="327">
        <f t="shared" si="95"/>
        <v>3.7130193222152622E-2</v>
      </c>
      <c r="O258" s="328">
        <f t="shared" si="96"/>
        <v>2.0271166979402448E-2</v>
      </c>
      <c r="P258" s="327">
        <f t="shared" si="97"/>
        <v>1.9790969390718661E-2</v>
      </c>
      <c r="Q258" s="327">
        <f t="shared" si="98"/>
        <v>5.0594645303449363E-2</v>
      </c>
      <c r="R258" s="327">
        <f t="shared" si="99"/>
        <v>6.4270640520433964E-2</v>
      </c>
      <c r="S258" s="327">
        <f t="shared" si="100"/>
        <v>4.2109247312458568E-2</v>
      </c>
      <c r="T258" s="327">
        <f t="shared" si="101"/>
        <v>5.8281869975677835E-52</v>
      </c>
      <c r="U258" s="328">
        <f t="shared" si="102"/>
        <v>7.5331420911362024E-4</v>
      </c>
      <c r="V258" s="327">
        <f t="shared" si="103"/>
        <v>5.7836814300173062E-3</v>
      </c>
      <c r="W258" s="327">
        <f t="shared" si="104"/>
        <v>1.6285379596259267E-2</v>
      </c>
      <c r="X258" s="327">
        <f t="shared" si="105"/>
        <v>4.7500785541149115E-2</v>
      </c>
      <c r="Y258" s="327">
        <f t="shared" si="106"/>
        <v>4.7287838826758626E-2</v>
      </c>
      <c r="Z258" s="327">
        <f t="shared" si="107"/>
        <v>2.8655014962940252E-12</v>
      </c>
      <c r="AA258" s="328">
        <f t="shared" si="108"/>
        <v>1.3242554581007093E-2</v>
      </c>
    </row>
    <row r="259" spans="1:27" ht="12" customHeight="1" x14ac:dyDescent="0.15">
      <c r="A259" s="269">
        <f t="shared" si="82"/>
        <v>244</v>
      </c>
      <c r="B259" s="322">
        <f t="shared" si="83"/>
        <v>225.23076923076923</v>
      </c>
      <c r="C259" s="323">
        <f t="shared" si="84"/>
        <v>976</v>
      </c>
      <c r="D259" s="327">
        <f t="shared" si="85"/>
        <v>2.8576362575352671E-4</v>
      </c>
      <c r="E259" s="327">
        <f t="shared" si="86"/>
        <v>7.0607162203697202E-4</v>
      </c>
      <c r="F259" s="327">
        <f t="shared" si="87"/>
        <v>2.5912170093887243E-2</v>
      </c>
      <c r="G259" s="327">
        <f t="shared" si="88"/>
        <v>2.7649758032395319E-2</v>
      </c>
      <c r="H259" s="327">
        <f t="shared" si="89"/>
        <v>1.0649081619822252E-2</v>
      </c>
      <c r="I259" s="327">
        <f t="shared" si="90"/>
        <v>4.6571268774572294E-3</v>
      </c>
      <c r="J259" s="327">
        <f t="shared" si="91"/>
        <v>2.798775074981773E-8</v>
      </c>
      <c r="K259" s="327">
        <f t="shared" si="92"/>
        <v>5.496925595014368E-9</v>
      </c>
      <c r="L259" s="327">
        <f t="shared" si="93"/>
        <v>1.350631933698998E-3</v>
      </c>
      <c r="M259" s="327">
        <f t="shared" si="94"/>
        <v>6.184936704380666E-3</v>
      </c>
      <c r="N259" s="327">
        <f t="shared" si="95"/>
        <v>3.7126880388085509E-2</v>
      </c>
      <c r="O259" s="328">
        <f t="shared" si="96"/>
        <v>2.0186408829664899E-2</v>
      </c>
      <c r="P259" s="327">
        <f t="shared" si="97"/>
        <v>1.9474066267523685E-2</v>
      </c>
      <c r="Q259" s="327">
        <f t="shared" si="98"/>
        <v>5.0162837837091599E-2</v>
      </c>
      <c r="R259" s="327">
        <f t="shared" si="99"/>
        <v>6.3824521312523252E-2</v>
      </c>
      <c r="S259" s="327">
        <f t="shared" si="100"/>
        <v>4.1826801981924157E-2</v>
      </c>
      <c r="T259" s="327">
        <f t="shared" si="101"/>
        <v>3.7830294354240381E-53</v>
      </c>
      <c r="U259" s="328">
        <f t="shared" si="102"/>
        <v>7.2691708533367816E-4</v>
      </c>
      <c r="V259" s="327">
        <f t="shared" si="103"/>
        <v>5.6623319778625111E-3</v>
      </c>
      <c r="W259" s="327">
        <f t="shared" si="104"/>
        <v>1.6061224003067216E-2</v>
      </c>
      <c r="X259" s="327">
        <f t="shared" si="105"/>
        <v>4.7168173508687183E-2</v>
      </c>
      <c r="Y259" s="327">
        <f t="shared" si="106"/>
        <v>4.701729500247457E-2</v>
      </c>
      <c r="Z259" s="327">
        <f t="shared" si="107"/>
        <v>2.0263179985204326E-12</v>
      </c>
      <c r="AA259" s="328">
        <f t="shared" si="108"/>
        <v>1.3066459461954727E-2</v>
      </c>
    </row>
    <row r="260" spans="1:27" ht="12" customHeight="1" x14ac:dyDescent="0.15">
      <c r="A260" s="269">
        <f t="shared" si="82"/>
        <v>245</v>
      </c>
      <c r="B260" s="322">
        <f t="shared" si="83"/>
        <v>226.15384615384616</v>
      </c>
      <c r="C260" s="323">
        <f t="shared" si="84"/>
        <v>980</v>
      </c>
      <c r="D260" s="327">
        <f t="shared" si="85"/>
        <v>2.7636458287822824E-4</v>
      </c>
      <c r="E260" s="327">
        <f t="shared" si="86"/>
        <v>6.8664043226003351E-4</v>
      </c>
      <c r="F260" s="327">
        <f t="shared" si="87"/>
        <v>2.5722838518374314E-2</v>
      </c>
      <c r="G260" s="327">
        <f t="shared" si="88"/>
        <v>2.7495885074309563E-2</v>
      </c>
      <c r="H260" s="327">
        <f t="shared" si="89"/>
        <v>1.0566306526577553E-2</v>
      </c>
      <c r="I260" s="327">
        <f t="shared" si="90"/>
        <v>4.5882171794757731E-3</v>
      </c>
      <c r="J260" s="327">
        <f t="shared" si="91"/>
        <v>2.6062312529399654E-8</v>
      </c>
      <c r="K260" s="327">
        <f t="shared" si="92"/>
        <v>5.0731121252314848E-9</v>
      </c>
      <c r="L260" s="327">
        <f t="shared" si="93"/>
        <v>1.3345784742254674E-3</v>
      </c>
      <c r="M260" s="327">
        <f t="shared" si="94"/>
        <v>6.1474834200329455E-3</v>
      </c>
      <c r="N260" s="327">
        <f t="shared" si="95"/>
        <v>3.7123661223390794E-2</v>
      </c>
      <c r="O260" s="328">
        <f t="shared" si="96"/>
        <v>2.0102343785782958E-2</v>
      </c>
      <c r="P260" s="327">
        <f t="shared" si="97"/>
        <v>1.9162237559204896E-2</v>
      </c>
      <c r="Q260" s="327">
        <f t="shared" si="98"/>
        <v>4.9735242209750286E-2</v>
      </c>
      <c r="R260" s="327">
        <f t="shared" si="99"/>
        <v>6.3382624261690279E-2</v>
      </c>
      <c r="S260" s="327">
        <f t="shared" si="100"/>
        <v>4.1547313078111166E-2</v>
      </c>
      <c r="T260" s="327">
        <f t="shared" si="101"/>
        <v>2.3052642225966424E-54</v>
      </c>
      <c r="U260" s="328">
        <f t="shared" si="102"/>
        <v>7.0142992334643051E-4</v>
      </c>
      <c r="V260" s="327">
        <f t="shared" si="103"/>
        <v>5.543528601198975E-3</v>
      </c>
      <c r="W260" s="327">
        <f t="shared" si="104"/>
        <v>1.5840317195996028E-2</v>
      </c>
      <c r="X260" s="327">
        <f t="shared" si="105"/>
        <v>4.6838780010560965E-2</v>
      </c>
      <c r="Y260" s="327">
        <f t="shared" si="106"/>
        <v>4.6749320580715757E-2</v>
      </c>
      <c r="Z260" s="327">
        <f t="shared" si="107"/>
        <v>1.4267605244001282E-12</v>
      </c>
      <c r="AA260" s="328">
        <f t="shared" si="108"/>
        <v>1.2892985959556458E-2</v>
      </c>
    </row>
    <row r="261" spans="1:27" ht="12" customHeight="1" x14ac:dyDescent="0.15">
      <c r="A261" s="269">
        <f t="shared" si="82"/>
        <v>246</v>
      </c>
      <c r="B261" s="322">
        <f t="shared" si="83"/>
        <v>227.07692307692307</v>
      </c>
      <c r="C261" s="323">
        <f t="shared" si="84"/>
        <v>984</v>
      </c>
      <c r="D261" s="327">
        <f t="shared" si="85"/>
        <v>2.6727468364127295E-4</v>
      </c>
      <c r="E261" s="327">
        <f t="shared" si="86"/>
        <v>6.6774866497449487E-4</v>
      </c>
      <c r="F261" s="327">
        <f t="shared" si="87"/>
        <v>2.553543037928041E-2</v>
      </c>
      <c r="G261" s="327">
        <f t="shared" si="88"/>
        <v>2.734346605396492E-2</v>
      </c>
      <c r="H261" s="327">
        <f t="shared" si="89"/>
        <v>1.0484689248653463E-2</v>
      </c>
      <c r="I261" s="327">
        <f t="shared" si="90"/>
        <v>4.5204505935221295E-3</v>
      </c>
      <c r="J261" s="327">
        <f t="shared" si="91"/>
        <v>2.4269336269708295E-8</v>
      </c>
      <c r="K261" s="327">
        <f t="shared" si="92"/>
        <v>4.6819298086561441E-9</v>
      </c>
      <c r="L261" s="327">
        <f t="shared" si="93"/>
        <v>1.3187639083885871E-3</v>
      </c>
      <c r="M261" s="327">
        <f t="shared" si="94"/>
        <v>6.1104067281107103E-3</v>
      </c>
      <c r="N261" s="327">
        <f t="shared" si="95"/>
        <v>3.7120533071838463E-2</v>
      </c>
      <c r="O261" s="328">
        <f t="shared" si="96"/>
        <v>2.0018963429765904E-2</v>
      </c>
      <c r="P261" s="327">
        <f t="shared" si="97"/>
        <v>1.8855402011636217E-2</v>
      </c>
      <c r="Q261" s="327">
        <f t="shared" si="98"/>
        <v>4.9311810732619664E-2</v>
      </c>
      <c r="R261" s="327">
        <f t="shared" si="99"/>
        <v>6.2944897907197483E-2</v>
      </c>
      <c r="S261" s="327">
        <f t="shared" si="100"/>
        <v>4.127073885635528E-2</v>
      </c>
      <c r="T261" s="327">
        <f t="shared" si="101"/>
        <v>1.316870791457283E-55</v>
      </c>
      <c r="U261" s="328">
        <f t="shared" si="102"/>
        <v>6.768219602995007E-4</v>
      </c>
      <c r="V261" s="327">
        <f t="shared" si="103"/>
        <v>5.4272178799222815E-3</v>
      </c>
      <c r="W261" s="327">
        <f t="shared" si="104"/>
        <v>1.5622609185948084E-2</v>
      </c>
      <c r="X261" s="327">
        <f t="shared" si="105"/>
        <v>4.6512564621279284E-2</v>
      </c>
      <c r="Y261" s="327">
        <f t="shared" si="106"/>
        <v>4.6483881672241892E-2</v>
      </c>
      <c r="Z261" s="327">
        <f t="shared" si="107"/>
        <v>1.0002487408017748E-12</v>
      </c>
      <c r="AA261" s="328">
        <f t="shared" si="108"/>
        <v>1.2722090447286671E-2</v>
      </c>
    </row>
    <row r="262" spans="1:27" ht="12" customHeight="1" x14ac:dyDescent="0.15">
      <c r="A262" s="269">
        <f t="shared" si="82"/>
        <v>247</v>
      </c>
      <c r="B262" s="322">
        <f t="shared" si="83"/>
        <v>228</v>
      </c>
      <c r="C262" s="323">
        <f t="shared" si="84"/>
        <v>988</v>
      </c>
      <c r="D262" s="327">
        <f t="shared" si="85"/>
        <v>2.5848376000849093E-4</v>
      </c>
      <c r="E262" s="327">
        <f t="shared" si="86"/>
        <v>6.4938119845818292E-4</v>
      </c>
      <c r="F262" s="327">
        <f t="shared" si="87"/>
        <v>2.5349920261991121E-2</v>
      </c>
      <c r="G262" s="327">
        <f t="shared" si="88"/>
        <v>2.7192481668807628E-2</v>
      </c>
      <c r="H262" s="327">
        <f t="shared" si="89"/>
        <v>1.0404209654968299E-2</v>
      </c>
      <c r="I262" s="327">
        <f t="shared" si="90"/>
        <v>4.4538059123429008E-3</v>
      </c>
      <c r="J262" s="327">
        <f t="shared" si="91"/>
        <v>2.2599709151202558E-8</v>
      </c>
      <c r="K262" s="327">
        <f t="shared" si="92"/>
        <v>4.3208698693597885E-9</v>
      </c>
      <c r="L262" s="327">
        <f t="shared" si="93"/>
        <v>1.3031839360052588E-3</v>
      </c>
      <c r="M262" s="327">
        <f t="shared" si="94"/>
        <v>6.073701350639127E-3</v>
      </c>
      <c r="N262" s="327">
        <f t="shared" si="95"/>
        <v>3.7117493352953709E-2</v>
      </c>
      <c r="O262" s="328">
        <f t="shared" si="96"/>
        <v>1.9936259479014597E-2</v>
      </c>
      <c r="P262" s="327">
        <f t="shared" si="97"/>
        <v>1.8553479671774141E-2</v>
      </c>
      <c r="Q262" s="327">
        <f t="shared" si="98"/>
        <v>4.8892496351279124E-2</v>
      </c>
      <c r="R262" s="327">
        <f t="shared" si="99"/>
        <v>6.2511291562721283E-2</v>
      </c>
      <c r="S262" s="327">
        <f t="shared" si="100"/>
        <v>4.0997038309556533E-2</v>
      </c>
      <c r="T262" s="327">
        <f t="shared" si="101"/>
        <v>7.0414026663931783E-57</v>
      </c>
      <c r="U262" s="328">
        <f t="shared" si="102"/>
        <v>6.5306344884119572E-4</v>
      </c>
      <c r="V262" s="327">
        <f t="shared" si="103"/>
        <v>5.3133475147539621E-3</v>
      </c>
      <c r="W262" s="327">
        <f t="shared" si="104"/>
        <v>1.5408050808305492E-2</v>
      </c>
      <c r="X262" s="327">
        <f t="shared" si="105"/>
        <v>4.6189487545369778E-2</v>
      </c>
      <c r="Y262" s="327">
        <f t="shared" si="106"/>
        <v>4.6220944957318981E-2</v>
      </c>
      <c r="Z262" s="327">
        <f t="shared" si="107"/>
        <v>6.9816010360497517E-13</v>
      </c>
      <c r="AA262" s="328">
        <f t="shared" si="108"/>
        <v>1.255373010802141E-2</v>
      </c>
    </row>
    <row r="263" spans="1:27" ht="12" customHeight="1" x14ac:dyDescent="0.15">
      <c r="A263" s="269">
        <f t="shared" si="82"/>
        <v>248</v>
      </c>
      <c r="B263" s="322">
        <f t="shared" si="83"/>
        <v>228.92307692307693</v>
      </c>
      <c r="C263" s="323">
        <f t="shared" si="84"/>
        <v>992</v>
      </c>
      <c r="D263" s="327">
        <f t="shared" si="85"/>
        <v>2.4998197838221864E-4</v>
      </c>
      <c r="E263" s="327">
        <f t="shared" si="86"/>
        <v>6.3152333962055666E-4</v>
      </c>
      <c r="F263" s="327">
        <f t="shared" si="87"/>
        <v>2.5166283168666315E-2</v>
      </c>
      <c r="G263" s="327">
        <f t="shared" si="88"/>
        <v>2.7042912945415103E-2</v>
      </c>
      <c r="H263" s="327">
        <f t="shared" si="89"/>
        <v>1.0324848029973745E-2</v>
      </c>
      <c r="I263" s="327">
        <f t="shared" si="90"/>
        <v>4.3882623672621968E-3</v>
      </c>
      <c r="J263" s="327">
        <f t="shared" si="91"/>
        <v>2.1044945277569772E-8</v>
      </c>
      <c r="K263" s="327">
        <f t="shared" si="92"/>
        <v>3.987616119254647E-9</v>
      </c>
      <c r="L263" s="327">
        <f t="shared" si="93"/>
        <v>1.2878343480881016E-3</v>
      </c>
      <c r="M263" s="327">
        <f t="shared" si="94"/>
        <v>6.0373621043166856E-3</v>
      </c>
      <c r="N263" s="327">
        <f t="shared" si="95"/>
        <v>3.7114539559832446E-2</v>
      </c>
      <c r="O263" s="328">
        <f t="shared" si="96"/>
        <v>1.9854223783614986E-2</v>
      </c>
      <c r="P263" s="327">
        <f t="shared" si="97"/>
        <v>1.825639186682421E-2</v>
      </c>
      <c r="Q263" s="327">
        <f t="shared" si="98"/>
        <v>4.8477252635721023E-2</v>
      </c>
      <c r="R263" s="327">
        <f t="shared" si="99"/>
        <v>6.2081755302414998E-2</v>
      </c>
      <c r="S263" s="327">
        <f t="shared" si="100"/>
        <v>4.0726171152608487E-2</v>
      </c>
      <c r="T263" s="327">
        <f t="shared" si="101"/>
        <v>3.5188916171936104E-58</v>
      </c>
      <c r="U263" s="328">
        <f t="shared" si="102"/>
        <v>6.3012562459707766E-4</v>
      </c>
      <c r="V263" s="327">
        <f t="shared" si="103"/>
        <v>5.2018663037251018E-3</v>
      </c>
      <c r="W263" s="327">
        <f t="shared" si="104"/>
        <v>1.5196593708197663E-2</v>
      </c>
      <c r="X263" s="327">
        <f t="shared" si="105"/>
        <v>4.5869509605596437E-2</v>
      </c>
      <c r="Y263" s="327">
        <f t="shared" si="106"/>
        <v>4.5960477674132152E-2</v>
      </c>
      <c r="Z263" s="327">
        <f t="shared" si="107"/>
        <v>4.8514155680847261E-13</v>
      </c>
      <c r="AA263" s="328">
        <f t="shared" si="108"/>
        <v>1.2387862917355164E-2</v>
      </c>
    </row>
    <row r="264" spans="1:27" ht="12" customHeight="1" x14ac:dyDescent="0.15">
      <c r="A264" s="269">
        <f t="shared" si="82"/>
        <v>249</v>
      </c>
      <c r="B264" s="322">
        <f t="shared" si="83"/>
        <v>229.84615384615384</v>
      </c>
      <c r="C264" s="323">
        <f t="shared" si="84"/>
        <v>996</v>
      </c>
      <c r="D264" s="327">
        <f t="shared" si="85"/>
        <v>2.4175982860136114E-4</v>
      </c>
      <c r="E264" s="327">
        <f t="shared" si="86"/>
        <v>6.1416081169764767E-4</v>
      </c>
      <c r="F264" s="327">
        <f t="shared" si="87"/>
        <v>2.4984494510040589E-2</v>
      </c>
      <c r="G264" s="327">
        <f t="shared" si="88"/>
        <v>2.6894741232657265E-2</v>
      </c>
      <c r="H264" s="327">
        <f t="shared" si="89"/>
        <v>1.0246585063833042E-2</v>
      </c>
      <c r="I264" s="327">
        <f t="shared" si="90"/>
        <v>4.3237996181106908E-3</v>
      </c>
      <c r="J264" s="327">
        <f t="shared" si="91"/>
        <v>1.9597142546072968E-8</v>
      </c>
      <c r="K264" s="327">
        <f t="shared" si="92"/>
        <v>3.6800301977869414E-9</v>
      </c>
      <c r="L264" s="327">
        <f t="shared" si="93"/>
        <v>1.2727110246134599E-3</v>
      </c>
      <c r="M264" s="327">
        <f t="shared" si="94"/>
        <v>6.001383898449E-3</v>
      </c>
      <c r="N264" s="327">
        <f t="shared" si="95"/>
        <v>3.7111669257021217E-2</v>
      </c>
      <c r="O264" s="328">
        <f t="shared" si="96"/>
        <v>1.9772848323695896E-2</v>
      </c>
      <c r="P264" s="327">
        <f t="shared" si="97"/>
        <v>1.7964061183740981E-2</v>
      </c>
      <c r="Q264" s="327">
        <f t="shared" si="98"/>
        <v>4.8066033770560783E-2</v>
      </c>
      <c r="R264" s="327">
        <f t="shared" si="99"/>
        <v>6.1656239947262437E-2</v>
      </c>
      <c r="S264" s="327">
        <f t="shared" si="100"/>
        <v>4.0458097807206661E-2</v>
      </c>
      <c r="T264" s="327">
        <f t="shared" si="101"/>
        <v>1.6409869367281937E-59</v>
      </c>
      <c r="U264" s="328">
        <f t="shared" si="102"/>
        <v>6.0798067464573613E-4</v>
      </c>
      <c r="V264" s="327">
        <f t="shared" si="103"/>
        <v>5.0927241191532826E-3</v>
      </c>
      <c r="W264" s="327">
        <f t="shared" si="104"/>
        <v>1.4988190326056002E-2</v>
      </c>
      <c r="X264" s="327">
        <f t="shared" si="105"/>
        <v>4.5552592231433375E-2</v>
      </c>
      <c r="Y264" s="327">
        <f t="shared" si="106"/>
        <v>4.5702447607473752E-2</v>
      </c>
      <c r="Z264" s="327">
        <f t="shared" si="107"/>
        <v>3.3560190801960307E-13</v>
      </c>
      <c r="AA264" s="328">
        <f t="shared" si="108"/>
        <v>1.2224447627297463E-2</v>
      </c>
    </row>
    <row r="265" spans="1:27" ht="12" customHeight="1" x14ac:dyDescent="0.15">
      <c r="A265" s="269">
        <f t="shared" si="82"/>
        <v>250</v>
      </c>
      <c r="B265" s="322">
        <f t="shared" si="83"/>
        <v>230.76923076923077</v>
      </c>
      <c r="C265" s="323">
        <f t="shared" si="84"/>
        <v>1000</v>
      </c>
      <c r="D265" s="327">
        <f t="shared" si="85"/>
        <v>2.3380811330324619E-4</v>
      </c>
      <c r="E265" s="327">
        <f t="shared" si="86"/>
        <v>5.9727974230553761E-4</v>
      </c>
      <c r="F265" s="327">
        <f t="shared" si="87"/>
        <v>2.4804530097414235E-2</v>
      </c>
      <c r="G265" s="327">
        <f t="shared" si="88"/>
        <v>2.6747948195025392E-2</v>
      </c>
      <c r="H265" s="327">
        <f t="shared" si="89"/>
        <v>1.0169401842858864E-2</v>
      </c>
      <c r="I265" s="327">
        <f t="shared" si="90"/>
        <v>4.2603977434103601E-3</v>
      </c>
      <c r="J265" s="327">
        <f t="shared" si="91"/>
        <v>1.8248942485036124E-8</v>
      </c>
      <c r="K265" s="327">
        <f t="shared" si="92"/>
        <v>3.3961379409565551E-9</v>
      </c>
      <c r="L265" s="327">
        <f t="shared" si="93"/>
        <v>1.2578099323508063E-3</v>
      </c>
      <c r="M265" s="327">
        <f t="shared" si="94"/>
        <v>5.9657617329358682E-3</v>
      </c>
      <c r="N265" s="327">
        <f t="shared" si="95"/>
        <v>3.7108880078459333E-2</v>
      </c>
      <c r="O265" s="328">
        <f t="shared" si="96"/>
        <v>1.9692125206849622E-2</v>
      </c>
      <c r="P265" s="327">
        <f t="shared" si="97"/>
        <v>1.7676411449056278E-2</v>
      </c>
      <c r="Q265" s="327">
        <f t="shared" si="98"/>
        <v>4.7658794545430483E-2</v>
      </c>
      <c r="R265" s="327">
        <f t="shared" si="99"/>
        <v>6.1234697051718134E-2</v>
      </c>
      <c r="S265" s="327">
        <f t="shared" si="100"/>
        <v>4.0192779387027998E-2</v>
      </c>
      <c r="T265" s="327">
        <f t="shared" si="101"/>
        <v>7.1295652508061671E-61</v>
      </c>
      <c r="U265" s="328">
        <f t="shared" si="102"/>
        <v>5.8660170696622771E-4</v>
      </c>
      <c r="V265" s="327">
        <f t="shared" si="103"/>
        <v>4.9858718851026017E-3</v>
      </c>
      <c r="W265" s="327">
        <f t="shared" si="104"/>
        <v>1.4782793883451795E-2</v>
      </c>
      <c r="X265" s="327">
        <f t="shared" si="105"/>
        <v>4.5238697447790299E-2</v>
      </c>
      <c r="Y265" s="327">
        <f t="shared" si="106"/>
        <v>4.5446823077700094E-2</v>
      </c>
      <c r="Z265" s="327">
        <f t="shared" si="107"/>
        <v>2.3109929463235669E-13</v>
      </c>
      <c r="AA265" s="328">
        <f t="shared" si="108"/>
        <v>1.206344375033952E-2</v>
      </c>
    </row>
    <row r="266" spans="1:27" ht="12" customHeight="1" x14ac:dyDescent="0.15">
      <c r="A266" s="269">
        <f t="shared" si="82"/>
        <v>251</v>
      </c>
      <c r="B266" s="322">
        <f t="shared" si="83"/>
        <v>231.69230769230768</v>
      </c>
      <c r="C266" s="323">
        <f t="shared" si="84"/>
        <v>1004</v>
      </c>
      <c r="D266" s="327">
        <f t="shared" si="85"/>
        <v>2.2611793763538401E-4</v>
      </c>
      <c r="E266" s="327">
        <f t="shared" si="86"/>
        <v>5.8086665184169529E-4</v>
      </c>
      <c r="F266" s="327">
        <f t="shared" si="87"/>
        <v>2.4626366134826161E-2</v>
      </c>
      <c r="G266" s="327">
        <f t="shared" si="88"/>
        <v>2.6602515806123588E-2</v>
      </c>
      <c r="H266" s="327">
        <f t="shared" si="89"/>
        <v>1.0093279840203249E-2</v>
      </c>
      <c r="I266" s="327">
        <f t="shared" si="90"/>
        <v>4.198037230807472E-3</v>
      </c>
      <c r="J266" s="327">
        <f t="shared" si="91"/>
        <v>1.6993492854339133E-8</v>
      </c>
      <c r="K266" s="327">
        <f t="shared" si="92"/>
        <v>3.1341167934120823E-9</v>
      </c>
      <c r="L266" s="327">
        <f t="shared" si="93"/>
        <v>1.2431271227534291E-3</v>
      </c>
      <c r="M266" s="327">
        <f t="shared" si="94"/>
        <v>5.9304906963096584E-3</v>
      </c>
      <c r="N266" s="327">
        <f t="shared" si="95"/>
        <v>3.7106169725481607E-2</v>
      </c>
      <c r="O266" s="328">
        <f t="shared" si="96"/>
        <v>1.9612046665613839E-2</v>
      </c>
      <c r="P266" s="327">
        <f t="shared" si="97"/>
        <v>1.7393367709030459E-2</v>
      </c>
      <c r="Q266" s="327">
        <f t="shared" si="98"/>
        <v>4.7255490345547997E-2</v>
      </c>
      <c r="R266" s="327">
        <f t="shared" si="99"/>
        <v>6.0817078890626375E-2</v>
      </c>
      <c r="S266" s="327">
        <f t="shared" si="100"/>
        <v>3.9930177683269966E-2</v>
      </c>
      <c r="T266" s="327">
        <f t="shared" si="101"/>
        <v>2.8811761449401007E-62</v>
      </c>
      <c r="U266" s="328">
        <f t="shared" si="102"/>
        <v>5.6596272082953814E-4</v>
      </c>
      <c r="V266" s="327">
        <f t="shared" si="103"/>
        <v>4.8812615553166161E-3</v>
      </c>
      <c r="W266" s="327">
        <f t="shared" si="104"/>
        <v>1.4580358369209578E-2</v>
      </c>
      <c r="X266" s="327">
        <f t="shared" si="105"/>
        <v>4.4927787863984325E-2</v>
      </c>
      <c r="Y266" s="327">
        <f t="shared" si="106"/>
        <v>4.5193572929949924E-2</v>
      </c>
      <c r="Z266" s="327">
        <f t="shared" si="107"/>
        <v>1.5840414235607908E-13</v>
      </c>
      <c r="AA266" s="328">
        <f t="shared" si="108"/>
        <v>1.1904811543884675E-2</v>
      </c>
    </row>
    <row r="267" spans="1:27" ht="12" customHeight="1" x14ac:dyDescent="0.15">
      <c r="A267" s="269">
        <f t="shared" si="82"/>
        <v>252</v>
      </c>
      <c r="B267" s="322">
        <f t="shared" si="83"/>
        <v>232.61538461538461</v>
      </c>
      <c r="C267" s="323">
        <f t="shared" si="84"/>
        <v>1008</v>
      </c>
      <c r="D267" s="327">
        <f t="shared" si="85"/>
        <v>2.1868069930561064E-4</v>
      </c>
      <c r="E267" s="327">
        <f t="shared" si="86"/>
        <v>5.6490844222387225E-4</v>
      </c>
      <c r="F267" s="327">
        <f t="shared" si="87"/>
        <v>2.4449979211406014E-2</v>
      </c>
      <c r="G267" s="327">
        <f t="shared" si="88"/>
        <v>2.6458426342317945E-2</v>
      </c>
      <c r="H267" s="327">
        <f t="shared" si="89"/>
        <v>1.0018200906792103E-2</v>
      </c>
      <c r="I267" s="327">
        <f t="shared" si="90"/>
        <v>4.1366989677484867E-3</v>
      </c>
      <c r="J267" s="327">
        <f t="shared" si="91"/>
        <v>1.5824412818839759E-8</v>
      </c>
      <c r="K267" s="327">
        <f t="shared" si="92"/>
        <v>2.8922841839482119E-9</v>
      </c>
      <c r="L267" s="327">
        <f t="shared" si="93"/>
        <v>1.2286587299057405E-3</v>
      </c>
      <c r="M267" s="327">
        <f t="shared" si="94"/>
        <v>5.8955659638238013E-3</v>
      </c>
      <c r="N267" s="327">
        <f t="shared" si="95"/>
        <v>3.7103535964879523E-2</v>
      </c>
      <c r="O267" s="328">
        <f t="shared" si="96"/>
        <v>1.9532605055012628E-2</v>
      </c>
      <c r="P267" s="327">
        <f t="shared" si="97"/>
        <v>1.7114856210121491E-2</v>
      </c>
      <c r="Q267" s="327">
        <f t="shared" si="98"/>
        <v>4.6856077142460428E-2</v>
      </c>
      <c r="R267" s="327">
        <f t="shared" si="99"/>
        <v>6.0403338446412547E-2</v>
      </c>
      <c r="S267" s="327">
        <f t="shared" si="100"/>
        <v>3.967025515053979E-2</v>
      </c>
      <c r="T267" s="327">
        <f t="shared" si="101"/>
        <v>1.0811828942920638E-63</v>
      </c>
      <c r="U267" s="328">
        <f t="shared" si="102"/>
        <v>5.4603857810531231E-4</v>
      </c>
      <c r="V267" s="327">
        <f t="shared" si="103"/>
        <v>4.778846091614255E-3</v>
      </c>
      <c r="W267" s="327">
        <f t="shared" si="104"/>
        <v>1.4380838525790873E-2</v>
      </c>
      <c r="X267" s="327">
        <f t="shared" si="105"/>
        <v>4.4619826662948614E-2</v>
      </c>
      <c r="Y267" s="327">
        <f t="shared" si="106"/>
        <v>4.4942666523616337E-2</v>
      </c>
      <c r="Z267" s="327">
        <f t="shared" si="107"/>
        <v>1.0806954477086942E-13</v>
      </c>
      <c r="AA267" s="328">
        <f t="shared" si="108"/>
        <v>1.1748511995029132E-2</v>
      </c>
    </row>
    <row r="268" spans="1:27" ht="12" customHeight="1" x14ac:dyDescent="0.15">
      <c r="A268" s="269">
        <f t="shared" si="82"/>
        <v>253</v>
      </c>
      <c r="B268" s="322">
        <f t="shared" si="83"/>
        <v>233.53846153846155</v>
      </c>
      <c r="C268" s="323">
        <f t="shared" si="84"/>
        <v>1012</v>
      </c>
      <c r="D268" s="327">
        <f t="shared" si="85"/>
        <v>2.1148807895949781E-4</v>
      </c>
      <c r="E268" s="327">
        <f t="shared" si="86"/>
        <v>5.4939238595656033E-4</v>
      </c>
      <c r="F268" s="327">
        <f t="shared" si="87"/>
        <v>2.4275346293901601E-2</v>
      </c>
      <c r="G268" s="327">
        <f t="shared" si="88"/>
        <v>2.6315662376539612E-2</v>
      </c>
      <c r="H268" s="327">
        <f t="shared" si="89"/>
        <v>9.9441472624975536E-3</v>
      </c>
      <c r="I268" s="327">
        <f t="shared" si="90"/>
        <v>4.0763642323887739E-3</v>
      </c>
      <c r="J268" s="327">
        <f t="shared" si="91"/>
        <v>1.4735760517715982E-8</v>
      </c>
      <c r="K268" s="327">
        <f t="shared" si="92"/>
        <v>2.6690867908048901E-9</v>
      </c>
      <c r="L268" s="327">
        <f t="shared" si="93"/>
        <v>1.2144009685287616E-3</v>
      </c>
      <c r="M268" s="327">
        <f t="shared" si="94"/>
        <v>5.8609827955896556E-3</v>
      </c>
      <c r="N268" s="327">
        <f t="shared" si="95"/>
        <v>3.7100976627019458E-2</v>
      </c>
      <c r="O268" s="328">
        <f t="shared" si="96"/>
        <v>1.9453792850155614E-2</v>
      </c>
      <c r="P268" s="327">
        <f t="shared" si="97"/>
        <v>1.6840804379766778E-2</v>
      </c>
      <c r="Q268" s="327">
        <f t="shared" si="98"/>
        <v>4.6460511484956564E-2</v>
      </c>
      <c r="R268" s="327">
        <f t="shared" si="99"/>
        <v>5.9993429396539621E-2</v>
      </c>
      <c r="S268" s="327">
        <f t="shared" si="100"/>
        <v>3.9412974893084297E-2</v>
      </c>
      <c r="T268" s="327">
        <f t="shared" si="101"/>
        <v>3.7610412849929715E-65</v>
      </c>
      <c r="U268" s="328">
        <f t="shared" si="102"/>
        <v>5.268049754565407E-4</v>
      </c>
      <c r="V268" s="327">
        <f t="shared" si="103"/>
        <v>4.6785794427390663E-3</v>
      </c>
      <c r="W268" s="327">
        <f t="shared" si="104"/>
        <v>1.4184189835942416E-2</v>
      </c>
      <c r="X268" s="327">
        <f t="shared" si="105"/>
        <v>4.4314777590676813E-2</v>
      </c>
      <c r="Y268" s="327">
        <f t="shared" si="106"/>
        <v>4.4694073722066303E-2</v>
      </c>
      <c r="Z268" s="327">
        <f t="shared" si="107"/>
        <v>7.3381034897578309E-14</v>
      </c>
      <c r="AA268" s="328">
        <f t="shared" si="108"/>
        <v>1.1594506805688187E-2</v>
      </c>
    </row>
    <row r="269" spans="1:27" ht="12" customHeight="1" x14ac:dyDescent="0.15">
      <c r="A269" s="269">
        <f t="shared" si="82"/>
        <v>254</v>
      </c>
      <c r="B269" s="322">
        <f t="shared" si="83"/>
        <v>234.46153846153845</v>
      </c>
      <c r="C269" s="323">
        <f t="shared" si="84"/>
        <v>1016</v>
      </c>
      <c r="D269" s="327">
        <f t="shared" si="85"/>
        <v>2.0453203087425514E-4</v>
      </c>
      <c r="E269" s="327">
        <f t="shared" si="86"/>
        <v>5.3430611551531532E-4</v>
      </c>
      <c r="F269" s="327">
        <f t="shared" si="87"/>
        <v>2.4102444719373728E-2</v>
      </c>
      <c r="G269" s="327">
        <f t="shared" si="88"/>
        <v>2.6174206772236974E-2</v>
      </c>
      <c r="H269" s="327">
        <f t="shared" si="89"/>
        <v>9.8711014875409245E-3</v>
      </c>
      <c r="I269" s="327">
        <f t="shared" si="90"/>
        <v>4.017014684730924E-3</v>
      </c>
      <c r="J269" s="327">
        <f t="shared" si="91"/>
        <v>1.3722002864899904E-8</v>
      </c>
      <c r="K269" s="327">
        <f t="shared" si="92"/>
        <v>2.4630906287793645E-9</v>
      </c>
      <c r="L269" s="327">
        <f t="shared" si="93"/>
        <v>1.2003501320390075E-3</v>
      </c>
      <c r="M269" s="327">
        <f t="shared" si="94"/>
        <v>5.8267365347605144E-3</v>
      </c>
      <c r="N269" s="327">
        <f t="shared" si="95"/>
        <v>3.7098489604015711E-2</v>
      </c>
      <c r="O269" s="328">
        <f t="shared" si="96"/>
        <v>1.937560264389291E-2</v>
      </c>
      <c r="P269" s="327">
        <f t="shared" si="97"/>
        <v>1.6571140807472705E-2</v>
      </c>
      <c r="Q269" s="327">
        <f t="shared" si="98"/>
        <v>4.6068750490145201E-2</v>
      </c>
      <c r="R269" s="327">
        <f t="shared" si="99"/>
        <v>5.9587306101224757E-2</v>
      </c>
      <c r="S269" s="327">
        <f t="shared" si="100"/>
        <v>3.9158300651350411E-2</v>
      </c>
      <c r="T269" s="327">
        <f t="shared" si="101"/>
        <v>1.2106997229872839E-66</v>
      </c>
      <c r="U269" s="328">
        <f t="shared" si="102"/>
        <v>5.0823841739888742E-4</v>
      </c>
      <c r="V269" s="327">
        <f t="shared" si="103"/>
        <v>4.5804165236521836E-3</v>
      </c>
      <c r="W269" s="327">
        <f t="shared" si="104"/>
        <v>1.3990368509602648E-2</v>
      </c>
      <c r="X269" s="327">
        <f t="shared" si="105"/>
        <v>4.4012604945891765E-2</v>
      </c>
      <c r="Y269" s="327">
        <f t="shared" si="106"/>
        <v>4.4447764882600688E-2</v>
      </c>
      <c r="Z269" s="327">
        <f t="shared" si="107"/>
        <v>4.958868633480542E-14</v>
      </c>
      <c r="AA269" s="328">
        <f t="shared" si="108"/>
        <v>1.1442758378056528E-2</v>
      </c>
    </row>
    <row r="270" spans="1:27" ht="12" customHeight="1" x14ac:dyDescent="0.15">
      <c r="A270" s="269">
        <f t="shared" si="82"/>
        <v>255</v>
      </c>
      <c r="B270" s="322">
        <f t="shared" si="83"/>
        <v>235.38461538461539</v>
      </c>
      <c r="C270" s="323">
        <f t="shared" si="84"/>
        <v>1020</v>
      </c>
      <c r="D270" s="327">
        <f t="shared" si="85"/>
        <v>1.9780477395871902E-4</v>
      </c>
      <c r="E270" s="327">
        <f t="shared" si="86"/>
        <v>5.1963761303958729E-4</v>
      </c>
      <c r="F270" s="327">
        <f t="shared" si="87"/>
        <v>2.3931252188058028E-2</v>
      </c>
      <c r="G270" s="327">
        <f t="shared" si="88"/>
        <v>2.603404267747312E-2</v>
      </c>
      <c r="H270" s="327">
        <f t="shared" si="89"/>
        <v>9.799046514119971E-3</v>
      </c>
      <c r="I270" s="327">
        <f t="shared" si="90"/>
        <v>3.9586323579853255E-3</v>
      </c>
      <c r="J270" s="327">
        <f t="shared" si="91"/>
        <v>1.2777987427112877E-8</v>
      </c>
      <c r="K270" s="327">
        <f t="shared" si="92"/>
        <v>2.2729718953486369E-9</v>
      </c>
      <c r="L270" s="327">
        <f t="shared" si="93"/>
        <v>1.1865025906611093E-3</v>
      </c>
      <c r="M270" s="327">
        <f t="shared" si="94"/>
        <v>5.7928226057613955E-3</v>
      </c>
      <c r="N270" s="327">
        <f t="shared" si="95"/>
        <v>3.7096072847957261E-2</v>
      </c>
      <c r="O270" s="328">
        <f t="shared" si="96"/>
        <v>1.9298027144525089E-2</v>
      </c>
      <c r="P270" s="327">
        <f t="shared" si="97"/>
        <v>1.6305795226207002E-2</v>
      </c>
      <c r="Q270" s="327">
        <f t="shared" si="98"/>
        <v>4.5680751834696325E-2</v>
      </c>
      <c r="R270" s="327">
        <f t="shared" si="99"/>
        <v>5.9184923591408922E-2</v>
      </c>
      <c r="S270" s="327">
        <f t="shared" si="100"/>
        <v>3.8906196788868502E-2</v>
      </c>
      <c r="T270" s="327">
        <f t="shared" si="101"/>
        <v>3.6000328882287302E-68</v>
      </c>
      <c r="U270" s="328">
        <f t="shared" si="102"/>
        <v>4.9031619019557215E-4</v>
      </c>
      <c r="V270" s="327">
        <f t="shared" si="103"/>
        <v>4.4843131952597834E-3</v>
      </c>
      <c r="W270" s="327">
        <f t="shared" si="104"/>
        <v>1.3799331471061695E-2</v>
      </c>
      <c r="X270" s="327">
        <f t="shared" si="105"/>
        <v>4.3713273569938371E-2</v>
      </c>
      <c r="Y270" s="327">
        <f t="shared" si="106"/>
        <v>4.4203710846648495E-2</v>
      </c>
      <c r="Z270" s="327">
        <f t="shared" si="107"/>
        <v>3.334831217079534E-14</v>
      </c>
      <c r="AA270" s="328">
        <f t="shared" si="108"/>
        <v>1.1293229800396043E-2</v>
      </c>
    </row>
    <row r="271" spans="1:27" ht="12" customHeight="1" x14ac:dyDescent="0.15">
      <c r="A271" s="269">
        <f t="shared" si="82"/>
        <v>256</v>
      </c>
      <c r="B271" s="322">
        <f t="shared" si="83"/>
        <v>236.30769230769232</v>
      </c>
      <c r="C271" s="323">
        <f t="shared" si="84"/>
        <v>1024</v>
      </c>
      <c r="D271" s="327">
        <f t="shared" si="85"/>
        <v>1.9129878304936386E-4</v>
      </c>
      <c r="E271" s="327">
        <f t="shared" si="86"/>
        <v>5.053752003248785E-4</v>
      </c>
      <c r="F271" s="327">
        <f t="shared" si="87"/>
        <v>2.3761746756386981E-2</v>
      </c>
      <c r="G271" s="327">
        <f t="shared" si="88"/>
        <v>2.589515351916441E-2</v>
      </c>
      <c r="H271" s="327">
        <f t="shared" si="89"/>
        <v>9.7279656182537987E-3</v>
      </c>
      <c r="I271" s="327">
        <f t="shared" si="90"/>
        <v>3.9011996501459034E-3</v>
      </c>
      <c r="J271" s="327">
        <f t="shared" si="91"/>
        <v>1.1898916236572715E-8</v>
      </c>
      <c r="K271" s="327">
        <f t="shared" si="92"/>
        <v>2.0975085177886213E-9</v>
      </c>
      <c r="L271" s="327">
        <f t="shared" si="93"/>
        <v>1.1728547895911712E-3</v>
      </c>
      <c r="M271" s="327">
        <f t="shared" si="94"/>
        <v>5.7592365125631144E-3</v>
      </c>
      <c r="N271" s="327">
        <f t="shared" si="95"/>
        <v>3.7093724369186086E-2</v>
      </c>
      <c r="O271" s="328">
        <f t="shared" si="96"/>
        <v>1.9221059173566091E-2</v>
      </c>
      <c r="P271" s="327">
        <f t="shared" si="97"/>
        <v>1.6044698494089061E-2</v>
      </c>
      <c r="Q271" s="327">
        <f t="shared" si="98"/>
        <v>4.5296473746240642E-2</v>
      </c>
      <c r="R271" s="327">
        <f t="shared" si="99"/>
        <v>5.8786237556973764E-2</v>
      </c>
      <c r="S271" s="327">
        <f t="shared" si="100"/>
        <v>3.8656628279448421E-2</v>
      </c>
      <c r="T271" s="327">
        <f t="shared" si="101"/>
        <v>9.8701213719600881E-70</v>
      </c>
      <c r="U271" s="328">
        <f t="shared" si="102"/>
        <v>4.7301633656604558E-4</v>
      </c>
      <c r="V271" s="327">
        <f t="shared" si="103"/>
        <v>4.3902262445658742E-3</v>
      </c>
      <c r="W271" s="327">
        <f t="shared" si="104"/>
        <v>1.3611036346368718E-2</v>
      </c>
      <c r="X271" s="327">
        <f t="shared" si="105"/>
        <v>4.3416748836891506E-2</v>
      </c>
      <c r="Y271" s="327">
        <f t="shared" si="106"/>
        <v>4.3961882930189239E-2</v>
      </c>
      <c r="Z271" s="327">
        <f t="shared" si="107"/>
        <v>2.2316778368396392E-14</v>
      </c>
      <c r="AA271" s="328">
        <f t="shared" si="108"/>
        <v>1.1145884833142938E-2</v>
      </c>
    </row>
    <row r="272" spans="1:27" ht="12" customHeight="1" x14ac:dyDescent="0.15">
      <c r="A272" s="269">
        <f t="shared" ref="A272:A335" si="109">+A271+1</f>
        <v>257</v>
      </c>
      <c r="B272" s="322">
        <f t="shared" ref="B272:B335" si="110">12*C272/52</f>
        <v>237.23076923076923</v>
      </c>
      <c r="C272" s="323">
        <f t="shared" ref="C272:C335" si="111">+C271+4</f>
        <v>1028</v>
      </c>
      <c r="D272" s="327">
        <f t="shared" ref="D272:D335" si="112">EXP(-(EXP(-$D$7)*$B272))</f>
        <v>1.8500678049259271E-4</v>
      </c>
      <c r="E272" s="327">
        <f t="shared" ref="E272:E335" si="113">EXP(-EXP(-($E$7/EXP($E$8)))*$B272^(1/EXP($E$8)))</f>
        <v>4.9150752910544757E-4</v>
      </c>
      <c r="F272" s="327">
        <f t="shared" ref="F272:F335" si="114">1 - _xlfn.NORM.S.DIST(((LN($B272) - $F$7)/EXP($F$8)), TRUE())</f>
        <v>2.3593906830168154E-2</v>
      </c>
      <c r="G272" s="327">
        <f t="shared" ref="G272:G335" si="115">1/(1+EXP(-($G$7/EXP($G$8)))*$B272^(1/EXP($G$8)))</f>
        <v>2.5757522997456546E-2</v>
      </c>
      <c r="H272" s="327">
        <f t="shared" ref="H272:H335" si="116">IF($H$8=0,EXP(-EXP($H$7)*$B272),EXP(-(EXP($H$7)/$H$8)*(EXP($H$8*$B272)-1)))</f>
        <v>9.6578424118392396E-3</v>
      </c>
      <c r="I272" s="327">
        <f t="shared" ref="I272:I335" si="117">IF($I$9&gt;0,1-_xlfn.GAMMA.DIST(EXP($I$9*(LN($B272)-$I$7)/$I$8)/$I$9^2,1/$I$9^2,1,TRUE()),_xlfn.GAMMA.DIST(EXP($I$9*(LN($B272)-$I$7)/$I$8)/$I$9^2,1/$I$9^2,1,TRUE()))</f>
        <v>3.8446993157761344E-3</v>
      </c>
      <c r="J272" s="327">
        <f t="shared" ref="J272:J335" si="118">EXP(-(EXP(-$J$7)*$B272))</f>
        <v>1.1080321405275011E-8</v>
      </c>
      <c r="K272" s="327">
        <f t="shared" ref="K272:K335" si="119">EXP(-EXP(-($K$7/EXP($K$8)))*$B272^(1/EXP($K$8)))</f>
        <v>1.9355723477033261E-9</v>
      </c>
      <c r="L272" s="327">
        <f t="shared" ref="L272:L335" si="120">1 - _xlfn.NORM.S.DIST(((LN($B272) - $L$7)/EXP($L$8)), TRUE())</f>
        <v>1.1594032472110882E-3</v>
      </c>
      <c r="M272" s="327">
        <f t="shared" ref="M272:M335" si="121">1/(1+EXP(-($M$7/EXP($M$8)))*$B272^(1/EXP($M$8)))</f>
        <v>5.7259738369995978E-3</v>
      </c>
      <c r="N272" s="327">
        <f t="shared" ref="N272:N335" si="122">IF($N$8=0,EXP(-EXP($N$7)*$B272),EXP(-(EXP($N$7)/$N$8)*(EXP($N$8*$B272)-1)))</f>
        <v>3.7091442234625925E-2</v>
      </c>
      <c r="O272" s="328">
        <f t="shared" ref="O272:O335" si="123">IF($O$9&gt;0,1-_xlfn.GAMMA.DIST(EXP($O$9*(LN($B272)-$O$7)/$O$8)/$O$9^2,1/$O$9^2,1,TRUE()),_xlfn.GAMMA.DIST(EXP($O$9*(LN($B272)-$O$7)/$O$8)/$O$9^2,1/$O$9^2,1,TRUE()))</f>
        <v>1.9144691663558144E-2</v>
      </c>
      <c r="P272" s="327">
        <f t="shared" ref="P272:P335" si="124">EXP(-(EXP(-$P$7)*$B272))</f>
        <v>1.5787782576373418E-2</v>
      </c>
      <c r="Q272" s="327">
        <f t="shared" ref="Q272:Q335" si="125">EXP(-EXP(-($Q$7/EXP($Q$8)))*$B272^(1/EXP($Q$8)))</f>
        <v>4.4915874994925296E-2</v>
      </c>
      <c r="R272" s="327">
        <f t="shared" ref="R272:R335" si="126">1 - _xlfn.NORM.S.DIST(((LN($B272) - $R$7)/EXP($R$8)), TRUE())</f>
        <v>5.8391204335199842E-2</v>
      </c>
      <c r="S272" s="327">
        <f t="shared" ref="S272:S335" si="127">1/(1+EXP(-($S$7/EXP($S$8)))*$B272^(1/EXP($S$8)))</f>
        <v>3.8409560694681016E-2</v>
      </c>
      <c r="T272" s="327">
        <f t="shared" ref="T272:T335" si="128">IF($T$8=0,EXP(-EXP($T$7)*$B272),EXP(-(EXP($T$7)/$T$8)*(EXP($T$8*$B272)-1)))</f>
        <v>2.4904077612608564E-71</v>
      </c>
      <c r="U272" s="328">
        <f t="shared" ref="U272:U335" si="129">IF($U$9&gt;0,1-_xlfn.GAMMA.DIST(EXP($U$9*(LN($B272)-$U$7)/$U$8)/$U$9^2,1/$U$9^2,1,TRUE()),_xlfn.GAMMA.DIST(EXP($U$9*(LN($B272)-$U$7)/$U$8)/$U$9^2,1/$U$9^2,1,TRUE()))</f>
        <v>4.5631763118325619E-4</v>
      </c>
      <c r="V272" s="327">
        <f t="shared" ref="V272:V335" si="130">EXP(-(EXP(-$V$7)*$B272))</f>
        <v>4.2981133652415246E-3</v>
      </c>
      <c r="W272" s="327">
        <f t="shared" ref="W272:W335" si="131">EXP(-EXP(-($W$7/EXP($W$8)))*$B272^(1/EXP($W$8)))</f>
        <v>1.3425441450982232E-2</v>
      </c>
      <c r="X272" s="327">
        <f t="shared" ref="X272:X335" si="132">1 - _xlfn.NORM.S.DIST(((LN($B272) - $X$7)/EXP($X$8)), TRUE())</f>
        <v>4.3122996643874534E-2</v>
      </c>
      <c r="Y272" s="327">
        <f t="shared" ref="Y272:Y335" si="133">1/(1+EXP(-($Y$7/EXP($Y$8)))*$B272^(1/EXP($Y$8)))</f>
        <v>4.3722252914397075E-2</v>
      </c>
      <c r="Z272" s="327">
        <f t="shared" ref="Z272:Z335" si="134">IF($Z$8=0,EXP(-EXP($Z$7)*$B272),EXP(-(EXP($Z$7)/$Z$8)*(EXP($Z$8*$B272)-1)))</f>
        <v>1.4860352469289123E-14</v>
      </c>
      <c r="AA272" s="328">
        <f t="shared" ref="AA272:AA335" si="135">IF($AA$9&gt;0,1-_xlfn.GAMMA.DIST(EXP($AA$9*(LN($B272)-$AA$7)/$AA$8)/$AA$9^2,1/$AA$9^2,1,TRUE()),_xlfn.GAMMA.DIST(EXP($AA$9*(LN($B272)-$AA$7)/$AA$8)/$AA$9^2,1/$AA$9^2,1,TRUE()))</f>
        <v>1.1000687895324601E-2</v>
      </c>
    </row>
    <row r="273" spans="1:27" ht="12" customHeight="1" x14ac:dyDescent="0.15">
      <c r="A273" s="269">
        <f t="shared" si="109"/>
        <v>258</v>
      </c>
      <c r="B273" s="322">
        <f t="shared" si="110"/>
        <v>238.15384615384616</v>
      </c>
      <c r="C273" s="323">
        <f t="shared" si="111"/>
        <v>1032</v>
      </c>
      <c r="D273" s="327">
        <f t="shared" si="112"/>
        <v>1.7892172800389457E-4</v>
      </c>
      <c r="E273" s="327">
        <f t="shared" si="113"/>
        <v>4.7802357161895296E-4</v>
      </c>
      <c r="F273" s="327">
        <f t="shared" si="114"/>
        <v>2.3427711157916198E-2</v>
      </c>
      <c r="G273" s="327">
        <f t="shared" si="115"/>
        <v>2.5621135080234E-2</v>
      </c>
      <c r="H273" s="327">
        <f t="shared" si="116"/>
        <v>9.5886608349126899E-3</v>
      </c>
      <c r="I273" s="327">
        <f t="shared" si="117"/>
        <v>3.7891144579998981E-3</v>
      </c>
      <c r="J273" s="327">
        <f t="shared" si="118"/>
        <v>1.0318042416908254E-8</v>
      </c>
      <c r="K273" s="327">
        <f t="shared" si="119"/>
        <v>1.7861219534649494E-9</v>
      </c>
      <c r="L273" s="327">
        <f t="shared" si="120"/>
        <v>1.1461445533494929E-3</v>
      </c>
      <c r="M273" s="327">
        <f t="shared" si="121"/>
        <v>5.6930302371269968E-3</v>
      </c>
      <c r="N273" s="327">
        <f t="shared" si="122"/>
        <v>3.7089224566159734E-2</v>
      </c>
      <c r="O273" s="328">
        <f t="shared" si="123"/>
        <v>1.9068917655936778E-2</v>
      </c>
      <c r="P273" s="327">
        <f t="shared" si="124"/>
        <v>1.5534980527721754E-2</v>
      </c>
      <c r="Q273" s="327">
        <f t="shared" si="125"/>
        <v>4.453891488512144E-2</v>
      </c>
      <c r="R273" s="327">
        <f t="shared" si="126"/>
        <v>5.7999780899461562E-2</v>
      </c>
      <c r="S273" s="327">
        <f t="shared" si="127"/>
        <v>3.8164960191736083E-2</v>
      </c>
      <c r="T273" s="327">
        <f t="shared" si="128"/>
        <v>5.7718829870123092E-73</v>
      </c>
      <c r="U273" s="328">
        <f t="shared" si="129"/>
        <v>4.4019955693630486E-4</v>
      </c>
      <c r="V273" s="327">
        <f t="shared" si="130"/>
        <v>4.2079331386017348E-3</v>
      </c>
      <c r="W273" s="327">
        <f t="shared" si="131"/>
        <v>1.3242505777657202E-2</v>
      </c>
      <c r="X273" s="327">
        <f t="shared" si="132"/>
        <v>4.2831983401585005E-2</v>
      </c>
      <c r="Y273" s="327">
        <f t="shared" si="133"/>
        <v>4.3484793036500935E-2</v>
      </c>
      <c r="Z273" s="327">
        <f t="shared" si="134"/>
        <v>9.845549089201755E-15</v>
      </c>
      <c r="AA273" s="328">
        <f t="shared" si="135"/>
        <v>1.0857604051280667E-2</v>
      </c>
    </row>
    <row r="274" spans="1:27" ht="12" customHeight="1" x14ac:dyDescent="0.15">
      <c r="A274" s="269">
        <f t="shared" si="109"/>
        <v>259</v>
      </c>
      <c r="B274" s="322">
        <f t="shared" si="110"/>
        <v>239.07692307692307</v>
      </c>
      <c r="C274" s="323">
        <f t="shared" si="111"/>
        <v>1036</v>
      </c>
      <c r="D274" s="327">
        <f t="shared" si="112"/>
        <v>1.7303681879476533E-4</v>
      </c>
      <c r="E274" s="327">
        <f t="shared" si="113"/>
        <v>4.6491261144470883E-4</v>
      </c>
      <c r="F274" s="327">
        <f t="shared" si="114"/>
        <v>2.3263138824332619E-2</v>
      </c>
      <c r="G274" s="327">
        <f t="shared" si="115"/>
        <v>2.5485973997759325E-2</v>
      </c>
      <c r="H274" s="327">
        <f t="shared" si="116"/>
        <v>9.5204051481116037E-3</v>
      </c>
      <c r="I274" s="327">
        <f t="shared" si="117"/>
        <v>3.7344285206899475E-3</v>
      </c>
      <c r="J274" s="327">
        <f t="shared" si="118"/>
        <v>9.6082049809885952E-9</v>
      </c>
      <c r="K274" s="327">
        <f t="shared" si="119"/>
        <v>1.6481959648439413E-9</v>
      </c>
      <c r="L274" s="327">
        <f t="shared" si="120"/>
        <v>1.1330753675912186E-3</v>
      </c>
      <c r="M274" s="327">
        <f t="shared" si="121"/>
        <v>5.6604014456235266E-3</v>
      </c>
      <c r="N274" s="327">
        <f t="shared" si="122"/>
        <v>3.7087069539054274E-2</v>
      </c>
      <c r="O274" s="328">
        <f t="shared" si="123"/>
        <v>1.8993730298945081E-2</v>
      </c>
      <c r="P274" s="327">
        <f t="shared" si="124"/>
        <v>1.5286226474758736E-2</v>
      </c>
      <c r="Q274" s="327">
        <f t="shared" si="125"/>
        <v>4.416555324728072E-2</v>
      </c>
      <c r="R274" s="327">
        <f t="shared" si="126"/>
        <v>5.7611924848150475E-2</v>
      </c>
      <c r="S274" s="327">
        <f t="shared" si="127"/>
        <v>3.7922793501448969E-2</v>
      </c>
      <c r="T274" s="327">
        <f t="shared" si="128"/>
        <v>1.2263419323507972E-74</v>
      </c>
      <c r="U274" s="328">
        <f t="shared" si="129"/>
        <v>4.2464228193517251E-4</v>
      </c>
      <c r="V274" s="327">
        <f t="shared" si="130"/>
        <v>4.1196450149815168E-3</v>
      </c>
      <c r="W274" s="327">
        <f t="shared" si="131"/>
        <v>1.3062188984564521E-2</v>
      </c>
      <c r="X274" s="327">
        <f t="shared" si="132"/>
        <v>4.2543676025019184E-2</v>
      </c>
      <c r="Y274" s="327">
        <f t="shared" si="133"/>
        <v>4.3249475980854761E-2</v>
      </c>
      <c r="Z274" s="327">
        <f t="shared" si="134"/>
        <v>6.4898837388997108E-15</v>
      </c>
      <c r="AA274" s="328">
        <f t="shared" si="135"/>
        <v>1.0716598997680293E-2</v>
      </c>
    </row>
    <row r="275" spans="1:27" ht="12" customHeight="1" x14ac:dyDescent="0.15">
      <c r="A275" s="269">
        <f t="shared" si="109"/>
        <v>260</v>
      </c>
      <c r="B275" s="322">
        <f t="shared" si="110"/>
        <v>240</v>
      </c>
      <c r="C275" s="323">
        <f t="shared" si="111"/>
        <v>1040</v>
      </c>
      <c r="D275" s="327">
        <f t="shared" si="112"/>
        <v>1.6734546995857719E-4</v>
      </c>
      <c r="E275" s="327">
        <f t="shared" si="113"/>
        <v>4.5216423460753106E-4</v>
      </c>
      <c r="F275" s="327">
        <f t="shared" si="114"/>
        <v>2.3100169243930879E-2</v>
      </c>
      <c r="G275" s="327">
        <f t="shared" si="115"/>
        <v>2.5352024237439055E-2</v>
      </c>
      <c r="H275" s="327">
        <f t="shared" si="116"/>
        <v>9.4530599253298177E-3</v>
      </c>
      <c r="I275" s="327">
        <f t="shared" si="117"/>
        <v>3.6806252808501139E-3</v>
      </c>
      <c r="J275" s="327">
        <f t="shared" si="118"/>
        <v>8.9472013417401908E-9</v>
      </c>
      <c r="K275" s="327">
        <f t="shared" si="119"/>
        <v>1.52090692759802E-9</v>
      </c>
      <c r="L275" s="327">
        <f t="shared" si="120"/>
        <v>1.1201924176312827E-3</v>
      </c>
      <c r="M275" s="327">
        <f t="shared" si="121"/>
        <v>5.6280832682288132E-3</v>
      </c>
      <c r="N275" s="327">
        <f t="shared" si="122"/>
        <v>3.7084975380430825E-2</v>
      </c>
      <c r="O275" s="328">
        <f t="shared" si="123"/>
        <v>1.8919122845595479E-2</v>
      </c>
      <c r="P275" s="327">
        <f t="shared" si="124"/>
        <v>1.5041455598907212E-2</v>
      </c>
      <c r="Q275" s="327">
        <f t="shared" si="125"/>
        <v>4.3795750429938128E-2</v>
      </c>
      <c r="R275" s="327">
        <f t="shared" si="126"/>
        <v>5.7227594393825965E-2</v>
      </c>
      <c r="S275" s="327">
        <f t="shared" si="127"/>
        <v>3.7683027916688067E-2</v>
      </c>
      <c r="T275" s="327">
        <f t="shared" si="128"/>
        <v>2.3838607365091115E-76</v>
      </c>
      <c r="U275" s="328">
        <f t="shared" si="129"/>
        <v>4.0962663723664861E-4</v>
      </c>
      <c r="V275" s="327">
        <f t="shared" si="130"/>
        <v>4.0332092955026244E-3</v>
      </c>
      <c r="W275" s="327">
        <f t="shared" si="131"/>
        <v>1.2884451383638185E-2</v>
      </c>
      <c r="X275" s="327">
        <f t="shared" si="132"/>
        <v>4.2258041924393863E-2</v>
      </c>
      <c r="Y275" s="327">
        <f t="shared" si="133"/>
        <v>4.3016274870213055E-2</v>
      </c>
      <c r="Z275" s="327">
        <f t="shared" si="134"/>
        <v>4.255911831730636E-15</v>
      </c>
      <c r="AA275" s="328">
        <f t="shared" si="135"/>
        <v>1.0577639050826315E-2</v>
      </c>
    </row>
    <row r="276" spans="1:27" ht="12" customHeight="1" x14ac:dyDescent="0.15">
      <c r="A276" s="269">
        <f t="shared" si="109"/>
        <v>261</v>
      </c>
      <c r="B276" s="322">
        <f t="shared" si="110"/>
        <v>240.92307692307693</v>
      </c>
      <c r="C276" s="323">
        <f t="shared" si="111"/>
        <v>1044</v>
      </c>
      <c r="D276" s="327">
        <f t="shared" si="112"/>
        <v>1.6184131510688747E-4</v>
      </c>
      <c r="E276" s="327">
        <f t="shared" si="113"/>
        <v>4.397683209393047E-4</v>
      </c>
      <c r="F276" s="327">
        <f t="shared" si="114"/>
        <v>2.2938782154803383E-2</v>
      </c>
      <c r="G276" s="327">
        <f t="shared" si="115"/>
        <v>2.5219270538712354E-2</v>
      </c>
      <c r="H276" s="327">
        <f t="shared" si="116"/>
        <v>9.3866100465613469E-3</v>
      </c>
      <c r="I276" s="327">
        <f t="shared" si="117"/>
        <v>3.6276888411863606E-3</v>
      </c>
      <c r="J276" s="327">
        <f t="shared" si="118"/>
        <v>8.3316719416409778E-9</v>
      </c>
      <c r="K276" s="327">
        <f t="shared" si="119"/>
        <v>1.4034356290120422E-9</v>
      </c>
      <c r="L276" s="327">
        <f t="shared" si="120"/>
        <v>1.1074924976729461E-3</v>
      </c>
      <c r="M276" s="327">
        <f t="shared" si="121"/>
        <v>5.5960715822216765E-3</v>
      </c>
      <c r="N276" s="327">
        <f t="shared" si="122"/>
        <v>3.7082940367780148E-2</v>
      </c>
      <c r="O276" s="328">
        <f t="shared" si="123"/>
        <v>1.8845088651678207E-2</v>
      </c>
      <c r="P276" s="327">
        <f t="shared" si="124"/>
        <v>1.4800604119498234E-2</v>
      </c>
      <c r="Q276" s="327">
        <f t="shared" si="125"/>
        <v>4.3429467291857739E-2</v>
      </c>
      <c r="R276" s="327">
        <f t="shared" si="126"/>
        <v>5.6846748352583965E-2</v>
      </c>
      <c r="S276" s="327">
        <f t="shared" si="127"/>
        <v>3.744563128099631E-2</v>
      </c>
      <c r="T276" s="327">
        <f t="shared" si="128"/>
        <v>4.2309075298049846E-78</v>
      </c>
      <c r="U276" s="328">
        <f t="shared" si="129"/>
        <v>3.9513409526914511E-4</v>
      </c>
      <c r="V276" s="327">
        <f t="shared" si="130"/>
        <v>3.9485871142229366E-3</v>
      </c>
      <c r="W276" s="327">
        <f t="shared" si="131"/>
        <v>1.2709253929144449E-2</v>
      </c>
      <c r="X276" s="327">
        <f t="shared" si="132"/>
        <v>4.1975048996259035E-2</v>
      </c>
      <c r="Y276" s="327">
        <f t="shared" si="133"/>
        <v>4.278516325720557E-2</v>
      </c>
      <c r="Z276" s="327">
        <f t="shared" si="134"/>
        <v>2.7763825467837781E-15</v>
      </c>
      <c r="AA276" s="328">
        <f t="shared" si="135"/>
        <v>1.0440691134243507E-2</v>
      </c>
    </row>
    <row r="277" spans="1:27" ht="12" customHeight="1" x14ac:dyDescent="0.15">
      <c r="A277" s="269">
        <f t="shared" si="109"/>
        <v>262</v>
      </c>
      <c r="B277" s="322">
        <f t="shared" si="110"/>
        <v>241.84615384615384</v>
      </c>
      <c r="C277" s="323">
        <f t="shared" si="111"/>
        <v>1048</v>
      </c>
      <c r="D277" s="327">
        <f t="shared" si="112"/>
        <v>1.5651819724794651E-4</v>
      </c>
      <c r="E277" s="327">
        <f t="shared" si="113"/>
        <v>4.2771503569071379E-4</v>
      </c>
      <c r="F277" s="327">
        <f t="shared" si="114"/>
        <v>2.2778957612524686E-2</v>
      </c>
      <c r="G277" s="327">
        <f t="shared" si="115"/>
        <v>2.5087697888059403E-2</v>
      </c>
      <c r="H277" s="327">
        <f t="shared" si="116"/>
        <v>9.3210406909273614E-3</v>
      </c>
      <c r="I277" s="327">
        <f t="shared" si="117"/>
        <v>3.5756036228585808E-3</v>
      </c>
      <c r="J277" s="327">
        <f t="shared" si="118"/>
        <v>7.7584883464382033E-9</v>
      </c>
      <c r="K277" s="327">
        <f t="shared" si="119"/>
        <v>1.2950258583600478E-9</v>
      </c>
      <c r="L277" s="327">
        <f t="shared" si="120"/>
        <v>1.0949724668688487E-3</v>
      </c>
      <c r="M277" s="327">
        <f t="shared" si="121"/>
        <v>5.5643623349351991E-3</v>
      </c>
      <c r="N277" s="327">
        <f t="shared" si="122"/>
        <v>3.7080962827520728E-2</v>
      </c>
      <c r="O277" s="328">
        <f t="shared" si="123"/>
        <v>1.8771621173814694E-2</v>
      </c>
      <c r="P277" s="327">
        <f t="shared" si="124"/>
        <v>1.4563609277151545E-2</v>
      </c>
      <c r="Q277" s="327">
        <f t="shared" si="125"/>
        <v>4.3066665194317864E-2</v>
      </c>
      <c r="R277" s="327">
        <f t="shared" si="126"/>
        <v>5.646934613364063E-2</v>
      </c>
      <c r="S277" s="327">
        <f t="shared" si="127"/>
        <v>3.721057197749833E-2</v>
      </c>
      <c r="T277" s="327">
        <f t="shared" si="128"/>
        <v>6.8415901033464991E-80</v>
      </c>
      <c r="U277" s="328">
        <f t="shared" si="129"/>
        <v>3.8114674893519052E-4</v>
      </c>
      <c r="V277" s="327">
        <f t="shared" si="130"/>
        <v>3.8657404206603177E-3</v>
      </c>
      <c r="W277" s="327">
        <f t="shared" si="131"/>
        <v>1.2536558206469765E-2</v>
      </c>
      <c r="X277" s="327">
        <f t="shared" si="132"/>
        <v>4.1694665614796622E-2</v>
      </c>
      <c r="Y277" s="327">
        <f t="shared" si="133"/>
        <v>4.2556115116006051E-2</v>
      </c>
      <c r="Z277" s="327">
        <f t="shared" si="134"/>
        <v>1.8016435482340354E-15</v>
      </c>
      <c r="AA277" s="328">
        <f t="shared" si="135"/>
        <v>1.0305722766539294E-2</v>
      </c>
    </row>
    <row r="278" spans="1:27" ht="12" customHeight="1" x14ac:dyDescent="0.15">
      <c r="A278" s="269">
        <f t="shared" si="109"/>
        <v>263</v>
      </c>
      <c r="B278" s="322">
        <f t="shared" si="110"/>
        <v>242.76923076923077</v>
      </c>
      <c r="C278" s="323">
        <f t="shared" si="111"/>
        <v>1052</v>
      </c>
      <c r="D278" s="327">
        <f t="shared" si="112"/>
        <v>1.5137016189943508E-4</v>
      </c>
      <c r="E278" s="327">
        <f t="shared" si="113"/>
        <v>4.1599482138573622E-4</v>
      </c>
      <c r="F278" s="327">
        <f t="shared" si="114"/>
        <v>2.2620675984190597E-2</v>
      </c>
      <c r="G278" s="327">
        <f t="shared" si="115"/>
        <v>2.4957291514126061E-2</v>
      </c>
      <c r="H278" s="327">
        <f t="shared" si="116"/>
        <v>9.2563373298809523E-3</v>
      </c>
      <c r="I278" s="327">
        <f t="shared" si="117"/>
        <v>3.5243543584130288E-3</v>
      </c>
      <c r="J278" s="327">
        <f t="shared" si="118"/>
        <v>7.2247373448505914E-9</v>
      </c>
      <c r="K278" s="327">
        <f t="shared" si="119"/>
        <v>1.1949795690107415E-9</v>
      </c>
      <c r="L278" s="327">
        <f t="shared" si="120"/>
        <v>1.082629247803446E-3</v>
      </c>
      <c r="M278" s="327">
        <f t="shared" si="121"/>
        <v>5.532951542308053E-3</v>
      </c>
      <c r="N278" s="327">
        <f t="shared" si="122"/>
        <v>3.7079041133598806E-2</v>
      </c>
      <c r="O278" s="328">
        <f t="shared" si="123"/>
        <v>1.8698713967555163E-2</v>
      </c>
      <c r="P278" s="327">
        <f t="shared" si="124"/>
        <v>1.4330409317422176E-2</v>
      </c>
      <c r="Q278" s="327">
        <f t="shared" si="125"/>
        <v>4.2707305993533611E-2</v>
      </c>
      <c r="R278" s="327">
        <f t="shared" si="126"/>
        <v>5.6095347729126166E-2</v>
      </c>
      <c r="S278" s="327">
        <f t="shared" si="127"/>
        <v>3.6977818918066466E-2</v>
      </c>
      <c r="T278" s="327">
        <f t="shared" si="128"/>
        <v>1.0058144632801911E-81</v>
      </c>
      <c r="U278" s="328">
        <f t="shared" si="129"/>
        <v>3.6764729137228613E-4</v>
      </c>
      <c r="V278" s="327">
        <f t="shared" si="130"/>
        <v>3.7846319626831655E-3</v>
      </c>
      <c r="W278" s="327">
        <f t="shared" si="131"/>
        <v>1.2366326421120564E-2</v>
      </c>
      <c r="X278" s="327">
        <f t="shared" si="132"/>
        <v>4.1416860623301188E-2</v>
      </c>
      <c r="Y278" s="327">
        <f t="shared" si="133"/>
        <v>4.2329104834190091E-2</v>
      </c>
      <c r="Z278" s="327">
        <f t="shared" si="134"/>
        <v>1.1628745709002582E-15</v>
      </c>
      <c r="AA278" s="328">
        <f t="shared" si="135"/>
        <v>1.0172702049533244E-2</v>
      </c>
    </row>
    <row r="279" spans="1:27" ht="12" customHeight="1" x14ac:dyDescent="0.15">
      <c r="A279" s="269">
        <f t="shared" si="109"/>
        <v>264</v>
      </c>
      <c r="B279" s="322">
        <f t="shared" si="110"/>
        <v>243.69230769230768</v>
      </c>
      <c r="C279" s="323">
        <f t="shared" si="111"/>
        <v>1056</v>
      </c>
      <c r="D279" s="327">
        <f t="shared" si="112"/>
        <v>1.4639145042773512E-4</v>
      </c>
      <c r="E279" s="327">
        <f t="shared" si="113"/>
        <v>4.0459838991184559E-4</v>
      </c>
      <c r="F279" s="327">
        <f t="shared" si="114"/>
        <v>2.2463917942586731E-2</v>
      </c>
      <c r="G279" s="327">
        <f t="shared" si="115"/>
        <v>2.4828036882962125E-2</v>
      </c>
      <c r="H279" s="327">
        <f t="shared" si="116"/>
        <v>9.1924857205850294E-3</v>
      </c>
      <c r="I279" s="327">
        <f t="shared" si="117"/>
        <v>3.4739260848857256E-3</v>
      </c>
      <c r="J279" s="327">
        <f t="shared" si="118"/>
        <v>6.727706142143205E-9</v>
      </c>
      <c r="K279" s="327">
        <f t="shared" si="119"/>
        <v>1.102652411441273E-9</v>
      </c>
      <c r="L279" s="327">
        <f t="shared" si="120"/>
        <v>1.070459825015635E-3</v>
      </c>
      <c r="M279" s="327">
        <f t="shared" si="121"/>
        <v>5.5018352874711789E-3</v>
      </c>
      <c r="N279" s="327">
        <f t="shared" si="122"/>
        <v>3.7077173706129146E-2</v>
      </c>
      <c r="O279" s="328">
        <f t="shared" si="123"/>
        <v>1.8626360685519171E-2</v>
      </c>
      <c r="P279" s="327">
        <f t="shared" si="124"/>
        <v>1.4100943474708916E-2</v>
      </c>
      <c r="Q279" s="327">
        <f t="shared" si="125"/>
        <v>4.2351352033213434E-2</v>
      </c>
      <c r="R279" s="327">
        <f t="shared" si="126"/>
        <v>5.5724713704083051E-2</v>
      </c>
      <c r="S279" s="327">
        <f t="shared" si="127"/>
        <v>3.6747341532740084E-2</v>
      </c>
      <c r="T279" s="327">
        <f t="shared" si="128"/>
        <v>1.3414080126876006E-83</v>
      </c>
      <c r="U279" s="328">
        <f t="shared" si="129"/>
        <v>3.5461899635169658E-4</v>
      </c>
      <c r="V279" s="327">
        <f t="shared" si="130"/>
        <v>3.7052252697599435E-3</v>
      </c>
      <c r="W279" s="327">
        <f t="shared" si="131"/>
        <v>1.2198521387933743E-2</v>
      </c>
      <c r="X279" s="327">
        <f t="shared" si="132"/>
        <v>4.1141603325839493E-2</v>
      </c>
      <c r="Y279" s="327">
        <f t="shared" si="133"/>
        <v>4.2104107204777766E-2</v>
      </c>
      <c r="Z279" s="327">
        <f t="shared" si="134"/>
        <v>7.4652184045213939E-16</v>
      </c>
      <c r="AA279" s="328">
        <f t="shared" si="135"/>
        <v>1.0041597656649137E-2</v>
      </c>
    </row>
    <row r="280" spans="1:27" ht="12" customHeight="1" x14ac:dyDescent="0.15">
      <c r="A280" s="269">
        <f t="shared" si="109"/>
        <v>265</v>
      </c>
      <c r="B280" s="322">
        <f t="shared" si="110"/>
        <v>244.61538461538461</v>
      </c>
      <c r="C280" s="323">
        <f t="shared" si="111"/>
        <v>1060</v>
      </c>
      <c r="D280" s="327">
        <f t="shared" si="112"/>
        <v>1.4157649360627375E-4</v>
      </c>
      <c r="E280" s="327">
        <f t="shared" si="113"/>
        <v>3.9351671483885494E-4</v>
      </c>
      <c r="F280" s="327">
        <f t="shared" si="114"/>
        <v>2.2308664460485295E-2</v>
      </c>
      <c r="G280" s="327">
        <f t="shared" si="115"/>
        <v>2.4699919693369463E-2</v>
      </c>
      <c r="H280" s="327">
        <f t="shared" si="116"/>
        <v>9.1294718994581279E-3</v>
      </c>
      <c r="I280" s="327">
        <f t="shared" si="117"/>
        <v>3.4243041370753957E-3</v>
      </c>
      <c r="J280" s="327">
        <f t="shared" si="118"/>
        <v>6.2648685723214238E-9</v>
      </c>
      <c r="K280" s="327">
        <f t="shared" si="119"/>
        <v>1.0174496087698105E-9</v>
      </c>
      <c r="L280" s="327">
        <f t="shared" si="120"/>
        <v>1.0584612435609042E-3</v>
      </c>
      <c r="M280" s="327">
        <f t="shared" si="121"/>
        <v>5.4710097193685628E-3</v>
      </c>
      <c r="N280" s="327">
        <f t="shared" si="122"/>
        <v>3.7075359010075012E-2</v>
      </c>
      <c r="O280" s="328">
        <f t="shared" si="123"/>
        <v>1.8554555075577652E-2</v>
      </c>
      <c r="P280" s="327">
        <f t="shared" si="124"/>
        <v>1.3875151956420436E-2</v>
      </c>
      <c r="Q280" s="327">
        <f t="shared" si="125"/>
        <v>4.1998766137247075E-2</v>
      </c>
      <c r="R280" s="327">
        <f t="shared" si="126"/>
        <v>5.5357405186664321E-2</v>
      </c>
      <c r="S280" s="327">
        <f t="shared" si="127"/>
        <v>3.6519109759389226E-2</v>
      </c>
      <c r="T280" s="327">
        <f t="shared" si="128"/>
        <v>1.6192314944679014E-85</v>
      </c>
      <c r="U280" s="328">
        <f t="shared" si="129"/>
        <v>3.4204569929618955E-4</v>
      </c>
      <c r="V280" s="327">
        <f t="shared" si="130"/>
        <v>3.6274846365601404E-3</v>
      </c>
      <c r="W280" s="327">
        <f t="shared" si="131"/>
        <v>1.203310652049001E-2</v>
      </c>
      <c r="X280" s="327">
        <f t="shared" si="132"/>
        <v>4.0868863479081363E-2</v>
      </c>
      <c r="Y280" s="327">
        <f t="shared" si="133"/>
        <v>4.1881097418455047E-2</v>
      </c>
      <c r="Z280" s="327">
        <f t="shared" si="134"/>
        <v>4.7661603684304301E-16</v>
      </c>
      <c r="AA280" s="328">
        <f t="shared" si="135"/>
        <v>9.9123788215600417E-3</v>
      </c>
    </row>
    <row r="281" spans="1:27" ht="12" customHeight="1" x14ac:dyDescent="0.15">
      <c r="A281" s="269">
        <f t="shared" si="109"/>
        <v>266</v>
      </c>
      <c r="B281" s="322">
        <f t="shared" si="110"/>
        <v>245.53846153846155</v>
      </c>
      <c r="C281" s="323">
        <f t="shared" si="111"/>
        <v>1064</v>
      </c>
      <c r="D281" s="327">
        <f t="shared" si="112"/>
        <v>1.3691990538574361E-4</v>
      </c>
      <c r="E281" s="327">
        <f t="shared" si="113"/>
        <v>3.8274102395983349E-4</v>
      </c>
      <c r="F281" s="327">
        <f t="shared" si="114"/>
        <v>2.2154896805065993E-2</v>
      </c>
      <c r="G281" s="327">
        <f t="shared" si="115"/>
        <v>2.4572925872357796E-2</v>
      </c>
      <c r="H281" s="327">
        <f t="shared" si="116"/>
        <v>9.0672821758837688E-3</v>
      </c>
      <c r="I281" s="327">
        <f t="shared" si="117"/>
        <v>3.3754741409799394E-3</v>
      </c>
      <c r="J281" s="327">
        <f t="shared" si="118"/>
        <v>5.8338722588673225E-9</v>
      </c>
      <c r="K281" s="327">
        <f t="shared" si="119"/>
        <v>9.3882214858796768E-10</v>
      </c>
      <c r="L281" s="327">
        <f t="shared" si="120"/>
        <v>1.0466306076098997E-3</v>
      </c>
      <c r="M281" s="327">
        <f t="shared" si="121"/>
        <v>5.440471051411478E-3</v>
      </c>
      <c r="N281" s="327">
        <f t="shared" si="122"/>
        <v>3.7073595553966637E-2</v>
      </c>
      <c r="O281" s="328">
        <f t="shared" si="123"/>
        <v>1.8483290979075757E-2</v>
      </c>
      <c r="P281" s="327">
        <f t="shared" si="124"/>
        <v>1.3652975927394961E-2</v>
      </c>
      <c r="Q281" s="327">
        <f t="shared" si="125"/>
        <v>4.1649511602522282E-2</v>
      </c>
      <c r="R281" s="327">
        <f t="shared" si="126"/>
        <v>5.4993383858527922E-2</v>
      </c>
      <c r="S281" s="327">
        <f t="shared" si="127"/>
        <v>3.6293094033618176E-2</v>
      </c>
      <c r="T281" s="327">
        <f t="shared" si="128"/>
        <v>1.7650714193005188E-87</v>
      </c>
      <c r="U281" s="328">
        <f t="shared" si="129"/>
        <v>3.299117788975181E-4</v>
      </c>
      <c r="V281" s="327">
        <f t="shared" si="130"/>
        <v>3.5513751068993395E-3</v>
      </c>
      <c r="W281" s="327">
        <f t="shared" si="131"/>
        <v>1.1870045820728294E-2</v>
      </c>
      <c r="X281" s="327">
        <f t="shared" si="132"/>
        <v>4.0598611284301978E-2</v>
      </c>
      <c r="Y281" s="327">
        <f t="shared" si="133"/>
        <v>4.1660051055970454E-2</v>
      </c>
      <c r="Z281" s="327">
        <f t="shared" si="134"/>
        <v>3.0260894322582204E-16</v>
      </c>
      <c r="AA281" s="328">
        <f t="shared" si="135"/>
        <v>9.7850153270844231E-3</v>
      </c>
    </row>
    <row r="282" spans="1:27" ht="12" customHeight="1" x14ac:dyDescent="0.15">
      <c r="A282" s="269">
        <f t="shared" si="109"/>
        <v>267</v>
      </c>
      <c r="B282" s="322">
        <f t="shared" si="110"/>
        <v>246.46153846153845</v>
      </c>
      <c r="C282" s="323">
        <f t="shared" si="111"/>
        <v>1068</v>
      </c>
      <c r="D282" s="327">
        <f t="shared" si="112"/>
        <v>1.324164768692242E-4</v>
      </c>
      <c r="E282" s="327">
        <f t="shared" si="113"/>
        <v>3.7226279204748694E-4</v>
      </c>
      <c r="F282" s="327">
        <f t="shared" si="114"/>
        <v>2.2002596532458507E-2</v>
      </c>
      <c r="G282" s="327">
        <f t="shared" si="115"/>
        <v>2.4447041570704851E-2</v>
      </c>
      <c r="H282" s="327">
        <f t="shared" si="116"/>
        <v>9.0059031260785495E-3</v>
      </c>
      <c r="I282" s="327">
        <f t="shared" si="117"/>
        <v>3.3274220073933325E-3</v>
      </c>
      <c r="J282" s="327">
        <f t="shared" si="118"/>
        <v>5.4325266587628927E-9</v>
      </c>
      <c r="K282" s="327">
        <f t="shared" si="119"/>
        <v>8.662632668769993E-10</v>
      </c>
      <c r="L282" s="327">
        <f t="shared" si="120"/>
        <v>1.0349650790860698E-3</v>
      </c>
      <c r="M282" s="327">
        <f t="shared" si="121"/>
        <v>5.4102155601650328E-3</v>
      </c>
      <c r="N282" s="327">
        <f t="shared" si="122"/>
        <v>3.7071881888656538E-2</v>
      </c>
      <c r="O282" s="328">
        <f t="shared" si="123"/>
        <v>1.8412562329095387E-2</v>
      </c>
      <c r="P282" s="327">
        <f t="shared" si="124"/>
        <v>1.3434357494569407E-2</v>
      </c>
      <c r="Q282" s="327">
        <f t="shared" si="125"/>
        <v>4.1303552191867536E-2</v>
      </c>
      <c r="R282" s="327">
        <f t="shared" si="126"/>
        <v>5.4632611945421683E-2</v>
      </c>
      <c r="S282" s="327">
        <f t="shared" si="127"/>
        <v>3.606926527890196E-2</v>
      </c>
      <c r="T282" s="327">
        <f t="shared" si="128"/>
        <v>1.7333972377431865E-89</v>
      </c>
      <c r="U282" s="328">
        <f t="shared" si="129"/>
        <v>3.1820213931665897E-4</v>
      </c>
      <c r="V282" s="327">
        <f t="shared" si="130"/>
        <v>3.4768624580211079E-3</v>
      </c>
      <c r="W282" s="327">
        <f t="shared" si="131"/>
        <v>1.1709303868756186E-2</v>
      </c>
      <c r="X282" s="327">
        <f t="shared" si="132"/>
        <v>4.0330817379548023E-2</v>
      </c>
      <c r="Y282" s="327">
        <f t="shared" si="133"/>
        <v>4.1440944080702022E-2</v>
      </c>
      <c r="Z282" s="327">
        <f t="shared" si="134"/>
        <v>1.910521644577712E-16</v>
      </c>
      <c r="AA282" s="328">
        <f t="shared" si="135"/>
        <v>9.6594774943237205E-3</v>
      </c>
    </row>
    <row r="283" spans="1:27" ht="12" customHeight="1" x14ac:dyDescent="0.15">
      <c r="A283" s="269">
        <f t="shared" si="109"/>
        <v>268</v>
      </c>
      <c r="B283" s="322">
        <f t="shared" si="110"/>
        <v>247.38461538461539</v>
      </c>
      <c r="C283" s="323">
        <f t="shared" si="111"/>
        <v>1072</v>
      </c>
      <c r="D283" s="327">
        <f t="shared" si="112"/>
        <v>1.2806117048546728E-4</v>
      </c>
      <c r="E283" s="327">
        <f t="shared" si="113"/>
        <v>3.6207373381968153E-4</v>
      </c>
      <c r="F283" s="327">
        <f t="shared" si="114"/>
        <v>2.1851745482402096E-2</v>
      </c>
      <c r="G283" s="327">
        <f t="shared" si="115"/>
        <v>2.4322253158618207E-2</v>
      </c>
      <c r="H283" s="327">
        <f t="shared" si="116"/>
        <v>8.9453215871146737E-3</v>
      </c>
      <c r="I283" s="327">
        <f t="shared" si="117"/>
        <v>3.2801339256562922E-3</v>
      </c>
      <c r="J283" s="327">
        <f t="shared" si="118"/>
        <v>5.0587919290333056E-9</v>
      </c>
      <c r="K283" s="327">
        <f t="shared" si="119"/>
        <v>7.993052016421531E-10</v>
      </c>
      <c r="L283" s="327">
        <f t="shared" si="120"/>
        <v>1.0234618763369507E-3</v>
      </c>
      <c r="M283" s="327">
        <f t="shared" si="121"/>
        <v>5.3802395840662123E-3</v>
      </c>
      <c r="N283" s="327">
        <f t="shared" si="122"/>
        <v>3.7070216606110998E-2</v>
      </c>
      <c r="O283" s="328">
        <f t="shared" si="123"/>
        <v>1.8342363148756109E-2</v>
      </c>
      <c r="P283" s="327">
        <f t="shared" si="124"/>
        <v>1.3219239691894034E-2</v>
      </c>
      <c r="Q283" s="327">
        <f t="shared" si="125"/>
        <v>4.0960852127118134E-2</v>
      </c>
      <c r="R283" s="327">
        <f t="shared" si="126"/>
        <v>5.4275052207955032E-2</v>
      </c>
      <c r="S283" s="327">
        <f t="shared" si="127"/>
        <v>3.5847594896948824E-2</v>
      </c>
      <c r="T283" s="327">
        <f t="shared" si="128"/>
        <v>1.5299243591439764E-91</v>
      </c>
      <c r="U283" s="328">
        <f t="shared" si="129"/>
        <v>3.0690219294804422E-4</v>
      </c>
      <c r="V283" s="327">
        <f t="shared" si="130"/>
        <v>3.4039131852086893E-3</v>
      </c>
      <c r="W283" s="327">
        <f t="shared" si="131"/>
        <v>1.1550845812851991E-2</v>
      </c>
      <c r="X283" s="327">
        <f t="shared" si="132"/>
        <v>4.0065452831965498E-2</v>
      </c>
      <c r="Y283" s="327">
        <f t="shared" si="133"/>
        <v>4.122375283139014E-2</v>
      </c>
      <c r="Z283" s="327">
        <f t="shared" si="134"/>
        <v>1.1993584847052484E-16</v>
      </c>
      <c r="AA283" s="328">
        <f t="shared" si="135"/>
        <v>9.5357361720382894E-3</v>
      </c>
    </row>
    <row r="284" spans="1:27" ht="12" customHeight="1" x14ac:dyDescent="0.15">
      <c r="A284" s="269">
        <f t="shared" si="109"/>
        <v>269</v>
      </c>
      <c r="B284" s="322">
        <f t="shared" si="110"/>
        <v>248.30769230769232</v>
      </c>
      <c r="C284" s="323">
        <f t="shared" si="111"/>
        <v>1076</v>
      </c>
      <c r="D284" s="327">
        <f t="shared" si="112"/>
        <v>1.2384911435383059E-4</v>
      </c>
      <c r="E284" s="327">
        <f t="shared" si="113"/>
        <v>3.5216579710802085E-4</v>
      </c>
      <c r="F284" s="327">
        <f t="shared" si="114"/>
        <v>2.1702325773022224E-2</v>
      </c>
      <c r="G284" s="327">
        <f t="shared" si="115"/>
        <v>2.4198547221496242E-2</v>
      </c>
      <c r="H284" s="327">
        <f t="shared" si="116"/>
        <v>8.8855246510926283E-3</v>
      </c>
      <c r="I284" s="327">
        <f t="shared" si="117"/>
        <v>3.2335963575598203E-3</v>
      </c>
      <c r="J284" s="327">
        <f t="shared" si="118"/>
        <v>4.7107685592251341E-9</v>
      </c>
      <c r="K284" s="327">
        <f t="shared" si="119"/>
        <v>7.3751619560970197E-10</v>
      </c>
      <c r="L284" s="327">
        <f t="shared" si="120"/>
        <v>1.0121182728407563E-3</v>
      </c>
      <c r="M284" s="327">
        <f t="shared" si="121"/>
        <v>5.3505395221725904E-3</v>
      </c>
      <c r="N284" s="327">
        <f t="shared" si="122"/>
        <v>3.7068598338236489E-2</v>
      </c>
      <c r="O284" s="328">
        <f t="shared" si="123"/>
        <v>1.8272687549553676E-2</v>
      </c>
      <c r="P284" s="327">
        <f t="shared" si="124"/>
        <v>1.3007566465488615E-2</v>
      </c>
      <c r="Q284" s="327">
        <f t="shared" si="125"/>
        <v>4.0621376082303033E-2</v>
      </c>
      <c r="R284" s="327">
        <f t="shared" si="126"/>
        <v>5.3920667932553457E-2</v>
      </c>
      <c r="S284" s="327">
        <f t="shared" si="127"/>
        <v>3.5628054758284393E-2</v>
      </c>
      <c r="T284" s="327">
        <f t="shared" si="128"/>
        <v>1.2106183764528668E-93</v>
      </c>
      <c r="U284" s="328">
        <f t="shared" si="129"/>
        <v>2.9599784373135485E-4</v>
      </c>
      <c r="V284" s="327">
        <f t="shared" si="130"/>
        <v>3.3324944867195619E-3</v>
      </c>
      <c r="W284" s="327">
        <f t="shared" si="131"/>
        <v>1.1394637359654979E-2</v>
      </c>
      <c r="X284" s="327">
        <f t="shared" si="132"/>
        <v>3.9802489130285612E-2</v>
      </c>
      <c r="Y284" s="327">
        <f t="shared" si="133"/>
        <v>4.1008454015031892E-2</v>
      </c>
      <c r="Z284" s="327">
        <f t="shared" si="134"/>
        <v>7.4858700521119441E-17</v>
      </c>
      <c r="AA284" s="328">
        <f t="shared" si="135"/>
        <v>9.4137627262541601E-3</v>
      </c>
    </row>
    <row r="285" spans="1:27" ht="12" customHeight="1" x14ac:dyDescent="0.15">
      <c r="A285" s="269">
        <f t="shared" si="109"/>
        <v>270</v>
      </c>
      <c r="B285" s="322">
        <f t="shared" si="110"/>
        <v>249.23076923076923</v>
      </c>
      <c r="C285" s="323">
        <f t="shared" si="111"/>
        <v>1080</v>
      </c>
      <c r="D285" s="327">
        <f t="shared" si="112"/>
        <v>1.1977559683455258E-4</v>
      </c>
      <c r="E285" s="327">
        <f t="shared" si="113"/>
        <v>3.4253115622350964E-4</v>
      </c>
      <c r="F285" s="327">
        <f t="shared" si="114"/>
        <v>2.1554319795717869E-2</v>
      </c>
      <c r="G285" s="327">
        <f t="shared" si="115"/>
        <v>2.4075910555785542E-2</v>
      </c>
      <c r="H285" s="327">
        <f t="shared" si="116"/>
        <v>8.8264996594598112E-3</v>
      </c>
      <c r="I285" s="327">
        <f t="shared" si="117"/>
        <v>3.1877960313945186E-3</v>
      </c>
      <c r="J285" s="327">
        <f t="shared" si="118"/>
        <v>4.3866877171255052E-9</v>
      </c>
      <c r="K285" s="327">
        <f t="shared" si="119"/>
        <v>6.8049772890971825E-10</v>
      </c>
      <c r="L285" s="327">
        <f t="shared" si="120"/>
        <v>1.0009315959473852E-3</v>
      </c>
      <c r="M285" s="327">
        <f t="shared" si="121"/>
        <v>5.3211118329407501E-3</v>
      </c>
      <c r="N285" s="327">
        <f t="shared" si="122"/>
        <v>3.7067025755739787E-2</v>
      </c>
      <c r="O285" s="328">
        <f t="shared" si="123"/>
        <v>1.8203529729735483E-2</v>
      </c>
      <c r="P285" s="327">
        <f t="shared" si="124"/>
        <v>1.2799282659036322E-2</v>
      </c>
      <c r="Q285" s="327">
        <f t="shared" si="125"/>
        <v>4.0285089176950985E-2</v>
      </c>
      <c r="R285" s="327">
        <f t="shared" si="126"/>
        <v>5.356942292259137E-2</v>
      </c>
      <c r="S285" s="327">
        <f t="shared" si="127"/>
        <v>3.5410617193050636E-2</v>
      </c>
      <c r="T285" s="327">
        <f t="shared" si="128"/>
        <v>8.5667222750251371E-96</v>
      </c>
      <c r="U285" s="328">
        <f t="shared" si="129"/>
        <v>2.8547547099400106E-4</v>
      </c>
      <c r="V285" s="327">
        <f t="shared" si="130"/>
        <v>3.2625742490360898E-3</v>
      </c>
      <c r="W285" s="327">
        <f t="shared" si="131"/>
        <v>1.1240644764540064E-2</v>
      </c>
      <c r="X285" s="327">
        <f t="shared" si="132"/>
        <v>3.9541898177463453E-2</v>
      </c>
      <c r="Y285" s="327">
        <f t="shared" si="133"/>
        <v>4.0795024699933832E-2</v>
      </c>
      <c r="Z285" s="327">
        <f t="shared" si="134"/>
        <v>4.6451610453943101E-17</v>
      </c>
      <c r="AA285" s="328">
        <f t="shared" si="135"/>
        <v>9.2935290300955042E-3</v>
      </c>
    </row>
    <row r="286" spans="1:27" ht="12" customHeight="1" x14ac:dyDescent="0.15">
      <c r="A286" s="269">
        <f t="shared" si="109"/>
        <v>271</v>
      </c>
      <c r="B286" s="322">
        <f t="shared" si="110"/>
        <v>250.15384615384616</v>
      </c>
      <c r="C286" s="323">
        <f t="shared" si="111"/>
        <v>1084</v>
      </c>
      <c r="D286" s="327">
        <f t="shared" si="112"/>
        <v>1.1583606125827365E-4</v>
      </c>
      <c r="E286" s="327">
        <f t="shared" si="113"/>
        <v>3.3316220551348684E-4</v>
      </c>
      <c r="F286" s="327">
        <f t="shared" si="114"/>
        <v>2.1407710210159303E-2</v>
      </c>
      <c r="G286" s="327">
        <f t="shared" si="115"/>
        <v>2.3954330164932269E-2</v>
      </c>
      <c r="H286" s="327">
        <f t="shared" si="116"/>
        <v>8.7682341974711329E-3</v>
      </c>
      <c r="I286" s="327">
        <f t="shared" si="117"/>
        <v>3.1427199361442337E-3</v>
      </c>
      <c r="J286" s="327">
        <f t="shared" si="118"/>
        <v>4.084902258655015E-9</v>
      </c>
      <c r="K286" s="327">
        <f t="shared" si="119"/>
        <v>6.2788196412659775E-10</v>
      </c>
      <c r="L286" s="327">
        <f t="shared" si="120"/>
        <v>9.8989922565073662E-4</v>
      </c>
      <c r="M286" s="327">
        <f t="shared" si="121"/>
        <v>5.2919530330337783E-3</v>
      </c>
      <c r="N286" s="327">
        <f t="shared" si="122"/>
        <v>3.7065497567021322E-2</v>
      </c>
      <c r="O286" s="328">
        <f t="shared" si="123"/>
        <v>1.8134883972711145E-2</v>
      </c>
      <c r="P286" s="327">
        <f t="shared" si="124"/>
        <v>1.2594333999411483E-2</v>
      </c>
      <c r="Q286" s="327">
        <f t="shared" si="125"/>
        <v>3.9951956969511628E-2</v>
      </c>
      <c r="R286" s="327">
        <f t="shared" si="126"/>
        <v>5.3221281489699179E-2</v>
      </c>
      <c r="S286" s="327">
        <f t="shared" si="127"/>
        <v>3.5195254982014312E-2</v>
      </c>
      <c r="T286" s="327">
        <f t="shared" si="128"/>
        <v>5.4071899281041136E-98</v>
      </c>
      <c r="U286" s="328">
        <f t="shared" si="129"/>
        <v>2.7532191380785775E-4</v>
      </c>
      <c r="V286" s="327">
        <f t="shared" si="130"/>
        <v>3.1941210324256245E-3</v>
      </c>
      <c r="W286" s="327">
        <f t="shared" si="131"/>
        <v>1.1088834822172313E-2</v>
      </c>
      <c r="X286" s="327">
        <f t="shared" si="132"/>
        <v>3.9283652283467752E-2</v>
      </c>
      <c r="Y286" s="327">
        <f t="shared" si="133"/>
        <v>4.058344230891725E-2</v>
      </c>
      <c r="Z286" s="327">
        <f t="shared" si="134"/>
        <v>2.8654517458735599E-17</v>
      </c>
      <c r="AA286" s="328">
        <f t="shared" si="135"/>
        <v>9.1750074538381465E-3</v>
      </c>
    </row>
    <row r="287" spans="1:27" ht="12" customHeight="1" x14ac:dyDescent="0.15">
      <c r="A287" s="269">
        <f t="shared" si="109"/>
        <v>272</v>
      </c>
      <c r="B287" s="322">
        <f t="shared" si="110"/>
        <v>251.07692307692307</v>
      </c>
      <c r="C287" s="323">
        <f t="shared" si="111"/>
        <v>1088</v>
      </c>
      <c r="D287" s="327">
        <f t="shared" si="112"/>
        <v>1.1202610082891072E-4</v>
      </c>
      <c r="E287" s="327">
        <f t="shared" si="113"/>
        <v>3.2405155310430081E-4</v>
      </c>
      <c r="F287" s="327">
        <f t="shared" si="114"/>
        <v>2.1262479939393453E-2</v>
      </c>
      <c r="G287" s="327">
        <f t="shared" si="115"/>
        <v>2.3833793255424861E-2</v>
      </c>
      <c r="H287" s="327">
        <f t="shared" si="116"/>
        <v>8.7107160887875627E-3</v>
      </c>
      <c r="I287" s="327">
        <f t="shared" si="117"/>
        <v>3.0983553158185906E-3</v>
      </c>
      <c r="J287" s="327">
        <f t="shared" si="118"/>
        <v>3.8038783562416582E-9</v>
      </c>
      <c r="K287" s="327">
        <f t="shared" si="119"/>
        <v>5.7932938744648133E-10</v>
      </c>
      <c r="L287" s="327">
        <f t="shared" si="120"/>
        <v>9.7901859339377673E-4</v>
      </c>
      <c r="M287" s="327">
        <f t="shared" si="121"/>
        <v>5.2630596961568132E-3</v>
      </c>
      <c r="N287" s="327">
        <f t="shared" si="122"/>
        <v>3.7064012517100113E-2</v>
      </c>
      <c r="O287" s="328">
        <f t="shared" si="123"/>
        <v>1.8066744645498321E-2</v>
      </c>
      <c r="P287" s="327">
        <f t="shared" si="124"/>
        <v>1.2392667082537466E-2</v>
      </c>
      <c r="Q287" s="327">
        <f t="shared" si="125"/>
        <v>3.9621945450891281E-2</v>
      </c>
      <c r="R287" s="327">
        <f t="shared" si="126"/>
        <v>5.2876208445240547E-2</v>
      </c>
      <c r="S287" s="327">
        <f t="shared" si="127"/>
        <v>3.4981941347779308E-2</v>
      </c>
      <c r="T287" s="327">
        <f t="shared" si="128"/>
        <v>3.036208444030567E-100</v>
      </c>
      <c r="U287" s="328">
        <f t="shared" si="129"/>
        <v>2.6552445584537843E-4</v>
      </c>
      <c r="V287" s="327">
        <f t="shared" si="130"/>
        <v>3.1271040568036121E-3</v>
      </c>
      <c r="W287" s="327">
        <f t="shared" si="131"/>
        <v>1.0939174857238457E-2</v>
      </c>
      <c r="X287" s="327">
        <f t="shared" si="132"/>
        <v>3.9027724158217203E-2</v>
      </c>
      <c r="Y287" s="327">
        <f t="shared" si="133"/>
        <v>4.0373684612674161E-2</v>
      </c>
      <c r="Z287" s="327">
        <f t="shared" si="134"/>
        <v>1.7570635937463796E-17</v>
      </c>
      <c r="AA287" s="328">
        <f t="shared" si="135"/>
        <v>9.0581708551782381E-3</v>
      </c>
    </row>
    <row r="288" spans="1:27" ht="12" customHeight="1" x14ac:dyDescent="0.15">
      <c r="A288" s="269">
        <f t="shared" si="109"/>
        <v>273</v>
      </c>
      <c r="B288" s="322">
        <f t="shared" si="110"/>
        <v>252</v>
      </c>
      <c r="C288" s="323">
        <f t="shared" si="111"/>
        <v>1092</v>
      </c>
      <c r="D288" s="327">
        <f t="shared" si="112"/>
        <v>1.0834145369417827E-4</v>
      </c>
      <c r="E288" s="327">
        <f t="shared" si="113"/>
        <v>3.1519201482423125E-4</v>
      </c>
      <c r="F288" s="327">
        <f t="shared" si="114"/>
        <v>2.1118612165051731E-2</v>
      </c>
      <c r="G288" s="327">
        <f t="shared" si="115"/>
        <v>2.3714287232925915E-2</v>
      </c>
      <c r="H288" s="327">
        <f t="shared" si="116"/>
        <v>8.6539333902090412E-3</v>
      </c>
      <c r="I288" s="327">
        <f t="shared" si="117"/>
        <v>3.0546896639209731E-3</v>
      </c>
      <c r="J288" s="327">
        <f t="shared" si="118"/>
        <v>3.5421877031270589E-9</v>
      </c>
      <c r="K288" s="327">
        <f t="shared" si="119"/>
        <v>5.3452663087511335E-10</v>
      </c>
      <c r="L288" s="327">
        <f t="shared" si="120"/>
        <v>9.6828718090391508E-4</v>
      </c>
      <c r="M288" s="327">
        <f t="shared" si="121"/>
        <v>5.2344284519200979E-3</v>
      </c>
      <c r="N288" s="327">
        <f t="shared" si="122"/>
        <v>3.7062569386570002E-2</v>
      </c>
      <c r="O288" s="328">
        <f t="shared" si="123"/>
        <v>1.7999106197202203E-2</v>
      </c>
      <c r="P288" s="327">
        <f t="shared" si="124"/>
        <v>1.2194229359471028E-2</v>
      </c>
      <c r="Q288" s="327">
        <f t="shared" si="125"/>
        <v>3.9295021038099343E-2</v>
      </c>
      <c r="R288" s="327">
        <f t="shared" si="126"/>
        <v>5.2534169091956406E-2</v>
      </c>
      <c r="S288" s="327">
        <f t="shared" si="127"/>
        <v>3.4770649946198648E-2</v>
      </c>
      <c r="T288" s="327">
        <f t="shared" si="128"/>
        <v>1.5125913178589935E-102</v>
      </c>
      <c r="U288" s="328">
        <f t="shared" si="129"/>
        <v>2.5607081071887805E-4</v>
      </c>
      <c r="V288" s="327">
        <f t="shared" si="130"/>
        <v>3.0614931878932485E-3</v>
      </c>
      <c r="W288" s="327">
        <f t="shared" si="131"/>
        <v>1.0791632715351131E-2</v>
      </c>
      <c r="X288" s="327">
        <f t="shared" si="132"/>
        <v>3.8774086904659555E-2</v>
      </c>
      <c r="Y288" s="327">
        <f t="shared" si="133"/>
        <v>4.0165729723268595E-2</v>
      </c>
      <c r="Z288" s="327">
        <f t="shared" si="134"/>
        <v>1.0709069797760329E-17</v>
      </c>
      <c r="AA288" s="328">
        <f t="shared" si="135"/>
        <v>8.9429925697108725E-3</v>
      </c>
    </row>
    <row r="289" spans="1:27" ht="12" customHeight="1" x14ac:dyDescent="0.15">
      <c r="A289" s="269">
        <f t="shared" si="109"/>
        <v>274</v>
      </c>
      <c r="B289" s="322">
        <f t="shared" si="110"/>
        <v>252.92307692307693</v>
      </c>
      <c r="C289" s="323">
        <f t="shared" si="111"/>
        <v>1096</v>
      </c>
      <c r="D289" s="327">
        <f t="shared" si="112"/>
        <v>1.0477799817824762E-4</v>
      </c>
      <c r="E289" s="327">
        <f t="shared" si="113"/>
        <v>3.0657660830142358E-4</v>
      </c>
      <c r="F289" s="327">
        <f t="shared" si="114"/>
        <v>2.09760903226619E-2</v>
      </c>
      <c r="G289" s="327">
        <f t="shared" si="115"/>
        <v>2.3595799698491085E-2</v>
      </c>
      <c r="H289" s="327">
        <f t="shared" si="116"/>
        <v>8.5978743865378227E-3</v>
      </c>
      <c r="I289" s="327">
        <f t="shared" si="117"/>
        <v>3.0117107180500646E-3</v>
      </c>
      <c r="J289" s="327">
        <f t="shared" si="118"/>
        <v>3.2985002539832516E-9</v>
      </c>
      <c r="K289" s="327">
        <f t="shared" si="119"/>
        <v>4.9318446164947451E-10</v>
      </c>
      <c r="L289" s="327">
        <f t="shared" si="120"/>
        <v>9.5770251905813453E-4</v>
      </c>
      <c r="M289" s="327">
        <f t="shared" si="121"/>
        <v>5.2060559847286999E-3</v>
      </c>
      <c r="N289" s="327">
        <f t="shared" si="122"/>
        <v>3.7061166990585676E-2</v>
      </c>
      <c r="O289" s="328">
        <f t="shared" si="123"/>
        <v>1.7931963157528104E-2</v>
      </c>
      <c r="P289" s="327">
        <f t="shared" si="124"/>
        <v>1.1998969122709476E-2</v>
      </c>
      <c r="Q289" s="327">
        <f t="shared" si="125"/>
        <v>3.8971150568004938E-2</v>
      </c>
      <c r="R289" s="327">
        <f t="shared" si="126"/>
        <v>5.2195129215772962E-2</v>
      </c>
      <c r="S289" s="327">
        <f t="shared" si="127"/>
        <v>3.4561354857979412E-2</v>
      </c>
      <c r="T289" s="327">
        <f t="shared" si="128"/>
        <v>6.6671716378352705E-105</v>
      </c>
      <c r="U289" s="328">
        <f t="shared" si="129"/>
        <v>2.4694910778888524E-4</v>
      </c>
      <c r="V289" s="327">
        <f t="shared" si="130"/>
        <v>2.99725892367559E-3</v>
      </c>
      <c r="W289" s="327">
        <f t="shared" si="131"/>
        <v>1.0646176754122964E-2</v>
      </c>
      <c r="X289" s="327">
        <f t="shared" si="132"/>
        <v>3.8522714011991144E-2</v>
      </c>
      <c r="Y289" s="327">
        <f t="shared" si="133"/>
        <v>3.9959556087780769E-2</v>
      </c>
      <c r="Z289" s="327">
        <f t="shared" si="134"/>
        <v>6.4871410152633376E-18</v>
      </c>
      <c r="AA289" s="328">
        <f t="shared" si="135"/>
        <v>8.8294464016136498E-3</v>
      </c>
    </row>
    <row r="290" spans="1:27" ht="12" customHeight="1" x14ac:dyDescent="0.15">
      <c r="A290" s="269">
        <f t="shared" si="109"/>
        <v>275</v>
      </c>
      <c r="B290" s="322">
        <f t="shared" si="110"/>
        <v>253.84615384615384</v>
      </c>
      <c r="C290" s="323">
        <f t="shared" si="111"/>
        <v>1100</v>
      </c>
      <c r="D290" s="327">
        <f t="shared" si="112"/>
        <v>1.0133174817120596E-4</v>
      </c>
      <c r="E290" s="327">
        <f t="shared" si="113"/>
        <v>2.9819854723170245E-4</v>
      </c>
      <c r="F290" s="327">
        <f t="shared" si="114"/>
        <v>2.083489809705763E-2</v>
      </c>
      <c r="G290" s="327">
        <f t="shared" si="115"/>
        <v>2.3478318444872234E-2</v>
      </c>
      <c r="H290" s="327">
        <f t="shared" si="116"/>
        <v>8.5425275855688671E-3</v>
      </c>
      <c r="I290" s="327">
        <f t="shared" si="117"/>
        <v>2.9694064546285093E-3</v>
      </c>
      <c r="J290" s="327">
        <f t="shared" si="118"/>
        <v>3.0715774649442241E-9</v>
      </c>
      <c r="K290" s="327">
        <f t="shared" si="119"/>
        <v>4.5503592602772751E-10</v>
      </c>
      <c r="L290" s="327">
        <f t="shared" si="120"/>
        <v>9.4726218677765317E-4</v>
      </c>
      <c r="M290" s="327">
        <f t="shared" si="121"/>
        <v>5.1779390326981405E-3</v>
      </c>
      <c r="N290" s="327">
        <f t="shared" si="122"/>
        <v>3.7059804177878124E-2</v>
      </c>
      <c r="O290" s="328">
        <f t="shared" si="123"/>
        <v>1.7865310135326128E-2</v>
      </c>
      <c r="P290" s="327">
        <f t="shared" si="124"/>
        <v>1.18068354927171E-2</v>
      </c>
      <c r="Q290" s="327">
        <f t="shared" si="125"/>
        <v>3.8650301291199507E-2</v>
      </c>
      <c r="R290" s="327">
        <f t="shared" si="126"/>
        <v>5.1859055077766558E-2</v>
      </c>
      <c r="S290" s="327">
        <f t="shared" si="127"/>
        <v>3.435403058047698E-2</v>
      </c>
      <c r="T290" s="327">
        <f t="shared" si="128"/>
        <v>2.5927695821411192E-107</v>
      </c>
      <c r="U290" s="328">
        <f t="shared" si="129"/>
        <v>2.3814787842635354E-4</v>
      </c>
      <c r="V290" s="327">
        <f t="shared" si="130"/>
        <v>2.9343723811239147E-3</v>
      </c>
      <c r="W290" s="327">
        <f t="shared" si="131"/>
        <v>1.0502775834406314E-2</v>
      </c>
      <c r="X290" s="327">
        <f t="shared" si="132"/>
        <v>3.8273579349012987E-2</v>
      </c>
      <c r="Y290" s="327">
        <f t="shared" si="133"/>
        <v>3.9755142482089161E-2</v>
      </c>
      <c r="Z290" s="327">
        <f t="shared" si="134"/>
        <v>3.9053438514218099E-18</v>
      </c>
      <c r="AA290" s="328">
        <f t="shared" si="135"/>
        <v>8.7175066145315228E-3</v>
      </c>
    </row>
    <row r="291" spans="1:27" ht="12" customHeight="1" x14ac:dyDescent="0.15">
      <c r="A291" s="269">
        <f t="shared" si="109"/>
        <v>276</v>
      </c>
      <c r="B291" s="322">
        <f t="shared" si="110"/>
        <v>254.76923076923077</v>
      </c>
      <c r="C291" s="323">
        <f t="shared" si="111"/>
        <v>1104</v>
      </c>
      <c r="D291" s="327">
        <f t="shared" si="112"/>
        <v>9.7998848670163163E-5</v>
      </c>
      <c r="E291" s="327">
        <f t="shared" si="113"/>
        <v>2.9005123581129041E-4</v>
      </c>
      <c r="F291" s="327">
        <f t="shared" si="114"/>
        <v>2.0695019417885541E-2</v>
      </c>
      <c r="G291" s="327">
        <f t="shared" si="115"/>
        <v>2.3361831452902937E-2</v>
      </c>
      <c r="H291" s="327">
        <f t="shared" si="116"/>
        <v>8.4878817132037904E-3</v>
      </c>
      <c r="I291" s="327">
        <f t="shared" si="117"/>
        <v>2.9277650837583602E-3</v>
      </c>
      <c r="J291" s="327">
        <f t="shared" si="118"/>
        <v>2.8602659986944146E-9</v>
      </c>
      <c r="K291" s="327">
        <f t="shared" si="119"/>
        <v>4.1983463562283568E-10</v>
      </c>
      <c r="L291" s="327">
        <f t="shared" si="120"/>
        <v>9.3696380995045292E-4</v>
      </c>
      <c r="M291" s="327">
        <f t="shared" si="121"/>
        <v>5.1500743865952716E-3</v>
      </c>
      <c r="N291" s="327">
        <f t="shared" si="122"/>
        <v>3.7058479829798291E-2</v>
      </c>
      <c r="O291" s="328">
        <f t="shared" si="123"/>
        <v>1.7799141817167356E-2</v>
      </c>
      <c r="P291" s="327">
        <f t="shared" si="124"/>
        <v>1.1617778404667328E-2</v>
      </c>
      <c r="Q291" s="327">
        <f t="shared" si="125"/>
        <v>3.8332440865964955E-2</v>
      </c>
      <c r="R291" s="327">
        <f t="shared" si="126"/>
        <v>5.1525913406286428E-2</v>
      </c>
      <c r="S291" s="327">
        <f t="shared" si="127"/>
        <v>3.4148652019672626E-2</v>
      </c>
      <c r="T291" s="327">
        <f t="shared" si="128"/>
        <v>8.8701784513734953E-110</v>
      </c>
      <c r="U291" s="328">
        <f t="shared" si="129"/>
        <v>2.296560427159644E-4</v>
      </c>
      <c r="V291" s="327">
        <f t="shared" si="130"/>
        <v>2.8728052832164325E-3</v>
      </c>
      <c r="W291" s="327">
        <f t="shared" si="131"/>
        <v>1.036139931169567E-2</v>
      </c>
      <c r="X291" s="327">
        <f t="shared" si="132"/>
        <v>3.8026657157620103E-2</v>
      </c>
      <c r="Y291" s="327">
        <f t="shared" si="133"/>
        <v>3.9552468004788566E-2</v>
      </c>
      <c r="Z291" s="327">
        <f t="shared" si="134"/>
        <v>2.3363407740922313E-18</v>
      </c>
      <c r="AA291" s="328">
        <f t="shared" si="135"/>
        <v>8.6071479226561554E-3</v>
      </c>
    </row>
    <row r="292" spans="1:27" ht="12" customHeight="1" x14ac:dyDescent="0.15">
      <c r="A292" s="269">
        <f t="shared" si="109"/>
        <v>277</v>
      </c>
      <c r="B292" s="322">
        <f t="shared" si="110"/>
        <v>255.69230769230768</v>
      </c>
      <c r="C292" s="323">
        <f t="shared" si="111"/>
        <v>1108</v>
      </c>
      <c r="D292" s="327">
        <f t="shared" si="112"/>
        <v>9.4775571467013291E-5</v>
      </c>
      <c r="E292" s="327">
        <f t="shared" si="113"/>
        <v>2.8212826332965732E-4</v>
      </c>
      <c r="F292" s="327">
        <f t="shared" si="114"/>
        <v>2.0556438455206827E-2</v>
      </c>
      <c r="G292" s="327">
        <f t="shared" si="115"/>
        <v>2.3246326887964696E-2</v>
      </c>
      <c r="H292" s="327">
        <f t="shared" si="116"/>
        <v>8.4339257086849043E-3</v>
      </c>
      <c r="I292" s="327">
        <f t="shared" si="117"/>
        <v>2.8867750441976536E-3</v>
      </c>
      <c r="J292" s="327">
        <f t="shared" si="118"/>
        <v>2.6634918626204713E-9</v>
      </c>
      <c r="K292" s="327">
        <f t="shared" si="119"/>
        <v>3.8735318535115123E-10</v>
      </c>
      <c r="L292" s="327">
        <f t="shared" si="120"/>
        <v>9.2680506038145261E-4</v>
      </c>
      <c r="M292" s="327">
        <f t="shared" si="121"/>
        <v>5.1224588888038229E-3</v>
      </c>
      <c r="N292" s="327">
        <f t="shared" si="122"/>
        <v>3.7057192859388285E-2</v>
      </c>
      <c r="O292" s="328">
        <f t="shared" si="123"/>
        <v>1.7733452965950608E-2</v>
      </c>
      <c r="P292" s="327">
        <f t="shared" si="124"/>
        <v>1.1431748595397201E-2</v>
      </c>
      <c r="Q292" s="327">
        <f t="shared" si="125"/>
        <v>3.8017537352344546E-2</v>
      </c>
      <c r="R292" s="327">
        <f t="shared" si="126"/>
        <v>5.119567138922887E-2</v>
      </c>
      <c r="S292" s="327">
        <f t="shared" si="127"/>
        <v>3.3945194482331645E-2</v>
      </c>
      <c r="T292" s="327">
        <f t="shared" si="128"/>
        <v>2.6617166709173859E-112</v>
      </c>
      <c r="U292" s="328">
        <f t="shared" si="129"/>
        <v>2.2146289658619978E-4</v>
      </c>
      <c r="V292" s="327">
        <f t="shared" si="130"/>
        <v>2.8125299462214851E-3</v>
      </c>
      <c r="W292" s="327">
        <f t="shared" si="131"/>
        <v>1.0222017027689698E-2</v>
      </c>
      <c r="X292" s="327">
        <f t="shared" si="132"/>
        <v>3.7781922046422278E-2</v>
      </c>
      <c r="Y292" s="327">
        <f t="shared" si="133"/>
        <v>3.9351512071239943E-2</v>
      </c>
      <c r="Z292" s="327">
        <f t="shared" si="134"/>
        <v>1.3888338011251379E-18</v>
      </c>
      <c r="AA292" s="328">
        <f t="shared" si="135"/>
        <v>8.498345481996572E-3</v>
      </c>
    </row>
    <row r="293" spans="1:27" ht="12" customHeight="1" x14ac:dyDescent="0.15">
      <c r="A293" s="269">
        <f t="shared" si="109"/>
        <v>278</v>
      </c>
      <c r="B293" s="322">
        <f t="shared" si="110"/>
        <v>256.61538461538464</v>
      </c>
      <c r="C293" s="323">
        <f t="shared" si="111"/>
        <v>1112</v>
      </c>
      <c r="D293" s="327">
        <f t="shared" si="112"/>
        <v>9.1658310978032315E-5</v>
      </c>
      <c r="E293" s="327">
        <f t="shared" si="113"/>
        <v>2.7442339891778654E-4</v>
      </c>
      <c r="F293" s="327">
        <f t="shared" si="114"/>
        <v>2.041913961519104E-2</v>
      </c>
      <c r="G293" s="327">
        <f t="shared" si="115"/>
        <v>2.3131793096530958E-2</v>
      </c>
      <c r="H293" s="327">
        <f t="shared" si="116"/>
        <v>8.3806487199461644E-3</v>
      </c>
      <c r="I293" s="327">
        <f t="shared" si="117"/>
        <v>2.8464249984561096E-3</v>
      </c>
      <c r="J293" s="327">
        <f t="shared" si="118"/>
        <v>2.4802549502331693E-9</v>
      </c>
      <c r="K293" s="327">
        <f t="shared" si="119"/>
        <v>3.5738169290333756E-10</v>
      </c>
      <c r="L293" s="327">
        <f t="shared" si="120"/>
        <v>9.1678365476866031E-4</v>
      </c>
      <c r="M293" s="327">
        <f t="shared" si="121"/>
        <v>5.0950894323137982E-3</v>
      </c>
      <c r="N293" s="327">
        <f t="shared" si="122"/>
        <v>3.705594221047924E-2</v>
      </c>
      <c r="O293" s="328">
        <f t="shared" si="123"/>
        <v>1.7668238419538993E-2</v>
      </c>
      <c r="P293" s="327">
        <f t="shared" si="124"/>
        <v>1.1248697590570705E-2</v>
      </c>
      <c r="Q293" s="327">
        <f t="shared" si="125"/>
        <v>3.7705559206314507E-2</v>
      </c>
      <c r="R293" s="327">
        <f t="shared" si="126"/>
        <v>5.08682966664602E-2</v>
      </c>
      <c r="S293" s="327">
        <f t="shared" si="127"/>
        <v>3.3743633668334931E-2</v>
      </c>
      <c r="T293" s="327">
        <f t="shared" si="128"/>
        <v>6.9845356384447084E-115</v>
      </c>
      <c r="U293" s="328">
        <f t="shared" si="129"/>
        <v>2.135580993520847E-4</v>
      </c>
      <c r="V293" s="327">
        <f t="shared" si="130"/>
        <v>2.7535192672495041E-3</v>
      </c>
      <c r="W293" s="327">
        <f t="shared" si="131"/>
        <v>1.0084599302008964E-2</v>
      </c>
      <c r="X293" s="327">
        <f t="shared" si="132"/>
        <v>3.753934898449085E-2</v>
      </c>
      <c r="Y293" s="327">
        <f t="shared" si="133"/>
        <v>3.91522544077487E-2</v>
      </c>
      <c r="Z293" s="327">
        <f t="shared" si="134"/>
        <v>8.202898453214447E-19</v>
      </c>
      <c r="AA293" s="328">
        <f t="shared" si="135"/>
        <v>8.3910748818365466E-3</v>
      </c>
    </row>
    <row r="294" spans="1:27" ht="12" customHeight="1" x14ac:dyDescent="0.15">
      <c r="A294" s="269">
        <f t="shared" si="109"/>
        <v>279</v>
      </c>
      <c r="B294" s="322">
        <f t="shared" si="110"/>
        <v>257.53846153846155</v>
      </c>
      <c r="C294" s="323">
        <f t="shared" si="111"/>
        <v>1116</v>
      </c>
      <c r="D294" s="327">
        <f t="shared" si="112"/>
        <v>8.8643580210642713E-5</v>
      </c>
      <c r="E294" s="327">
        <f t="shared" si="113"/>
        <v>2.6693058644733716E-4</v>
      </c>
      <c r="F294" s="327">
        <f t="shared" si="114"/>
        <v>2.0283107535900013E-2</v>
      </c>
      <c r="G294" s="327">
        <f t="shared" si="115"/>
        <v>2.3018218602787421E-2</v>
      </c>
      <c r="H294" s="327">
        <f t="shared" si="116"/>
        <v>8.3280400990780028E-3</v>
      </c>
      <c r="I294" s="327">
        <f t="shared" si="117"/>
        <v>2.8067038280079615E-3</v>
      </c>
      <c r="J294" s="327">
        <f t="shared" si="118"/>
        <v>2.3096239581163513E-9</v>
      </c>
      <c r="K294" s="327">
        <f t="shared" si="119"/>
        <v>3.297264504178487E-10</v>
      </c>
      <c r="L294" s="327">
        <f t="shared" si="120"/>
        <v>9.0689735370619307E-4</v>
      </c>
      <c r="M294" s="327">
        <f t="shared" si="121"/>
        <v>5.0679629597341321E-3</v>
      </c>
      <c r="N294" s="327">
        <f t="shared" si="122"/>
        <v>3.7054726856815191E-2</v>
      </c>
      <c r="O294" s="328">
        <f t="shared" si="123"/>
        <v>1.7603493089425479E-2</v>
      </c>
      <c r="P294" s="327">
        <f t="shared" si="124"/>
        <v>1.1068577692047731E-2</v>
      </c>
      <c r="Q294" s="327">
        <f t="shared" si="125"/>
        <v>3.7396475274053882E-2</v>
      </c>
      <c r="R294" s="327">
        <f t="shared" si="126"/>
        <v>5.0543757322385363E-2</v>
      </c>
      <c r="S294" s="327">
        <f t="shared" si="127"/>
        <v>3.3543945663181397E-2</v>
      </c>
      <c r="T294" s="327">
        <f t="shared" si="128"/>
        <v>1.5977703144287701E-117</v>
      </c>
      <c r="U294" s="328">
        <f t="shared" si="129"/>
        <v>2.0593166166116283E-4</v>
      </c>
      <c r="V294" s="327">
        <f t="shared" si="130"/>
        <v>2.6957467120661874E-3</v>
      </c>
      <c r="W294" s="327">
        <f t="shared" si="131"/>
        <v>9.9491169240667719E-3</v>
      </c>
      <c r="X294" s="327">
        <f t="shared" si="132"/>
        <v>3.7298913295231051E-2</v>
      </c>
      <c r="Y294" s="327">
        <f t="shared" si="133"/>
        <v>3.8954675045867998E-2</v>
      </c>
      <c r="Z294" s="327">
        <f t="shared" si="134"/>
        <v>4.8134085699272447E-19</v>
      </c>
      <c r="AA294" s="328">
        <f t="shared" si="135"/>
        <v>8.2853121363739568E-3</v>
      </c>
    </row>
    <row r="295" spans="1:27" ht="12" customHeight="1" x14ac:dyDescent="0.15">
      <c r="A295" s="269">
        <f t="shared" si="109"/>
        <v>280</v>
      </c>
      <c r="B295" s="322">
        <f t="shared" si="110"/>
        <v>258.46153846153845</v>
      </c>
      <c r="C295" s="323">
        <f t="shared" si="111"/>
        <v>1120</v>
      </c>
      <c r="D295" s="327">
        <f t="shared" si="112"/>
        <v>8.5728006862835336E-5</v>
      </c>
      <c r="E295" s="327">
        <f t="shared" si="113"/>
        <v>2.5964393957630629E-4</v>
      </c>
      <c r="F295" s="327">
        <f t="shared" si="114"/>
        <v>2.0148327083159834E-2</v>
      </c>
      <c r="G295" s="327">
        <f t="shared" si="115"/>
        <v>2.2905592105326944E-2</v>
      </c>
      <c r="H295" s="327">
        <f t="shared" si="116"/>
        <v>8.2760893979025637E-3</v>
      </c>
      <c r="I295" s="327">
        <f t="shared" si="117"/>
        <v>2.767600628614808E-3</v>
      </c>
      <c r="J295" s="327">
        <f t="shared" si="118"/>
        <v>2.1507316525680304E-9</v>
      </c>
      <c r="K295" s="327">
        <f t="shared" si="119"/>
        <v>3.0420867975084306E-10</v>
      </c>
      <c r="L295" s="327">
        <f t="shared" si="120"/>
        <v>8.9714396071149949E-4</v>
      </c>
      <c r="M295" s="327">
        <f t="shared" si="121"/>
        <v>5.0410764623281196E-3</v>
      </c>
      <c r="N295" s="327">
        <f t="shared" si="122"/>
        <v>3.705354580120198E-2</v>
      </c>
      <c r="O295" s="328">
        <f t="shared" si="123"/>
        <v>1.7539211959427009E-2</v>
      </c>
      <c r="P295" s="327">
        <f t="shared" si="124"/>
        <v>1.0891341965455114E-2</v>
      </c>
      <c r="Q295" s="327">
        <f t="shared" si="125"/>
        <v>3.7090254786312435E-2</v>
      </c>
      <c r="R295" s="327">
        <f t="shared" si="126"/>
        <v>5.0222021878659429E-2</v>
      </c>
      <c r="S295" s="327">
        <f t="shared" si="127"/>
        <v>3.3346106930656767E-2</v>
      </c>
      <c r="T295" s="327">
        <f t="shared" si="128"/>
        <v>3.1762600080712501E-120</v>
      </c>
      <c r="U295" s="328">
        <f t="shared" si="129"/>
        <v>1.9857393382460842E-4</v>
      </c>
      <c r="V295" s="327">
        <f t="shared" si="130"/>
        <v>2.6391863031613085E-3</v>
      </c>
      <c r="W295" s="327">
        <f t="shared" si="131"/>
        <v>9.8155411450898469E-3</v>
      </c>
      <c r="X295" s="327">
        <f t="shared" si="132"/>
        <v>3.7060590650376257E-2</v>
      </c>
      <c r="Y295" s="327">
        <f t="shared" si="133"/>
        <v>3.8758754316825461E-2</v>
      </c>
      <c r="Z295" s="327">
        <f t="shared" si="134"/>
        <v>2.8058948331611542E-19</v>
      </c>
      <c r="AA295" s="328">
        <f t="shared" si="135"/>
        <v>8.1810336765381075E-3</v>
      </c>
    </row>
    <row r="296" spans="1:27" ht="12" customHeight="1" x14ac:dyDescent="0.15">
      <c r="A296" s="269">
        <f t="shared" si="109"/>
        <v>281</v>
      </c>
      <c r="B296" s="322">
        <f t="shared" si="110"/>
        <v>259.38461538461536</v>
      </c>
      <c r="C296" s="323">
        <f t="shared" si="111"/>
        <v>1124</v>
      </c>
      <c r="D296" s="327">
        <f t="shared" si="112"/>
        <v>8.2908329550885753E-5</v>
      </c>
      <c r="E296" s="327">
        <f t="shared" si="113"/>
        <v>2.5255773693693404E-4</v>
      </c>
      <c r="F296" s="327">
        <f t="shared" si="114"/>
        <v>2.0014783346518072E-2</v>
      </c>
      <c r="G296" s="327">
        <f t="shared" si="115"/>
        <v>2.2793902473916498E-2</v>
      </c>
      <c r="H296" s="327">
        <f t="shared" si="116"/>
        <v>8.2247863636568906E-3</v>
      </c>
      <c r="I296" s="327">
        <f t="shared" si="117"/>
        <v>2.7291047057620421E-3</v>
      </c>
      <c r="J296" s="327">
        <f t="shared" si="118"/>
        <v>2.0027704618766281E-9</v>
      </c>
      <c r="K296" s="327">
        <f t="shared" si="119"/>
        <v>2.8066338339518247E-10</v>
      </c>
      <c r="L296" s="327">
        <f t="shared" si="120"/>
        <v>8.8752132127767336E-4</v>
      </c>
      <c r="M296" s="327">
        <f t="shared" si="121"/>
        <v>5.0144269790708502E-3</v>
      </c>
      <c r="N296" s="327">
        <f t="shared" si="122"/>
        <v>3.7052398074680665E-2</v>
      </c>
      <c r="O296" s="328">
        <f t="shared" si="123"/>
        <v>1.7475390084406222E-2</v>
      </c>
      <c r="P296" s="327">
        <f t="shared" si="124"/>
        <v>1.0716944227956932E-2</v>
      </c>
      <c r="Q296" s="327">
        <f t="shared" si="125"/>
        <v>3.6786867352872246E-2</v>
      </c>
      <c r="R296" s="327">
        <f t="shared" si="126"/>
        <v>4.9903059287037421E-2</v>
      </c>
      <c r="S296" s="327">
        <f t="shared" si="127"/>
        <v>3.3150094305663722E-2</v>
      </c>
      <c r="T296" s="327">
        <f t="shared" si="128"/>
        <v>5.4693365207671778E-123</v>
      </c>
      <c r="U296" s="328">
        <f t="shared" si="129"/>
        <v>1.9147559452847851E-4</v>
      </c>
      <c r="V296" s="327">
        <f t="shared" si="130"/>
        <v>2.5838126080679215E-3</v>
      </c>
      <c r="W296" s="327">
        <f t="shared" si="131"/>
        <v>9.6838436702857897E-3</v>
      </c>
      <c r="X296" s="327">
        <f t="shared" si="132"/>
        <v>3.6824357064099922E-2</v>
      </c>
      <c r="Y296" s="327">
        <f t="shared" si="133"/>
        <v>3.8564472846068482E-2</v>
      </c>
      <c r="Z296" s="327">
        <f t="shared" si="134"/>
        <v>1.624754788030312E-19</v>
      </c>
      <c r="AA296" s="328">
        <f t="shared" si="135"/>
        <v>8.0782163419799158E-3</v>
      </c>
    </row>
    <row r="297" spans="1:27" ht="12" customHeight="1" x14ac:dyDescent="0.15">
      <c r="A297" s="269">
        <f t="shared" si="109"/>
        <v>282</v>
      </c>
      <c r="B297" s="322">
        <f t="shared" si="110"/>
        <v>260.30769230769232</v>
      </c>
      <c r="C297" s="323">
        <f t="shared" si="111"/>
        <v>1128</v>
      </c>
      <c r="D297" s="327">
        <f t="shared" si="112"/>
        <v>8.0181394161143934E-5</v>
      </c>
      <c r="E297" s="327">
        <f t="shared" si="113"/>
        <v>2.4566641746167663E-4</v>
      </c>
      <c r="F297" s="327">
        <f t="shared" si="114"/>
        <v>1.9882461635285398E-2</v>
      </c>
      <c r="G297" s="327">
        <f t="shared" si="115"/>
        <v>2.2683138746334954E-2</v>
      </c>
      <c r="H297" s="327">
        <f t="shared" si="116"/>
        <v>8.1741209347807545E-3</v>
      </c>
      <c r="I297" s="327">
        <f t="shared" si="117"/>
        <v>2.6912055701989734E-3</v>
      </c>
      <c r="J297" s="327">
        <f t="shared" si="118"/>
        <v>1.8649883718297266E-9</v>
      </c>
      <c r="K297" s="327">
        <f t="shared" si="119"/>
        <v>2.5893828370999457E-10</v>
      </c>
      <c r="L297" s="327">
        <f t="shared" si="120"/>
        <v>8.7802732194908195E-4</v>
      </c>
      <c r="M297" s="327">
        <f t="shared" si="121"/>
        <v>4.9880115957281132E-3</v>
      </c>
      <c r="N297" s="327">
        <f t="shared" si="122"/>
        <v>3.7051282735724687E-2</v>
      </c>
      <c r="O297" s="328">
        <f t="shared" si="123"/>
        <v>1.7412022589020033E-2</v>
      </c>
      <c r="P297" s="327">
        <f t="shared" si="124"/>
        <v>1.0545339036220396E-2</v>
      </c>
      <c r="Q297" s="327">
        <f t="shared" si="125"/>
        <v>3.6486282957103093E-2</v>
      </c>
      <c r="R297" s="327">
        <f t="shared" si="126"/>
        <v>4.9586838922361487E-2</v>
      </c>
      <c r="S297" s="327">
        <f t="shared" si="127"/>
        <v>3.2955884987210089E-2</v>
      </c>
      <c r="T297" s="327">
        <f t="shared" si="128"/>
        <v>8.1307319976663367E-126</v>
      </c>
      <c r="U297" s="328">
        <f t="shared" si="129"/>
        <v>1.8462763990645392E-4</v>
      </c>
      <c r="V297" s="327">
        <f t="shared" si="130"/>
        <v>2.5296007279265943E-3</v>
      </c>
      <c r="W297" s="327">
        <f t="shared" si="131"/>
        <v>9.5539966511544727E-3</v>
      </c>
      <c r="X297" s="327">
        <f t="shared" si="132"/>
        <v>3.659018888724519E-2</v>
      </c>
      <c r="Y297" s="327">
        <f t="shared" si="133"/>
        <v>3.8371811547925717E-2</v>
      </c>
      <c r="Z297" s="327">
        <f t="shared" si="134"/>
        <v>9.3447158146069063E-20</v>
      </c>
      <c r="AA297" s="328">
        <f t="shared" si="135"/>
        <v>7.976837373233403E-3</v>
      </c>
    </row>
    <row r="298" spans="1:27" ht="12" customHeight="1" x14ac:dyDescent="0.15">
      <c r="A298" s="269">
        <f t="shared" si="109"/>
        <v>283</v>
      </c>
      <c r="B298" s="322">
        <f t="shared" si="110"/>
        <v>261.23076923076923</v>
      </c>
      <c r="C298" s="323">
        <f t="shared" si="111"/>
        <v>1132</v>
      </c>
      <c r="D298" s="327">
        <f t="shared" si="112"/>
        <v>7.7544150321818471E-5</v>
      </c>
      <c r="E298" s="327">
        <f t="shared" si="113"/>
        <v>2.3896457584326929E-4</v>
      </c>
      <c r="F298" s="327">
        <f t="shared" si="114"/>
        <v>1.9751347474658898E-2</v>
      </c>
      <c r="G298" s="327">
        <f t="shared" si="115"/>
        <v>2.2573290125279706E-2</v>
      </c>
      <c r="H298" s="327">
        <f t="shared" si="116"/>
        <v>8.1240832368065213E-3</v>
      </c>
      <c r="I298" s="327">
        <f t="shared" si="117"/>
        <v>2.6538929335855332E-3</v>
      </c>
      <c r="J298" s="327">
        <f t="shared" si="118"/>
        <v>1.7366851035944451E-9</v>
      </c>
      <c r="K298" s="327">
        <f t="shared" si="119"/>
        <v>2.3889284368435429E-10</v>
      </c>
      <c r="L298" s="327">
        <f t="shared" si="120"/>
        <v>8.6865988942030903E-4</v>
      </c>
      <c r="M298" s="327">
        <f t="shared" si="121"/>
        <v>4.9618274439563312E-3</v>
      </c>
      <c r="N298" s="327">
        <f t="shared" si="122"/>
        <v>3.7050198869459927E-2</v>
      </c>
      <c r="O298" s="328">
        <f t="shared" si="123"/>
        <v>1.7349104666494759E-2</v>
      </c>
      <c r="P298" s="327">
        <f t="shared" si="124"/>
        <v>1.0376481674574662E-2</v>
      </c>
      <c r="Q298" s="327">
        <f t="shared" si="125"/>
        <v>3.6188471950608994E-2</v>
      </c>
      <c r="R298" s="327">
        <f t="shared" si="126"/>
        <v>4.9273330575680951E-2</v>
      </c>
      <c r="S298" s="327">
        <f t="shared" si="127"/>
        <v>3.2763456531551119E-2</v>
      </c>
      <c r="T298" s="327">
        <f t="shared" si="128"/>
        <v>1.0399855034040955E-128</v>
      </c>
      <c r="U298" s="328">
        <f t="shared" si="129"/>
        <v>1.7802137296829557E-4</v>
      </c>
      <c r="V298" s="327">
        <f t="shared" si="130"/>
        <v>2.4765262862896276E-3</v>
      </c>
      <c r="W298" s="327">
        <f t="shared" si="131"/>
        <v>9.4259726779403544E-3</v>
      </c>
      <c r="X298" s="327">
        <f t="shared" si="132"/>
        <v>3.6358062801667312E-2</v>
      </c>
      <c r="Y298" s="327">
        <f t="shared" si="133"/>
        <v>3.8180751620382952E-2</v>
      </c>
      <c r="Z298" s="327">
        <f t="shared" si="134"/>
        <v>5.337892538884385E-20</v>
      </c>
      <c r="AA298" s="328">
        <f t="shared" si="135"/>
        <v>7.8768744040409455E-3</v>
      </c>
    </row>
    <row r="299" spans="1:27" ht="12" customHeight="1" x14ac:dyDescent="0.15">
      <c r="A299" s="269">
        <f t="shared" si="109"/>
        <v>284</v>
      </c>
      <c r="B299" s="322">
        <f t="shared" si="110"/>
        <v>262.15384615384613</v>
      </c>
      <c r="C299" s="323">
        <f t="shared" si="111"/>
        <v>1136</v>
      </c>
      <c r="D299" s="327">
        <f t="shared" si="112"/>
        <v>7.4993647990804547E-5</v>
      </c>
      <c r="E299" s="327">
        <f t="shared" si="113"/>
        <v>2.3244695812492874E-4</v>
      </c>
      <c r="F299" s="327">
        <f t="shared" si="114"/>
        <v>1.9621426601924563E-2</v>
      </c>
      <c r="G299" s="327">
        <f t="shared" si="115"/>
        <v>2.2464345975340236E-2</v>
      </c>
      <c r="H299" s="327">
        <f t="shared" si="116"/>
        <v>8.0746635783482471E-3</v>
      </c>
      <c r="I299" s="327">
        <f t="shared" si="117"/>
        <v>2.617156704239898E-3</v>
      </c>
      <c r="J299" s="327">
        <f t="shared" si="118"/>
        <v>1.6172085545433238E-9</v>
      </c>
      <c r="K299" s="327">
        <f t="shared" si="119"/>
        <v>2.203973629777332E-10</v>
      </c>
      <c r="L299" s="327">
        <f t="shared" si="120"/>
        <v>8.5941698965741331E-4</v>
      </c>
      <c r="M299" s="327">
        <f t="shared" si="121"/>
        <v>4.9358717004227481E-3</v>
      </c>
      <c r="N299" s="327">
        <f t="shared" si="122"/>
        <v>3.7049145586907209E-2</v>
      </c>
      <c r="O299" s="328">
        <f t="shared" si="123"/>
        <v>1.72866315774267E-2</v>
      </c>
      <c r="P299" s="327">
        <f t="shared" si="124"/>
        <v>1.0210328143359038E-2</v>
      </c>
      <c r="Q299" s="327">
        <f t="shared" si="125"/>
        <v>3.5893405047963914E-2</v>
      </c>
      <c r="R299" s="327">
        <f t="shared" si="126"/>
        <v>4.8962504447501609E-2</v>
      </c>
      <c r="S299" s="327">
        <f t="shared" si="127"/>
        <v>3.2572786845481143E-2</v>
      </c>
      <c r="T299" s="327">
        <f t="shared" si="128"/>
        <v>1.1405642912372063E-131</v>
      </c>
      <c r="U299" s="328">
        <f t="shared" si="129"/>
        <v>1.716483933696944E-4</v>
      </c>
      <c r="V299" s="327">
        <f t="shared" si="130"/>
        <v>2.4245654181601207E-3</v>
      </c>
      <c r="W299" s="327">
        <f t="shared" si="131"/>
        <v>9.2997447722227584E-3</v>
      </c>
      <c r="X299" s="327">
        <f t="shared" si="132"/>
        <v>3.6127955814686974E-2</v>
      </c>
      <c r="Y299" s="327">
        <f t="shared" si="133"/>
        <v>3.7991274539969089E-2</v>
      </c>
      <c r="Z299" s="327">
        <f t="shared" si="134"/>
        <v>3.0280439695485302E-20</v>
      </c>
      <c r="AA299" s="328">
        <f t="shared" si="135"/>
        <v>7.7783054538422824E-3</v>
      </c>
    </row>
    <row r="300" spans="1:27" ht="12" customHeight="1" x14ac:dyDescent="0.15">
      <c r="A300" s="269">
        <f t="shared" si="109"/>
        <v>285</v>
      </c>
      <c r="B300" s="322">
        <f t="shared" si="110"/>
        <v>263.07692307692309</v>
      </c>
      <c r="C300" s="323">
        <f t="shared" si="111"/>
        <v>1140</v>
      </c>
      <c r="D300" s="327">
        <f t="shared" si="112"/>
        <v>7.2527034155744102E-5</v>
      </c>
      <c r="E300" s="327">
        <f t="shared" si="113"/>
        <v>2.2610845741696738E-4</v>
      </c>
      <c r="F300" s="327">
        <f t="shared" si="114"/>
        <v>1.9492684962738704E-2</v>
      </c>
      <c r="G300" s="327">
        <f t="shared" si="115"/>
        <v>2.2356295820037231E-2</v>
      </c>
      <c r="H300" s="327">
        <f t="shared" si="116"/>
        <v>8.0258524471874364E-3</v>
      </c>
      <c r="I300" s="327">
        <f t="shared" si="117"/>
        <v>2.580986982984923E-3</v>
      </c>
      <c r="J300" s="327">
        <f t="shared" si="118"/>
        <v>1.5059514839362809E-9</v>
      </c>
      <c r="K300" s="327">
        <f t="shared" si="119"/>
        <v>2.033321434593605E-10</v>
      </c>
      <c r="L300" s="327">
        <f t="shared" si="120"/>
        <v>8.5029662704105835E-4</v>
      </c>
      <c r="M300" s="327">
        <f t="shared" si="121"/>
        <v>4.9101415859455861E-3</v>
      </c>
      <c r="N300" s="327">
        <f t="shared" si="122"/>
        <v>3.7048122024246503E-2</v>
      </c>
      <c r="O300" s="328">
        <f t="shared" si="123"/>
        <v>1.7224598648607987E-2</v>
      </c>
      <c r="P300" s="327">
        <f t="shared" si="124"/>
        <v>1.0046835147457909E-2</v>
      </c>
      <c r="Q300" s="327">
        <f t="shared" si="125"/>
        <v>3.5601053321535597E-2</v>
      </c>
      <c r="R300" s="327">
        <f t="shared" si="126"/>
        <v>4.8654331141164797E-2</v>
      </c>
      <c r="S300" s="327">
        <f t="shared" si="127"/>
        <v>3.2383854179772284E-2</v>
      </c>
      <c r="T300" s="327">
        <f t="shared" si="128"/>
        <v>1.0687213640166245E-134</v>
      </c>
      <c r="U300" s="328">
        <f t="shared" si="129"/>
        <v>1.6550058751363395E-4</v>
      </c>
      <c r="V300" s="327">
        <f t="shared" si="130"/>
        <v>2.373694759261065E-3</v>
      </c>
      <c r="W300" s="327">
        <f t="shared" si="131"/>
        <v>9.1752863796419493E-3</v>
      </c>
      <c r="X300" s="327">
        <f t="shared" si="132"/>
        <v>3.5899845253652973E-2</v>
      </c>
      <c r="Y300" s="327">
        <f t="shared" si="133"/>
        <v>3.7803362056750632E-2</v>
      </c>
      <c r="Z300" s="327">
        <f t="shared" si="134"/>
        <v>1.7057126184285E-20</v>
      </c>
      <c r="AA300" s="328">
        <f t="shared" si="135"/>
        <v>7.6811089204200655E-3</v>
      </c>
    </row>
    <row r="301" spans="1:27" ht="12" customHeight="1" x14ac:dyDescent="0.15">
      <c r="A301" s="269">
        <f t="shared" si="109"/>
        <v>286</v>
      </c>
      <c r="B301" s="322">
        <f t="shared" si="110"/>
        <v>264</v>
      </c>
      <c r="C301" s="323">
        <f t="shared" si="111"/>
        <v>1144</v>
      </c>
      <c r="D301" s="327">
        <f t="shared" si="112"/>
        <v>7.0141549642624049E-5</v>
      </c>
      <c r="E301" s="327">
        <f t="shared" si="113"/>
        <v>2.1994410973609683E-4</v>
      </c>
      <c r="F301" s="327">
        <f t="shared" si="114"/>
        <v>1.9365108707484979E-2</v>
      </c>
      <c r="G301" s="327">
        <f t="shared" si="115"/>
        <v>2.2249129338925516E-2</v>
      </c>
      <c r="H301" s="327">
        <f t="shared" si="116"/>
        <v>7.9776405064528148E-3</v>
      </c>
      <c r="I301" s="327">
        <f t="shared" si="117"/>
        <v>2.5453740590914986E-3</v>
      </c>
      <c r="J301" s="327">
        <f t="shared" si="118"/>
        <v>1.4023484266136064E-9</v>
      </c>
      <c r="K301" s="327">
        <f t="shared" si="119"/>
        <v>1.8758671891138429E-10</v>
      </c>
      <c r="L301" s="327">
        <f t="shared" si="120"/>
        <v>8.4129684353073664E-4</v>
      </c>
      <c r="M301" s="327">
        <f t="shared" si="121"/>
        <v>4.8846343646534642E-3</v>
      </c>
      <c r="N301" s="327">
        <f t="shared" si="122"/>
        <v>3.704712734210213E-2</v>
      </c>
      <c r="O301" s="328">
        <f t="shared" si="123"/>
        <v>1.7163001271876737E-2</v>
      </c>
      <c r="P301" s="327">
        <f t="shared" si="124"/>
        <v>9.8859600850191957E-3</v>
      </c>
      <c r="Q301" s="327">
        <f t="shared" si="125"/>
        <v>3.5311388196395357E-2</v>
      </c>
      <c r="R301" s="327">
        <f t="shared" si="126"/>
        <v>4.8348781656349482E-2</v>
      </c>
      <c r="S301" s="327">
        <f t="shared" si="127"/>
        <v>3.2196637122755466E-2</v>
      </c>
      <c r="T301" s="327">
        <f t="shared" si="128"/>
        <v>8.5247807196850407E-138</v>
      </c>
      <c r="U301" s="328">
        <f t="shared" si="129"/>
        <v>1.5957011897382856E-4</v>
      </c>
      <c r="V301" s="327">
        <f t="shared" si="130"/>
        <v>2.3238914355295614E-3</v>
      </c>
      <c r="W301" s="327">
        <f t="shared" si="131"/>
        <v>9.0525713627574948E-3</v>
      </c>
      <c r="X301" s="327">
        <f t="shared" si="132"/>
        <v>3.5673708760609935E-2</v>
      </c>
      <c r="Y301" s="327">
        <f t="shared" si="133"/>
        <v>3.7616996189431283E-2</v>
      </c>
      <c r="Z301" s="327">
        <f t="shared" si="134"/>
        <v>9.5403241661888051E-21</v>
      </c>
      <c r="AA301" s="328">
        <f t="shared" si="135"/>
        <v>7.5852635727002848E-3</v>
      </c>
    </row>
    <row r="302" spans="1:27" ht="12" customHeight="1" x14ac:dyDescent="0.15">
      <c r="A302" s="269">
        <f t="shared" si="109"/>
        <v>287</v>
      </c>
      <c r="B302" s="322">
        <f t="shared" si="110"/>
        <v>264.92307692307691</v>
      </c>
      <c r="C302" s="323">
        <f t="shared" si="111"/>
        <v>1148</v>
      </c>
      <c r="D302" s="327">
        <f t="shared" si="112"/>
        <v>6.7834526029340544E-5</v>
      </c>
      <c r="E302" s="327">
        <f t="shared" si="113"/>
        <v>2.1394908996388265E-4</v>
      </c>
      <c r="F302" s="327">
        <f t="shared" si="114"/>
        <v>1.9238684187705357E-2</v>
      </c>
      <c r="G302" s="327">
        <f t="shared" si="115"/>
        <v>2.214283636475918E-2</v>
      </c>
      <c r="H302" s="327">
        <f t="shared" si="116"/>
        <v>7.9300185908916243E-3</v>
      </c>
      <c r="I302" s="327">
        <f t="shared" si="117"/>
        <v>2.510308406316053E-3</v>
      </c>
      <c r="J302" s="327">
        <f t="shared" si="118"/>
        <v>1.3058728190136478E-9</v>
      </c>
      <c r="K302" s="327">
        <f t="shared" si="119"/>
        <v>1.7305914396957233E-10</v>
      </c>
      <c r="L302" s="327">
        <f t="shared" si="120"/>
        <v>8.3241571784953283E-4</v>
      </c>
      <c r="M302" s="327">
        <f t="shared" si="121"/>
        <v>4.8593473431636832E-3</v>
      </c>
      <c r="N302" s="327">
        <f t="shared" si="122"/>
        <v>3.7046160724848509E-2</v>
      </c>
      <c r="O302" s="328">
        <f t="shared" si="123"/>
        <v>1.7101834902991032E-2</v>
      </c>
      <c r="P302" s="327">
        <f t="shared" si="124"/>
        <v>9.7276610363534553E-3</v>
      </c>
      <c r="Q302" s="327">
        <f t="shared" si="125"/>
        <v>3.5024381445311968E-2</v>
      </c>
      <c r="R302" s="327">
        <f t="shared" si="126"/>
        <v>4.8045827382696582E-2</v>
      </c>
      <c r="S302" s="327">
        <f t="shared" si="127"/>
        <v>3.2011114594040407E-2</v>
      </c>
      <c r="T302" s="327">
        <f t="shared" si="128"/>
        <v>5.767150341629153E-141</v>
      </c>
      <c r="U302" s="328">
        <f t="shared" si="129"/>
        <v>1.5384941922880202E-4</v>
      </c>
      <c r="V302" s="327">
        <f t="shared" si="130"/>
        <v>2.2751330528314523E-3</v>
      </c>
      <c r="W302" s="327">
        <f t="shared" si="131"/>
        <v>8.9315739940369274E-3</v>
      </c>
      <c r="X302" s="327">
        <f t="shared" si="132"/>
        <v>3.5449524287070933E-2</v>
      </c>
      <c r="Y302" s="327">
        <f t="shared" si="133"/>
        <v>3.7432159220555046E-2</v>
      </c>
      <c r="Z302" s="327">
        <f t="shared" si="134"/>
        <v>5.2978025465802394E-21</v>
      </c>
      <c r="AA302" s="328">
        <f t="shared" si="135"/>
        <v>7.4907485437045729E-3</v>
      </c>
    </row>
    <row r="303" spans="1:27" ht="12" customHeight="1" x14ac:dyDescent="0.15">
      <c r="A303" s="269">
        <f t="shared" si="109"/>
        <v>288</v>
      </c>
      <c r="B303" s="322">
        <f t="shared" si="110"/>
        <v>265.84615384615387</v>
      </c>
      <c r="C303" s="323">
        <f t="shared" si="111"/>
        <v>1152</v>
      </c>
      <c r="D303" s="327">
        <f t="shared" si="112"/>
        <v>6.5603382660781563E-5</v>
      </c>
      <c r="E303" s="327">
        <f t="shared" si="113"/>
        <v>2.0811870792088953E-4</v>
      </c>
      <c r="F303" s="327">
        <f t="shared" si="114"/>
        <v>1.9113397952604694E-2</v>
      </c>
      <c r="G303" s="327">
        <f t="shared" si="115"/>
        <v>2.2037406880717397E-2</v>
      </c>
      <c r="H303" s="327">
        <f t="shared" si="116"/>
        <v>7.8829777032301176E-3</v>
      </c>
      <c r="I303" s="327">
        <f t="shared" si="117"/>
        <v>2.4757806790292047E-3</v>
      </c>
      <c r="J303" s="327">
        <f t="shared" si="118"/>
        <v>1.2160343229083346E-9</v>
      </c>
      <c r="K303" s="327">
        <f t="shared" si="119"/>
        <v>1.5965533775298374E-10</v>
      </c>
      <c r="L303" s="327">
        <f t="shared" si="120"/>
        <v>8.2365136468953715E-4</v>
      </c>
      <c r="M303" s="327">
        <f t="shared" si="121"/>
        <v>4.8342778697788771E-3</v>
      </c>
      <c r="N303" s="327">
        <f t="shared" si="122"/>
        <v>3.7045221379935683E-2</v>
      </c>
      <c r="O303" s="328">
        <f t="shared" si="123"/>
        <v>1.7041095060526524E-2</v>
      </c>
      <c r="P303" s="327">
        <f t="shared" si="124"/>
        <v>9.5718967530107578E-3</v>
      </c>
      <c r="Q303" s="327">
        <f t="shared" si="125"/>
        <v>3.4740005183828762E-2</v>
      </c>
      <c r="R303" s="327">
        <f t="shared" si="126"/>
        <v>4.7745440093554192E-2</v>
      </c>
      <c r="S303" s="327">
        <f t="shared" si="127"/>
        <v>3.1827265838371969E-2</v>
      </c>
      <c r="T303" s="327">
        <f t="shared" si="128"/>
        <v>3.2964515861019273E-144</v>
      </c>
      <c r="U303" s="328">
        <f t="shared" si="129"/>
        <v>1.4833117869739176E-4</v>
      </c>
      <c r="V303" s="327">
        <f t="shared" si="130"/>
        <v>2.2273976868917764E-3</v>
      </c>
      <c r="W303" s="327">
        <f t="shared" si="131"/>
        <v>8.8122689489719061E-3</v>
      </c>
      <c r="X303" s="327">
        <f t="shared" si="132"/>
        <v>3.5227270088890705E-2</v>
      </c>
      <c r="Y303" s="327">
        <f t="shared" si="133"/>
        <v>3.7248833691809202E-2</v>
      </c>
      <c r="Z303" s="327">
        <f t="shared" si="134"/>
        <v>2.9205529188973722E-21</v>
      </c>
      <c r="AA303" s="328">
        <f t="shared" si="135"/>
        <v>7.3975433236486143E-3</v>
      </c>
    </row>
    <row r="304" spans="1:27" ht="12" customHeight="1" x14ac:dyDescent="0.15">
      <c r="A304" s="269">
        <f t="shared" si="109"/>
        <v>289</v>
      </c>
      <c r="B304" s="322">
        <f t="shared" si="110"/>
        <v>266.76923076923077</v>
      </c>
      <c r="C304" s="323">
        <f t="shared" si="111"/>
        <v>1156</v>
      </c>
      <c r="D304" s="327">
        <f t="shared" si="112"/>
        <v>6.3445623762085589E-5</v>
      </c>
      <c r="E304" s="327">
        <f t="shared" si="113"/>
        <v>2.0244840455313026E-4</v>
      </c>
      <c r="F304" s="327">
        <f t="shared" si="114"/>
        <v>1.8989236745625471E-2</v>
      </c>
      <c r="G304" s="327">
        <f t="shared" si="115"/>
        <v>2.1932831017689423E-2</v>
      </c>
      <c r="H304" s="327">
        <f t="shared" si="116"/>
        <v>7.8365090106207371E-3</v>
      </c>
      <c r="I304" s="327">
        <f t="shared" si="117"/>
        <v>2.441781708434454E-3</v>
      </c>
      <c r="J304" s="327">
        <f t="shared" si="118"/>
        <v>1.1323763332543051E-9</v>
      </c>
      <c r="K304" s="327">
        <f t="shared" si="119"/>
        <v>1.472884779826259E-10</v>
      </c>
      <c r="L304" s="327">
        <f t="shared" si="120"/>
        <v>8.1500193393557741E-4</v>
      </c>
      <c r="M304" s="327">
        <f t="shared" si="121"/>
        <v>4.8094233337015249E-3</v>
      </c>
      <c r="N304" s="327">
        <f t="shared" si="122"/>
        <v>3.7044308537234193E-2</v>
      </c>
      <c r="O304" s="328">
        <f t="shared" si="123"/>
        <v>1.6980777324796179E-2</v>
      </c>
      <c r="P304" s="327">
        <f t="shared" si="124"/>
        <v>9.4186266470324426E-3</v>
      </c>
      <c r="Q304" s="327">
        <f t="shared" si="125"/>
        <v>3.4458231865421698E-2</v>
      </c>
      <c r="R304" s="327">
        <f t="shared" si="126"/>
        <v>4.744759193983783E-2</v>
      </c>
      <c r="S304" s="327">
        <f t="shared" si="127"/>
        <v>3.1645070419618102E-2</v>
      </c>
      <c r="T304" s="327">
        <f t="shared" si="128"/>
        <v>1.5858035969183248E-147</v>
      </c>
      <c r="U304" s="328">
        <f t="shared" si="129"/>
        <v>1.4300833806712987E-4</v>
      </c>
      <c r="V304" s="327">
        <f t="shared" si="130"/>
        <v>2.1806638734364983E-3</v>
      </c>
      <c r="W304" s="327">
        <f t="shared" si="131"/>
        <v>8.6946312993187898E-3</v>
      </c>
      <c r="X304" s="327">
        <f t="shared" si="132"/>
        <v>3.500692472123812E-2</v>
      </c>
      <c r="Y304" s="327">
        <f t="shared" si="133"/>
        <v>3.7067002399425959E-2</v>
      </c>
      <c r="Z304" s="327">
        <f t="shared" si="134"/>
        <v>1.5982028398885604E-21</v>
      </c>
      <c r="AA304" s="328">
        <f t="shared" si="135"/>
        <v>7.3056277531855507E-3</v>
      </c>
    </row>
    <row r="305" spans="1:27" ht="12" customHeight="1" x14ac:dyDescent="0.15">
      <c r="A305" s="269">
        <f t="shared" si="109"/>
        <v>290</v>
      </c>
      <c r="B305" s="322">
        <f t="shared" si="110"/>
        <v>267.69230769230768</v>
      </c>
      <c r="C305" s="323">
        <f t="shared" si="111"/>
        <v>1160</v>
      </c>
      <c r="D305" s="327">
        <f t="shared" si="112"/>
        <v>6.135883564684708E-5</v>
      </c>
      <c r="E305" s="327">
        <f t="shared" si="113"/>
        <v>1.9693374822761961E-4</v>
      </c>
      <c r="F305" s="327">
        <f t="shared" si="114"/>
        <v>1.8866187501091924E-2</v>
      </c>
      <c r="G305" s="327">
        <f t="shared" si="115"/>
        <v>2.1829099051617333E-2</v>
      </c>
      <c r="H305" s="327">
        <f t="shared" si="116"/>
        <v>7.790603841173833E-3</v>
      </c>
      <c r="I305" s="327">
        <f t="shared" si="117"/>
        <v>2.4083024988734714E-3</v>
      </c>
      <c r="J305" s="327">
        <f t="shared" si="118"/>
        <v>1.0544736574932417E-9</v>
      </c>
      <c r="K305" s="327">
        <f t="shared" si="119"/>
        <v>1.3587844171132694E-10</v>
      </c>
      <c r="L305" s="327">
        <f t="shared" si="120"/>
        <v>8.0646560990937921E-4</v>
      </c>
      <c r="M305" s="327">
        <f t="shared" si="121"/>
        <v>4.784781164265877E-3</v>
      </c>
      <c r="N305" s="327">
        <f t="shared" si="122"/>
        <v>3.7043421448398679E-2</v>
      </c>
      <c r="O305" s="328">
        <f t="shared" si="123"/>
        <v>1.6920877336792702E-2</v>
      </c>
      <c r="P305" s="327">
        <f t="shared" si="124"/>
        <v>9.2678107803750038E-3</v>
      </c>
      <c r="Q305" s="327">
        <f t="shared" si="125"/>
        <v>3.4179034276737026E-2</v>
      </c>
      <c r="R305" s="327">
        <f t="shared" si="126"/>
        <v>4.7152255444006808E-2</v>
      </c>
      <c r="S305" s="327">
        <f t="shared" si="127"/>
        <v>3.1464508214887714E-2</v>
      </c>
      <c r="T305" s="327">
        <f t="shared" si="128"/>
        <v>6.3949953434076236E-151</v>
      </c>
      <c r="U305" s="328">
        <f t="shared" si="129"/>
        <v>1.3787407990484279E-4</v>
      </c>
      <c r="V305" s="327">
        <f t="shared" si="130"/>
        <v>2.1349105985410516E-3</v>
      </c>
      <c r="W305" s="327">
        <f t="shared" si="131"/>
        <v>8.5786365064626224E-3</v>
      </c>
      <c r="X305" s="327">
        <f t="shared" si="132"/>
        <v>3.4788467033665671E-2</v>
      </c>
      <c r="Y305" s="327">
        <f t="shared" si="133"/>
        <v>3.6886648389679047E-2</v>
      </c>
      <c r="Z305" s="327">
        <f t="shared" si="134"/>
        <v>8.6807363779043148E-22</v>
      </c>
      <c r="AA305" s="328">
        <f t="shared" si="135"/>
        <v>7.2149820167892731E-3</v>
      </c>
    </row>
    <row r="306" spans="1:27" ht="12" customHeight="1" x14ac:dyDescent="0.15">
      <c r="A306" s="269">
        <f t="shared" si="109"/>
        <v>291</v>
      </c>
      <c r="B306" s="322">
        <f t="shared" si="110"/>
        <v>268.61538461538464</v>
      </c>
      <c r="C306" s="323">
        <f t="shared" si="111"/>
        <v>1164</v>
      </c>
      <c r="D306" s="327">
        <f t="shared" si="112"/>
        <v>5.9340684017148211E-5</v>
      </c>
      <c r="E306" s="327">
        <f t="shared" si="113"/>
        <v>1.9157043113379846E-4</v>
      </c>
      <c r="F306" s="327">
        <f t="shared" si="114"/>
        <v>1.8744237340921677E-2</v>
      </c>
      <c r="G306" s="327">
        <f t="shared" si="115"/>
        <v>2.1726201400895144E-2</v>
      </c>
      <c r="H306" s="327">
        <f t="shared" si="116"/>
        <v>7.7452536805716673E-3</v>
      </c>
      <c r="I306" s="327">
        <f t="shared" si="117"/>
        <v>2.3753342242163189E-3</v>
      </c>
      <c r="J306" s="327">
        <f t="shared" si="118"/>
        <v>9.8193035450649678E-10</v>
      </c>
      <c r="K306" s="327">
        <f t="shared" si="119"/>
        <v>1.2535128908421567E-10</v>
      </c>
      <c r="L306" s="327">
        <f t="shared" si="120"/>
        <v>7.9804061063082354E-4</v>
      </c>
      <c r="M306" s="327">
        <f t="shared" si="121"/>
        <v>4.7603488301868986E-3</v>
      </c>
      <c r="N306" s="327">
        <f t="shared" si="122"/>
        <v>3.7042559386249591E-2</v>
      </c>
      <c r="O306" s="328">
        <f t="shared" si="123"/>
        <v>1.6861390797152386E-2</v>
      </c>
      <c r="P306" s="327">
        <f t="shared" si="124"/>
        <v>9.1194098545033103E-3</v>
      </c>
      <c r="Q306" s="327">
        <f t="shared" si="125"/>
        <v>3.3902385532906879E-2</v>
      </c>
      <c r="R306" s="327">
        <f t="shared" si="126"/>
        <v>4.6859403494150853E-2</v>
      </c>
      <c r="S306" s="327">
        <f t="shared" si="127"/>
        <v>3.128555940877388E-2</v>
      </c>
      <c r="T306" s="327">
        <f t="shared" si="128"/>
        <v>2.1530303173382481E-154</v>
      </c>
      <c r="U306" s="328">
        <f t="shared" si="129"/>
        <v>1.3292182054058799E-4</v>
      </c>
      <c r="V306" s="327">
        <f t="shared" si="130"/>
        <v>2.0901172891813992E-3</v>
      </c>
      <c r="W306" s="327">
        <f t="shared" si="131"/>
        <v>8.4642604149001328E-3</v>
      </c>
      <c r="X306" s="327">
        <f t="shared" si="132"/>
        <v>3.4571876165274573E-2</v>
      </c>
      <c r="Y306" s="327">
        <f t="shared" si="133"/>
        <v>3.6707754954474585E-2</v>
      </c>
      <c r="Z306" s="327">
        <f t="shared" si="134"/>
        <v>4.6794945120951244E-22</v>
      </c>
      <c r="AA306" s="328">
        <f t="shared" si="135"/>
        <v>7.1255866362760489E-3</v>
      </c>
    </row>
    <row r="307" spans="1:27" ht="12" customHeight="1" x14ac:dyDescent="0.15">
      <c r="A307" s="269">
        <f t="shared" si="109"/>
        <v>292</v>
      </c>
      <c r="B307" s="322">
        <f t="shared" si="110"/>
        <v>269.53846153846155</v>
      </c>
      <c r="C307" s="323">
        <f t="shared" si="111"/>
        <v>1168</v>
      </c>
      <c r="D307" s="327">
        <f t="shared" si="112"/>
        <v>5.7388911352394253E-5</v>
      </c>
      <c r="E307" s="327">
        <f t="shared" si="113"/>
        <v>1.8635426578782151E-4</v>
      </c>
      <c r="F307" s="327">
        <f t="shared" si="114"/>
        <v>1.8623373571404311E-2</v>
      </c>
      <c r="G307" s="327">
        <f t="shared" si="115"/>
        <v>2.1624128623822906E-2</v>
      </c>
      <c r="H307" s="327">
        <f t="shared" si="116"/>
        <v>7.7004501687624564E-3</v>
      </c>
      <c r="I307" s="327">
        <f t="shared" si="117"/>
        <v>2.3428682243348264E-3</v>
      </c>
      <c r="J307" s="327">
        <f t="shared" si="118"/>
        <v>9.1437772224047926E-10</v>
      </c>
      <c r="K307" s="327">
        <f t="shared" si="119"/>
        <v>1.1563878682398343E-10</v>
      </c>
      <c r="L307" s="327">
        <f t="shared" si="120"/>
        <v>7.8972518709774508E-4</v>
      </c>
      <c r="M307" s="327">
        <f t="shared" si="121"/>
        <v>4.7361238388257277E-3</v>
      </c>
      <c r="N307" s="327">
        <f t="shared" si="122"/>
        <v>3.7041721644172687E-2</v>
      </c>
      <c r="O307" s="328">
        <f t="shared" si="123"/>
        <v>1.680231346514021E-2</v>
      </c>
      <c r="P307" s="327">
        <f t="shared" si="124"/>
        <v>8.9733852001504764E-3</v>
      </c>
      <c r="Q307" s="327">
        <f t="shared" si="125"/>
        <v>3.3628259072942188E-2</v>
      </c>
      <c r="R307" s="327">
        <f t="shared" si="126"/>
        <v>4.6569009338188194E-2</v>
      </c>
      <c r="S307" s="327">
        <f t="shared" si="127"/>
        <v>3.1108204487720576E-2</v>
      </c>
      <c r="T307" s="327">
        <f t="shared" si="128"/>
        <v>6.0265564446268214E-158</v>
      </c>
      <c r="U307" s="328">
        <f t="shared" si="129"/>
        <v>1.2814520221837711E-4</v>
      </c>
      <c r="V307" s="327">
        <f t="shared" si="130"/>
        <v>2.0462638039833621E-3</v>
      </c>
      <c r="W307" s="327">
        <f t="shared" si="131"/>
        <v>8.3514792458411497E-3</v>
      </c>
      <c r="X307" s="327">
        <f t="shared" si="132"/>
        <v>3.4357131539971442E-2</v>
      </c>
      <c r="Y307" s="327">
        <f t="shared" si="133"/>
        <v>3.6530305627032793E-2</v>
      </c>
      <c r="Z307" s="327">
        <f t="shared" si="134"/>
        <v>2.503331587656946E-22</v>
      </c>
      <c r="AA307" s="328">
        <f t="shared" si="135"/>
        <v>7.0374224644602634E-3</v>
      </c>
    </row>
    <row r="308" spans="1:27" ht="12" customHeight="1" x14ac:dyDescent="0.15">
      <c r="A308" s="269">
        <f t="shared" si="109"/>
        <v>293</v>
      </c>
      <c r="B308" s="322">
        <f t="shared" si="110"/>
        <v>270.46153846153845</v>
      </c>
      <c r="C308" s="323">
        <f t="shared" si="111"/>
        <v>1172</v>
      </c>
      <c r="D308" s="327">
        <f t="shared" si="112"/>
        <v>5.550133438403268E-5</v>
      </c>
      <c r="E308" s="327">
        <f t="shared" si="113"/>
        <v>1.8128118163668119E-4</v>
      </c>
      <c r="F308" s="327">
        <f t="shared" si="114"/>
        <v>1.8503583680043456E-2</v>
      </c>
      <c r="G308" s="327">
        <f t="shared" si="115"/>
        <v>2.1522871416114218E-2</v>
      </c>
      <c r="H308" s="327">
        <f t="shared" si="116"/>
        <v>7.6561850967324999E-3</v>
      </c>
      <c r="I308" s="327">
        <f t="shared" si="117"/>
        <v>2.3108960016564595E-3</v>
      </c>
      <c r="J308" s="327">
        <f t="shared" si="118"/>
        <v>8.5147242377479166E-10</v>
      </c>
      <c r="K308" s="327">
        <f t="shared" si="119"/>
        <v>1.0667796838854954E-10</v>
      </c>
      <c r="L308" s="327">
        <f t="shared" si="120"/>
        <v>7.8151762258349411E-4</v>
      </c>
      <c r="M308" s="327">
        <f t="shared" si="121"/>
        <v>4.7121037354712868E-3</v>
      </c>
      <c r="N308" s="327">
        <f t="shared" si="122"/>
        <v>3.7040907535535531E-2</v>
      </c>
      <c r="O308" s="328">
        <f t="shared" si="123"/>
        <v>1.6743641157655337E-2</v>
      </c>
      <c r="P308" s="327">
        <f t="shared" si="124"/>
        <v>8.8296987672416907E-3</v>
      </c>
      <c r="Q308" s="327">
        <f t="shared" si="125"/>
        <v>3.3356628655199755E-2</v>
      </c>
      <c r="R308" s="327">
        <f t="shared" si="126"/>
        <v>4.6281046578169338E-2</v>
      </c>
      <c r="S308" s="327">
        <f t="shared" si="127"/>
        <v>3.093242423450893E-2</v>
      </c>
      <c r="T308" s="327">
        <f t="shared" si="128"/>
        <v>1.3965155672150062E-161</v>
      </c>
      <c r="U308" s="328">
        <f t="shared" si="129"/>
        <v>1.2353808550247258E-4</v>
      </c>
      <c r="V308" s="327">
        <f t="shared" si="130"/>
        <v>2.0033304241659964E-3</v>
      </c>
      <c r="W308" s="327">
        <f t="shared" si="131"/>
        <v>8.240269590925069E-3</v>
      </c>
      <c r="X308" s="327">
        <f t="shared" si="132"/>
        <v>3.4144212861816015E-2</v>
      </c>
      <c r="Y308" s="327">
        <f t="shared" si="133"/>
        <v>3.6354284177658375E-2</v>
      </c>
      <c r="Z308" s="327">
        <f t="shared" si="134"/>
        <v>1.3288431825283987E-22</v>
      </c>
      <c r="AA308" s="328">
        <f t="shared" si="135"/>
        <v>6.9504706789411674E-3</v>
      </c>
    </row>
    <row r="309" spans="1:27" ht="12" customHeight="1" x14ac:dyDescent="0.15">
      <c r="A309" s="269">
        <f t="shared" si="109"/>
        <v>294</v>
      </c>
      <c r="B309" s="322">
        <f t="shared" si="110"/>
        <v>271.38461538461536</v>
      </c>
      <c r="C309" s="323">
        <f t="shared" si="111"/>
        <v>1176</v>
      </c>
      <c r="D309" s="327">
        <f t="shared" si="112"/>
        <v>5.3675841653331668E-5</v>
      </c>
      <c r="E309" s="327">
        <f t="shared" si="113"/>
        <v>1.7634722175932215E-4</v>
      </c>
      <c r="F309" s="327">
        <f t="shared" si="114"/>
        <v>1.8384855332462702E-2</v>
      </c>
      <c r="G309" s="327">
        <f t="shared" si="115"/>
        <v>2.1422420608456404E-2</v>
      </c>
      <c r="H309" s="327">
        <f t="shared" si="116"/>
        <v>7.6124504033542612E-3</v>
      </c>
      <c r="I309" s="327">
        <f t="shared" si="117"/>
        <v>2.2794092177965686E-3</v>
      </c>
      <c r="J309" s="327">
        <f t="shared" si="118"/>
        <v>7.9289474230895966E-10</v>
      </c>
      <c r="K309" s="327">
        <f t="shared" si="119"/>
        <v>9.8410727983057615E-11</v>
      </c>
      <c r="L309" s="327">
        <f t="shared" si="120"/>
        <v>7.7341623195092968E-4</v>
      </c>
      <c r="M309" s="327">
        <f t="shared" si="121"/>
        <v>4.6882861026375918E-3</v>
      </c>
      <c r="N309" s="327">
        <f t="shared" si="122"/>
        <v>3.7040116393120749E-2</v>
      </c>
      <c r="O309" s="328">
        <f t="shared" si="123"/>
        <v>1.668536974825716E-2</v>
      </c>
      <c r="P309" s="327">
        <f t="shared" si="124"/>
        <v>8.6883131149794075E-3</v>
      </c>
      <c r="Q309" s="327">
        <f t="shared" si="125"/>
        <v>3.3087468352924108E-2</v>
      </c>
      <c r="R309" s="327">
        <f t="shared" si="126"/>
        <v>4.5995489164687098E-2</v>
      </c>
      <c r="S309" s="327">
        <f t="shared" si="127"/>
        <v>3.0758199722860865E-2</v>
      </c>
      <c r="T309" s="327">
        <f t="shared" si="128"/>
        <v>2.6673827875515002E-165</v>
      </c>
      <c r="U309" s="328">
        <f t="shared" si="129"/>
        <v>1.1909454193281821E-4</v>
      </c>
      <c r="V309" s="327">
        <f t="shared" si="130"/>
        <v>1.961297844675039E-3</v>
      </c>
      <c r="W309" s="327">
        <f t="shared" si="131"/>
        <v>8.1306084060504772E-3</v>
      </c>
      <c r="X309" s="327">
        <f t="shared" si="132"/>
        <v>3.393310011045847E-2</v>
      </c>
      <c r="Y309" s="327">
        <f t="shared" si="133"/>
        <v>3.6179674609598686E-2</v>
      </c>
      <c r="Z309" s="327">
        <f t="shared" si="134"/>
        <v>6.9987961811692616E-23</v>
      </c>
      <c r="AA309" s="328">
        <f t="shared" si="135"/>
        <v>6.8647127760188553E-3</v>
      </c>
    </row>
    <row r="310" spans="1:27" ht="12" customHeight="1" x14ac:dyDescent="0.15">
      <c r="A310" s="269">
        <f t="shared" si="109"/>
        <v>295</v>
      </c>
      <c r="B310" s="322">
        <f t="shared" si="110"/>
        <v>272.30769230769232</v>
      </c>
      <c r="C310" s="323">
        <f t="shared" si="111"/>
        <v>1180</v>
      </c>
      <c r="D310" s="327">
        <f t="shared" si="112"/>
        <v>5.1910391149485681E-5</v>
      </c>
      <c r="E310" s="327">
        <f t="shared" si="113"/>
        <v>1.7154853966189253E-4</v>
      </c>
      <c r="F310" s="327">
        <f t="shared" si="114"/>
        <v>1.8267176369372251E-2</v>
      </c>
      <c r="G310" s="327">
        <f t="shared" si="115"/>
        <v>2.1322767164121379E-2</v>
      </c>
      <c r="H310" s="327">
        <f t="shared" si="116"/>
        <v>7.5692381723084321E-3</v>
      </c>
      <c r="I310" s="327">
        <f t="shared" si="117"/>
        <v>2.2483996902675774E-3</v>
      </c>
      <c r="J310" s="327">
        <f t="shared" si="118"/>
        <v>7.3834695619863229E-10</v>
      </c>
      <c r="K310" s="327">
        <f t="shared" si="119"/>
        <v>9.0783445824200682E-11</v>
      </c>
      <c r="L310" s="327">
        <f t="shared" si="120"/>
        <v>7.6541936098284413E-4</v>
      </c>
      <c r="M310" s="327">
        <f t="shared" si="121"/>
        <v>4.6646685593764005E-3</v>
      </c>
      <c r="N310" s="327">
        <f t="shared" si="122"/>
        <v>3.7039347568575479E-2</v>
      </c>
      <c r="O310" s="328">
        <f t="shared" si="123"/>
        <v>1.662749516621052E-2</v>
      </c>
      <c r="P310" s="327">
        <f t="shared" si="124"/>
        <v>8.5491914020872483E-3</v>
      </c>
      <c r="Q310" s="327">
        <f t="shared" si="125"/>
        <v>3.282075254986077E-2</v>
      </c>
      <c r="R310" s="327">
        <f t="shared" si="126"/>
        <v>4.5712311391388205E-2</v>
      </c>
      <c r="S310" s="327">
        <f t="shared" si="127"/>
        <v>3.0585512312156331E-2</v>
      </c>
      <c r="T310" s="327">
        <f t="shared" si="128"/>
        <v>4.1807068269188149E-169</v>
      </c>
      <c r="U310" s="328">
        <f t="shared" si="129"/>
        <v>1.1480884692205429E-4</v>
      </c>
      <c r="V310" s="327">
        <f t="shared" si="130"/>
        <v>1.9201471655023443E-3</v>
      </c>
      <c r="W310" s="327">
        <f t="shared" si="131"/>
        <v>8.0224730053154811E-3</v>
      </c>
      <c r="X310" s="327">
        <f t="shared" si="132"/>
        <v>3.3723773536661894E-2</v>
      </c>
      <c r="Y310" s="327">
        <f t="shared" si="133"/>
        <v>3.600646115498591E-2</v>
      </c>
      <c r="Z310" s="327">
        <f t="shared" si="134"/>
        <v>3.6570007420458478E-23</v>
      </c>
      <c r="AA310" s="328">
        <f t="shared" si="135"/>
        <v>6.7801305647342547E-3</v>
      </c>
    </row>
    <row r="311" spans="1:27" ht="12" customHeight="1" x14ac:dyDescent="0.15">
      <c r="A311" s="269">
        <f t="shared" si="109"/>
        <v>296</v>
      </c>
      <c r="B311" s="322">
        <f t="shared" si="110"/>
        <v>273.23076923076923</v>
      </c>
      <c r="C311" s="323">
        <f t="shared" si="111"/>
        <v>1184</v>
      </c>
      <c r="D311" s="327">
        <f t="shared" si="112"/>
        <v>5.0203008025405529E-5</v>
      </c>
      <c r="E311" s="327">
        <f t="shared" si="113"/>
        <v>1.6688139616445429E-4</v>
      </c>
      <c r="F311" s="327">
        <f t="shared" si="114"/>
        <v>1.8150534803597518E-2</v>
      </c>
      <c r="G311" s="327">
        <f t="shared" si="115"/>
        <v>2.1223902176626779E-2</v>
      </c>
      <c r="H311" s="327">
        <f t="shared" si="116"/>
        <v>7.5265406290781533E-3</v>
      </c>
      <c r="I311" s="327">
        <f t="shared" si="117"/>
        <v>2.2178593892629994E-3</v>
      </c>
      <c r="J311" s="327">
        <f t="shared" si="118"/>
        <v>6.8755182578239512E-10</v>
      </c>
      <c r="K311" s="327">
        <f t="shared" si="119"/>
        <v>8.3746642254694192E-11</v>
      </c>
      <c r="L311" s="327">
        <f t="shared" si="120"/>
        <v>7.57525385729374E-4</v>
      </c>
      <c r="M311" s="327">
        <f t="shared" si="121"/>
        <v>4.6412487606048358E-3</v>
      </c>
      <c r="N311" s="327">
        <f t="shared" si="122"/>
        <v>3.7038600431876373E-2</v>
      </c>
      <c r="O311" s="328">
        <f t="shared" si="123"/>
        <v>1.6570013395550653E-2</v>
      </c>
      <c r="P311" s="327">
        <f t="shared" si="124"/>
        <v>8.4122973772102413E-3</v>
      </c>
      <c r="Q311" s="327">
        <f t="shared" si="125"/>
        <v>3.2556455935941551E-2</v>
      </c>
      <c r="R311" s="327">
        <f t="shared" si="126"/>
        <v>4.5431487889587063E-2</v>
      </c>
      <c r="S311" s="327">
        <f t="shared" si="127"/>
        <v>3.0414343642263402E-2</v>
      </c>
      <c r="T311" s="327">
        <f t="shared" si="128"/>
        <v>5.3524907961718881E-173</v>
      </c>
      <c r="U311" s="328">
        <f t="shared" si="129"/>
        <v>1.1067547288434731E-4</v>
      </c>
      <c r="V311" s="327">
        <f t="shared" si="130"/>
        <v>1.8798598831874895E-3</v>
      </c>
      <c r="W311" s="327">
        <f t="shared" si="131"/>
        <v>7.9158410550672787E-3</v>
      </c>
      <c r="X311" s="327">
        <f t="shared" si="132"/>
        <v>3.3516213657911575E-2</v>
      </c>
      <c r="Y311" s="327">
        <f t="shared" si="133"/>
        <v>3.5834628270863221E-2</v>
      </c>
      <c r="Z311" s="327">
        <f t="shared" si="134"/>
        <v>1.895553933409859E-23</v>
      </c>
      <c r="AA311" s="328">
        <f t="shared" si="135"/>
        <v>6.6967061610335721E-3</v>
      </c>
    </row>
    <row r="312" spans="1:27" ht="12" customHeight="1" x14ac:dyDescent="0.15">
      <c r="A312" s="269">
        <f t="shared" si="109"/>
        <v>297</v>
      </c>
      <c r="B312" s="322">
        <f t="shared" si="110"/>
        <v>274.15384615384613</v>
      </c>
      <c r="C312" s="323">
        <f t="shared" si="111"/>
        <v>1188</v>
      </c>
      <c r="D312" s="327">
        <f t="shared" si="112"/>
        <v>4.8551782388638444E-5</v>
      </c>
      <c r="E312" s="327">
        <f t="shared" si="113"/>
        <v>1.6234215637645752E-4</v>
      </c>
      <c r="F312" s="327">
        <f t="shared" si="114"/>
        <v>1.803491881716468E-2</v>
      </c>
      <c r="G312" s="327">
        <f t="shared" si="115"/>
        <v>2.1125816867445163E-2</v>
      </c>
      <c r="H312" s="327">
        <f t="shared" si="116"/>
        <v>7.4843501380133567E-3</v>
      </c>
      <c r="I312" s="327">
        <f t="shared" si="117"/>
        <v>2.187780434514508E-3</v>
      </c>
      <c r="J312" s="327">
        <f t="shared" si="118"/>
        <v>6.4025118430844076E-10</v>
      </c>
      <c r="K312" s="327">
        <f t="shared" si="119"/>
        <v>7.7254658489938436E-11</v>
      </c>
      <c r="L312" s="327">
        <f t="shared" si="120"/>
        <v>7.4973271186962176E-4</v>
      </c>
      <c r="M312" s="327">
        <f t="shared" si="121"/>
        <v>4.6180243964474912E-3</v>
      </c>
      <c r="N312" s="327">
        <f t="shared" si="122"/>
        <v>3.7037874370810069E-2</v>
      </c>
      <c r="O312" s="328">
        <f t="shared" si="123"/>
        <v>1.6512920474166425E-2</v>
      </c>
      <c r="P312" s="327">
        <f t="shared" si="124"/>
        <v>8.2775953694686211E-3</v>
      </c>
      <c r="Q312" s="327">
        <f t="shared" si="125"/>
        <v>3.2294553503038177E-2</v>
      </c>
      <c r="R312" s="327">
        <f t="shared" si="126"/>
        <v>4.5152993622975979E-2</v>
      </c>
      <c r="S312" s="327">
        <f t="shared" si="127"/>
        <v>3.0244675628475222E-2</v>
      </c>
      <c r="T312" s="327">
        <f t="shared" si="128"/>
        <v>5.5715398666299543E-177</v>
      </c>
      <c r="U312" s="328">
        <f t="shared" si="129"/>
        <v>1.0668908259159338E-4</v>
      </c>
      <c r="V312" s="327">
        <f t="shared" si="130"/>
        <v>1.8404178824976442E-3</v>
      </c>
      <c r="W312" s="327">
        <f t="shared" si="131"/>
        <v>7.8106905680575215E-3</v>
      </c>
      <c r="X312" s="327">
        <f t="shared" si="132"/>
        <v>3.3310401254105337E-2</v>
      </c>
      <c r="Y312" s="327">
        <f t="shared" si="133"/>
        <v>3.5664160635290404E-2</v>
      </c>
      <c r="Z312" s="327">
        <f t="shared" si="134"/>
        <v>9.7457084635419977E-24</v>
      </c>
      <c r="AA312" s="328">
        <f t="shared" si="135"/>
        <v>6.6144219820508665E-3</v>
      </c>
    </row>
    <row r="313" spans="1:27" ht="12" customHeight="1" x14ac:dyDescent="0.15">
      <c r="A313" s="269">
        <f t="shared" si="109"/>
        <v>298</v>
      </c>
      <c r="B313" s="322">
        <f t="shared" si="110"/>
        <v>275.07692307692309</v>
      </c>
      <c r="C313" s="323">
        <f t="shared" si="111"/>
        <v>1192</v>
      </c>
      <c r="D313" s="327">
        <f t="shared" si="112"/>
        <v>4.6954867164947174E-5</v>
      </c>
      <c r="E313" s="327">
        <f t="shared" si="113"/>
        <v>1.5792728675848277E-4</v>
      </c>
      <c r="F313" s="327">
        <f t="shared" si="114"/>
        <v>1.7920316758444965E-2</v>
      </c>
      <c r="G313" s="327">
        <f t="shared" si="115"/>
        <v>2.1028502583761311E-2</v>
      </c>
      <c r="H313" s="327">
        <f t="shared" si="116"/>
        <v>7.4426591994635714E-3</v>
      </c>
      <c r="I313" s="327">
        <f t="shared" si="117"/>
        <v>2.1581550922198378E-3</v>
      </c>
      <c r="J313" s="327">
        <f t="shared" si="118"/>
        <v>5.9620462579950304E-10</v>
      </c>
      <c r="K313" s="327">
        <f t="shared" si="119"/>
        <v>7.1265361949296066E-11</v>
      </c>
      <c r="L313" s="327">
        <f t="shared" si="120"/>
        <v>7.4203977408993094E-4</v>
      </c>
      <c r="M313" s="327">
        <f t="shared" si="121"/>
        <v>4.594993191592866E-3</v>
      </c>
      <c r="N313" s="327">
        <f t="shared" si="122"/>
        <v>3.7037168790468228E-2</v>
      </c>
      <c r="O313" s="328">
        <f t="shared" si="123"/>
        <v>1.645621249290229E-2</v>
      </c>
      <c r="P313" s="327">
        <f t="shared" si="124"/>
        <v>8.1450502791629749E-3</v>
      </c>
      <c r="Q313" s="327">
        <f t="shared" si="125"/>
        <v>3.2035020540786031E-2</v>
      </c>
      <c r="R313" s="327">
        <f t="shared" si="126"/>
        <v>4.4876803882434313E-2</v>
      </c>
      <c r="S313" s="327">
        <f t="shared" si="127"/>
        <v>3.0076490456554968E-2</v>
      </c>
      <c r="T313" s="327">
        <f t="shared" si="128"/>
        <v>4.692800138665668E-181</v>
      </c>
      <c r="U313" s="328">
        <f t="shared" si="129"/>
        <v>1.0284452274744726E-4</v>
      </c>
      <c r="V313" s="327">
        <f t="shared" si="130"/>
        <v>1.8018034282820485E-3</v>
      </c>
      <c r="W313" s="327">
        <f t="shared" si="131"/>
        <v>7.706999897702984E-3</v>
      </c>
      <c r="X313" s="327">
        <f t="shared" si="132"/>
        <v>3.3106317363326809E-2</v>
      </c>
      <c r="Y313" s="327">
        <f t="shared" si="133"/>
        <v>3.5495043143530407E-2</v>
      </c>
      <c r="Z313" s="327">
        <f t="shared" si="134"/>
        <v>4.9695046401816272E-24</v>
      </c>
      <c r="AA313" s="328">
        <f t="shared" si="135"/>
        <v>6.5332607405088616E-3</v>
      </c>
    </row>
    <row r="314" spans="1:27" ht="12" customHeight="1" x14ac:dyDescent="0.15">
      <c r="A314" s="269">
        <f t="shared" si="109"/>
        <v>299</v>
      </c>
      <c r="B314" s="322">
        <f t="shared" si="110"/>
        <v>276</v>
      </c>
      <c r="C314" s="323">
        <f t="shared" si="111"/>
        <v>1196</v>
      </c>
      <c r="D314" s="327">
        <f t="shared" si="112"/>
        <v>4.5410476032158523E-5</v>
      </c>
      <c r="E314" s="327">
        <f t="shared" si="113"/>
        <v>1.5363335226767854E-4</v>
      </c>
      <c r="F314" s="327">
        <f t="shared" si="114"/>
        <v>1.7806717139354999E-2</v>
      </c>
      <c r="G314" s="327">
        <f t="shared" si="115"/>
        <v>2.0931950796275398E-2</v>
      </c>
      <c r="H314" s="327">
        <f t="shared" si="116"/>
        <v>7.4014604469773886E-3</v>
      </c>
      <c r="I314" s="327">
        <f t="shared" si="117"/>
        <v>2.1289757720397429E-3</v>
      </c>
      <c r="J314" s="327">
        <f t="shared" si="118"/>
        <v>5.5518828318712495E-10</v>
      </c>
      <c r="K314" s="327">
        <f t="shared" si="119"/>
        <v>6.5739874281470682E-11</v>
      </c>
      <c r="L314" s="327">
        <f t="shared" si="120"/>
        <v>7.3444503547615003E-4</v>
      </c>
      <c r="M314" s="327">
        <f t="shared" si="121"/>
        <v>4.5721529046635302E-3</v>
      </c>
      <c r="N314" s="327">
        <f t="shared" si="122"/>
        <v>3.7036483112757201E-2</v>
      </c>
      <c r="O314" s="328">
        <f t="shared" si="123"/>
        <v>1.6399885594677938E-2</v>
      </c>
      <c r="P314" s="327">
        <f t="shared" si="124"/>
        <v>8.0146275686282676E-3</v>
      </c>
      <c r="Q314" s="327">
        <f t="shared" si="125"/>
        <v>3.1777832632473239E-2</v>
      </c>
      <c r="R314" s="327">
        <f t="shared" si="126"/>
        <v>4.4602894280930117E-2</v>
      </c>
      <c r="S314" s="327">
        <f t="shared" si="127"/>
        <v>2.990977057788357E-2</v>
      </c>
      <c r="T314" s="327">
        <f t="shared" si="128"/>
        <v>3.18275240170502E-185</v>
      </c>
      <c r="U314" s="328">
        <f t="shared" si="129"/>
        <v>9.9136817772293995E-5</v>
      </c>
      <c r="V314" s="327">
        <f t="shared" si="130"/>
        <v>1.7639991574973759E-3</v>
      </c>
      <c r="W314" s="327">
        <f t="shared" si="131"/>
        <v>7.6047477324481683E-3</v>
      </c>
      <c r="X314" s="327">
        <f t="shared" si="132"/>
        <v>3.2903943277697412E-2</v>
      </c>
      <c r="Y314" s="327">
        <f t="shared" si="133"/>
        <v>3.5327260904311431E-2</v>
      </c>
      <c r="Z314" s="327">
        <f t="shared" si="134"/>
        <v>2.5129908126507358E-24</v>
      </c>
      <c r="AA314" s="328">
        <f t="shared" si="135"/>
        <v>6.4532054392341109E-3</v>
      </c>
    </row>
    <row r="315" spans="1:27" ht="12" customHeight="1" x14ac:dyDescent="0.15">
      <c r="A315" s="269">
        <f t="shared" si="109"/>
        <v>300</v>
      </c>
      <c r="B315" s="322">
        <f t="shared" si="110"/>
        <v>276.92307692307691</v>
      </c>
      <c r="C315" s="323">
        <f t="shared" si="111"/>
        <v>1200</v>
      </c>
      <c r="D315" s="327">
        <f t="shared" si="112"/>
        <v>4.3916881421967997E-5</v>
      </c>
      <c r="E315" s="327">
        <f t="shared" si="113"/>
        <v>1.4945701358454124E-4</v>
      </c>
      <c r="F315" s="327">
        <f t="shared" si="114"/>
        <v>1.7694108632611782E-2</v>
      </c>
      <c r="G315" s="327">
        <f t="shared" si="115"/>
        <v>2.0836153097051512E-2</v>
      </c>
      <c r="H315" s="327">
        <f t="shared" si="116"/>
        <v>7.3607466445667772E-3</v>
      </c>
      <c r="I315" s="327">
        <f t="shared" si="117"/>
        <v>2.1002350241637879E-3</v>
      </c>
      <c r="J315" s="327">
        <f t="shared" si="118"/>
        <v>5.1699369050504979E-10</v>
      </c>
      <c r="K315" s="327">
        <f t="shared" si="119"/>
        <v>6.0642320338729858E-11</v>
      </c>
      <c r="L315" s="327">
        <f t="shared" si="120"/>
        <v>7.2694698692010729E-4</v>
      </c>
      <c r="M315" s="327">
        <f t="shared" si="121"/>
        <v>4.5495013275998692E-3</v>
      </c>
      <c r="N315" s="327">
        <f t="shared" si="122"/>
        <v>3.7035816775921479E-2</v>
      </c>
      <c r="O315" s="328">
        <f t="shared" si="123"/>
        <v>1.6343935973625268E-2</v>
      </c>
      <c r="P315" s="327">
        <f t="shared" si="124"/>
        <v>7.8862932532342035E-3</v>
      </c>
      <c r="Q315" s="327">
        <f t="shared" si="125"/>
        <v>3.1522965650996632E-2</v>
      </c>
      <c r="R315" s="327">
        <f t="shared" si="126"/>
        <v>4.4331240748515022E-2</v>
      </c>
      <c r="S315" s="327">
        <f t="shared" si="127"/>
        <v>2.9744498704708477E-2</v>
      </c>
      <c r="T315" s="327">
        <f t="shared" si="128"/>
        <v>1.72947812447001E-189</v>
      </c>
      <c r="U315" s="328">
        <f t="shared" si="129"/>
        <v>9.556116379505486E-5</v>
      </c>
      <c r="V315" s="327">
        <f t="shared" si="130"/>
        <v>1.7269880714004043E-3</v>
      </c>
      <c r="W315" s="327">
        <f t="shared" si="131"/>
        <v>7.5039130902286337E-3</v>
      </c>
      <c r="X315" s="327">
        <f t="shared" si="132"/>
        <v>3.2703260539305723E-2</v>
      </c>
      <c r="Y315" s="327">
        <f t="shared" si="133"/>
        <v>3.5160799236165531E-2</v>
      </c>
      <c r="Z315" s="327">
        <f t="shared" si="134"/>
        <v>1.2600911714648914E-24</v>
      </c>
      <c r="AA315" s="328">
        <f t="shared" si="135"/>
        <v>6.3742393657834073E-3</v>
      </c>
    </row>
    <row r="316" spans="1:27" ht="12" customHeight="1" x14ac:dyDescent="0.15">
      <c r="A316" s="269">
        <f t="shared" si="109"/>
        <v>301</v>
      </c>
      <c r="B316" s="322">
        <f t="shared" si="110"/>
        <v>277.84615384615387</v>
      </c>
      <c r="C316" s="323">
        <f t="shared" si="111"/>
        <v>1204</v>
      </c>
      <c r="D316" s="327">
        <f t="shared" si="112"/>
        <v>4.2472412587468682E-5</v>
      </c>
      <c r="E316" s="327">
        <f t="shared" si="113"/>
        <v>1.4539502441866339E-4</v>
      </c>
      <c r="F316" s="327">
        <f t="shared" si="114"/>
        <v>1.7582480069041506E-2</v>
      </c>
      <c r="G316" s="327">
        <f t="shared" si="115"/>
        <v>2.0741101197410596E-2</v>
      </c>
      <c r="H316" s="327">
        <f t="shared" si="116"/>
        <v>7.3205106840347452E-3</v>
      </c>
      <c r="I316" s="327">
        <f t="shared" si="117"/>
        <v>2.0719255364405331E-3</v>
      </c>
      <c r="J316" s="327">
        <f t="shared" si="118"/>
        <v>4.8142672335889926E-10</v>
      </c>
      <c r="K316" s="327">
        <f t="shared" si="119"/>
        <v>5.5939596488678759E-11</v>
      </c>
      <c r="L316" s="327">
        <f t="shared" si="120"/>
        <v>7.195441465412955E-4</v>
      </c>
      <c r="M316" s="327">
        <f t="shared" si="121"/>
        <v>4.5270362850570222E-3</v>
      </c>
      <c r="N316" s="327">
        <f t="shared" si="122"/>
        <v>3.7035169234080838E-2</v>
      </c>
      <c r="O316" s="328">
        <f t="shared" si="123"/>
        <v>1.628835987424293E-2</v>
      </c>
      <c r="P316" s="327">
        <f t="shared" si="124"/>
        <v>7.7600138925297381E-3</v>
      </c>
      <c r="Q316" s="327">
        <f t="shared" si="125"/>
        <v>3.1270395754882468E-2</v>
      </c>
      <c r="R316" s="327">
        <f t="shared" si="126"/>
        <v>4.4061819527409729E-2</v>
      </c>
      <c r="S316" s="327">
        <f t="shared" si="127"/>
        <v>2.9580657805492024E-2</v>
      </c>
      <c r="T316" s="327">
        <f t="shared" si="128"/>
        <v>7.4911068199160374E-194</v>
      </c>
      <c r="U316" s="328">
        <f t="shared" si="129"/>
        <v>9.2112922841502964E-5</v>
      </c>
      <c r="V316" s="327">
        <f t="shared" si="130"/>
        <v>1.6907535279045165E-3</v>
      </c>
      <c r="W316" s="327">
        <f t="shared" si="131"/>
        <v>7.4044753130328806E-3</v>
      </c>
      <c r="X316" s="327">
        <f t="shared" si="132"/>
        <v>3.250425093621423E-2</v>
      </c>
      <c r="Y316" s="327">
        <f t="shared" si="133"/>
        <v>3.4995643663840802E-2</v>
      </c>
      <c r="Z316" s="327">
        <f t="shared" si="134"/>
        <v>6.2647089781153464E-25</v>
      </c>
      <c r="AA316" s="328">
        <f t="shared" si="135"/>
        <v>6.2963460871809929E-3</v>
      </c>
    </row>
    <row r="317" spans="1:27" ht="12" customHeight="1" x14ac:dyDescent="0.15">
      <c r="A317" s="269">
        <f t="shared" si="109"/>
        <v>302</v>
      </c>
      <c r="B317" s="322">
        <f t="shared" si="110"/>
        <v>278.76923076923077</v>
      </c>
      <c r="C317" s="323">
        <f t="shared" si="111"/>
        <v>1208</v>
      </c>
      <c r="D317" s="327">
        <f t="shared" si="112"/>
        <v>4.1075453734240395E-5</v>
      </c>
      <c r="E317" s="327">
        <f t="shared" si="113"/>
        <v>1.4144422889117135E-4</v>
      </c>
      <c r="F317" s="327">
        <f t="shared" si="114"/>
        <v>1.7471820434941554E-2</v>
      </c>
      <c r="G317" s="327">
        <f t="shared" si="115"/>
        <v>2.0646786925866141E-2</v>
      </c>
      <c r="H317" s="327">
        <f t="shared" si="116"/>
        <v>7.2807455823646347E-3</v>
      </c>
      <c r="I317" s="327">
        <f t="shared" si="117"/>
        <v>2.0440401315734436E-3</v>
      </c>
      <c r="J317" s="327">
        <f t="shared" si="118"/>
        <v>4.4830661228702765E-10</v>
      </c>
      <c r="K317" s="327">
        <f t="shared" si="119"/>
        <v>5.1601156776029977E-11</v>
      </c>
      <c r="L317" s="327">
        <f t="shared" si="120"/>
        <v>7.1223505912043628E-4</v>
      </c>
      <c r="M317" s="327">
        <f t="shared" si="121"/>
        <v>4.5047556338145998E-3</v>
      </c>
      <c r="N317" s="327">
        <f t="shared" si="122"/>
        <v>3.7034539956780577E-2</v>
      </c>
      <c r="O317" s="328">
        <f t="shared" si="123"/>
        <v>1.6233153590566998E-2</v>
      </c>
      <c r="P317" s="327">
        <f t="shared" si="124"/>
        <v>7.6357565815294787E-3</v>
      </c>
      <c r="Q317" s="327">
        <f t="shared" si="125"/>
        <v>3.1020099384369591E-2</v>
      </c>
      <c r="R317" s="327">
        <f t="shared" si="126"/>
        <v>4.3794607167178312E-2</v>
      </c>
      <c r="S317" s="327">
        <f t="shared" si="127"/>
        <v>2.9418231100355376E-2</v>
      </c>
      <c r="T317" s="327">
        <f t="shared" si="128"/>
        <v>2.5728919920475056E-198</v>
      </c>
      <c r="U317" s="328">
        <f t="shared" si="129"/>
        <v>8.878761721509143E-5</v>
      </c>
      <c r="V317" s="327">
        <f t="shared" si="130"/>
        <v>1.6552792340965683E-3</v>
      </c>
      <c r="W317" s="327">
        <f t="shared" si="131"/>
        <v>7.3064140615606973E-3</v>
      </c>
      <c r="X317" s="327">
        <f t="shared" si="132"/>
        <v>3.2306896498539128E-2</v>
      </c>
      <c r="Y317" s="327">
        <f t="shared" si="133"/>
        <v>3.4831779914784824E-2</v>
      </c>
      <c r="Z317" s="327">
        <f t="shared" si="134"/>
        <v>3.0877471673089183E-25</v>
      </c>
      <c r="AA317" s="328">
        <f t="shared" si="135"/>
        <v>6.2195094447612398E-3</v>
      </c>
    </row>
    <row r="318" spans="1:27" ht="12" customHeight="1" x14ac:dyDescent="0.15">
      <c r="A318" s="269">
        <f t="shared" si="109"/>
        <v>303</v>
      </c>
      <c r="B318" s="322">
        <f t="shared" si="110"/>
        <v>279.69230769230768</v>
      </c>
      <c r="C318" s="323">
        <f t="shared" si="111"/>
        <v>1212</v>
      </c>
      <c r="D318" s="327">
        <f t="shared" si="112"/>
        <v>3.9724442212908945E-5</v>
      </c>
      <c r="E318" s="327">
        <f t="shared" si="113"/>
        <v>1.3760155899164393E-4</v>
      </c>
      <c r="F318" s="327">
        <f t="shared" si="114"/>
        <v>1.736211886949246E-2</v>
      </c>
      <c r="G318" s="327">
        <f t="shared" si="115"/>
        <v>2.0553202226102352E-2</v>
      </c>
      <c r="H318" s="327">
        <f t="shared" si="116"/>
        <v>7.2414444791694035E-3</v>
      </c>
      <c r="I318" s="327">
        <f t="shared" si="117"/>
        <v>2.0165717643786385E-3</v>
      </c>
      <c r="J318" s="327">
        <f t="shared" si="118"/>
        <v>4.1746502399793911E-10</v>
      </c>
      <c r="K318" s="327">
        <f t="shared" si="119"/>
        <v>4.759881556111675E-11</v>
      </c>
      <c r="L318" s="327">
        <f t="shared" si="120"/>
        <v>7.0501829554836526E-4</v>
      </c>
      <c r="M318" s="327">
        <f t="shared" si="121"/>
        <v>4.4826572621990465E-3</v>
      </c>
      <c r="N318" s="327">
        <f t="shared" si="122"/>
        <v>3.7033928428554616E-2</v>
      </c>
      <c r="O318" s="328">
        <f t="shared" si="123"/>
        <v>1.6178313465358408E-2</v>
      </c>
      <c r="P318" s="327">
        <f t="shared" si="124"/>
        <v>7.5134889421394572E-3</v>
      </c>
      <c r="Q318" s="327">
        <f t="shared" si="125"/>
        <v>3.0772053257556203E-2</v>
      </c>
      <c r="R318" s="327">
        <f t="shared" si="126"/>
        <v>4.3529580519989008E-2</v>
      </c>
      <c r="S318" s="327">
        <f t="shared" si="127"/>
        <v>2.9257202056617474E-2</v>
      </c>
      <c r="T318" s="327">
        <f t="shared" si="128"/>
        <v>6.9697180361685373E-203</v>
      </c>
      <c r="U318" s="328">
        <f t="shared" si="129"/>
        <v>8.5580924064965203E-5</v>
      </c>
      <c r="V318" s="327">
        <f t="shared" si="130"/>
        <v>1.6205492389107469E-3</v>
      </c>
      <c r="W318" s="327">
        <f t="shared" si="131"/>
        <v>7.2097093099766398E-3</v>
      </c>
      <c r="X318" s="327">
        <f t="shared" si="132"/>
        <v>3.2111179494603848E-2</v>
      </c>
      <c r="Y318" s="327">
        <f t="shared" si="133"/>
        <v>3.4669193915699691E-2</v>
      </c>
      <c r="Z318" s="327">
        <f t="shared" si="134"/>
        <v>1.5086132820860295E-25</v>
      </c>
      <c r="AA318" s="328">
        <f t="shared" si="135"/>
        <v>6.1437135491171357E-3</v>
      </c>
    </row>
    <row r="319" spans="1:27" ht="12" customHeight="1" x14ac:dyDescent="0.15">
      <c r="A319" s="269">
        <f t="shared" si="109"/>
        <v>304</v>
      </c>
      <c r="B319" s="322">
        <f t="shared" si="110"/>
        <v>280.61538461538464</v>
      </c>
      <c r="C319" s="323">
        <f t="shared" si="111"/>
        <v>1216</v>
      </c>
      <c r="D319" s="327">
        <f t="shared" si="112"/>
        <v>3.8417866771153802E-5</v>
      </c>
      <c r="E319" s="327">
        <f t="shared" si="113"/>
        <v>1.3386403210737107E-4</v>
      </c>
      <c r="F319" s="327">
        <f t="shared" si="114"/>
        <v>1.7253364662221937E-2</v>
      </c>
      <c r="G319" s="327">
        <f t="shared" si="115"/>
        <v>2.0460339154992967E-2</v>
      </c>
      <c r="H319" s="327">
        <f t="shared" si="116"/>
        <v>7.2026006341995678E-3</v>
      </c>
      <c r="I319" s="327">
        <f t="shared" si="117"/>
        <v>1.9895135191042579E-3</v>
      </c>
      <c r="J319" s="327">
        <f t="shared" si="118"/>
        <v>3.8874520581467133E-10</v>
      </c>
      <c r="K319" s="327">
        <f t="shared" si="119"/>
        <v>4.3906565367349787E-11</v>
      </c>
      <c r="L319" s="327">
        <f t="shared" si="120"/>
        <v>6.9789245228624175E-4</v>
      </c>
      <c r="M319" s="327">
        <f t="shared" si="121"/>
        <v>4.4607390895181091E-3</v>
      </c>
      <c r="N319" s="327">
        <f t="shared" si="122"/>
        <v>3.703333414850097E-2</v>
      </c>
      <c r="O319" s="328">
        <f t="shared" si="123"/>
        <v>1.6123835889306021E-2</v>
      </c>
      <c r="P319" s="327">
        <f t="shared" si="124"/>
        <v>7.3931791147203111E-3</v>
      </c>
      <c r="Q319" s="327">
        <f t="shared" si="125"/>
        <v>3.0526234366606463E-2</v>
      </c>
      <c r="R319" s="327">
        <f t="shared" si="126"/>
        <v>4.3266716735960165E-2</v>
      </c>
      <c r="S319" s="327">
        <f t="shared" si="127"/>
        <v>2.9097554384425378E-2</v>
      </c>
      <c r="T319" s="327">
        <f t="shared" si="128"/>
        <v>1.4809713856385761E-207</v>
      </c>
      <c r="U319" s="328">
        <f t="shared" si="129"/>
        <v>8.2488670131386499E-5</v>
      </c>
      <c r="V319" s="327">
        <f t="shared" si="130"/>
        <v>1.5865479259561507E-3</v>
      </c>
      <c r="W319" s="327">
        <f t="shared" si="131"/>
        <v>7.114341340755931E-3</v>
      </c>
      <c r="X319" s="327">
        <f t="shared" si="132"/>
        <v>3.1917082427163956E-2</v>
      </c>
      <c r="Y319" s="327">
        <f t="shared" si="133"/>
        <v>3.4507871789164452E-2</v>
      </c>
      <c r="Z319" s="327">
        <f t="shared" si="134"/>
        <v>7.3057090965477233E-26</v>
      </c>
      <c r="AA319" s="328">
        <f t="shared" si="135"/>
        <v>6.0689427751505765E-3</v>
      </c>
    </row>
    <row r="320" spans="1:27" ht="12" customHeight="1" x14ac:dyDescent="0.15">
      <c r="A320" s="269">
        <f t="shared" si="109"/>
        <v>305</v>
      </c>
      <c r="B320" s="322">
        <f t="shared" si="110"/>
        <v>281.53846153846155</v>
      </c>
      <c r="C320" s="323">
        <f t="shared" si="111"/>
        <v>1220</v>
      </c>
      <c r="D320" s="327">
        <f t="shared" si="112"/>
        <v>3.7154265863209618E-5</v>
      </c>
      <c r="E320" s="327">
        <f t="shared" si="113"/>
        <v>1.302287486228672E-4</v>
      </c>
      <c r="F320" s="327">
        <f t="shared" si="114"/>
        <v>1.7145547250516313E-2</v>
      </c>
      <c r="G320" s="327">
        <f t="shared" si="115"/>
        <v>2.0368189880660879E-2</v>
      </c>
      <c r="H320" s="327">
        <f t="shared" si="116"/>
        <v>7.1642074249081492E-3</v>
      </c>
      <c r="I320" s="327">
        <f t="shared" si="117"/>
        <v>1.9628586068096698E-3</v>
      </c>
      <c r="J320" s="327">
        <f t="shared" si="118"/>
        <v>3.6200118897778066E-10</v>
      </c>
      <c r="K320" s="327">
        <f t="shared" si="119"/>
        <v>4.0500408767246742E-11</v>
      </c>
      <c r="L320" s="327">
        <f t="shared" si="120"/>
        <v>6.908561508389699E-4</v>
      </c>
      <c r="M320" s="327">
        <f t="shared" si="121"/>
        <v>4.438999065507346E-3</v>
      </c>
      <c r="N320" s="327">
        <f t="shared" si="122"/>
        <v>3.7032756629869427E-2</v>
      </c>
      <c r="O320" s="328">
        <f t="shared" si="123"/>
        <v>1.6069717300245347E-2</v>
      </c>
      <c r="P320" s="327">
        <f t="shared" si="124"/>
        <v>7.2747957497855164E-3</v>
      </c>
      <c r="Q320" s="327">
        <f t="shared" si="125"/>
        <v>3.0282619974018144E-2</v>
      </c>
      <c r="R320" s="327">
        <f t="shared" si="126"/>
        <v>4.3005993258590114E-2</v>
      </c>
      <c r="S320" s="327">
        <f t="shared" si="127"/>
        <v>2.8939272032474712E-2</v>
      </c>
      <c r="T320" s="327">
        <f t="shared" si="128"/>
        <v>2.4545997425704394E-212</v>
      </c>
      <c r="U320" s="328">
        <f t="shared" si="129"/>
        <v>7.950682666746367E-5</v>
      </c>
      <c r="V320" s="327">
        <f t="shared" si="130"/>
        <v>1.5532600064948729E-3</v>
      </c>
      <c r="W320" s="327">
        <f t="shared" si="131"/>
        <v>7.0202907396220964E-3</v>
      </c>
      <c r="X320" s="327">
        <f t="shared" si="132"/>
        <v>3.1724588029701239E-2</v>
      </c>
      <c r="Y320" s="327">
        <f t="shared" si="133"/>
        <v>3.4347799850325829E-2</v>
      </c>
      <c r="Z320" s="327">
        <f t="shared" si="134"/>
        <v>3.5062863607852418E-26</v>
      </c>
      <c r="AA320" s="328">
        <f t="shared" si="135"/>
        <v>5.9951817572228006E-3</v>
      </c>
    </row>
    <row r="321" spans="1:27" ht="12" customHeight="1" x14ac:dyDescent="0.15">
      <c r="A321" s="269">
        <f t="shared" si="109"/>
        <v>306</v>
      </c>
      <c r="B321" s="322">
        <f t="shared" si="110"/>
        <v>282.46153846153845</v>
      </c>
      <c r="C321" s="323">
        <f t="shared" si="111"/>
        <v>1224</v>
      </c>
      <c r="D321" s="327">
        <f t="shared" si="112"/>
        <v>3.5932226014968881E-5</v>
      </c>
      <c r="E321" s="327">
        <f t="shared" si="113"/>
        <v>1.2669288958759773E-4</v>
      </c>
      <c r="F321" s="327">
        <f t="shared" si="114"/>
        <v>1.7038656217180703E-2</v>
      </c>
      <c r="G321" s="327">
        <f t="shared" si="115"/>
        <v>2.0276746680576375E-2</v>
      </c>
      <c r="H321" s="327">
        <f t="shared" si="116"/>
        <v>7.1262583440711924E-3</v>
      </c>
      <c r="I321" s="327">
        <f t="shared" si="117"/>
        <v>1.9366003628027428E-3</v>
      </c>
      <c r="J321" s="327">
        <f t="shared" si="118"/>
        <v>3.3709704675766634E-10</v>
      </c>
      <c r="K321" s="327">
        <f t="shared" si="119"/>
        <v>3.7358203226577382E-11</v>
      </c>
      <c r="L321" s="327">
        <f t="shared" si="120"/>
        <v>6.8390803724116545E-4</v>
      </c>
      <c r="M321" s="327">
        <f t="shared" si="121"/>
        <v>4.4174351697882364E-3</v>
      </c>
      <c r="N321" s="327">
        <f t="shared" si="122"/>
        <v>3.7032195399660711E-2</v>
      </c>
      <c r="O321" s="328">
        <f t="shared" si="123"/>
        <v>1.6015954182392551E-2</v>
      </c>
      <c r="P321" s="327">
        <f t="shared" si="124"/>
        <v>7.1583079998325614E-3</v>
      </c>
      <c r="Q321" s="327">
        <f t="shared" si="125"/>
        <v>3.0041187608948468E-2</v>
      </c>
      <c r="R321" s="327">
        <f t="shared" si="126"/>
        <v>4.2747387820267546E-2</v>
      </c>
      <c r="S321" s="327">
        <f t="shared" si="127"/>
        <v>2.8782339183817715E-2</v>
      </c>
      <c r="T321" s="327">
        <f t="shared" si="128"/>
        <v>3.1551919118705816E-217</v>
      </c>
      <c r="U321" s="328">
        <f t="shared" si="129"/>
        <v>7.663150452796863E-5</v>
      </c>
      <c r="V321" s="327">
        <f t="shared" si="130"/>
        <v>1.5206705125673781E-3</v>
      </c>
      <c r="W321" s="327">
        <f t="shared" si="131"/>
        <v>6.9275383905736303E-3</v>
      </c>
      <c r="X321" s="327">
        <f t="shared" si="132"/>
        <v>3.1533679262787273E-2</v>
      </c>
      <c r="Y321" s="327">
        <f t="shared" si="133"/>
        <v>3.418896460365408E-2</v>
      </c>
      <c r="Z321" s="327">
        <f t="shared" si="134"/>
        <v>1.6675722658572572E-26</v>
      </c>
      <c r="AA321" s="328">
        <f t="shared" si="135"/>
        <v>5.922415384402413E-3</v>
      </c>
    </row>
    <row r="322" spans="1:27" ht="12" customHeight="1" x14ac:dyDescent="0.15">
      <c r="A322" s="269">
        <f t="shared" si="109"/>
        <v>307</v>
      </c>
      <c r="B322" s="322">
        <f t="shared" si="110"/>
        <v>283.38461538461536</v>
      </c>
      <c r="C322" s="323">
        <f t="shared" si="111"/>
        <v>1228</v>
      </c>
      <c r="D322" s="327">
        <f t="shared" si="112"/>
        <v>3.4750380242858959E-5</v>
      </c>
      <c r="E322" s="327">
        <f t="shared" si="113"/>
        <v>1.2325371444998806E-4</v>
      </c>
      <c r="F322" s="327">
        <f t="shared" si="114"/>
        <v>1.6932681288046814E-2</v>
      </c>
      <c r="G322" s="327">
        <f t="shared" si="115"/>
        <v>2.0186001939694016E-2</v>
      </c>
      <c r="H322" s="327">
        <f t="shared" si="116"/>
        <v>7.088746997462589E-3</v>
      </c>
      <c r="I322" s="327">
        <f t="shared" si="117"/>
        <v>1.9107322441340724E-3</v>
      </c>
      <c r="J322" s="327">
        <f t="shared" si="118"/>
        <v>3.1390620360563255E-10</v>
      </c>
      <c r="K322" s="327">
        <f t="shared" si="119"/>
        <v>3.4459517909213609E-11</v>
      </c>
      <c r="L322" s="327">
        <f t="shared" si="120"/>
        <v>6.7704678155477982E-4</v>
      </c>
      <c r="M322" s="327">
        <f t="shared" si="121"/>
        <v>4.3960454113376483E-3</v>
      </c>
      <c r="N322" s="327">
        <f t="shared" si="122"/>
        <v>3.7031649998237319E-2</v>
      </c>
      <c r="O322" s="328">
        <f t="shared" si="123"/>
        <v>1.5962543065593266E-2</v>
      </c>
      <c r="P322" s="327">
        <f t="shared" si="124"/>
        <v>7.0436855113049247E-3</v>
      </c>
      <c r="Q322" s="327">
        <f t="shared" si="125"/>
        <v>2.9801915063598045E-2</v>
      </c>
      <c r="R322" s="327">
        <f t="shared" si="126"/>
        <v>4.2490878437863255E-2</v>
      </c>
      <c r="S322" s="327">
        <f t="shared" si="127"/>
        <v>2.8626740251757109E-2</v>
      </c>
      <c r="T322" s="327">
        <f t="shared" si="128"/>
        <v>3.127036450510449E-222</v>
      </c>
      <c r="U322" s="328">
        <f t="shared" si="129"/>
        <v>7.385894942246729E-5</v>
      </c>
      <c r="V322" s="327">
        <f t="shared" si="130"/>
        <v>1.4887647902621561E-3</v>
      </c>
      <c r="W322" s="327">
        <f t="shared" si="131"/>
        <v>6.8360654709984153E-3</v>
      </c>
      <c r="X322" s="327">
        <f t="shared" si="132"/>
        <v>3.1344339310512059E-2</v>
      </c>
      <c r="Y322" s="327">
        <f t="shared" si="133"/>
        <v>3.4031352739762669E-2</v>
      </c>
      <c r="Z322" s="327">
        <f t="shared" si="134"/>
        <v>7.8582408623113009E-27</v>
      </c>
      <c r="AA322" s="328">
        <f t="shared" si="135"/>
        <v>5.8506287958091097E-3</v>
      </c>
    </row>
    <row r="323" spans="1:27" ht="12" customHeight="1" x14ac:dyDescent="0.15">
      <c r="A323" s="269">
        <f t="shared" si="109"/>
        <v>308</v>
      </c>
      <c r="B323" s="322">
        <f t="shared" si="110"/>
        <v>284.30769230769232</v>
      </c>
      <c r="C323" s="323">
        <f t="shared" si="111"/>
        <v>1232</v>
      </c>
      <c r="D323" s="327">
        <f t="shared" si="112"/>
        <v>3.3607406524722826E-5</v>
      </c>
      <c r="E323" s="327">
        <f t="shared" si="113"/>
        <v>1.1990855885578288E-4</v>
      </c>
      <c r="F323" s="327">
        <f t="shared" si="114"/>
        <v>1.682761232962493E-2</v>
      </c>
      <c r="G323" s="327">
        <f t="shared" si="115"/>
        <v>2.0095948148626891E-2</v>
      </c>
      <c r="H323" s="327">
        <f t="shared" si="116"/>
        <v>7.0516671015816304E-3</v>
      </c>
      <c r="I323" s="327">
        <f t="shared" si="117"/>
        <v>1.8852478271463857E-3</v>
      </c>
      <c r="J323" s="327">
        <f t="shared" si="118"/>
        <v>2.923107918324103E-10</v>
      </c>
      <c r="K323" s="327">
        <f t="shared" si="119"/>
        <v>3.178550152193467E-11</v>
      </c>
      <c r="L323" s="327">
        <f t="shared" si="120"/>
        <v>6.7027107737849256E-4</v>
      </c>
      <c r="M323" s="327">
        <f t="shared" si="121"/>
        <v>4.3748278279684243E-3</v>
      </c>
      <c r="N323" s="327">
        <f t="shared" si="122"/>
        <v>3.703111997894519E-2</v>
      </c>
      <c r="O323" s="328">
        <f t="shared" si="123"/>
        <v>1.5909480524585965E-2</v>
      </c>
      <c r="P323" s="327">
        <f t="shared" si="124"/>
        <v>6.9308984166827322E-3</v>
      </c>
      <c r="Q323" s="327">
        <f t="shared" si="125"/>
        <v>2.9564780389651869E-2</v>
      </c>
      <c r="R323" s="327">
        <f t="shared" si="126"/>
        <v>4.2236443408398605E-2</v>
      </c>
      <c r="S323" s="327">
        <f t="shared" si="127"/>
        <v>2.847245987582351E-2</v>
      </c>
      <c r="T323" s="327">
        <f t="shared" si="128"/>
        <v>2.3751678440483739E-227</v>
      </c>
      <c r="U323" s="328">
        <f t="shared" si="129"/>
        <v>7.1185537324991444E-5</v>
      </c>
      <c r="V323" s="327">
        <f t="shared" si="130"/>
        <v>1.4575284931265557E-3</v>
      </c>
      <c r="W323" s="327">
        <f t="shared" si="131"/>
        <v>6.7458534468742941E-3</v>
      </c>
      <c r="X323" s="327">
        <f t="shared" si="132"/>
        <v>3.1156551576980274E-2</v>
      </c>
      <c r="Y323" s="327">
        <f t="shared" si="133"/>
        <v>3.3874951132291435E-2</v>
      </c>
      <c r="Z323" s="327">
        <f t="shared" si="134"/>
        <v>3.6687651521260051E-27</v>
      </c>
      <c r="AA323" s="328">
        <f t="shared" si="135"/>
        <v>5.779807376051993E-3</v>
      </c>
    </row>
    <row r="324" spans="1:27" ht="12" customHeight="1" x14ac:dyDescent="0.15">
      <c r="A324" s="269">
        <f t="shared" si="109"/>
        <v>309</v>
      </c>
      <c r="B324" s="322">
        <f t="shared" si="110"/>
        <v>285.23076923076923</v>
      </c>
      <c r="C324" s="323">
        <f t="shared" si="111"/>
        <v>1236</v>
      </c>
      <c r="D324" s="327">
        <f t="shared" si="112"/>
        <v>3.2502026320994932E-5</v>
      </c>
      <c r="E324" s="327">
        <f t="shared" si="113"/>
        <v>1.1665483250891082E-4</v>
      </c>
      <c r="F324" s="327">
        <f t="shared" si="114"/>
        <v>1.6723439346802982E-2</v>
      </c>
      <c r="G324" s="327">
        <f t="shared" si="115"/>
        <v>2.0006577901857375E-2</v>
      </c>
      <c r="H324" s="327">
        <f t="shared" si="116"/>
        <v>7.0150124814321495E-3</v>
      </c>
      <c r="I324" s="327">
        <f t="shared" si="117"/>
        <v>1.8601408050789026E-3</v>
      </c>
      <c r="J324" s="327">
        <f t="shared" si="118"/>
        <v>2.7220105254446818E-10</v>
      </c>
      <c r="K324" s="327">
        <f t="shared" si="119"/>
        <v>2.9318760349198674E-11</v>
      </c>
      <c r="L324" s="327">
        <f t="shared" si="120"/>
        <v>6.6357964136820602E-4</v>
      </c>
      <c r="M324" s="327">
        <f t="shared" si="121"/>
        <v>4.3537804858207411E-3</v>
      </c>
      <c r="N324" s="327">
        <f t="shared" si="122"/>
        <v>3.7030604907746359E-2</v>
      </c>
      <c r="O324" s="328">
        <f t="shared" si="123"/>
        <v>1.5856763178279568E-2</v>
      </c>
      <c r="P324" s="327">
        <f t="shared" si="124"/>
        <v>6.819917326700147E-3</v>
      </c>
      <c r="Q324" s="327">
        <f t="shared" si="125"/>
        <v>2.9329761894775614E-2</v>
      </c>
      <c r="R324" s="327">
        <f t="shared" si="126"/>
        <v>4.1984061304792597E-2</v>
      </c>
      <c r="S324" s="327">
        <f t="shared" si="127"/>
        <v>2.8319482917834846E-2</v>
      </c>
      <c r="T324" s="327">
        <f t="shared" si="128"/>
        <v>1.3741741503457727E-232</v>
      </c>
      <c r="U324" s="328">
        <f t="shared" si="129"/>
        <v>6.8607770037143467E-5</v>
      </c>
      <c r="V324" s="327">
        <f t="shared" si="130"/>
        <v>1.4269475757158984E-3</v>
      </c>
      <c r="W324" s="327">
        <f t="shared" si="131"/>
        <v>6.6568840680540581E-3</v>
      </c>
      <c r="X324" s="327">
        <f t="shared" si="132"/>
        <v>3.0970299682870461E-2</v>
      </c>
      <c r="Y324" s="327">
        <f t="shared" si="133"/>
        <v>3.3719746834850281E-2</v>
      </c>
      <c r="Z324" s="327">
        <f t="shared" si="134"/>
        <v>1.6967516918766406E-27</v>
      </c>
      <c r="AA324" s="328">
        <f t="shared" si="135"/>
        <v>5.7099367507570387E-3</v>
      </c>
    </row>
    <row r="325" spans="1:27" ht="12" customHeight="1" x14ac:dyDescent="0.15">
      <c r="A325" s="269">
        <f t="shared" si="109"/>
        <v>310</v>
      </c>
      <c r="B325" s="322">
        <f t="shared" si="110"/>
        <v>286.15384615384613</v>
      </c>
      <c r="C325" s="323">
        <f t="shared" si="111"/>
        <v>1240</v>
      </c>
      <c r="D325" s="327">
        <f t="shared" si="112"/>
        <v>3.1433003144516218E-5</v>
      </c>
      <c r="E325" s="327">
        <f t="shared" si="113"/>
        <v>1.1349001709306175E-4</v>
      </c>
      <c r="F325" s="327">
        <f t="shared" si="114"/>
        <v>1.6620152480587347E-2</v>
      </c>
      <c r="G325" s="327">
        <f t="shared" si="115"/>
        <v>1.9917883895983673E-2</v>
      </c>
      <c r="H325" s="327">
        <f t="shared" si="116"/>
        <v>6.9787770683518557E-3</v>
      </c>
      <c r="I325" s="327">
        <f t="shared" si="117"/>
        <v>1.8354049857235433E-3</v>
      </c>
      <c r="J325" s="327">
        <f t="shared" si="118"/>
        <v>2.5347477779334207E-10</v>
      </c>
      <c r="K325" s="327">
        <f t="shared" si="119"/>
        <v>2.7043245693255151E-11</v>
      </c>
      <c r="L325" s="327">
        <f t="shared" si="120"/>
        <v>6.5697121276886428E-4</v>
      </c>
      <c r="M325" s="327">
        <f t="shared" si="121"/>
        <v>4.3329014788641021E-3</v>
      </c>
      <c r="N325" s="327">
        <f t="shared" si="122"/>
        <v>3.7030104362861756E-2</v>
      </c>
      <c r="O325" s="328">
        <f t="shared" si="123"/>
        <v>1.5804387689044793E-2</v>
      </c>
      <c r="P325" s="327">
        <f t="shared" si="124"/>
        <v>6.7107133226872711E-3</v>
      </c>
      <c r="Q325" s="327">
        <f t="shared" si="125"/>
        <v>2.9096838139166824E-2</v>
      </c>
      <c r="R325" s="327">
        <f t="shared" si="126"/>
        <v>4.1733710971682214E-2</v>
      </c>
      <c r="S325" s="327">
        <f t="shared" si="127"/>
        <v>2.8167794458035179E-2</v>
      </c>
      <c r="T325" s="327">
        <f t="shared" si="128"/>
        <v>6.0179095289007261E-238</v>
      </c>
      <c r="U325" s="328">
        <f t="shared" si="129"/>
        <v>6.6122270898971713E-5</v>
      </c>
      <c r="V325" s="327">
        <f t="shared" si="130"/>
        <v>1.3970082872779069E-3</v>
      </c>
      <c r="W325" s="327">
        <f t="shared" si="131"/>
        <v>6.5691393636328442E-3</v>
      </c>
      <c r="X325" s="327">
        <f t="shared" si="132"/>
        <v>3.0785567462056407E-2</v>
      </c>
      <c r="Y325" s="327">
        <f t="shared" si="133"/>
        <v>3.3565727078023411E-2</v>
      </c>
      <c r="Z325" s="327">
        <f t="shared" si="134"/>
        <v>7.7726614370547819E-28</v>
      </c>
      <c r="AA325" s="328">
        <f t="shared" si="135"/>
        <v>5.6410027821869324E-3</v>
      </c>
    </row>
    <row r="326" spans="1:27" ht="12" customHeight="1" x14ac:dyDescent="0.15">
      <c r="A326" s="269">
        <f t="shared" si="109"/>
        <v>311</v>
      </c>
      <c r="B326" s="322">
        <f t="shared" si="110"/>
        <v>287.07692307692309</v>
      </c>
      <c r="C326" s="323">
        <f t="shared" si="111"/>
        <v>1244</v>
      </c>
      <c r="D326" s="327">
        <f t="shared" si="112"/>
        <v>3.0399141177389764E-5</v>
      </c>
      <c r="E326" s="327">
        <f t="shared" si="113"/>
        <v>1.104116642522335E-4</v>
      </c>
      <c r="F326" s="327">
        <f t="shared" si="114"/>
        <v>1.6517742005888625E-2</v>
      </c>
      <c r="G326" s="327">
        <f t="shared" si="115"/>
        <v>1.9829858928001234E-2</v>
      </c>
      <c r="H326" s="327">
        <f t="shared" si="116"/>
        <v>6.9429548978906033E-3</v>
      </c>
      <c r="I326" s="327">
        <f t="shared" si="117"/>
        <v>1.8110342891335396E-3</v>
      </c>
      <c r="J326" s="327">
        <f t="shared" si="118"/>
        <v>2.360367911027375E-10</v>
      </c>
      <c r="K326" s="327">
        <f t="shared" si="119"/>
        <v>2.4944149995308604E-11</v>
      </c>
      <c r="L326" s="327">
        <f t="shared" si="120"/>
        <v>6.5044455295715231E-4</v>
      </c>
      <c r="M326" s="327">
        <f t="shared" si="121"/>
        <v>4.3121889284095938E-3</v>
      </c>
      <c r="N326" s="327">
        <f t="shared" si="122"/>
        <v>3.7029617934424462E-2</v>
      </c>
      <c r="O326" s="328">
        <f t="shared" si="123"/>
        <v>1.5752350762019314E-2</v>
      </c>
      <c r="P326" s="327">
        <f t="shared" si="124"/>
        <v>6.6032579490347193E-3</v>
      </c>
      <c r="Q326" s="327">
        <f t="shared" si="125"/>
        <v>2.8865987932160171E-2</v>
      </c>
      <c r="R326" s="327">
        <f t="shared" si="126"/>
        <v>4.148537152131837E-2</v>
      </c>
      <c r="S326" s="327">
        <f t="shared" si="127"/>
        <v>2.8017379791312115E-2</v>
      </c>
      <c r="T326" s="327">
        <f t="shared" si="128"/>
        <v>1.9820436450065082E-243</v>
      </c>
      <c r="U326" s="328">
        <f t="shared" si="129"/>
        <v>6.3725780642842622E-5</v>
      </c>
      <c r="V326" s="327">
        <f t="shared" si="130"/>
        <v>1.3676971655696732E-3</v>
      </c>
      <c r="W326" s="327">
        <f t="shared" si="131"/>
        <v>6.4826016373973122E-3</v>
      </c>
      <c r="X326" s="327">
        <f t="shared" si="132"/>
        <v>3.0602338958291897E-2</v>
      </c>
      <c r="Y326" s="327">
        <f t="shared" si="133"/>
        <v>3.3412879266431432E-2</v>
      </c>
      <c r="Z326" s="327">
        <f t="shared" si="134"/>
        <v>3.5263299313692391E-28</v>
      </c>
      <c r="AA326" s="328">
        <f t="shared" si="135"/>
        <v>5.5729915649459505E-3</v>
      </c>
    </row>
    <row r="327" spans="1:27" ht="12" customHeight="1" x14ac:dyDescent="0.15">
      <c r="A327" s="269">
        <f t="shared" si="109"/>
        <v>312</v>
      </c>
      <c r="B327" s="322">
        <f t="shared" si="110"/>
        <v>288</v>
      </c>
      <c r="C327" s="323">
        <f t="shared" si="111"/>
        <v>1248</v>
      </c>
      <c r="D327" s="327">
        <f t="shared" si="112"/>
        <v>2.9399283933329685E-5</v>
      </c>
      <c r="E327" s="327">
        <f t="shared" si="113"/>
        <v>1.0741739362854253E-4</v>
      </c>
      <c r="F327" s="327">
        <f t="shared" si="114"/>
        <v>1.641619832934782E-2</v>
      </c>
      <c r="G327" s="327">
        <f t="shared" si="115"/>
        <v>1.9742495893618157E-2</v>
      </c>
      <c r="H327" s="327">
        <f t="shared" si="116"/>
        <v>6.9075401077364623E-3</v>
      </c>
      <c r="I327" s="327">
        <f t="shared" si="117"/>
        <v>1.7870227453813392E-3</v>
      </c>
      <c r="J327" s="327">
        <f t="shared" si="118"/>
        <v>2.1979846373314755E-10</v>
      </c>
      <c r="K327" s="327">
        <f t="shared" si="119"/>
        <v>2.3007810969100057E-11</v>
      </c>
      <c r="L327" s="327">
        <f t="shared" si="120"/>
        <v>6.4399844499429815E-4</v>
      </c>
      <c r="M327" s="327">
        <f t="shared" si="121"/>
        <v>4.2916409826321746E-3</v>
      </c>
      <c r="N327" s="327">
        <f t="shared" si="122"/>
        <v>3.7029145224142579E-2</v>
      </c>
      <c r="O327" s="328">
        <f t="shared" si="123"/>
        <v>1.5700649144426093E-2</v>
      </c>
      <c r="P327" s="327">
        <f t="shared" si="124"/>
        <v>6.4975232057789102E-3</v>
      </c>
      <c r="Q327" s="327">
        <f t="shared" si="125"/>
        <v>2.8637190328884916E-2</v>
      </c>
      <c r="R327" s="327">
        <f t="shared" si="126"/>
        <v>4.1239022329531805E-2</v>
      </c>
      <c r="S327" s="327">
        <f t="shared" si="127"/>
        <v>2.7868224423489841E-2</v>
      </c>
      <c r="T327" s="327">
        <f t="shared" si="128"/>
        <v>4.8773871983099149E-249</v>
      </c>
      <c r="U327" s="328">
        <f t="shared" si="129"/>
        <v>6.1415153385313559E-5</v>
      </c>
      <c r="V327" s="327">
        <f t="shared" si="130"/>
        <v>1.3390010308043363E-3</v>
      </c>
      <c r="W327" s="327">
        <f t="shared" si="131"/>
        <v>6.3972534633538851E-3</v>
      </c>
      <c r="X327" s="327">
        <f t="shared" si="132"/>
        <v>3.0420598421953549E-2</v>
      </c>
      <c r="Y327" s="327">
        <f t="shared" si="133"/>
        <v>3.3261190975851236E-2</v>
      </c>
      <c r="Z327" s="327">
        <f t="shared" si="134"/>
        <v>1.5842579058568562E-28</v>
      </c>
      <c r="AA327" s="328">
        <f t="shared" si="135"/>
        <v>5.5058894217719923E-3</v>
      </c>
    </row>
    <row r="328" spans="1:27" ht="12" customHeight="1" x14ac:dyDescent="0.15">
      <c r="A328" s="269">
        <f t="shared" si="109"/>
        <v>313</v>
      </c>
      <c r="B328" s="322">
        <f t="shared" si="110"/>
        <v>288.92307692307691</v>
      </c>
      <c r="C328" s="323">
        <f t="shared" si="111"/>
        <v>1252</v>
      </c>
      <c r="D328" s="327">
        <f t="shared" si="112"/>
        <v>2.8432312964005651E-5</v>
      </c>
      <c r="E328" s="327">
        <f t="shared" si="113"/>
        <v>1.0450489095567319E-4</v>
      </c>
      <c r="F328" s="327">
        <f t="shared" si="114"/>
        <v>1.6315511987204601E-2</v>
      </c>
      <c r="G328" s="327">
        <f t="shared" si="115"/>
        <v>1.9655787785604176E-2</v>
      </c>
      <c r="H328" s="327">
        <f t="shared" si="116"/>
        <v>6.8725269356882729E-3</v>
      </c>
      <c r="I328" s="327">
        <f t="shared" si="117"/>
        <v>1.7633644923670255E-3</v>
      </c>
      <c r="J328" s="327">
        <f t="shared" si="118"/>
        <v>2.0467726422540523E-10</v>
      </c>
      <c r="K328" s="327">
        <f t="shared" si="119"/>
        <v>2.1221623129766112E-11</v>
      </c>
      <c r="L328" s="327">
        <f t="shared" si="120"/>
        <v>6.3763169318931112E-4</v>
      </c>
      <c r="M328" s="327">
        <f t="shared" si="121"/>
        <v>4.2712558161029012E-3</v>
      </c>
      <c r="N328" s="327">
        <f t="shared" si="122"/>
        <v>3.7028685844971772E-2</v>
      </c>
      <c r="O328" s="328">
        <f t="shared" si="123"/>
        <v>1.5649279624904582E-2</v>
      </c>
      <c r="P328" s="327">
        <f t="shared" si="124"/>
        <v>6.3934815413059839E-3</v>
      </c>
      <c r="Q328" s="327">
        <f t="shared" si="125"/>
        <v>2.8410424626974826E-2</v>
      </c>
      <c r="R328" s="327">
        <f t="shared" si="126"/>
        <v>4.099464303177236E-2</v>
      </c>
      <c r="S328" s="327">
        <f t="shared" si="127"/>
        <v>2.7720314067697323E-2</v>
      </c>
      <c r="T328" s="327">
        <f t="shared" si="128"/>
        <v>8.9072680424153933E-255</v>
      </c>
      <c r="U328" s="328">
        <f t="shared" si="129"/>
        <v>5.9187352752898548E-5</v>
      </c>
      <c r="V328" s="327">
        <f t="shared" si="130"/>
        <v>1.3109069797247761E-3</v>
      </c>
      <c r="W328" s="327">
        <f t="shared" si="131"/>
        <v>6.3130776813356201E-3</v>
      </c>
      <c r="X328" s="327">
        <f t="shared" si="132"/>
        <v>3.0240330306844143E-2</v>
      </c>
      <c r="Y328" s="327">
        <f t="shared" si="133"/>
        <v>3.3110649950391757E-2</v>
      </c>
      <c r="Z328" s="327">
        <f t="shared" si="134"/>
        <v>7.0473516270904062E-29</v>
      </c>
      <c r="AA328" s="328">
        <f t="shared" si="135"/>
        <v>5.4396828994116575E-3</v>
      </c>
    </row>
    <row r="329" spans="1:27" ht="12" customHeight="1" x14ac:dyDescent="0.15">
      <c r="A329" s="269">
        <f t="shared" si="109"/>
        <v>314</v>
      </c>
      <c r="B329" s="322">
        <f t="shared" si="110"/>
        <v>289.84615384615387</v>
      </c>
      <c r="C329" s="323">
        <f t="shared" si="111"/>
        <v>1256</v>
      </c>
      <c r="D329" s="327">
        <f t="shared" si="112"/>
        <v>2.7497146607937946E-5</v>
      </c>
      <c r="E329" s="327">
        <f t="shared" si="113"/>
        <v>1.0167190620634965E-4</v>
      </c>
      <c r="F329" s="327">
        <f t="shared" si="114"/>
        <v>1.6215673643205863E-2</v>
      </c>
      <c r="G329" s="327">
        <f t="shared" si="115"/>
        <v>1.9569727692171909E-2</v>
      </c>
      <c r="H329" s="327">
        <f t="shared" si="116"/>
        <v>6.8379097176736129E-3</v>
      </c>
      <c r="I329" s="327">
        <f t="shared" si="117"/>
        <v>1.7400537736735888E-3</v>
      </c>
      <c r="J329" s="327">
        <f t="shared" si="118"/>
        <v>1.9059633893373022E-10</v>
      </c>
      <c r="K329" s="327">
        <f t="shared" si="119"/>
        <v>1.9573956148223569E-11</v>
      </c>
      <c r="L329" s="327">
        <f t="shared" si="120"/>
        <v>6.3134312267232318E-4</v>
      </c>
      <c r="M329" s="327">
        <f t="shared" si="121"/>
        <v>4.2510316293306498E-3</v>
      </c>
      <c r="N329" s="327">
        <f t="shared" si="122"/>
        <v>3.7028239420797138E-2</v>
      </c>
      <c r="O329" s="328">
        <f t="shared" si="123"/>
        <v>1.55982390328548E-2</v>
      </c>
      <c r="P329" s="327">
        <f t="shared" si="124"/>
        <v>6.2911058451725925E-3</v>
      </c>
      <c r="Q329" s="327">
        <f t="shared" si="125"/>
        <v>2.8185670363328624E-2</v>
      </c>
      <c r="R329" s="327">
        <f t="shared" si="126"/>
        <v>4.0752213519214764E-2</v>
      </c>
      <c r="S329" s="327">
        <f t="shared" si="127"/>
        <v>2.7573634640808434E-2</v>
      </c>
      <c r="T329" s="327">
        <f t="shared" si="128"/>
        <v>1.198931529676313E-260</v>
      </c>
      <c r="U329" s="328">
        <f t="shared" si="129"/>
        <v>5.7039448138285209E-5</v>
      </c>
      <c r="V329" s="327">
        <f t="shared" si="130"/>
        <v>1.2834023798016375E-3</v>
      </c>
      <c r="W329" s="327">
        <f t="shared" si="131"/>
        <v>6.2300573926853259E-3</v>
      </c>
      <c r="X329" s="327">
        <f t="shared" si="132"/>
        <v>3.0061519267052472E-2</v>
      </c>
      <c r="Y329" s="327">
        <f t="shared" si="133"/>
        <v>3.2961244099724028E-2</v>
      </c>
      <c r="Z329" s="327">
        <f t="shared" si="134"/>
        <v>3.1036292576122692E-29</v>
      </c>
      <c r="AA329" s="328">
        <f t="shared" si="135"/>
        <v>5.3743587645773694E-3</v>
      </c>
    </row>
    <row r="330" spans="1:27" ht="12" customHeight="1" x14ac:dyDescent="0.15">
      <c r="A330" s="269">
        <f t="shared" si="109"/>
        <v>315</v>
      </c>
      <c r="B330" s="322">
        <f t="shared" si="110"/>
        <v>290.76923076923077</v>
      </c>
      <c r="C330" s="323">
        <f t="shared" si="111"/>
        <v>1260</v>
      </c>
      <c r="D330" s="327">
        <f t="shared" si="112"/>
        <v>2.6592738780542559E-5</v>
      </c>
      <c r="E330" s="327">
        <f t="shared" si="113"/>
        <v>9.8916251792290712E-5</v>
      </c>
      <c r="F330" s="327">
        <f t="shared" si="114"/>
        <v>1.6116674086552707E-2</v>
      </c>
      <c r="G330" s="327">
        <f t="shared" si="115"/>
        <v>1.9484308795390117E-2</v>
      </c>
      <c r="H330" s="327">
        <f t="shared" si="116"/>
        <v>6.8036828858110462E-3</v>
      </c>
      <c r="I330" s="327">
        <f t="shared" si="117"/>
        <v>1.7170849364688268E-3</v>
      </c>
      <c r="J330" s="327">
        <f t="shared" si="118"/>
        <v>1.77484121416318E-10</v>
      </c>
      <c r="K330" s="327">
        <f t="shared" si="119"/>
        <v>1.8054079505229492E-11</v>
      </c>
      <c r="L330" s="327">
        <f t="shared" si="120"/>
        <v>6.2513157897736704E-4</v>
      </c>
      <c r="M330" s="327">
        <f t="shared" si="121"/>
        <v>4.2309666483132139E-3</v>
      </c>
      <c r="N330" s="327">
        <f t="shared" si="122"/>
        <v>3.7027805586123973E-2</v>
      </c>
      <c r="O330" s="328">
        <f t="shared" si="123"/>
        <v>1.5547524237793714E-2</v>
      </c>
      <c r="P330" s="327">
        <f t="shared" si="124"/>
        <v>6.1903694410417077E-3</v>
      </c>
      <c r="Q330" s="327">
        <f t="shared" si="125"/>
        <v>2.7962907310920531E-2</v>
      </c>
      <c r="R330" s="327">
        <f t="shared" si="126"/>
        <v>4.0511713934934912E-2</v>
      </c>
      <c r="S330" s="327">
        <f t="shared" si="127"/>
        <v>2.7428172259954212E-2</v>
      </c>
      <c r="T330" s="327">
        <f t="shared" si="128"/>
        <v>1.1810738683286434E-266</v>
      </c>
      <c r="U330" s="328">
        <f t="shared" si="129"/>
        <v>5.4968611080230545E-5</v>
      </c>
      <c r="V330" s="327">
        <f t="shared" si="130"/>
        <v>1.2564748635531106E-3</v>
      </c>
      <c r="W330" s="327">
        <f t="shared" si="131"/>
        <v>6.1481759560143697E-3</v>
      </c>
      <c r="X330" s="327">
        <f t="shared" si="132"/>
        <v>2.9884150153870914E-2</v>
      </c>
      <c r="Y330" s="327">
        <f t="shared" si="133"/>
        <v>3.281296149636543E-2</v>
      </c>
      <c r="Z330" s="327">
        <f t="shared" si="134"/>
        <v>1.3530181775227404E-29</v>
      </c>
      <c r="AA330" s="328">
        <f t="shared" si="135"/>
        <v>5.3099039999848774E-3</v>
      </c>
    </row>
    <row r="331" spans="1:27" ht="12" customHeight="1" x14ac:dyDescent="0.15">
      <c r="A331" s="269">
        <f t="shared" si="109"/>
        <v>316</v>
      </c>
      <c r="B331" s="322">
        <f t="shared" si="110"/>
        <v>291.69230769230768</v>
      </c>
      <c r="C331" s="323">
        <f t="shared" si="111"/>
        <v>1264</v>
      </c>
      <c r="D331" s="327">
        <f t="shared" si="112"/>
        <v>2.5718077803971972E-5</v>
      </c>
      <c r="E331" s="327">
        <f t="shared" si="113"/>
        <v>9.6235800815151621E-5</v>
      </c>
      <c r="F331" s="327">
        <f t="shared" si="114"/>
        <v>1.6018504229886932E-2</v>
      </c>
      <c r="G331" s="327">
        <f t="shared" si="115"/>
        <v>1.9399524369628128E-2</v>
      </c>
      <c r="H331" s="327">
        <f t="shared" si="116"/>
        <v>6.7698409665155551E-3</v>
      </c>
      <c r="I331" s="327">
        <f t="shared" si="117"/>
        <v>1.6944524294544294E-3</v>
      </c>
      <c r="J331" s="327">
        <f t="shared" si="118"/>
        <v>1.6527396869818612E-10</v>
      </c>
      <c r="K331" s="327">
        <f t="shared" si="119"/>
        <v>1.665209295967601E-11</v>
      </c>
      <c r="L331" s="327">
        <f t="shared" si="120"/>
        <v>6.1899592763492439E-4</v>
      </c>
      <c r="M331" s="327">
        <f t="shared" si="121"/>
        <v>4.2110591240976433E-3</v>
      </c>
      <c r="N331" s="327">
        <f t="shared" si="122"/>
        <v>3.7027383985777491E-2</v>
      </c>
      <c r="O331" s="328">
        <f t="shared" si="123"/>
        <v>1.5497132148723889E-2</v>
      </c>
      <c r="P331" s="327">
        <f t="shared" si="124"/>
        <v>6.0912460797314322E-3</v>
      </c>
      <c r="Q331" s="327">
        <f t="shared" si="125"/>
        <v>2.7742115475660099E-2</v>
      </c>
      <c r="R331" s="327">
        <f t="shared" si="126"/>
        <v>4.0273124670151095E-2</v>
      </c>
      <c r="S331" s="327">
        <f t="shared" si="127"/>
        <v>2.7283913239103574E-2</v>
      </c>
      <c r="T331" s="327">
        <f t="shared" si="128"/>
        <v>8.4539982321512682E-273</v>
      </c>
      <c r="U331" s="328">
        <f t="shared" si="129"/>
        <v>5.2972111766136365E-5</v>
      </c>
      <c r="V331" s="327">
        <f t="shared" si="130"/>
        <v>1.2301123229838623E-3</v>
      </c>
      <c r="W331" s="327">
        <f t="shared" si="131"/>
        <v>6.067416983034926E-3</v>
      </c>
      <c r="X331" s="327">
        <f t="shared" si="132"/>
        <v>2.9708208012767412E-2</v>
      </c>
      <c r="Y331" s="327">
        <f t="shared" si="133"/>
        <v>3.2665790373015535E-2</v>
      </c>
      <c r="Z331" s="327">
        <f t="shared" si="134"/>
        <v>5.8381159356442269E-30</v>
      </c>
      <c r="AA331" s="328">
        <f t="shared" si="135"/>
        <v>5.2463058004690311E-3</v>
      </c>
    </row>
    <row r="332" spans="1:27" ht="12" customHeight="1" x14ac:dyDescent="0.15">
      <c r="A332" s="269">
        <f t="shared" si="109"/>
        <v>317</v>
      </c>
      <c r="B332" s="322">
        <f t="shared" si="110"/>
        <v>292.61538461538464</v>
      </c>
      <c r="C332" s="323">
        <f t="shared" si="111"/>
        <v>1268</v>
      </c>
      <c r="D332" s="327">
        <f t="shared" si="112"/>
        <v>2.4872185275444578E-5</v>
      </c>
      <c r="E332" s="327">
        <f t="shared" si="113"/>
        <v>9.3628485366967015E-5</v>
      </c>
      <c r="F332" s="327">
        <f t="shared" si="114"/>
        <v>1.5921155107314844E-2</v>
      </c>
      <c r="G332" s="327">
        <f t="shared" si="115"/>
        <v>1.9315367780030374E-2</v>
      </c>
      <c r="H332" s="327">
        <f t="shared" si="116"/>
        <v>6.7363785786460108E-3</v>
      </c>
      <c r="I332" s="327">
        <f t="shared" si="117"/>
        <v>1.6721508008572528E-3</v>
      </c>
      <c r="J332" s="327">
        <f t="shared" si="118"/>
        <v>1.5390382255760207E-10</v>
      </c>
      <c r="K332" s="327">
        <f t="shared" si="119"/>
        <v>1.5358862383054767E-11</v>
      </c>
      <c r="L332" s="327">
        <f t="shared" si="120"/>
        <v>6.1293505377335578E-4</v>
      </c>
      <c r="M332" s="327">
        <f t="shared" si="121"/>
        <v>4.1913073323493781E-3</v>
      </c>
      <c r="N332" s="327">
        <f t="shared" si="122"/>
        <v>3.7026974274610977E-2</v>
      </c>
      <c r="O332" s="328">
        <f t="shared" si="123"/>
        <v>1.5447059713513848E-2</v>
      </c>
      <c r="P332" s="327">
        <f t="shared" si="124"/>
        <v>5.9937099323751812E-3</v>
      </c>
      <c r="Q332" s="327">
        <f t="shared" si="125"/>
        <v>2.7523275093300079E-2</v>
      </c>
      <c r="R332" s="327">
        <f t="shared" si="126"/>
        <v>4.0036426360530841E-2</v>
      </c>
      <c r="S332" s="327">
        <f t="shared" si="127"/>
        <v>2.7140844085712899E-2</v>
      </c>
      <c r="T332" s="327">
        <f t="shared" si="128"/>
        <v>4.3646253036141604E-279</v>
      </c>
      <c r="U332" s="328">
        <f t="shared" si="129"/>
        <v>5.1047315651198133E-5</v>
      </c>
      <c r="V332" s="327">
        <f t="shared" si="130"/>
        <v>1.2043029041406603E-3</v>
      </c>
      <c r="W332" s="327">
        <f t="shared" si="131"/>
        <v>5.9877643344646674E-3</v>
      </c>
      <c r="X332" s="327">
        <f t="shared" si="132"/>
        <v>2.9533678080411851E-2</v>
      </c>
      <c r="Y332" s="327">
        <f t="shared" si="133"/>
        <v>3.2519719119943731E-2</v>
      </c>
      <c r="Z332" s="327">
        <f t="shared" si="134"/>
        <v>2.4929972791414463E-30</v>
      </c>
      <c r="AA332" s="328">
        <f t="shared" si="135"/>
        <v>5.183551569175604E-3</v>
      </c>
    </row>
    <row r="333" spans="1:27" ht="12" customHeight="1" x14ac:dyDescent="0.15">
      <c r="A333" s="269">
        <f t="shared" si="109"/>
        <v>318</v>
      </c>
      <c r="B333" s="322">
        <f t="shared" si="110"/>
        <v>293.53846153846155</v>
      </c>
      <c r="C333" s="323">
        <f t="shared" si="111"/>
        <v>1272</v>
      </c>
      <c r="D333" s="327">
        <f t="shared" si="112"/>
        <v>2.4054114972795557E-5</v>
      </c>
      <c r="E333" s="327">
        <f t="shared" si="113"/>
        <v>9.1092294878695166E-5</v>
      </c>
      <c r="F333" s="327">
        <f t="shared" si="114"/>
        <v>1.5824617872467694E-2</v>
      </c>
      <c r="G333" s="327">
        <f t="shared" si="115"/>
        <v>1.9231832481020901E-2</v>
      </c>
      <c r="H333" s="327">
        <f t="shared" si="116"/>
        <v>6.7032904316938115E-3</v>
      </c>
      <c r="I333" s="327">
        <f t="shared" si="117"/>
        <v>1.6501746964669994E-3</v>
      </c>
      <c r="J333" s="327">
        <f t="shared" si="118"/>
        <v>1.4331589411455758E-10</v>
      </c>
      <c r="K333" s="327">
        <f t="shared" si="119"/>
        <v>1.416596054650208E-11</v>
      </c>
      <c r="L333" s="327">
        <f t="shared" si="120"/>
        <v>6.0694786172921233E-4</v>
      </c>
      <c r="M333" s="327">
        <f t="shared" si="121"/>
        <v>4.1717095729302163E-3</v>
      </c>
      <c r="N333" s="327">
        <f t="shared" si="122"/>
        <v>3.7026576117222119E-2</v>
      </c>
      <c r="O333" s="328">
        <f t="shared" si="123"/>
        <v>1.5397303918290084E-2</v>
      </c>
      <c r="P333" s="327">
        <f t="shared" si="124"/>
        <v>5.8977355836914193E-3</v>
      </c>
      <c r="Q333" s="327">
        <f t="shared" si="125"/>
        <v>2.7306366626391625E-2</v>
      </c>
      <c r="R333" s="327">
        <f t="shared" si="126"/>
        <v>3.9801599882562044E-2</v>
      </c>
      <c r="S333" s="327">
        <f t="shared" si="127"/>
        <v>2.6998951497441234E-2</v>
      </c>
      <c r="T333" s="327">
        <f t="shared" si="128"/>
        <v>1.6130760973088861E-285</v>
      </c>
      <c r="U333" s="328">
        <f t="shared" si="129"/>
        <v>4.9191680191018605E-5</v>
      </c>
      <c r="V333" s="327">
        <f t="shared" si="130"/>
        <v>1.1790350017822381E-3</v>
      </c>
      <c r="W333" s="327">
        <f t="shared" si="131"/>
        <v>5.909202116002767E-3</v>
      </c>
      <c r="X333" s="327">
        <f t="shared" si="132"/>
        <v>2.9360545781756064E-2</v>
      </c>
      <c r="Y333" s="327">
        <f t="shared" si="133"/>
        <v>3.2374736282426458E-2</v>
      </c>
      <c r="Z333" s="327">
        <f t="shared" si="134"/>
        <v>1.0534039211469169E-30</v>
      </c>
      <c r="AA333" s="328">
        <f t="shared" si="135"/>
        <v>5.1216289138296123E-3</v>
      </c>
    </row>
    <row r="334" spans="1:27" ht="12" customHeight="1" x14ac:dyDescent="0.15">
      <c r="A334" s="269">
        <f t="shared" si="109"/>
        <v>319</v>
      </c>
      <c r="B334" s="322">
        <f t="shared" si="110"/>
        <v>294.46153846153845</v>
      </c>
      <c r="C334" s="323">
        <f t="shared" si="111"/>
        <v>1276</v>
      </c>
      <c r="D334" s="327">
        <f t="shared" si="112"/>
        <v>2.326295179602485E-5</v>
      </c>
      <c r="E334" s="327">
        <f t="shared" si="113"/>
        <v>8.862527451549409E-5</v>
      </c>
      <c r="F334" s="327">
        <f t="shared" si="114"/>
        <v>1.5728883796598647E-2</v>
      </c>
      <c r="G334" s="327">
        <f t="shared" si="115"/>
        <v>1.9148912014836945E-2</v>
      </c>
      <c r="H334" s="327">
        <f t="shared" si="116"/>
        <v>6.670571324011481E-3</v>
      </c>
      <c r="I334" s="327">
        <f t="shared" si="117"/>
        <v>1.6285188577134235E-3</v>
      </c>
      <c r="J334" s="327">
        <f t="shared" si="118"/>
        <v>1.3345637011821275E-10</v>
      </c>
      <c r="K334" s="327">
        <f t="shared" si="119"/>
        <v>1.3065612478668476E-11</v>
      </c>
      <c r="L334" s="327">
        <f t="shared" si="120"/>
        <v>6.0103327466742851E-4</v>
      </c>
      <c r="M334" s="327">
        <f t="shared" si="121"/>
        <v>4.152264169484764E-3</v>
      </c>
      <c r="N334" s="327">
        <f t="shared" si="122"/>
        <v>3.7026189187677583E-2</v>
      </c>
      <c r="O334" s="328">
        <f t="shared" si="123"/>
        <v>1.5347861786840557E-2</v>
      </c>
      <c r="P334" s="327">
        <f t="shared" si="124"/>
        <v>5.8032980253610771E-3</v>
      </c>
      <c r="Q334" s="327">
        <f t="shared" si="125"/>
        <v>2.7091370761286596E-2</v>
      </c>
      <c r="R334" s="327">
        <f t="shared" si="126"/>
        <v>3.9568626349986591E-2</v>
      </c>
      <c r="S334" s="327">
        <f t="shared" si="127"/>
        <v>2.6858222358930969E-2</v>
      </c>
      <c r="T334" s="327">
        <f t="shared" si="128"/>
        <v>4.2348059535462418E-292</v>
      </c>
      <c r="U334" s="328">
        <f t="shared" si="129"/>
        <v>4.7402751684355593E-5</v>
      </c>
      <c r="V334" s="327">
        <f t="shared" si="130"/>
        <v>1.1542972541609658E-3</v>
      </c>
      <c r="W334" s="327">
        <f t="shared" si="131"/>
        <v>5.8317146743753013E-3</v>
      </c>
      <c r="X334" s="327">
        <f t="shared" si="132"/>
        <v>2.9188796727165012E-2</v>
      </c>
      <c r="Y334" s="327">
        <f t="shared" si="133"/>
        <v>3.2230830558233538E-2</v>
      </c>
      <c r="Z334" s="327">
        <f t="shared" si="134"/>
        <v>4.4038795447376875E-31</v>
      </c>
      <c r="AA334" s="328">
        <f t="shared" si="135"/>
        <v>5.0605256430753531E-3</v>
      </c>
    </row>
    <row r="335" spans="1:27" ht="12" customHeight="1" x14ac:dyDescent="0.15">
      <c r="A335" s="269">
        <f t="shared" si="109"/>
        <v>320</v>
      </c>
      <c r="B335" s="322">
        <f t="shared" si="110"/>
        <v>295.38461538461536</v>
      </c>
      <c r="C335" s="323">
        <f t="shared" si="111"/>
        <v>1280</v>
      </c>
      <c r="D335" s="327">
        <f t="shared" si="112"/>
        <v>2.2497810743659336E-5</v>
      </c>
      <c r="E335" s="327">
        <f t="shared" si="113"/>
        <v>8.6225523617360607E-5</v>
      </c>
      <c r="F335" s="327">
        <f t="shared" si="114"/>
        <v>1.563394426671505E-2</v>
      </c>
      <c r="G335" s="327">
        <f t="shared" si="115"/>
        <v>1.906660001009074E-2</v>
      </c>
      <c r="H335" s="327">
        <f t="shared" si="116"/>
        <v>6.6382161410804179E-3</v>
      </c>
      <c r="I335" s="327">
        <f t="shared" si="117"/>
        <v>1.6071781197875001E-3</v>
      </c>
      <c r="J335" s="327">
        <f t="shared" si="118"/>
        <v>1.2427513944052008E-10</v>
      </c>
      <c r="K335" s="327">
        <f t="shared" si="119"/>
        <v>1.2050645042039377E-11</v>
      </c>
      <c r="L335" s="327">
        <f t="shared" si="120"/>
        <v>5.9519023420817607E-4</v>
      </c>
      <c r="M335" s="327">
        <f t="shared" si="121"/>
        <v>4.1329694690351998E-3</v>
      </c>
      <c r="N335" s="327">
        <f t="shared" si="122"/>
        <v>3.7025813169245261E-2</v>
      </c>
      <c r="O335" s="328">
        <f t="shared" si="123"/>
        <v>1.5298730380029275E-2</v>
      </c>
      <c r="P335" s="327">
        <f t="shared" si="124"/>
        <v>5.7103726495110908E-3</v>
      </c>
      <c r="Q335" s="327">
        <f t="shared" si="125"/>
        <v>2.687826840518483E-2</v>
      </c>
      <c r="R335" s="327">
        <f t="shared" si="126"/>
        <v>3.9337487110295277E-2</v>
      </c>
      <c r="S335" s="327">
        <f t="shared" si="127"/>
        <v>2.6718643738651442E-2</v>
      </c>
      <c r="T335" s="327">
        <f t="shared" si="128"/>
        <v>7.8352566728583637E-299</v>
      </c>
      <c r="U335" s="328">
        <f t="shared" si="129"/>
        <v>4.5678162221340912E-5</v>
      </c>
      <c r="V335" s="327">
        <f t="shared" si="130"/>
        <v>1.1300785379140376E-3</v>
      </c>
      <c r="W335" s="327">
        <f t="shared" si="131"/>
        <v>5.7552865934493106E-3</v>
      </c>
      <c r="X335" s="327">
        <f t="shared" si="132"/>
        <v>2.9018416709600037E-2</v>
      </c>
      <c r="Y335" s="327">
        <f t="shared" si="133"/>
        <v>3.2087990795162391E-2</v>
      </c>
      <c r="Z335" s="327">
        <f t="shared" si="134"/>
        <v>1.8213186888727875E-31</v>
      </c>
      <c r="AA335" s="328">
        <f t="shared" si="135"/>
        <v>5.0002297628899406E-3</v>
      </c>
    </row>
    <row r="336" spans="1:27" ht="12" customHeight="1" x14ac:dyDescent="0.15">
      <c r="A336" s="269">
        <f t="shared" ref="A336:A399" si="136">+A335+1</f>
        <v>321</v>
      </c>
      <c r="B336" s="322">
        <f t="shared" ref="B336:B399" si="137">12*C336/52</f>
        <v>296.30769230769232</v>
      </c>
      <c r="C336" s="323">
        <f t="shared" ref="C336:C399" si="138">+C335+4</f>
        <v>1284</v>
      </c>
      <c r="D336" s="327">
        <f t="shared" ref="D336:D399" si="139">EXP(-(EXP(-$D$7)*$B336))</f>
        <v>2.175783592278273E-5</v>
      </c>
      <c r="E336" s="327">
        <f t="shared" ref="E336:E399" si="140">EXP(-EXP(-($E$7/EXP($E$8)))*$B336^(1/EXP($E$8)))</f>
        <v>8.3891194183865467E-5</v>
      </c>
      <c r="F336" s="327">
        <f t="shared" ref="F336:F399" si="141">1 - _xlfn.NORM.S.DIST(((LN($B336) - $F$7)/EXP($F$8)), TRUE())</f>
        <v>1.5539790783744678E-2</v>
      </c>
      <c r="G336" s="327">
        <f t="shared" ref="G336:G399" si="142">1/(1+EXP(-($G$7/EXP($G$8)))*$B336^(1/EXP($G$8)))</f>
        <v>1.8984890180359149E-2</v>
      </c>
      <c r="H336" s="327">
        <f t="shared" ref="H336:H399" si="143">IF($H$8=0,EXP(-EXP($H$7)*$B336),EXP(-(EXP($H$7)/$H$8)*(EXP($H$8*$B336)-1)))</f>
        <v>6.6062198538167569E-3</v>
      </c>
      <c r="I336" s="327">
        <f t="shared" ref="I336:I399" si="144">IF($I$9&gt;0,1-_xlfn.GAMMA.DIST(EXP($I$9*(LN($B336)-$I$7)/$I$8)/$I$9^2,1/$I$9^2,1,TRUE()),_xlfn.GAMMA.DIST(EXP($I$9*(LN($B336)-$I$7)/$I$8)/$I$9^2,1/$I$9^2,1,TRUE()))</f>
        <v>1.5861474098017858E-3</v>
      </c>
      <c r="J336" s="327">
        <f t="shared" ref="J336:J399" si="145">EXP(-(EXP(-$J$7)*$B336))</f>
        <v>1.1572553838591865E-10</v>
      </c>
      <c r="K336" s="327">
        <f t="shared" ref="K336:K399" si="146">EXP(-EXP(-($K$7/EXP($K$8)))*$B336^(1/EXP($K$8)))</f>
        <v>1.1114440402464212E-11</v>
      </c>
      <c r="L336" s="327">
        <f t="shared" ref="L336:L399" si="147">1 - _xlfn.NORM.S.DIST(((LN($B336) - $L$7)/EXP($L$8)), TRUE())</f>
        <v>5.8941770006393224E-4</v>
      </c>
      <c r="M336" s="327">
        <f t="shared" ref="M336:M399" si="148">1/(1+EXP(-($M$7/EXP($M$8)))*$B336^(1/EXP($M$8)))</f>
        <v>4.113823841584199E-3</v>
      </c>
      <c r="N336" s="327">
        <f t="shared" ref="N336:N399" si="149">IF($N$8=0,EXP(-EXP($N$7)*$B336),EXP(-(EXP($N$7)/$N$8)*(EXP($N$8*$B336)-1)))</f>
        <v>3.702544775413414E-2</v>
      </c>
      <c r="O336" s="328">
        <f t="shared" ref="O336:O399" si="150">IF($O$9&gt;0,1-_xlfn.GAMMA.DIST(EXP($O$9*(LN($B336)-$O$7)/$O$8)/$O$9^2,1/$O$9^2,1,TRUE()),_xlfn.GAMMA.DIST(EXP($O$9*(LN($B336)-$O$7)/$O$8)/$O$9^2,1/$O$9^2,1,TRUE()))</f>
        <v>1.5249906795221525E-2</v>
      </c>
      <c r="P336" s="327">
        <f t="shared" ref="P336:P399" si="151">EXP(-(EXP(-$P$7)*$B336))</f>
        <v>5.6189352423022237E-3</v>
      </c>
      <c r="Q336" s="327">
        <f t="shared" ref="Q336:Q399" si="152">EXP(-EXP(-($Q$7/EXP($Q$8)))*$B336^(1/EXP($Q$8)))</f>
        <v>2.6667040683226905E-2</v>
      </c>
      <c r="R336" s="327">
        <f t="shared" ref="R336:R399" si="153">1 - _xlfn.NORM.S.DIST(((LN($B336) - $R$7)/EXP($R$8)), TRUE())</f>
        <v>3.9108163741283231E-2</v>
      </c>
      <c r="S336" s="327">
        <f t="shared" ref="S336:S399" si="154">1/(1+EXP(-($S$7/EXP($S$8)))*$B336^(1/EXP($S$8)))</f>
        <v>2.6580202885805135E-2</v>
      </c>
      <c r="T336" s="327">
        <f t="shared" ref="T336:T399" si="155">IF($T$8=0,EXP(-EXP($T$7)*$B336),EXP(-(EXP($T$7)/$T$8)*(EXP($T$8*$B336)-1)))</f>
        <v>1.0134564314285514E-305</v>
      </c>
      <c r="U336" s="328">
        <f t="shared" ref="U336:U399" si="156">IF($U$9&gt;0,1-_xlfn.GAMMA.DIST(EXP($U$9*(LN($B336)-$U$7)/$U$8)/$U$9^2,1/$U$9^2,1,TRUE()),_xlfn.GAMMA.DIST(EXP($U$9*(LN($B336)-$U$7)/$U$8)/$U$9^2,1/$U$9^2,1,TRUE()))</f>
        <v>4.4015626734505986E-5</v>
      </c>
      <c r="V336" s="327">
        <f t="shared" ref="V336:V399" si="157">EXP(-(EXP(-$V$7)*$B336))</f>
        <v>1.1063679630618261E-3</v>
      </c>
      <c r="W336" s="327">
        <f t="shared" ref="W336:W399" si="158">EXP(-EXP(-($W$7/EXP($W$8)))*$B336^(1/EXP($W$8)))</f>
        <v>5.6799026904139332E-3</v>
      </c>
      <c r="X336" s="327">
        <f t="shared" ref="X336:X399" si="159">1 - _xlfn.NORM.S.DIST(((LN($B336) - $X$7)/EXP($X$8)), TRUE())</f>
        <v>2.8849391701850746E-2</v>
      </c>
      <c r="Y336" s="327">
        <f t="shared" ref="Y336:Y399" si="160">1/(1+EXP(-($Y$7/EXP($Y$8)))*$B336^(1/EXP($Y$8)))</f>
        <v>3.1946205988619095E-2</v>
      </c>
      <c r="Z336" s="327">
        <f t="shared" ref="Z336:Z399" si="161">IF($Z$8=0,EXP(-EXP($Z$7)*$B336),EXP(-(EXP($Z$7)/$Z$8)*(EXP($Z$8*$B336)-1)))</f>
        <v>7.4505510366433784E-32</v>
      </c>
      <c r="AA336" s="328">
        <f t="shared" ref="AA336:AA399" si="162">IF($AA$9&gt;0,1-_xlfn.GAMMA.DIST(EXP($AA$9*(LN($B336)-$AA$7)/$AA$8)/$AA$9^2,1/$AA$9^2,1,TRUE()),_xlfn.GAMMA.DIST(EXP($AA$9*(LN($B336)-$AA$7)/$AA$8)/$AA$9^2,1/$AA$9^2,1,TRUE()))</f>
        <v>4.9407294730656748E-3</v>
      </c>
    </row>
    <row r="337" spans="1:27" ht="12" customHeight="1" x14ac:dyDescent="0.15">
      <c r="A337" s="269">
        <f t="shared" si="136"/>
        <v>322</v>
      </c>
      <c r="B337" s="322">
        <f t="shared" si="137"/>
        <v>297.23076923076923</v>
      </c>
      <c r="C337" s="323">
        <f t="shared" si="138"/>
        <v>1288</v>
      </c>
      <c r="D337" s="327">
        <f t="shared" si="139"/>
        <v>2.1042199591627242E-5</v>
      </c>
      <c r="E337" s="327">
        <f t="shared" si="140"/>
        <v>8.1620489401708064E-5</v>
      </c>
      <c r="F337" s="327">
        <f t="shared" si="141"/>
        <v>1.544641496073651E-2</v>
      </c>
      <c r="G337" s="327">
        <f t="shared" si="142"/>
        <v>1.8903776322800596E-2</v>
      </c>
      <c r="H337" s="327">
        <f t="shared" si="143"/>
        <v>6.5745775169143844E-3</v>
      </c>
      <c r="I337" s="327">
        <f t="shared" si="144"/>
        <v>1.565421744990303E-3</v>
      </c>
      <c r="J337" s="327">
        <f t="shared" si="145"/>
        <v>1.0776411352264529E-10</v>
      </c>
      <c r="K337" s="327">
        <f t="shared" si="146"/>
        <v>1.0250893091696708E-11</v>
      </c>
      <c r="L337" s="327">
        <f t="shared" si="147"/>
        <v>5.837146496833201E-4</v>
      </c>
      <c r="M337" s="327">
        <f t="shared" si="148"/>
        <v>4.0948256797257816E-3</v>
      </c>
      <c r="N337" s="327">
        <f t="shared" si="149"/>
        <v>3.7025092643241574E-2</v>
      </c>
      <c r="O337" s="328">
        <f t="shared" si="150"/>
        <v>1.5201388165720113E-2</v>
      </c>
      <c r="P337" s="327">
        <f t="shared" si="151"/>
        <v>5.5289619776196447E-3</v>
      </c>
      <c r="Q337" s="327">
        <f t="shared" si="152"/>
        <v>2.6457668935630858E-2</v>
      </c>
      <c r="R337" s="327">
        <f t="shared" si="153"/>
        <v>3.8880638047664506E-2</v>
      </c>
      <c r="S337" s="327">
        <f t="shared" si="154"/>
        <v>2.6442887227293911E-2</v>
      </c>
      <c r="T337" s="327">
        <f t="shared" si="155"/>
        <v>0</v>
      </c>
      <c r="U337" s="328">
        <f t="shared" si="156"/>
        <v>4.2412940149949563E-5</v>
      </c>
      <c r="V337" s="327">
        <f t="shared" si="157"/>
        <v>1.0831548681111993E-3</v>
      </c>
      <c r="W337" s="327">
        <f t="shared" si="158"/>
        <v>5.6055480120272587E-3</v>
      </c>
      <c r="X337" s="327">
        <f t="shared" si="159"/>
        <v>2.8681707853816629E-2</v>
      </c>
      <c r="Y337" s="327">
        <f t="shared" si="160"/>
        <v>3.1805465279244952E-2</v>
      </c>
      <c r="Z337" s="327">
        <f t="shared" si="161"/>
        <v>3.0142827540061087E-32</v>
      </c>
      <c r="AA337" s="328">
        <f t="shared" si="162"/>
        <v>4.8820131637621333E-3</v>
      </c>
    </row>
    <row r="338" spans="1:27" ht="12" customHeight="1" x14ac:dyDescent="0.15">
      <c r="A338" s="269">
        <f t="shared" si="136"/>
        <v>323</v>
      </c>
      <c r="B338" s="322">
        <f t="shared" si="137"/>
        <v>298.15384615384613</v>
      </c>
      <c r="C338" s="323">
        <f t="shared" si="138"/>
        <v>1292</v>
      </c>
      <c r="D338" s="327">
        <f t="shared" si="139"/>
        <v>2.0350101233654678E-5</v>
      </c>
      <c r="E338" s="327">
        <f t="shared" si="140"/>
        <v>7.9411662213869612E-5</v>
      </c>
      <c r="F338" s="327">
        <f t="shared" si="141"/>
        <v>1.5353808521094359E-2</v>
      </c>
      <c r="G338" s="327">
        <f t="shared" si="142"/>
        <v>1.8823252316798378E-2</v>
      </c>
      <c r="H338" s="327">
        <f t="shared" si="143"/>
        <v>6.5432842672242929E-3</v>
      </c>
      <c r="I338" s="327">
        <f t="shared" si="144"/>
        <v>1.5449962309477261E-3</v>
      </c>
      <c r="J338" s="327">
        <f t="shared" si="145"/>
        <v>1.0035040083023413E-10</v>
      </c>
      <c r="K338" s="327">
        <f t="shared" si="146"/>
        <v>9.4543703858539203E-12</v>
      </c>
      <c r="L338" s="327">
        <f t="shared" si="147"/>
        <v>5.7808007790338678E-4</v>
      </c>
      <c r="M338" s="327">
        <f t="shared" si="148"/>
        <v>4.0759733982639124E-3</v>
      </c>
      <c r="N338" s="327">
        <f t="shared" si="149"/>
        <v>3.7024747545907698E-2</v>
      </c>
      <c r="O338" s="328">
        <f t="shared" si="150"/>
        <v>1.5153171660211731E-2</v>
      </c>
      <c r="P338" s="327">
        <f t="shared" si="151"/>
        <v>5.4404294108644467E-3</v>
      </c>
      <c r="Q338" s="327">
        <f t="shared" si="152"/>
        <v>2.6250134714872409E-2</v>
      </c>
      <c r="R338" s="327">
        <f t="shared" si="153"/>
        <v>3.8654892057743973E-2</v>
      </c>
      <c r="S338" s="327">
        <f t="shared" si="154"/>
        <v>2.6306684364744936E-2</v>
      </c>
      <c r="T338" s="327">
        <f t="shared" si="155"/>
        <v>0</v>
      </c>
      <c r="U338" s="328">
        <f t="shared" si="156"/>
        <v>4.0867974633873594E-5</v>
      </c>
      <c r="V338" s="327">
        <f t="shared" si="157"/>
        <v>1.0604288152615518E-3</v>
      </c>
      <c r="W338" s="327">
        <f t="shared" si="158"/>
        <v>5.5322078309281127E-3</v>
      </c>
      <c r="X338" s="327">
        <f t="shared" si="159"/>
        <v>2.851535148983686E-2</v>
      </c>
      <c r="Y338" s="327">
        <f t="shared" si="160"/>
        <v>3.1665757950588541E-2</v>
      </c>
      <c r="Z338" s="327">
        <f t="shared" si="161"/>
        <v>1.2059053097723077E-32</v>
      </c>
      <c r="AA338" s="328">
        <f t="shared" si="162"/>
        <v>4.8240694121253203E-3</v>
      </c>
    </row>
    <row r="339" spans="1:27" ht="12" customHeight="1" x14ac:dyDescent="0.15">
      <c r="A339" s="269">
        <f t="shared" si="136"/>
        <v>324</v>
      </c>
      <c r="B339" s="322">
        <f t="shared" si="137"/>
        <v>299.07692307692309</v>
      </c>
      <c r="C339" s="323">
        <f t="shared" si="138"/>
        <v>1296</v>
      </c>
      <c r="D339" s="327">
        <f t="shared" si="139"/>
        <v>1.9680766662092492E-5</v>
      </c>
      <c r="E339" s="327">
        <f t="shared" si="140"/>
        <v>7.7263013929169133E-5</v>
      </c>
      <c r="F339" s="327">
        <f t="shared" si="141"/>
        <v>1.526196329684304E-2</v>
      </c>
      <c r="G339" s="327">
        <f t="shared" si="142"/>
        <v>1.8743312122629925E-2</v>
      </c>
      <c r="H339" s="327">
        <f t="shared" si="143"/>
        <v>6.5123353221693096E-3</v>
      </c>
      <c r="I339" s="327">
        <f t="shared" si="144"/>
        <v>1.5248660599060937E-3</v>
      </c>
      <c r="J339" s="327">
        <f t="shared" si="145"/>
        <v>9.3446720040734992E-11</v>
      </c>
      <c r="K339" s="327">
        <f t="shared" si="146"/>
        <v>8.7196757440512646E-12</v>
      </c>
      <c r="L339" s="327">
        <f t="shared" si="147"/>
        <v>5.7251299660976418E-4</v>
      </c>
      <c r="M339" s="327">
        <f t="shared" si="148"/>
        <v>4.0572654338387019E-3</v>
      </c>
      <c r="N339" s="327">
        <f t="shared" si="149"/>
        <v>3.7024412179676794E-2</v>
      </c>
      <c r="O339" s="328">
        <f t="shared" si="150"/>
        <v>1.5105254482223659E-2</v>
      </c>
      <c r="P339" s="327">
        <f t="shared" si="151"/>
        <v>5.3533144728446129E-3</v>
      </c>
      <c r="Q339" s="327">
        <f t="shared" si="152"/>
        <v>2.6044419782907446E-2</v>
      </c>
      <c r="R339" s="327">
        <f t="shared" si="153"/>
        <v>3.8430908020146592E-2</v>
      </c>
      <c r="S339" s="327">
        <f t="shared" si="154"/>
        <v>2.6171582071594288E-2</v>
      </c>
      <c r="T339" s="327">
        <f t="shared" si="155"/>
        <v>0</v>
      </c>
      <c r="U339" s="328">
        <f t="shared" si="156"/>
        <v>3.937867693126762E-5</v>
      </c>
      <c r="V339" s="327">
        <f t="shared" si="157"/>
        <v>1.0381795857114437E-3</v>
      </c>
      <c r="W339" s="327">
        <f t="shared" si="158"/>
        <v>5.4598676420111415E-3</v>
      </c>
      <c r="X339" s="327">
        <f t="shared" si="159"/>
        <v>2.8350309106065841E-2</v>
      </c>
      <c r="Y339" s="327">
        <f t="shared" si="160"/>
        <v>3.15270734268207E-2</v>
      </c>
      <c r="Z339" s="327">
        <f t="shared" si="161"/>
        <v>4.7699715865669437E-33</v>
      </c>
      <c r="AA339" s="328">
        <f t="shared" si="162"/>
        <v>4.7668869789725399E-3</v>
      </c>
    </row>
    <row r="340" spans="1:27" ht="12" customHeight="1" x14ac:dyDescent="0.15">
      <c r="A340" s="269">
        <f t="shared" si="136"/>
        <v>325</v>
      </c>
      <c r="B340" s="322">
        <f t="shared" si="137"/>
        <v>300</v>
      </c>
      <c r="C340" s="323">
        <f t="shared" si="138"/>
        <v>1300</v>
      </c>
      <c r="D340" s="327">
        <f t="shared" si="139"/>
        <v>1.9033447153922134E-5</v>
      </c>
      <c r="E340" s="327">
        <f t="shared" si="140"/>
        <v>7.517289287108637E-5</v>
      </c>
      <c r="F340" s="327">
        <f t="shared" si="141"/>
        <v>1.5170871226925953E-2</v>
      </c>
      <c r="G340" s="327">
        <f t="shared" si="142"/>
        <v>1.8663949780161688E-2</v>
      </c>
      <c r="H340" s="327">
        <f t="shared" si="143"/>
        <v>6.4817259781933898E-3</v>
      </c>
      <c r="I340" s="327">
        <f t="shared" si="144"/>
        <v>1.5050265090479353E-3</v>
      </c>
      <c r="J340" s="327">
        <f t="shared" si="145"/>
        <v>8.7017983128380505E-11</v>
      </c>
      <c r="K340" s="327">
        <f t="shared" si="146"/>
        <v>8.0420150711683359E-12</v>
      </c>
      <c r="L340" s="327">
        <f t="shared" si="147"/>
        <v>5.6701243440426818E-4</v>
      </c>
      <c r="M340" s="327">
        <f t="shared" si="148"/>
        <v>4.0387002445600277E-3</v>
      </c>
      <c r="N340" s="327">
        <f t="shared" si="149"/>
        <v>3.702408627006544E-2</v>
      </c>
      <c r="O340" s="328">
        <f t="shared" si="150"/>
        <v>1.5057633869590289E-2</v>
      </c>
      <c r="P340" s="327">
        <f t="shared" si="151"/>
        <v>5.2675944637638568E-3</v>
      </c>
      <c r="Q340" s="327">
        <f t="shared" si="152"/>
        <v>2.5840506108436908E-2</v>
      </c>
      <c r="R340" s="327">
        <f t="shared" si="153"/>
        <v>3.820866840060233E-2</v>
      </c>
      <c r="S340" s="327">
        <f t="shared" si="154"/>
        <v>2.6037568290227523E-2</v>
      </c>
      <c r="T340" s="327">
        <f t="shared" si="155"/>
        <v>0</v>
      </c>
      <c r="U340" s="328">
        <f t="shared" si="156"/>
        <v>3.7943065796186559E-5</v>
      </c>
      <c r="V340" s="327">
        <f t="shared" si="157"/>
        <v>1.0163971750636977E-3</v>
      </c>
      <c r="W340" s="327">
        <f t="shared" si="158"/>
        <v>5.3885131588640948E-3</v>
      </c>
      <c r="X340" s="327">
        <f t="shared" si="159"/>
        <v>2.8186567367896265E-2</v>
      </c>
      <c r="Y340" s="327">
        <f t="shared" si="160"/>
        <v>3.1389401270493139E-2</v>
      </c>
      <c r="Z340" s="327">
        <f t="shared" si="161"/>
        <v>1.8652228994814231E-33</v>
      </c>
      <c r="AA340" s="328">
        <f t="shared" si="162"/>
        <v>4.7104548055425521E-3</v>
      </c>
    </row>
    <row r="341" spans="1:27" ht="12" customHeight="1" x14ac:dyDescent="0.15">
      <c r="A341" s="269">
        <f t="shared" si="136"/>
        <v>326</v>
      </c>
      <c r="B341" s="322">
        <f t="shared" si="137"/>
        <v>300.92307692307691</v>
      </c>
      <c r="C341" s="323">
        <f t="shared" si="138"/>
        <v>1304</v>
      </c>
      <c r="D341" s="327">
        <f t="shared" si="139"/>
        <v>1.8407418612351416E-5</v>
      </c>
      <c r="E341" s="327">
        <f t="shared" si="140"/>
        <v>7.3139693064707586E-5</v>
      </c>
      <c r="F341" s="327">
        <f t="shared" si="141"/>
        <v>1.5080524355534419E-2</v>
      </c>
      <c r="G341" s="327">
        <f t="shared" si="142"/>
        <v>1.8585159407568587E-2</v>
      </c>
      <c r="H341" s="327">
        <f t="shared" si="143"/>
        <v>6.4514516092446204E-3</v>
      </c>
      <c r="I341" s="327">
        <f t="shared" si="144"/>
        <v>1.4854729388555921E-3</v>
      </c>
      <c r="J341" s="327">
        <f t="shared" si="145"/>
        <v>8.1031515974346906E-11</v>
      </c>
      <c r="K341" s="327">
        <f t="shared" si="146"/>
        <v>7.4169655868751445E-12</v>
      </c>
      <c r="L341" s="327">
        <f t="shared" si="147"/>
        <v>5.6157743627915924E-4</v>
      </c>
      <c r="M341" s="327">
        <f t="shared" si="148"/>
        <v>4.0202763096483596E-3</v>
      </c>
      <c r="N341" s="327">
        <f t="shared" si="149"/>
        <v>3.7023769550337204E-2</v>
      </c>
      <c r="O341" s="328">
        <f t="shared" si="150"/>
        <v>1.5010307093929646E-2</v>
      </c>
      <c r="P341" s="327">
        <f t="shared" si="151"/>
        <v>5.183247047306625E-3</v>
      </c>
      <c r="Q341" s="327">
        <f t="shared" si="152"/>
        <v>2.5638375864212512E-2</v>
      </c>
      <c r="R341" s="327">
        <f t="shared" si="153"/>
        <v>3.7988155878785124E-2</v>
      </c>
      <c r="S341" s="327">
        <f t="shared" si="154"/>
        <v>2.5904631129175345E-2</v>
      </c>
      <c r="T341" s="327">
        <f t="shared" si="155"/>
        <v>0</v>
      </c>
      <c r="U341" s="328">
        <f t="shared" si="156"/>
        <v>3.6559229506849533E-5</v>
      </c>
      <c r="V341" s="327">
        <f t="shared" si="157"/>
        <v>9.9507178882690911E-4</v>
      </c>
      <c r="W341" s="327">
        <f t="shared" si="158"/>
        <v>5.3181303102664808E-3</v>
      </c>
      <c r="X341" s="327">
        <f t="shared" si="159"/>
        <v>2.8024113107426141E-2</v>
      </c>
      <c r="Y341" s="327">
        <f t="shared" si="160"/>
        <v>3.125273118033866E-2</v>
      </c>
      <c r="Z341" s="327">
        <f t="shared" si="161"/>
        <v>7.209352948858525E-34</v>
      </c>
      <c r="AA341" s="328">
        <f t="shared" si="162"/>
        <v>4.654762010307123E-3</v>
      </c>
    </row>
    <row r="342" spans="1:27" ht="12" customHeight="1" x14ac:dyDescent="0.15">
      <c r="A342" s="269">
        <f t="shared" si="136"/>
        <v>327</v>
      </c>
      <c r="B342" s="322">
        <f t="shared" si="137"/>
        <v>301.84615384615387</v>
      </c>
      <c r="C342" s="323">
        <f t="shared" si="138"/>
        <v>1308</v>
      </c>
      <c r="D342" s="327">
        <f t="shared" si="139"/>
        <v>1.7801980756834071E-5</v>
      </c>
      <c r="E342" s="327">
        <f t="shared" si="140"/>
        <v>7.1161852960719584E-5</v>
      </c>
      <c r="F342" s="327">
        <f t="shared" si="141"/>
        <v>1.4990914830466329E-2</v>
      </c>
      <c r="G342" s="327">
        <f t="shared" si="142"/>
        <v>1.8506935200077877E-2</v>
      </c>
      <c r="H342" s="327">
        <f t="shared" si="143"/>
        <v>6.4215076652911346E-3</v>
      </c>
      <c r="I342" s="327">
        <f t="shared" si="144"/>
        <v>1.466200791496064E-3</v>
      </c>
      <c r="J342" s="327">
        <f t="shared" si="145"/>
        <v>7.5456892300222547E-11</v>
      </c>
      <c r="K342" s="327">
        <f t="shared" si="146"/>
        <v>6.8404470998412641E-12</v>
      </c>
      <c r="L342" s="327">
        <f t="shared" si="147"/>
        <v>5.562070632998406E-4</v>
      </c>
      <c r="M342" s="327">
        <f t="shared" si="148"/>
        <v>4.0019921290827196E-3</v>
      </c>
      <c r="N342" s="327">
        <f t="shared" si="149"/>
        <v>3.7023461761283717E-2</v>
      </c>
      <c r="O342" s="328">
        <f t="shared" si="150"/>
        <v>1.4963271460129242E-2</v>
      </c>
      <c r="P342" s="327">
        <f t="shared" si="151"/>
        <v>5.1002502448178558E-3</v>
      </c>
      <c r="Q342" s="327">
        <f t="shared" si="152"/>
        <v>2.543801142438289E-2</v>
      </c>
      <c r="R342" s="327">
        <f t="shared" si="153"/>
        <v>3.7769353345206036E-2</v>
      </c>
      <c r="S342" s="327">
        <f t="shared" si="154"/>
        <v>2.5772758860363693E-2</v>
      </c>
      <c r="T342" s="327">
        <f t="shared" si="155"/>
        <v>0</v>
      </c>
      <c r="U342" s="328">
        <f t="shared" si="156"/>
        <v>3.5225323466780978E-5</v>
      </c>
      <c r="V342" s="327">
        <f t="shared" si="157"/>
        <v>9.7419383801133571E-4</v>
      </c>
      <c r="W342" s="327">
        <f t="shared" si="158"/>
        <v>5.2487052367479314E-3</v>
      </c>
      <c r="X342" s="327">
        <f t="shared" si="159"/>
        <v>2.7862933320970673E-2</v>
      </c>
      <c r="Y342" s="327">
        <f t="shared" si="160"/>
        <v>3.1117052989112624E-2</v>
      </c>
      <c r="Z342" s="327">
        <f t="shared" si="161"/>
        <v>2.753911092687132E-34</v>
      </c>
      <c r="AA342" s="328">
        <f t="shared" si="162"/>
        <v>4.5997978858464128E-3</v>
      </c>
    </row>
    <row r="343" spans="1:27" ht="12" customHeight="1" x14ac:dyDescent="0.15">
      <c r="A343" s="269">
        <f t="shared" si="136"/>
        <v>328</v>
      </c>
      <c r="B343" s="322">
        <f t="shared" si="137"/>
        <v>302.76923076923077</v>
      </c>
      <c r="C343" s="323">
        <f t="shared" si="138"/>
        <v>1312</v>
      </c>
      <c r="D343" s="327">
        <f t="shared" si="139"/>
        <v>1.7216456339730556E-5</v>
      </c>
      <c r="E343" s="327">
        <f t="shared" si="140"/>
        <v>6.9237854195393307E-5</v>
      </c>
      <c r="F343" s="327">
        <f t="shared" si="141"/>
        <v>1.4902034901516314E-2</v>
      </c>
      <c r="G343" s="327">
        <f t="shared" si="142"/>
        <v>1.8429271428736852E-2</v>
      </c>
      <c r="H343" s="327">
        <f t="shared" si="143"/>
        <v>6.3918896708691289E-3</v>
      </c>
      <c r="I343" s="327">
        <f t="shared" si="144"/>
        <v>1.4472055892398306E-3</v>
      </c>
      <c r="J343" s="327">
        <f t="shared" si="145"/>
        <v>7.0265779026150029E-11</v>
      </c>
      <c r="K343" s="327">
        <f t="shared" si="146"/>
        <v>6.3086955015397929E-12</v>
      </c>
      <c r="L343" s="327">
        <f t="shared" si="147"/>
        <v>5.5090039229344079E-4</v>
      </c>
      <c r="M343" s="327">
        <f t="shared" si="148"/>
        <v>3.9838462232554585E-3</v>
      </c>
      <c r="N343" s="327">
        <f t="shared" si="149"/>
        <v>3.7023162651012041E-2</v>
      </c>
      <c r="O343" s="328">
        <f t="shared" si="150"/>
        <v>1.4916524305841353E-2</v>
      </c>
      <c r="P343" s="327">
        <f t="shared" si="151"/>
        <v>5.0185824295759839E-3</v>
      </c>
      <c r="Q343" s="327">
        <f t="shared" si="152"/>
        <v>2.5239395361879715E-2</v>
      </c>
      <c r="R343" s="327">
        <f t="shared" si="153"/>
        <v>3.7552243898158366E-2</v>
      </c>
      <c r="S343" s="327">
        <f t="shared" si="154"/>
        <v>2.5641939916416744E-2</v>
      </c>
      <c r="T343" s="327">
        <f t="shared" si="155"/>
        <v>0</v>
      </c>
      <c r="U343" s="328">
        <f t="shared" si="156"/>
        <v>3.3939567885554744E-5</v>
      </c>
      <c r="V343" s="327">
        <f t="shared" si="157"/>
        <v>9.5375393481720379E-4</v>
      </c>
      <c r="W343" s="327">
        <f t="shared" si="158"/>
        <v>5.1802242872056557E-3</v>
      </c>
      <c r="X343" s="327">
        <f t="shared" si="159"/>
        <v>2.770301516661644E-2</v>
      </c>
      <c r="Y343" s="327">
        <f t="shared" si="160"/>
        <v>3.0982356661474423E-2</v>
      </c>
      <c r="Z343" s="327">
        <f t="shared" si="161"/>
        <v>1.03950916558224E-34</v>
      </c>
      <c r="AA343" s="328">
        <f t="shared" si="162"/>
        <v>4.5455518957832064E-3</v>
      </c>
    </row>
    <row r="344" spans="1:27" ht="12" customHeight="1" x14ac:dyDescent="0.15">
      <c r="A344" s="269">
        <f t="shared" si="136"/>
        <v>329</v>
      </c>
      <c r="B344" s="322">
        <f t="shared" si="137"/>
        <v>303.69230769230768</v>
      </c>
      <c r="C344" s="323">
        <f t="shared" si="138"/>
        <v>1316</v>
      </c>
      <c r="D344" s="327">
        <f t="shared" si="139"/>
        <v>1.6650190388732996E-5</v>
      </c>
      <c r="E344" s="327">
        <f t="shared" si="140"/>
        <v>6.7366220385526186E-5</v>
      </c>
      <c r="F344" s="327">
        <f t="shared" si="141"/>
        <v>1.4813876918893132E-2</v>
      </c>
      <c r="G344" s="327">
        <f t="shared" si="142"/>
        <v>1.8352162439203665E-2</v>
      </c>
      <c r="H344" s="327">
        <f t="shared" si="143"/>
        <v>6.3625932236622239E-3</v>
      </c>
      <c r="I344" s="327">
        <f t="shared" si="144"/>
        <v>1.4284829329127557E-3</v>
      </c>
      <c r="J344" s="327">
        <f t="shared" si="145"/>
        <v>6.5431792267665165E-11</v>
      </c>
      <c r="K344" s="327">
        <f t="shared" si="146"/>
        <v>5.8182383083596972E-12</v>
      </c>
      <c r="L344" s="327">
        <f t="shared" si="147"/>
        <v>5.456565155447235E-4</v>
      </c>
      <c r="M344" s="327">
        <f t="shared" si="148"/>
        <v>3.9658371326339341E-3</v>
      </c>
      <c r="N344" s="327">
        <f t="shared" si="149"/>
        <v>3.7022871974737852E-2</v>
      </c>
      <c r="O344" s="328">
        <f t="shared" si="150"/>
        <v>1.487006300098752E-2</v>
      </c>
      <c r="P344" s="327">
        <f t="shared" si="151"/>
        <v>4.9382223211575527E-3</v>
      </c>
      <c r="Q344" s="327">
        <f t="shared" si="152"/>
        <v>2.5042510445842676E-2</v>
      </c>
      <c r="R344" s="327">
        <f t="shared" si="153"/>
        <v>3.7336810840714829E-2</v>
      </c>
      <c r="S344" s="327">
        <f t="shared" si="154"/>
        <v>2.5512162888011711E-2</v>
      </c>
      <c r="T344" s="327">
        <f t="shared" si="155"/>
        <v>0</v>
      </c>
      <c r="U344" s="328">
        <f t="shared" si="156"/>
        <v>3.2700245538919148E-5</v>
      </c>
      <c r="V344" s="327">
        <f t="shared" si="157"/>
        <v>9.3374288841345922E-4</v>
      </c>
      <c r="W344" s="327">
        <f t="shared" si="158"/>
        <v>5.1126740155795838E-3</v>
      </c>
      <c r="X344" s="327">
        <f t="shared" si="159"/>
        <v>2.7544345961819761E-2</v>
      </c>
      <c r="Y344" s="327">
        <f t="shared" si="160"/>
        <v>3.0848632291908349E-2</v>
      </c>
      <c r="Z344" s="327">
        <f t="shared" si="161"/>
        <v>3.8767467227016875E-35</v>
      </c>
      <c r="AA344" s="328">
        <f t="shared" si="162"/>
        <v>4.4920136717774284E-3</v>
      </c>
    </row>
    <row r="345" spans="1:27" ht="12" customHeight="1" x14ac:dyDescent="0.15">
      <c r="A345" s="269">
        <f t="shared" si="136"/>
        <v>330</v>
      </c>
      <c r="B345" s="322">
        <f t="shared" si="137"/>
        <v>304.61538461538464</v>
      </c>
      <c r="C345" s="323">
        <f t="shared" si="138"/>
        <v>1320</v>
      </c>
      <c r="D345" s="327">
        <f t="shared" si="139"/>
        <v>1.6102549474208171E-5</v>
      </c>
      <c r="E345" s="327">
        <f t="shared" si="140"/>
        <v>6.5545515957349135E-5</v>
      </c>
      <c r="F345" s="327">
        <f t="shared" si="141"/>
        <v>1.4726433331667121E-2</v>
      </c>
      <c r="G345" s="327">
        <f t="shared" si="142"/>
        <v>1.8275602650560871E-2</v>
      </c>
      <c r="H345" s="327">
        <f t="shared" si="143"/>
        <v>6.33361399311141E-3</v>
      </c>
      <c r="I345" s="327">
        <f t="shared" si="144"/>
        <v>1.4100285003821877E-3</v>
      </c>
      <c r="J345" s="327">
        <f t="shared" si="145"/>
        <v>6.093036323934502E-11</v>
      </c>
      <c r="K345" s="327">
        <f t="shared" si="146"/>
        <v>5.3658720939396475E-12</v>
      </c>
      <c r="L345" s="327">
        <f t="shared" si="147"/>
        <v>5.404745404984368E-4</v>
      </c>
      <c r="M345" s="327">
        <f t="shared" si="148"/>
        <v>3.9479634174286373E-3</v>
      </c>
      <c r="N345" s="327">
        <f t="shared" si="149"/>
        <v>3.7022589494584729E-2</v>
      </c>
      <c r="O345" s="328">
        <f t="shared" si="150"/>
        <v>1.4823884947271814E-2</v>
      </c>
      <c r="P345" s="327">
        <f t="shared" si="151"/>
        <v>4.859148979892116E-3</v>
      </c>
      <c r="Q345" s="327">
        <f t="shared" si="152"/>
        <v>2.4847339639082869E-2</v>
      </c>
      <c r="R345" s="327">
        <f t="shared" si="153"/>
        <v>3.7123037677774584E-2</v>
      </c>
      <c r="S345" s="327">
        <f t="shared" si="154"/>
        <v>2.5383416521284455E-2</v>
      </c>
      <c r="T345" s="327">
        <f t="shared" si="155"/>
        <v>0</v>
      </c>
      <c r="U345" s="328">
        <f t="shared" si="156"/>
        <v>3.1505699604528203E-5</v>
      </c>
      <c r="V345" s="327">
        <f t="shared" si="157"/>
        <v>9.1415170080510599E-4</v>
      </c>
      <c r="W345" s="327">
        <f t="shared" si="158"/>
        <v>5.0460411775842852E-3</v>
      </c>
      <c r="X345" s="327">
        <f t="shared" si="159"/>
        <v>2.7386913181045136E-2</v>
      </c>
      <c r="Y345" s="327">
        <f t="shared" si="160"/>
        <v>3.0715870102683056E-2</v>
      </c>
      <c r="Z345" s="327">
        <f t="shared" si="161"/>
        <v>1.4282438284650713E-35</v>
      </c>
      <c r="AA345" s="328">
        <f t="shared" si="162"/>
        <v>4.4391730105777238E-3</v>
      </c>
    </row>
    <row r="346" spans="1:27" ht="12" customHeight="1" x14ac:dyDescent="0.15">
      <c r="A346" s="269">
        <f t="shared" si="136"/>
        <v>331</v>
      </c>
      <c r="B346" s="322">
        <f t="shared" si="137"/>
        <v>305.53846153846155</v>
      </c>
      <c r="C346" s="323">
        <f t="shared" si="138"/>
        <v>1324</v>
      </c>
      <c r="D346" s="327">
        <f t="shared" si="139"/>
        <v>1.5572921000638045E-5</v>
      </c>
      <c r="E346" s="327">
        <f t="shared" si="140"/>
        <v>6.3774345008430018E-5</v>
      </c>
      <c r="F346" s="327">
        <f t="shared" si="141"/>
        <v>1.4639696686244874E-2</v>
      </c>
      <c r="G346" s="327">
        <f t="shared" si="142"/>
        <v>1.8199586554151312E-2</v>
      </c>
      <c r="H346" s="327">
        <f t="shared" si="143"/>
        <v>6.3049477190548703E-3</v>
      </c>
      <c r="I346" s="327">
        <f t="shared" si="144"/>
        <v>1.391838045073257E-3</v>
      </c>
      <c r="J346" s="327">
        <f t="shared" si="145"/>
        <v>5.6738613383713987E-11</v>
      </c>
      <c r="K346" s="327">
        <f t="shared" si="146"/>
        <v>4.9486416658238334E-12</v>
      </c>
      <c r="L346" s="327">
        <f t="shared" si="147"/>
        <v>5.3535358946854572E-4</v>
      </c>
      <c r="M346" s="327">
        <f t="shared" si="148"/>
        <v>3.9302236572679302E-3</v>
      </c>
      <c r="N346" s="327">
        <f t="shared" si="149"/>
        <v>3.7022314979388952E-2</v>
      </c>
      <c r="O346" s="328">
        <f t="shared" si="150"/>
        <v>1.4777987577703107E-2</v>
      </c>
      <c r="P346" s="327">
        <f t="shared" si="151"/>
        <v>4.7813418014059682E-3</v>
      </c>
      <c r="Q346" s="327">
        <f t="shared" si="152"/>
        <v>2.465386609558393E-2</v>
      </c>
      <c r="R346" s="327">
        <f t="shared" si="153"/>
        <v>3.6910908113159779E-2</v>
      </c>
      <c r="S346" s="327">
        <f t="shared" si="154"/>
        <v>2.5255689715284548E-2</v>
      </c>
      <c r="T346" s="327">
        <f t="shared" si="155"/>
        <v>0</v>
      </c>
      <c r="U346" s="328">
        <f t="shared" si="156"/>
        <v>3.0354331571169624E-5</v>
      </c>
      <c r="V346" s="327">
        <f t="shared" si="157"/>
        <v>8.949715627872447E-4</v>
      </c>
      <c r="W346" s="327">
        <f t="shared" si="158"/>
        <v>4.9803127274964899E-3</v>
      </c>
      <c r="X346" s="327">
        <f t="shared" si="159"/>
        <v>2.7230704453444776E-2</v>
      </c>
      <c r="Y346" s="327">
        <f t="shared" si="160"/>
        <v>3.0584060441848564E-2</v>
      </c>
      <c r="Z346" s="327">
        <f t="shared" si="161"/>
        <v>5.1971760339759961E-36</v>
      </c>
      <c r="AA346" s="328">
        <f t="shared" si="162"/>
        <v>4.3870198711304376E-3</v>
      </c>
    </row>
    <row r="347" spans="1:27" ht="12" customHeight="1" x14ac:dyDescent="0.15">
      <c r="A347" s="269">
        <f t="shared" si="136"/>
        <v>332</v>
      </c>
      <c r="B347" s="322">
        <f t="shared" si="137"/>
        <v>306.46153846153845</v>
      </c>
      <c r="C347" s="323">
        <f t="shared" si="138"/>
        <v>1328</v>
      </c>
      <c r="D347" s="327">
        <f t="shared" si="139"/>
        <v>1.5060712521365466E-5</v>
      </c>
      <c r="E347" s="327">
        <f t="shared" si="140"/>
        <v>6.205135020163453E-5</v>
      </c>
      <c r="F347" s="327">
        <f t="shared" si="141"/>
        <v>1.4553659624871873E-2</v>
      </c>
      <c r="G347" s="327">
        <f t="shared" si="142"/>
        <v>1.8124108712435881E-2</v>
      </c>
      <c r="H347" s="327">
        <f t="shared" si="143"/>
        <v>6.2765902103969371E-3</v>
      </c>
      <c r="I347" s="327">
        <f t="shared" si="144"/>
        <v>1.3739073945175928E-3</v>
      </c>
      <c r="J347" s="327">
        <f t="shared" si="145"/>
        <v>5.2835238090748421E-11</v>
      </c>
      <c r="K347" s="327">
        <f t="shared" si="146"/>
        <v>4.563820851784384E-12</v>
      </c>
      <c r="L347" s="327">
        <f t="shared" si="147"/>
        <v>5.3029279935290496E-4</v>
      </c>
      <c r="M347" s="327">
        <f t="shared" si="148"/>
        <v>3.9126164508789738E-3</v>
      </c>
      <c r="N347" s="327">
        <f t="shared" si="149"/>
        <v>3.7022048204509855E-2</v>
      </c>
      <c r="O347" s="328">
        <f t="shared" si="150"/>
        <v>1.4732368356125758E-2</v>
      </c>
      <c r="P347" s="327">
        <f t="shared" si="151"/>
        <v>4.7047805112531583E-3</v>
      </c>
      <c r="Q347" s="327">
        <f t="shared" si="152"/>
        <v>2.4462073158040585E-2</v>
      </c>
      <c r="R347" s="327">
        <f t="shared" si="153"/>
        <v>3.6700406046761724E-2</v>
      </c>
      <c r="S347" s="327">
        <f t="shared" si="154"/>
        <v>2.5128971519479158E-2</v>
      </c>
      <c r="T347" s="327">
        <f t="shared" si="155"/>
        <v>0</v>
      </c>
      <c r="U347" s="328">
        <f t="shared" si="156"/>
        <v>2.9244599219824252E-5</v>
      </c>
      <c r="V347" s="327">
        <f t="shared" si="157"/>
        <v>8.7619384998399523E-4</v>
      </c>
      <c r="W347" s="327">
        <f t="shared" si="158"/>
        <v>4.9154758149974982E-3</v>
      </c>
      <c r="X347" s="327">
        <f t="shared" si="159"/>
        <v>2.7075707560578532E-2</v>
      </c>
      <c r="Y347" s="327">
        <f t="shared" si="160"/>
        <v>3.0453193781270413E-2</v>
      </c>
      <c r="Z347" s="327">
        <f t="shared" si="161"/>
        <v>1.8676528250599135E-36</v>
      </c>
      <c r="AA347" s="328">
        <f t="shared" si="162"/>
        <v>4.3355443717436604E-3</v>
      </c>
    </row>
    <row r="348" spans="1:27" ht="12" customHeight="1" x14ac:dyDescent="0.15">
      <c r="A348" s="269">
        <f t="shared" si="136"/>
        <v>333</v>
      </c>
      <c r="B348" s="322">
        <f t="shared" si="137"/>
        <v>307.38461538461536</v>
      </c>
      <c r="C348" s="323">
        <f t="shared" si="138"/>
        <v>1332</v>
      </c>
      <c r="D348" s="327">
        <f t="shared" si="139"/>
        <v>1.4565351075878518E-5</v>
      </c>
      <c r="E348" s="327">
        <f t="shared" si="140"/>
        <v>6.0375211690225452E-5</v>
      </c>
      <c r="F348" s="327">
        <f t="shared" si="141"/>
        <v>1.4468314884161226E-2</v>
      </c>
      <c r="G348" s="327">
        <f t="shared" si="142"/>
        <v>1.8049163757872209E-2</v>
      </c>
      <c r="H348" s="327">
        <f t="shared" si="143"/>
        <v>6.2485373438055138E-3</v>
      </c>
      <c r="I348" s="327">
        <f t="shared" si="144"/>
        <v>1.3562324489322375E-3</v>
      </c>
      <c r="J348" s="327">
        <f t="shared" si="145"/>
        <v>4.9200398416986011E-11</v>
      </c>
      <c r="K348" s="327">
        <f t="shared" si="146"/>
        <v>4.2088947715362815E-12</v>
      </c>
      <c r="L348" s="327">
        <f t="shared" si="147"/>
        <v>5.2529132135525902E-4</v>
      </c>
      <c r="M348" s="327">
        <f t="shared" si="148"/>
        <v>3.8951404157749011E-3</v>
      </c>
      <c r="N348" s="327">
        <f t="shared" si="149"/>
        <v>3.702178895164563E-2</v>
      </c>
      <c r="O348" s="328">
        <f t="shared" si="150"/>
        <v>1.4687024776758834E-2</v>
      </c>
      <c r="P348" s="327">
        <f t="shared" si="151"/>
        <v>4.6294451596325227E-3</v>
      </c>
      <c r="Q348" s="327">
        <f t="shared" si="152"/>
        <v>2.4271944355432951E-2</v>
      </c>
      <c r="R348" s="327">
        <f t="shared" si="153"/>
        <v>3.6491515571733468E-2</v>
      </c>
      <c r="S348" s="327">
        <f t="shared" si="154"/>
        <v>2.5003251131303753E-2</v>
      </c>
      <c r="T348" s="327">
        <f t="shared" si="155"/>
        <v>0</v>
      </c>
      <c r="U348" s="328">
        <f t="shared" si="156"/>
        <v>2.8175014671116827E-5</v>
      </c>
      <c r="V348" s="327">
        <f t="shared" si="157"/>
        <v>8.5781011897053858E-4</v>
      </c>
      <c r="W348" s="327">
        <f t="shared" si="158"/>
        <v>4.8515177820689587E-3</v>
      </c>
      <c r="X348" s="327">
        <f t="shared" si="159"/>
        <v>2.6921910434172802E-2</v>
      </c>
      <c r="Y348" s="327">
        <f t="shared" si="160"/>
        <v>3.0323260714699214E-2</v>
      </c>
      <c r="Z348" s="327">
        <f t="shared" si="161"/>
        <v>6.62706463801631E-37</v>
      </c>
      <c r="AA348" s="328">
        <f t="shared" si="162"/>
        <v>4.2847367873061204E-3</v>
      </c>
    </row>
    <row r="349" spans="1:27" ht="12" customHeight="1" x14ac:dyDescent="0.15">
      <c r="A349" s="269">
        <f t="shared" si="136"/>
        <v>334</v>
      </c>
      <c r="B349" s="322">
        <f t="shared" si="137"/>
        <v>308.30769230769232</v>
      </c>
      <c r="C349" s="323">
        <f t="shared" si="138"/>
        <v>1336</v>
      </c>
      <c r="D349" s="327">
        <f t="shared" si="139"/>
        <v>1.4086282548892368E-5</v>
      </c>
      <c r="E349" s="327">
        <f t="shared" si="140"/>
        <v>5.874464607322328E-5</v>
      </c>
      <c r="F349" s="327">
        <f t="shared" si="141"/>
        <v>1.4383655293649489E-2</v>
      </c>
      <c r="G349" s="327">
        <f t="shared" si="142"/>
        <v>1.7974746391814629E-2</v>
      </c>
      <c r="H349" s="327">
        <f t="shared" si="143"/>
        <v>6.2207850624372459E-3</v>
      </c>
      <c r="I349" s="327">
        <f t="shared" si="144"/>
        <v>1.3388091798286483E-3</v>
      </c>
      <c r="J349" s="327">
        <f t="shared" si="145"/>
        <v>4.5815620253900544E-11</v>
      </c>
      <c r="K349" s="327">
        <f t="shared" si="146"/>
        <v>3.8815434791563269E-12</v>
      </c>
      <c r="L349" s="327">
        <f t="shared" si="147"/>
        <v>5.203483207124604E-4</v>
      </c>
      <c r="M349" s="327">
        <f t="shared" si="148"/>
        <v>3.877794187948036E-3</v>
      </c>
      <c r="N349" s="327">
        <f t="shared" si="149"/>
        <v>3.7021537008654223E-2</v>
      </c>
      <c r="O349" s="328">
        <f t="shared" si="150"/>
        <v>1.464195436374335E-2</v>
      </c>
      <c r="P349" s="327">
        <f t="shared" si="151"/>
        <v>4.5553161161893284E-3</v>
      </c>
      <c r="Q349" s="327">
        <f t="shared" si="152"/>
        <v>2.4083463400637588E-2</v>
      </c>
      <c r="R349" s="327">
        <f t="shared" si="153"/>
        <v>3.6284220971729231E-2</v>
      </c>
      <c r="S349" s="327">
        <f t="shared" si="154"/>
        <v>2.4878517893760228E-2</v>
      </c>
      <c r="T349" s="327">
        <f t="shared" si="155"/>
        <v>0</v>
      </c>
      <c r="U349" s="328">
        <f t="shared" si="156"/>
        <v>2.7144142502155688E-5</v>
      </c>
      <c r="V349" s="327">
        <f t="shared" si="157"/>
        <v>8.3981210347651935E-4</v>
      </c>
      <c r="W349" s="327">
        <f t="shared" si="158"/>
        <v>4.7884261599416122E-3</v>
      </c>
      <c r="X349" s="327">
        <f t="shared" si="159"/>
        <v>2.6769301153917624E-2</v>
      </c>
      <c r="Y349" s="327">
        <f t="shared" si="160"/>
        <v>3.0194251955876578E-2</v>
      </c>
      <c r="Z349" s="327">
        <f t="shared" si="161"/>
        <v>2.3215308026484326E-37</v>
      </c>
      <c r="AA349" s="328">
        <f t="shared" si="162"/>
        <v>4.234587546558588E-3</v>
      </c>
    </row>
    <row r="350" spans="1:27" ht="12" customHeight="1" x14ac:dyDescent="0.15">
      <c r="A350" s="269">
        <f t="shared" si="136"/>
        <v>335</v>
      </c>
      <c r="B350" s="322">
        <f t="shared" si="137"/>
        <v>309.23076923076923</v>
      </c>
      <c r="C350" s="323">
        <f t="shared" si="138"/>
        <v>1340</v>
      </c>
      <c r="D350" s="327">
        <f t="shared" si="139"/>
        <v>1.3622971050511506E-5</v>
      </c>
      <c r="E350" s="327">
        <f t="shared" si="140"/>
        <v>5.71584053801584E-5</v>
      </c>
      <c r="F350" s="327">
        <f t="shared" si="141"/>
        <v>1.4299673774377797E-2</v>
      </c>
      <c r="G350" s="327">
        <f t="shared" si="142"/>
        <v>1.7900851383434245E-2</v>
      </c>
      <c r="H350" s="327">
        <f t="shared" si="143"/>
        <v>6.1933293746898902E-3</v>
      </c>
      <c r="I350" s="327">
        <f t="shared" si="144"/>
        <v>1.3216336286503427E-3</v>
      </c>
      <c r="J350" s="327">
        <f t="shared" si="145"/>
        <v>4.2663700433062818E-11</v>
      </c>
      <c r="K350" s="327">
        <f t="shared" si="146"/>
        <v>3.5796268703547209E-12</v>
      </c>
      <c r="L350" s="327">
        <f t="shared" si="147"/>
        <v>5.1546297642779404E-4</v>
      </c>
      <c r="M350" s="327">
        <f t="shared" si="148"/>
        <v>3.8605764215689274E-3</v>
      </c>
      <c r="N350" s="327">
        <f t="shared" si="149"/>
        <v>3.7021292169379397E-2</v>
      </c>
      <c r="O350" s="328">
        <f t="shared" si="150"/>
        <v>1.4597154670697965E-2</v>
      </c>
      <c r="P350" s="327">
        <f t="shared" si="151"/>
        <v>4.4823740649001294E-3</v>
      </c>
      <c r="Q350" s="327">
        <f t="shared" si="152"/>
        <v>2.3896614188072807E-2</v>
      </c>
      <c r="R350" s="327">
        <f t="shared" si="153"/>
        <v>3.6078506718191128E-2</v>
      </c>
      <c r="S350" s="327">
        <f t="shared" si="154"/>
        <v>2.4754761293059459E-2</v>
      </c>
      <c r="T350" s="327">
        <f t="shared" si="155"/>
        <v>0</v>
      </c>
      <c r="U350" s="328">
        <f t="shared" si="156"/>
        <v>2.6150597924656793E-5</v>
      </c>
      <c r="V350" s="327">
        <f t="shared" si="157"/>
        <v>8.2219171066910701E-4</v>
      </c>
      <c r="W350" s="327">
        <f t="shared" si="158"/>
        <v>4.7261886660954931E-3</v>
      </c>
      <c r="X350" s="327">
        <f t="shared" si="159"/>
        <v>2.6617867945302076E-2</v>
      </c>
      <c r="Y350" s="327">
        <f t="shared" si="160"/>
        <v>3.0066158336674802E-2</v>
      </c>
      <c r="Z350" s="327">
        <f t="shared" si="161"/>
        <v>8.0276215018864183E-38</v>
      </c>
      <c r="AA350" s="328">
        <f t="shared" si="162"/>
        <v>4.1850872294180164E-3</v>
      </c>
    </row>
    <row r="351" spans="1:27" ht="12" customHeight="1" x14ac:dyDescent="0.15">
      <c r="A351" s="269">
        <f t="shared" si="136"/>
        <v>336</v>
      </c>
      <c r="B351" s="322">
        <f t="shared" si="137"/>
        <v>310.15384615384613</v>
      </c>
      <c r="C351" s="323">
        <f t="shared" si="138"/>
        <v>1344</v>
      </c>
      <c r="D351" s="327">
        <f t="shared" si="139"/>
        <v>1.317489831677896E-5</v>
      </c>
      <c r="E351" s="327">
        <f t="shared" si="140"/>
        <v>5.5615276084381277E-5</v>
      </c>
      <c r="F351" s="327">
        <f t="shared" si="141"/>
        <v>1.4216363337498095E-2</v>
      </c>
      <c r="G351" s="327">
        <f t="shared" si="142"/>
        <v>1.7827473568658984E-2</v>
      </c>
      <c r="H351" s="327">
        <f t="shared" si="143"/>
        <v>6.1661663529810713E-3</v>
      </c>
      <c r="I351" s="327">
        <f t="shared" si="144"/>
        <v>1.3047019054392983E-3</v>
      </c>
      <c r="J351" s="327">
        <f t="shared" si="145"/>
        <v>3.9728619290866442E-11</v>
      </c>
      <c r="K351" s="327">
        <f t="shared" si="146"/>
        <v>3.3011707569186378E-12</v>
      </c>
      <c r="L351" s="327">
        <f t="shared" si="147"/>
        <v>5.1063448100996389E-4</v>
      </c>
      <c r="M351" s="327">
        <f t="shared" si="148"/>
        <v>3.8434857886912688E-3</v>
      </c>
      <c r="N351" s="327">
        <f t="shared" si="149"/>
        <v>3.7021054233481676E-2</v>
      </c>
      <c r="O351" s="328">
        <f t="shared" si="150"/>
        <v>1.4552623280281987E-2</v>
      </c>
      <c r="P351" s="327">
        <f t="shared" si="151"/>
        <v>4.4105999990395042E-3</v>
      </c>
      <c r="Q351" s="327">
        <f t="shared" si="152"/>
        <v>2.3711380791379362E-2</v>
      </c>
      <c r="R351" s="327">
        <f t="shared" si="153"/>
        <v>3.5874357467678419E-2</v>
      </c>
      <c r="S351" s="327">
        <f t="shared" si="154"/>
        <v>2.4631970956308896E-2</v>
      </c>
      <c r="T351" s="327">
        <f t="shared" si="155"/>
        <v>0</v>
      </c>
      <c r="U351" s="328">
        <f t="shared" si="156"/>
        <v>2.5193045027682714E-5</v>
      </c>
      <c r="V351" s="327">
        <f t="shared" si="157"/>
        <v>8.0494101751403557E-4</v>
      </c>
      <c r="W351" s="327">
        <f t="shared" si="158"/>
        <v>4.6647932013110932E-3</v>
      </c>
      <c r="X351" s="327">
        <f t="shared" si="159"/>
        <v>2.6467599177485091E-2</v>
      </c>
      <c r="Y351" s="327">
        <f t="shared" si="160"/>
        <v>2.993897080527062E-2</v>
      </c>
      <c r="Z351" s="327">
        <f t="shared" si="161"/>
        <v>2.7396095460149812E-38</v>
      </c>
      <c r="AA351" s="328">
        <f t="shared" si="162"/>
        <v>4.1362265643523077E-3</v>
      </c>
    </row>
    <row r="352" spans="1:27" ht="12" customHeight="1" x14ac:dyDescent="0.15">
      <c r="A352" s="269">
        <f t="shared" si="136"/>
        <v>337</v>
      </c>
      <c r="B352" s="322">
        <f t="shared" si="137"/>
        <v>311.07692307692309</v>
      </c>
      <c r="C352" s="323">
        <f t="shared" si="138"/>
        <v>1348</v>
      </c>
      <c r="D352" s="327">
        <f t="shared" si="139"/>
        <v>1.2741563129942007E-5</v>
      </c>
      <c r="E352" s="327">
        <f t="shared" si="140"/>
        <v>5.4114078144125174E-5</v>
      </c>
      <c r="F352" s="327">
        <f t="shared" si="141"/>
        <v>1.4133717082904895E-2</v>
      </c>
      <c r="G352" s="327">
        <f t="shared" si="142"/>
        <v>1.7754607849133474E-2</v>
      </c>
      <c r="H352" s="327">
        <f t="shared" si="143"/>
        <v>6.1392921325529601E-3</v>
      </c>
      <c r="I352" s="327">
        <f t="shared" si="144"/>
        <v>1.2880101875309968E-3</v>
      </c>
      <c r="J352" s="327">
        <f t="shared" si="145"/>
        <v>3.6995459248429975E-11</v>
      </c>
      <c r="K352" s="327">
        <f t="shared" si="146"/>
        <v>3.0443540181758435E-12</v>
      </c>
      <c r="L352" s="327">
        <f t="shared" si="147"/>
        <v>5.0586204021785264E-4</v>
      </c>
      <c r="M352" s="327">
        <f t="shared" si="148"/>
        <v>3.8265209789623564E-3</v>
      </c>
      <c r="N352" s="327">
        <f t="shared" si="149"/>
        <v>3.7020823006274087E-2</v>
      </c>
      <c r="O352" s="328">
        <f t="shared" si="150"/>
        <v>1.4508357803766699E-2</v>
      </c>
      <c r="P352" s="327">
        <f t="shared" si="151"/>
        <v>4.339975216227452E-3</v>
      </c>
      <c r="Q352" s="327">
        <f t="shared" si="152"/>
        <v>2.3527747461134899E-2</v>
      </c>
      <c r="R352" s="327">
        <f t="shared" si="153"/>
        <v>3.5671758059243164E-2</v>
      </c>
      <c r="S352" s="327">
        <f t="shared" si="154"/>
        <v>2.4510136649243574E-2</v>
      </c>
      <c r="T352" s="327">
        <f t="shared" si="155"/>
        <v>0</v>
      </c>
      <c r="U352" s="328">
        <f t="shared" si="156"/>
        <v>2.4270195077669143E-5</v>
      </c>
      <c r="V352" s="327">
        <f t="shared" si="157"/>
        <v>7.880522672130075E-4</v>
      </c>
      <c r="W352" s="327">
        <f t="shared" si="158"/>
        <v>4.6042278467702986E-3</v>
      </c>
      <c r="X352" s="327">
        <f t="shared" si="159"/>
        <v>2.6318483361204903E-2</v>
      </c>
      <c r="Y352" s="327">
        <f t="shared" si="160"/>
        <v>2.9812680424352624E-2</v>
      </c>
      <c r="Z352" s="327">
        <f t="shared" si="161"/>
        <v>9.2259073304416153E-39</v>
      </c>
      <c r="AA352" s="328">
        <f t="shared" si="162"/>
        <v>4.0879964258055956E-3</v>
      </c>
    </row>
    <row r="353" spans="1:27" ht="12" customHeight="1" x14ac:dyDescent="0.15">
      <c r="A353" s="269">
        <f t="shared" si="136"/>
        <v>338</v>
      </c>
      <c r="B353" s="322">
        <f t="shared" si="137"/>
        <v>312</v>
      </c>
      <c r="C353" s="323">
        <f t="shared" si="138"/>
        <v>1352</v>
      </c>
      <c r="D353" s="327">
        <f t="shared" si="139"/>
        <v>1.232248075778615E-5</v>
      </c>
      <c r="E353" s="327">
        <f t="shared" si="140"/>
        <v>5.2653664070517297E-5</v>
      </c>
      <c r="F353" s="327">
        <f t="shared" si="141"/>
        <v>1.4051728197889801E-2</v>
      </c>
      <c r="G353" s="327">
        <f t="shared" si="142"/>
        <v>1.768224919119759E-2</v>
      </c>
      <c r="H353" s="327">
        <f t="shared" si="143"/>
        <v>6.1127029103022089E-3</v>
      </c>
      <c r="I353" s="327">
        <f t="shared" si="144"/>
        <v>1.27155471827467E-3</v>
      </c>
      <c r="J353" s="327">
        <f t="shared" si="145"/>
        <v>3.4450328992855328E-11</v>
      </c>
      <c r="K353" s="327">
        <f t="shared" si="146"/>
        <v>2.8074967462835236E-12</v>
      </c>
      <c r="L353" s="327">
        <f t="shared" si="147"/>
        <v>5.0114487281072151E-4</v>
      </c>
      <c r="M353" s="327">
        <f t="shared" si="148"/>
        <v>3.809680699339177E-3</v>
      </c>
      <c r="N353" s="327">
        <f t="shared" si="149"/>
        <v>3.7020598298562475E-2</v>
      </c>
      <c r="O353" s="328">
        <f t="shared" si="150"/>
        <v>1.446435588061392E-2</v>
      </c>
      <c r="P353" s="327">
        <f t="shared" si="151"/>
        <v>4.2704813135560496E-3</v>
      </c>
      <c r="Q353" s="327">
        <f t="shared" si="152"/>
        <v>2.3345698622602121E-2</v>
      </c>
      <c r="R353" s="327">
        <f t="shared" si="153"/>
        <v>3.547069351184795E-2</v>
      </c>
      <c r="S353" s="327">
        <f t="shared" si="154"/>
        <v>2.438924827399961E-2</v>
      </c>
      <c r="T353" s="327">
        <f t="shared" si="155"/>
        <v>0</v>
      </c>
      <c r="U353" s="328">
        <f t="shared" si="156"/>
        <v>2.3380804879513661E-5</v>
      </c>
      <c r="V353" s="327">
        <f t="shared" si="157"/>
        <v>7.7151786571583517E-4</v>
      </c>
      <c r="W353" s="327">
        <f t="shared" si="158"/>
        <v>4.5444808612063337E-3</v>
      </c>
      <c r="X353" s="327">
        <f t="shared" si="159"/>
        <v>2.6170509146721366E-2</v>
      </c>
      <c r="Y353" s="327">
        <f t="shared" si="160"/>
        <v>2.9687278369360175E-2</v>
      </c>
      <c r="Z353" s="327">
        <f t="shared" si="161"/>
        <v>3.0653251708819701E-39</v>
      </c>
      <c r="AA353" s="328">
        <f t="shared" si="162"/>
        <v>4.0403878316717101E-3</v>
      </c>
    </row>
    <row r="354" spans="1:27" ht="12" customHeight="1" x14ac:dyDescent="0.15">
      <c r="A354" s="269">
        <f t="shared" si="136"/>
        <v>339</v>
      </c>
      <c r="B354" s="322">
        <f t="shared" si="137"/>
        <v>312.92307692307691</v>
      </c>
      <c r="C354" s="323">
        <f t="shared" si="138"/>
        <v>1356</v>
      </c>
      <c r="D354" s="327">
        <f t="shared" si="139"/>
        <v>1.1917182411409599E-5</v>
      </c>
      <c r="E354" s="327">
        <f t="shared" si="140"/>
        <v>5.1232918021789981E-5</v>
      </c>
      <c r="F354" s="327">
        <f t="shared" si="141"/>
        <v>1.3970389955821783E-2</v>
      </c>
      <c r="G354" s="327">
        <f t="shared" si="142"/>
        <v>1.761039262488413E-2</v>
      </c>
      <c r="H354" s="327">
        <f t="shared" si="143"/>
        <v>6.0863949436344858E-3</v>
      </c>
      <c r="I354" s="327">
        <f t="shared" si="144"/>
        <v>1.2553318057824114E-3</v>
      </c>
      <c r="J354" s="327">
        <f t="shared" si="145"/>
        <v>3.2080292874492146E-11</v>
      </c>
      <c r="K354" s="327">
        <f t="shared" si="146"/>
        <v>2.5890493085631754E-12</v>
      </c>
      <c r="L354" s="327">
        <f t="shared" si="147"/>
        <v>4.9648221030340611E-4</v>
      </c>
      <c r="M354" s="327">
        <f t="shared" si="148"/>
        <v>3.7929636738097934E-3</v>
      </c>
      <c r="N354" s="327">
        <f t="shared" si="149"/>
        <v>3.7020379926490522E-2</v>
      </c>
      <c r="O354" s="328">
        <f t="shared" si="150"/>
        <v>1.4420615178062082E-2</v>
      </c>
      <c r="P354" s="327">
        <f t="shared" si="151"/>
        <v>4.2021001827941412E-3</v>
      </c>
      <c r="Q354" s="327">
        <f t="shared" si="152"/>
        <v>2.3165218873509114E-2</v>
      </c>
      <c r="R354" s="327">
        <f t="shared" si="153"/>
        <v>3.5271149021826487E-2</v>
      </c>
      <c r="S354" s="327">
        <f t="shared" si="154"/>
        <v>2.4269295866929386E-2</v>
      </c>
      <c r="T354" s="327">
        <f t="shared" si="155"/>
        <v>0</v>
      </c>
      <c r="U354" s="328">
        <f t="shared" si="156"/>
        <v>2.2523675189956016E-5</v>
      </c>
      <c r="V354" s="327">
        <f t="shared" si="157"/>
        <v>7.5533037830576651E-4</v>
      </c>
      <c r="W354" s="327">
        <f t="shared" si="158"/>
        <v>4.4855406781017229E-3</v>
      </c>
      <c r="X354" s="327">
        <f t="shared" si="159"/>
        <v>2.602366532179512E-2</v>
      </c>
      <c r="Y354" s="327">
        <f t="shared" si="160"/>
        <v>2.9562755926755259E-2</v>
      </c>
      <c r="Z354" s="327">
        <f t="shared" si="161"/>
        <v>1.0046587864888533E-39</v>
      </c>
      <c r="AA354" s="328">
        <f t="shared" si="162"/>
        <v>3.9933919408156049E-3</v>
      </c>
    </row>
    <row r="355" spans="1:27" ht="12" customHeight="1" x14ac:dyDescent="0.15">
      <c r="A355" s="269">
        <f t="shared" si="136"/>
        <v>340</v>
      </c>
      <c r="B355" s="322">
        <f t="shared" si="137"/>
        <v>313.84615384615387</v>
      </c>
      <c r="C355" s="323">
        <f t="shared" si="138"/>
        <v>1360</v>
      </c>
      <c r="D355" s="327">
        <f t="shared" si="139"/>
        <v>1.1525214720832308E-5</v>
      </c>
      <c r="E355" s="327">
        <f t="shared" si="140"/>
        <v>4.9850754922931248E-5</v>
      </c>
      <c r="F355" s="327">
        <f t="shared" si="141"/>
        <v>1.3889695714848438E-2</v>
      </c>
      <c r="G355" s="327">
        <f t="shared" si="142"/>
        <v>1.7539033242934494E-2</v>
      </c>
      <c r="H355" s="327">
        <f t="shared" si="143"/>
        <v>6.0603645493431642E-3</v>
      </c>
      <c r="I355" s="327">
        <f t="shared" si="144"/>
        <v>1.2393378217028239E-3</v>
      </c>
      <c r="J355" s="327">
        <f t="shared" si="145"/>
        <v>2.9873305161370715E-11</v>
      </c>
      <c r="K355" s="327">
        <f t="shared" si="146"/>
        <v>2.387582256030025E-12</v>
      </c>
      <c r="L355" s="327">
        <f t="shared" si="147"/>
        <v>4.9187329672717439E-4</v>
      </c>
      <c r="M355" s="327">
        <f t="shared" si="148"/>
        <v>3.7763686431200394E-3</v>
      </c>
      <c r="N355" s="327">
        <f t="shared" si="149"/>
        <v>3.7020167711388878E-2</v>
      </c>
      <c r="O355" s="328">
        <f t="shared" si="150"/>
        <v>1.4377133390719414E-2</v>
      </c>
      <c r="P355" s="327">
        <f t="shared" si="151"/>
        <v>4.1348140056688175E-3</v>
      </c>
      <c r="Q355" s="327">
        <f t="shared" si="152"/>
        <v>2.2986292981863155E-2</v>
      </c>
      <c r="R355" s="327">
        <f t="shared" si="153"/>
        <v>3.5073109960385596E-2</v>
      </c>
      <c r="S355" s="327">
        <f t="shared" si="154"/>
        <v>2.4150269596457403E-2</v>
      </c>
      <c r="T355" s="327">
        <f t="shared" si="155"/>
        <v>0</v>
      </c>
      <c r="U355" s="328">
        <f t="shared" si="156"/>
        <v>2.1697649189023061E-5</v>
      </c>
      <c r="V355" s="327">
        <f t="shared" si="157"/>
        <v>7.3948252625645136E-4</v>
      </c>
      <c r="W355" s="327">
        <f t="shared" si="158"/>
        <v>4.4273959029333242E-3</v>
      </c>
      <c r="X355" s="327">
        <f t="shared" si="159"/>
        <v>2.587794080969974E-2</v>
      </c>
      <c r="Y355" s="327">
        <f t="shared" si="160"/>
        <v>2.9439104492324421E-2</v>
      </c>
      <c r="Z355" s="327">
        <f t="shared" si="161"/>
        <v>3.2475946899124782E-40</v>
      </c>
      <c r="AA355" s="328">
        <f t="shared" si="162"/>
        <v>3.9470000506427461E-3</v>
      </c>
    </row>
    <row r="356" spans="1:27" ht="12" customHeight="1" x14ac:dyDescent="0.15">
      <c r="A356" s="269">
        <f t="shared" si="136"/>
        <v>341</v>
      </c>
      <c r="B356" s="322">
        <f t="shared" si="137"/>
        <v>314.76923076923077</v>
      </c>
      <c r="C356" s="323">
        <f t="shared" si="138"/>
        <v>1364</v>
      </c>
      <c r="D356" s="327">
        <f t="shared" si="139"/>
        <v>1.1146139227852822E-5</v>
      </c>
      <c r="E356" s="327">
        <f t="shared" si="140"/>
        <v>4.8506119610070247E-5</v>
      </c>
      <c r="F356" s="327">
        <f t="shared" si="141"/>
        <v>1.3809638916621902E-2</v>
      </c>
      <c r="G356" s="327">
        <f t="shared" si="142"/>
        <v>1.7468166199832619E-2</v>
      </c>
      <c r="H356" s="327">
        <f t="shared" si="143"/>
        <v>6.034608102511484E-3</v>
      </c>
      <c r="I356" s="327">
        <f t="shared" si="144"/>
        <v>1.2235692000202025E-3</v>
      </c>
      <c r="J356" s="327">
        <f t="shared" si="145"/>
        <v>2.7818148816651315E-11</v>
      </c>
      <c r="K356" s="327">
        <f t="shared" si="146"/>
        <v>2.2017770127291216E-12</v>
      </c>
      <c r="L356" s="327">
        <f t="shared" si="147"/>
        <v>4.8731738839558059E-4</v>
      </c>
      <c r="M356" s="327">
        <f t="shared" si="148"/>
        <v>3.7598943645054676E-3</v>
      </c>
      <c r="N356" s="327">
        <f t="shared" si="149"/>
        <v>3.701996147962882E-2</v>
      </c>
      <c r="O356" s="328">
        <f t="shared" si="150"/>
        <v>1.4333908240164658E-2</v>
      </c>
      <c r="P356" s="327">
        <f t="shared" si="151"/>
        <v>4.0686052492224902E-3</v>
      </c>
      <c r="Q356" s="327">
        <f t="shared" si="152"/>
        <v>2.2808905883795583E-2</v>
      </c>
      <c r="R356" s="327">
        <f t="shared" si="153"/>
        <v>3.4876561871148293E-2</v>
      </c>
      <c r="S356" s="327">
        <f t="shared" si="154"/>
        <v>2.4032159760976307E-2</v>
      </c>
      <c r="T356" s="327">
        <f t="shared" si="155"/>
        <v>0</v>
      </c>
      <c r="U356" s="328">
        <f t="shared" si="156"/>
        <v>2.0901611000767595E-5</v>
      </c>
      <c r="V356" s="327">
        <f t="shared" si="157"/>
        <v>7.2396718355905885E-4</v>
      </c>
      <c r="W356" s="327">
        <f t="shared" si="158"/>
        <v>4.3700353104639466E-3</v>
      </c>
      <c r="X356" s="327">
        <f t="shared" si="159"/>
        <v>2.5733324667267632E-2</v>
      </c>
      <c r="Y356" s="327">
        <f t="shared" si="160"/>
        <v>2.9316315569512197E-2</v>
      </c>
      <c r="Z356" s="327">
        <f t="shared" si="161"/>
        <v>1.0352183908319849E-40</v>
      </c>
      <c r="AA356" s="328">
        <f t="shared" si="162"/>
        <v>3.9012035947132429E-3</v>
      </c>
    </row>
    <row r="357" spans="1:27" ht="12" customHeight="1" x14ac:dyDescent="0.15">
      <c r="A357" s="269">
        <f t="shared" si="136"/>
        <v>342</v>
      </c>
      <c r="B357" s="322">
        <f t="shared" si="137"/>
        <v>315.69230769230768</v>
      </c>
      <c r="C357" s="323">
        <f t="shared" si="138"/>
        <v>1368</v>
      </c>
      <c r="D357" s="327">
        <f t="shared" si="139"/>
        <v>1.0779531895585163E-5</v>
      </c>
      <c r="E357" s="327">
        <f t="shared" si="140"/>
        <v>4.7197985998873114E-5</v>
      </c>
      <c r="F357" s="327">
        <f t="shared" si="141"/>
        <v>1.3730213085046072E-2</v>
      </c>
      <c r="G357" s="327">
        <f t="shared" si="142"/>
        <v>1.7397786710856115E-2</v>
      </c>
      <c r="H357" s="327">
        <f t="shared" si="143"/>
        <v>6.0091220354376897E-3</v>
      </c>
      <c r="I357" s="327">
        <f t="shared" si="144"/>
        <v>1.2080224358792524E-3</v>
      </c>
      <c r="J357" s="327">
        <f t="shared" si="145"/>
        <v>2.590437848792261E-11</v>
      </c>
      <c r="K357" s="327">
        <f t="shared" si="146"/>
        <v>2.0304172855376265E-12</v>
      </c>
      <c r="L357" s="327">
        <f t="shared" si="147"/>
        <v>4.8281375367476009E-4</v>
      </c>
      <c r="M357" s="327">
        <f t="shared" si="148"/>
        <v>3.7435396114281938E-3</v>
      </c>
      <c r="N357" s="327">
        <f t="shared" si="149"/>
        <v>3.7019761062479895E-2</v>
      </c>
      <c r="O357" s="328">
        <f t="shared" si="150"/>
        <v>1.4290937474554181E-2</v>
      </c>
      <c r="P357" s="327">
        <f t="shared" si="151"/>
        <v>4.0034566612442432E-3</v>
      </c>
      <c r="Q357" s="327">
        <f t="shared" si="152"/>
        <v>2.2633042681438127E-2</v>
      </c>
      <c r="R357" s="327">
        <f t="shared" si="153"/>
        <v>3.4681490467737386E-2</v>
      </c>
      <c r="S357" s="327">
        <f t="shared" si="154"/>
        <v>2.3914956786781731E-2</v>
      </c>
      <c r="T357" s="327">
        <f t="shared" si="155"/>
        <v>0</v>
      </c>
      <c r="U357" s="328">
        <f t="shared" si="156"/>
        <v>2.0134484266076669E-5</v>
      </c>
      <c r="V357" s="327">
        <f t="shared" si="157"/>
        <v>7.0877737371804854E-4</v>
      </c>
      <c r="W357" s="327">
        <f t="shared" si="158"/>
        <v>4.3134478420792152E-3</v>
      </c>
      <c r="X357" s="327">
        <f t="shared" si="159"/>
        <v>2.5589806082969124E-2</v>
      </c>
      <c r="Y357" s="327">
        <f t="shared" si="160"/>
        <v>2.9194380767783457E-2</v>
      </c>
      <c r="Z357" s="327">
        <f t="shared" si="161"/>
        <v>3.2535228048898804E-41</v>
      </c>
      <c r="AA357" s="328">
        <f t="shared" si="162"/>
        <v>3.8559941404014975E-3</v>
      </c>
    </row>
    <row r="358" spans="1:27" ht="12" customHeight="1" x14ac:dyDescent="0.15">
      <c r="A358" s="269">
        <f t="shared" si="136"/>
        <v>343</v>
      </c>
      <c r="B358" s="322">
        <f t="shared" si="137"/>
        <v>316.61538461538464</v>
      </c>
      <c r="C358" s="323">
        <f t="shared" si="138"/>
        <v>1372</v>
      </c>
      <c r="D358" s="327">
        <f t="shared" si="139"/>
        <v>1.0424982634127899E-5</v>
      </c>
      <c r="E358" s="327">
        <f t="shared" si="140"/>
        <v>4.5925356276290965E-5</v>
      </c>
      <c r="F358" s="327">
        <f t="shared" si="141"/>
        <v>1.3651411825046145E-2</v>
      </c>
      <c r="G358" s="327">
        <f t="shared" si="142"/>
        <v>1.732789005114491E-2</v>
      </c>
      <c r="H358" s="327">
        <f t="shared" si="143"/>
        <v>5.9839028365826418E-3</v>
      </c>
      <c r="I358" s="327">
        <f t="shared" si="144"/>
        <v>1.1926940844337874E-3</v>
      </c>
      <c r="J358" s="327">
        <f t="shared" si="145"/>
        <v>2.4122267418595366E-11</v>
      </c>
      <c r="K358" s="327">
        <f t="shared" si="146"/>
        <v>1.8723811387515029E-12</v>
      </c>
      <c r="L358" s="327">
        <f t="shared" si="147"/>
        <v>4.7836167275938646E-4</v>
      </c>
      <c r="M358" s="327">
        <f t="shared" si="148"/>
        <v>3.7273031733188158E-3</v>
      </c>
      <c r="N358" s="327">
        <f t="shared" si="149"/>
        <v>3.7019566295971598E-2</v>
      </c>
      <c r="O358" s="328">
        <f t="shared" si="150"/>
        <v>1.4248218868236425E-2</v>
      </c>
      <c r="P358" s="327">
        <f t="shared" si="151"/>
        <v>3.9393512657743719E-3</v>
      </c>
      <c r="Q358" s="327">
        <f t="shared" si="152"/>
        <v>2.2458688640829817E-2</v>
      </c>
      <c r="R358" s="327">
        <f t="shared" si="153"/>
        <v>3.4487881631397266E-2</v>
      </c>
      <c r="S358" s="327">
        <f t="shared" si="154"/>
        <v>2.3798651226045235E-2</v>
      </c>
      <c r="T358" s="327">
        <f t="shared" si="155"/>
        <v>0</v>
      </c>
      <c r="U358" s="328">
        <f t="shared" si="156"/>
        <v>1.9395230764329696E-5</v>
      </c>
      <c r="V358" s="327">
        <f t="shared" si="157"/>
        <v>6.9390626661418634E-4</v>
      </c>
      <c r="W358" s="327">
        <f t="shared" si="158"/>
        <v>4.2576226031692654E-3</v>
      </c>
      <c r="X358" s="327">
        <f t="shared" si="159"/>
        <v>2.5447374375023202E-2</v>
      </c>
      <c r="Y358" s="327">
        <f t="shared" si="160"/>
        <v>2.907329180101555E-2</v>
      </c>
      <c r="Z358" s="327">
        <f t="shared" si="161"/>
        <v>1.0079786211259793E-41</v>
      </c>
      <c r="AA358" s="328">
        <f t="shared" si="162"/>
        <v>3.8113633865992647E-3</v>
      </c>
    </row>
    <row r="359" spans="1:27" ht="12" customHeight="1" x14ac:dyDescent="0.15">
      <c r="A359" s="269">
        <f t="shared" si="136"/>
        <v>344</v>
      </c>
      <c r="B359" s="322">
        <f t="shared" si="137"/>
        <v>317.53846153846155</v>
      </c>
      <c r="C359" s="323">
        <f t="shared" si="138"/>
        <v>1376</v>
      </c>
      <c r="D359" s="327">
        <f t="shared" si="139"/>
        <v>1.0082094841834409E-5</v>
      </c>
      <c r="E359" s="327">
        <f t="shared" si="140"/>
        <v>4.4687260114980961E-5</v>
      </c>
      <c r="F359" s="327">
        <f t="shared" si="141"/>
        <v>1.357322882135914E-2</v>
      </c>
      <c r="G359" s="327">
        <f t="shared" si="142"/>
        <v>1.7258471554786572E-2</v>
      </c>
      <c r="H359" s="327">
        <f t="shared" si="143"/>
        <v>5.9589470495393128E-3</v>
      </c>
      <c r="I359" s="327">
        <f t="shared" si="144"/>
        <v>1.1775807597182997E-3</v>
      </c>
      <c r="J359" s="327">
        <f t="shared" si="145"/>
        <v>2.2462758011566313E-11</v>
      </c>
      <c r="K359" s="327">
        <f t="shared" si="146"/>
        <v>1.7266336820707362E-12</v>
      </c>
      <c r="L359" s="327">
        <f t="shared" si="147"/>
        <v>4.7396043745273619E-4</v>
      </c>
      <c r="M359" s="327">
        <f t="shared" si="148"/>
        <v>3.711183855323132E-3</v>
      </c>
      <c r="N359" s="327">
        <f t="shared" si="149"/>
        <v>3.7019377020759074E-2</v>
      </c>
      <c r="O359" s="328">
        <f t="shared" si="150"/>
        <v>1.4205750221372682E-2</v>
      </c>
      <c r="P359" s="327">
        <f t="shared" si="151"/>
        <v>3.8762723586809444E-3</v>
      </c>
      <c r="Q359" s="327">
        <f t="shared" si="152"/>
        <v>2.2285829189854965E-2</v>
      </c>
      <c r="R359" s="327">
        <f t="shared" si="153"/>
        <v>3.4295721408656332E-2</v>
      </c>
      <c r="S359" s="327">
        <f t="shared" si="154"/>
        <v>2.3683233754825402E-2</v>
      </c>
      <c r="T359" s="327">
        <f t="shared" si="155"/>
        <v>0</v>
      </c>
      <c r="U359" s="328">
        <f t="shared" si="156"/>
        <v>1.8682849081241848E-5</v>
      </c>
      <c r="V359" s="327">
        <f t="shared" si="157"/>
        <v>6.7934717543337102E-4</v>
      </c>
      <c r="W359" s="327">
        <f t="shared" si="158"/>
        <v>4.2025488605542897E-3</v>
      </c>
      <c r="X359" s="327">
        <f t="shared" si="159"/>
        <v>2.5306018989540102E-2</v>
      </c>
      <c r="Y359" s="327">
        <f t="shared" si="160"/>
        <v>2.8953040485919387E-2</v>
      </c>
      <c r="Z359" s="327">
        <f t="shared" si="161"/>
        <v>3.0778489498127828E-42</v>
      </c>
      <c r="AA359" s="328">
        <f t="shared" si="162"/>
        <v>3.7673031614635644E-3</v>
      </c>
    </row>
    <row r="360" spans="1:27" ht="12" customHeight="1" x14ac:dyDescent="0.15">
      <c r="A360" s="269">
        <f t="shared" si="136"/>
        <v>345</v>
      </c>
      <c r="B360" s="322">
        <f t="shared" si="137"/>
        <v>318.46153846153845</v>
      </c>
      <c r="C360" s="323">
        <f t="shared" si="138"/>
        <v>1380</v>
      </c>
      <c r="D360" s="327">
        <f t="shared" si="139"/>
        <v>9.7504849616708645E-6</v>
      </c>
      <c r="E360" s="327">
        <f t="shared" si="140"/>
        <v>4.3482753909763023E-5</v>
      </c>
      <c r="F360" s="327">
        <f t="shared" si="141"/>
        <v>1.3495657837346298E-2</v>
      </c>
      <c r="G360" s="327">
        <f t="shared" si="142"/>
        <v>1.7189526613918118E-2</v>
      </c>
      <c r="H360" s="327">
        <f t="shared" si="143"/>
        <v>5.934251272023695E-3</v>
      </c>
      <c r="I360" s="327">
        <f t="shared" si="144"/>
        <v>1.1626791335437314E-3</v>
      </c>
      <c r="J360" s="327">
        <f t="shared" si="145"/>
        <v>2.0917415793890972E-11</v>
      </c>
      <c r="K360" s="327">
        <f t="shared" si="146"/>
        <v>1.5922203245646017E-12</v>
      </c>
      <c r="L360" s="327">
        <f t="shared" si="147"/>
        <v>4.696093509517496E-4</v>
      </c>
      <c r="M360" s="327">
        <f t="shared" si="148"/>
        <v>3.6951804780535531E-3</v>
      </c>
      <c r="N360" s="327">
        <f t="shared" si="149"/>
        <v>3.7019193081992426E-2</v>
      </c>
      <c r="O360" s="328">
        <f t="shared" si="150"/>
        <v>1.4163529359564756E-2</v>
      </c>
      <c r="P360" s="327">
        <f t="shared" si="151"/>
        <v>3.8142035033071195E-3</v>
      </c>
      <c r="Q360" s="327">
        <f t="shared" si="152"/>
        <v>2.2114449916209804E-2</v>
      </c>
      <c r="R360" s="327">
        <f t="shared" si="153"/>
        <v>3.4104996009024724E-2</v>
      </c>
      <c r="S360" s="327">
        <f t="shared" si="154"/>
        <v>2.356869517111438E-2</v>
      </c>
      <c r="T360" s="327">
        <f t="shared" si="155"/>
        <v>0</v>
      </c>
      <c r="U360" s="328">
        <f t="shared" si="156"/>
        <v>1.7996373324336012E-5</v>
      </c>
      <c r="V360" s="327">
        <f t="shared" si="157"/>
        <v>6.6509355365989447E-4</v>
      </c>
      <c r="W360" s="327">
        <f t="shared" si="158"/>
        <v>4.1482160399529599E-3</v>
      </c>
      <c r="X360" s="327">
        <f t="shared" si="159"/>
        <v>2.5165729498695111E-2</v>
      </c>
      <c r="Y360" s="327">
        <f t="shared" si="160"/>
        <v>2.88336187404876E-2</v>
      </c>
      <c r="Z360" s="327">
        <f t="shared" si="161"/>
        <v>9.261125536221369E-43</v>
      </c>
      <c r="AA360" s="328">
        <f t="shared" si="162"/>
        <v>3.7238054202050064E-3</v>
      </c>
    </row>
    <row r="361" spans="1:27" ht="12" customHeight="1" x14ac:dyDescent="0.15">
      <c r="A361" s="269">
        <f t="shared" si="136"/>
        <v>346</v>
      </c>
      <c r="B361" s="322">
        <f t="shared" si="137"/>
        <v>319.38461538461536</v>
      </c>
      <c r="C361" s="323">
        <f t="shared" si="138"/>
        <v>1384</v>
      </c>
      <c r="D361" s="327">
        <f t="shared" si="139"/>
        <v>9.4297820521664145E-6</v>
      </c>
      <c r="E361" s="327">
        <f t="shared" si="140"/>
        <v>4.2310920035490887E-5</v>
      </c>
      <c r="F361" s="327">
        <f t="shared" si="141"/>
        <v>1.3418692713824565E-2</v>
      </c>
      <c r="G361" s="327">
        <f t="shared" si="142"/>
        <v>1.7121050677843995E-2</v>
      </c>
      <c r="H361" s="327">
        <f t="shared" si="143"/>
        <v>5.9098121548866508E-3</v>
      </c>
      <c r="I361" s="327">
        <f t="shared" si="144"/>
        <v>1.1479859344161181E-3</v>
      </c>
      <c r="J361" s="327">
        <f t="shared" si="145"/>
        <v>1.9478386548491724E-11</v>
      </c>
      <c r="K361" s="327">
        <f t="shared" si="146"/>
        <v>1.468260550861405E-12</v>
      </c>
      <c r="L361" s="327">
        <f t="shared" si="147"/>
        <v>4.6530772763608841E-4</v>
      </c>
      <c r="M361" s="327">
        <f t="shared" si="148"/>
        <v>3.6792918773451947E-3</v>
      </c>
      <c r="N361" s="327">
        <f t="shared" si="149"/>
        <v>3.7019014329189928E-2</v>
      </c>
      <c r="O361" s="328">
        <f t="shared" si="150"/>
        <v>1.4121554133488715E-2</v>
      </c>
      <c r="P361" s="327">
        <f t="shared" si="151"/>
        <v>3.7531285261882051E-3</v>
      </c>
      <c r="Q361" s="327">
        <f t="shared" si="152"/>
        <v>2.1944536565398989E-2</v>
      </c>
      <c r="R361" s="327">
        <f t="shared" si="153"/>
        <v>3.3915691802732129E-2</v>
      </c>
      <c r="S361" s="327">
        <f t="shared" si="154"/>
        <v>2.3455026392921574E-2</v>
      </c>
      <c r="T361" s="327">
        <f t="shared" si="155"/>
        <v>0</v>
      </c>
      <c r="U361" s="328">
        <f t="shared" si="156"/>
        <v>1.7334871880381186E-5</v>
      </c>
      <c r="V361" s="327">
        <f t="shared" si="157"/>
        <v>6.5113899213279541E-4</v>
      </c>
      <c r="W361" s="327">
        <f t="shared" si="158"/>
        <v>4.0946137234935077E-3</v>
      </c>
      <c r="X361" s="327">
        <f t="shared" si="159"/>
        <v>2.5026495598932219E-2</v>
      </c>
      <c r="Y361" s="327">
        <f t="shared" si="160"/>
        <v>2.8715018582471358E-2</v>
      </c>
      <c r="Z361" s="327">
        <f t="shared" si="161"/>
        <v>2.7455018025426905E-43</v>
      </c>
      <c r="AA361" s="328">
        <f t="shared" si="162"/>
        <v>3.6808622429183036E-3</v>
      </c>
    </row>
    <row r="362" spans="1:27" ht="12" customHeight="1" x14ac:dyDescent="0.15">
      <c r="A362" s="269">
        <f t="shared" si="136"/>
        <v>347</v>
      </c>
      <c r="B362" s="322">
        <f t="shared" si="137"/>
        <v>320.30769230769232</v>
      </c>
      <c r="C362" s="323">
        <f t="shared" si="138"/>
        <v>1388</v>
      </c>
      <c r="D362" s="327">
        <f t="shared" si="139"/>
        <v>9.1196273724750191E-6</v>
      </c>
      <c r="E362" s="327">
        <f t="shared" si="140"/>
        <v>4.1170866125724365E-5</v>
      </c>
      <c r="F362" s="327">
        <f t="shared" si="141"/>
        <v>1.3342327367920515E-2</v>
      </c>
      <c r="G362" s="327">
        <f t="shared" si="142"/>
        <v>1.7053039252169954E-2</v>
      </c>
      <c r="H362" s="327">
        <f t="shared" si="143"/>
        <v>5.8856264011461585E-3</v>
      </c>
      <c r="I362" s="327">
        <f t="shared" si="144"/>
        <v>1.1334979464756589E-3</v>
      </c>
      <c r="J362" s="327">
        <f t="shared" si="145"/>
        <v>1.8138356395022262E-11</v>
      </c>
      <c r="K362" s="327">
        <f t="shared" si="146"/>
        <v>1.3539421791826269E-12</v>
      </c>
      <c r="L362" s="327">
        <f t="shared" si="147"/>
        <v>4.6105489286230039E-4</v>
      </c>
      <c r="M362" s="327">
        <f t="shared" si="148"/>
        <v>3.6635169040164779E-3</v>
      </c>
      <c r="N362" s="327">
        <f t="shared" si="149"/>
        <v>3.7018840616114684E-2</v>
      </c>
      <c r="O362" s="328">
        <f t="shared" si="150"/>
        <v>1.4079822418535181E-2</v>
      </c>
      <c r="P362" s="327">
        <f t="shared" si="151"/>
        <v>3.6930315128373041E-3</v>
      </c>
      <c r="Q362" s="327">
        <f t="shared" si="152"/>
        <v>2.1776075038761146E-2</v>
      </c>
      <c r="R362" s="327">
        <f t="shared" si="153"/>
        <v>3.3727795318499565E-2</v>
      </c>
      <c r="S362" s="327">
        <f t="shared" si="154"/>
        <v>2.3342218456391322E-2</v>
      </c>
      <c r="T362" s="327">
        <f t="shared" si="155"/>
        <v>0</v>
      </c>
      <c r="U362" s="328">
        <f t="shared" si="156"/>
        <v>1.6697446217017742E-5</v>
      </c>
      <c r="V362" s="327">
        <f t="shared" si="157"/>
        <v>6.3747721616397106E-4</v>
      </c>
      <c r="W362" s="327">
        <f t="shared" si="158"/>
        <v>4.0417316472661094E-3</v>
      </c>
      <c r="X362" s="327">
        <f t="shared" si="159"/>
        <v>2.4888307109197871E-2</v>
      </c>
      <c r="Y362" s="327">
        <f t="shared" si="160"/>
        <v>2.8597232127883229E-2</v>
      </c>
      <c r="Z362" s="327">
        <f t="shared" si="161"/>
        <v>8.0175414873280391E-44</v>
      </c>
      <c r="AA362" s="328">
        <f t="shared" si="162"/>
        <v>3.6384658324535302E-3</v>
      </c>
    </row>
    <row r="363" spans="1:27" ht="12" customHeight="1" x14ac:dyDescent="0.15">
      <c r="A363" s="269">
        <f t="shared" si="136"/>
        <v>348</v>
      </c>
      <c r="B363" s="322">
        <f t="shared" si="137"/>
        <v>321.23076923076923</v>
      </c>
      <c r="C363" s="323">
        <f t="shared" si="138"/>
        <v>1392</v>
      </c>
      <c r="D363" s="327">
        <f t="shared" si="139"/>
        <v>8.8196739810851276E-6</v>
      </c>
      <c r="E363" s="327">
        <f t="shared" si="140"/>
        <v>4.0061724371619397E-5</v>
      </c>
      <c r="F363" s="327">
        <f t="shared" si="141"/>
        <v>1.326655579194147E-2</v>
      </c>
      <c r="G363" s="327">
        <f t="shared" si="142"/>
        <v>1.6985487897952237E-2</v>
      </c>
      <c r="H363" s="327">
        <f t="shared" si="143"/>
        <v>5.8616907650395995E-3</v>
      </c>
      <c r="I363" s="327">
        <f t="shared" si="144"/>
        <v>1.1192120084602131E-3</v>
      </c>
      <c r="J363" s="327">
        <f t="shared" si="145"/>
        <v>1.6890514616998486E-11</v>
      </c>
      <c r="K363" s="327">
        <f t="shared" si="146"/>
        <v>1.2485160639628396E-12</v>
      </c>
      <c r="L363" s="327">
        <f t="shared" si="147"/>
        <v>4.5685018276186984E-4</v>
      </c>
      <c r="M363" s="327">
        <f t="shared" si="148"/>
        <v>3.6478544236341866E-3</v>
      </c>
      <c r="N363" s="327">
        <f t="shared" si="149"/>
        <v>3.7018671800654802E-2</v>
      </c>
      <c r="O363" s="328">
        <f t="shared" si="150"/>
        <v>1.4038332114455765E-2</v>
      </c>
      <c r="P363" s="327">
        <f t="shared" si="151"/>
        <v>3.6338968035984315E-3</v>
      </c>
      <c r="Q363" s="327">
        <f t="shared" si="152"/>
        <v>2.1609051391521895E-2</v>
      </c>
      <c r="R363" s="327">
        <f t="shared" si="153"/>
        <v>3.3541293241349024E-2</v>
      </c>
      <c r="S363" s="327">
        <f t="shared" si="154"/>
        <v>2.3230262513955935E-2</v>
      </c>
      <c r="T363" s="327">
        <f t="shared" si="155"/>
        <v>0</v>
      </c>
      <c r="U363" s="328">
        <f t="shared" si="156"/>
        <v>1.6083229724794812E-5</v>
      </c>
      <c r="V363" s="327">
        <f t="shared" si="157"/>
        <v>6.2410208271675594E-4</v>
      </c>
      <c r="W363" s="327">
        <f t="shared" si="158"/>
        <v>3.9895596989160172E-3</v>
      </c>
      <c r="X363" s="327">
        <f t="shared" si="159"/>
        <v>2.4751153969204354E-2</v>
      </c>
      <c r="Y363" s="327">
        <f t="shared" si="160"/>
        <v>2.848025158952696E-2</v>
      </c>
      <c r="Z363" s="327">
        <f t="shared" si="161"/>
        <v>2.3059041802453982E-44</v>
      </c>
      <c r="AA363" s="328">
        <f t="shared" si="162"/>
        <v>3.5966085123266822E-3</v>
      </c>
    </row>
    <row r="364" spans="1:27" ht="12" customHeight="1" x14ac:dyDescent="0.15">
      <c r="A364" s="269">
        <f t="shared" si="136"/>
        <v>349</v>
      </c>
      <c r="B364" s="322">
        <f t="shared" si="137"/>
        <v>322.15384615384613</v>
      </c>
      <c r="C364" s="323">
        <f t="shared" si="138"/>
        <v>1396</v>
      </c>
      <c r="D364" s="327">
        <f t="shared" si="139"/>
        <v>8.5295863477280673E-6</v>
      </c>
      <c r="E364" s="327">
        <f t="shared" si="140"/>
        <v>3.8982650840457232E-5</v>
      </c>
      <c r="F364" s="327">
        <f t="shared" si="141"/>
        <v>1.3191372052268391E-2</v>
      </c>
      <c r="G364" s="327">
        <f t="shared" si="142"/>
        <v>1.6918392230862056E-2</v>
      </c>
      <c r="H364" s="327">
        <f t="shared" si="143"/>
        <v>5.8380020510954492E-3</v>
      </c>
      <c r="I364" s="327">
        <f t="shared" si="144"/>
        <v>1.1051250126865586E-3</v>
      </c>
      <c r="J364" s="327">
        <f t="shared" si="145"/>
        <v>1.572851904626441E-11</v>
      </c>
      <c r="K364" s="327">
        <f t="shared" si="146"/>
        <v>1.1512912086716423E-12</v>
      </c>
      <c r="L364" s="327">
        <f t="shared" si="147"/>
        <v>4.5269294404337579E-4</v>
      </c>
      <c r="M364" s="327">
        <f t="shared" si="148"/>
        <v>3.6323033162828297E-3</v>
      </c>
      <c r="N364" s="327">
        <f t="shared" si="149"/>
        <v>3.7018507744706927E-2</v>
      </c>
      <c r="O364" s="328">
        <f t="shared" si="150"/>
        <v>1.399708114501535E-2</v>
      </c>
      <c r="P364" s="327">
        <f t="shared" si="151"/>
        <v>3.5757089895660033E-3</v>
      </c>
      <c r="Q364" s="327">
        <f t="shared" si="152"/>
        <v>2.1443451830875791E-2</v>
      </c>
      <c r="R364" s="327">
        <f t="shared" si="153"/>
        <v>3.3356172410447193E-2</v>
      </c>
      <c r="S364" s="327">
        <f t="shared" si="154"/>
        <v>2.3119149832521665E-2</v>
      </c>
      <c r="T364" s="327">
        <f t="shared" si="155"/>
        <v>0</v>
      </c>
      <c r="U364" s="328">
        <f t="shared" si="156"/>
        <v>1.5491386599730816E-5</v>
      </c>
      <c r="V364" s="327">
        <f t="shared" si="157"/>
        <v>6.1100757764369243E-4</v>
      </c>
      <c r="W364" s="327">
        <f t="shared" si="158"/>
        <v>3.9380879152770614E-3</v>
      </c>
      <c r="X364" s="327">
        <f t="shared" si="159"/>
        <v>2.4615026237720938E-2</v>
      </c>
      <c r="Y364" s="327">
        <f t="shared" si="160"/>
        <v>2.8364069275552926E-2</v>
      </c>
      <c r="Z364" s="327">
        <f t="shared" si="161"/>
        <v>6.5304016035971674E-45</v>
      </c>
      <c r="AA364" s="328">
        <f t="shared" si="162"/>
        <v>3.5552827246696506E-3</v>
      </c>
    </row>
    <row r="365" spans="1:27" ht="12" customHeight="1" x14ac:dyDescent="0.15">
      <c r="A365" s="269">
        <f t="shared" si="136"/>
        <v>350</v>
      </c>
      <c r="B365" s="322">
        <f t="shared" si="137"/>
        <v>323.07692307692309</v>
      </c>
      <c r="C365" s="323">
        <f t="shared" si="138"/>
        <v>1400</v>
      </c>
      <c r="D365" s="327">
        <f t="shared" si="139"/>
        <v>8.2490399780511668E-6</v>
      </c>
      <c r="E365" s="327">
        <f t="shared" si="140"/>
        <v>3.7932824813262112E-5</v>
      </c>
      <c r="F365" s="327">
        <f t="shared" si="141"/>
        <v>1.3116770288265966E-2</v>
      </c>
      <c r="G365" s="327">
        <f t="shared" si="142"/>
        <v>1.6851747920364802E-2</v>
      </c>
      <c r="H365" s="327">
        <f t="shared" si="143"/>
        <v>5.814557113224126E-3</v>
      </c>
      <c r="I365" s="327">
        <f t="shared" si="144"/>
        <v>1.091233904056188E-3</v>
      </c>
      <c r="J365" s="327">
        <f t="shared" si="145"/>
        <v>1.4646463828860118E-11</v>
      </c>
      <c r="K365" s="327">
        <f t="shared" si="146"/>
        <v>1.0616302571119405E-12</v>
      </c>
      <c r="L365" s="327">
        <f t="shared" si="147"/>
        <v>4.4858253379898017E-4</v>
      </c>
      <c r="M365" s="327">
        <f t="shared" si="148"/>
        <v>3.6168624763382737E-3</v>
      </c>
      <c r="N365" s="327">
        <f t="shared" si="149"/>
        <v>3.7018348314063219E-2</v>
      </c>
      <c r="O365" s="328">
        <f t="shared" si="150"/>
        <v>1.395606745765055E-2</v>
      </c>
      <c r="P365" s="327">
        <f t="shared" si="151"/>
        <v>3.5184529085697221E-3</v>
      </c>
      <c r="Q365" s="327">
        <f t="shared" si="152"/>
        <v>2.127926271409462E-2</v>
      </c>
      <c r="R365" s="327">
        <f t="shared" si="153"/>
        <v>3.3172419816983933E-2</v>
      </c>
      <c r="S365" s="327">
        <f t="shared" si="154"/>
        <v>2.3008871791687945E-2</v>
      </c>
      <c r="T365" s="327">
        <f t="shared" si="155"/>
        <v>0</v>
      </c>
      <c r="U365" s="328">
        <f t="shared" si="156"/>
        <v>1.4921110763177481E-5</v>
      </c>
      <c r="V365" s="327">
        <f t="shared" si="157"/>
        <v>5.98187812982264E-4</v>
      </c>
      <c r="W365" s="327">
        <f t="shared" si="158"/>
        <v>3.8873064800440879E-3</v>
      </c>
      <c r="X365" s="327">
        <f t="shared" si="159"/>
        <v>2.4479914090894117E-2</v>
      </c>
      <c r="Y365" s="327">
        <f t="shared" si="160"/>
        <v>2.8248677588038739E-2</v>
      </c>
      <c r="Z365" s="327">
        <f t="shared" si="161"/>
        <v>1.8207660053264629E-45</v>
      </c>
      <c r="AA365" s="328">
        <f t="shared" si="162"/>
        <v>3.5144810282181638E-3</v>
      </c>
    </row>
    <row r="366" spans="1:27" ht="12" customHeight="1" x14ac:dyDescent="0.15">
      <c r="A366" s="269">
        <f t="shared" si="136"/>
        <v>351</v>
      </c>
      <c r="B366" s="322">
        <f t="shared" si="137"/>
        <v>324</v>
      </c>
      <c r="C366" s="323">
        <f t="shared" si="138"/>
        <v>1404</v>
      </c>
      <c r="D366" s="327">
        <f t="shared" si="139"/>
        <v>7.9777210506358674E-6</v>
      </c>
      <c r="E366" s="327">
        <f t="shared" si="140"/>
        <v>3.6911448140966311E-5</v>
      </c>
      <c r="F366" s="327">
        <f t="shared" si="141"/>
        <v>1.3042744711212362E-2</v>
      </c>
      <c r="G366" s="327">
        <f t="shared" si="142"/>
        <v>1.6785550688913988E-2</v>
      </c>
      <c r="H366" s="327">
        <f t="shared" si="143"/>
        <v>5.7913528538273955E-3</v>
      </c>
      <c r="I366" s="327">
        <f t="shared" si="144"/>
        <v>1.0775356790777568E-3</v>
      </c>
      <c r="J366" s="327">
        <f t="shared" si="145"/>
        <v>1.3638849408460897E-11</v>
      </c>
      <c r="K366" s="327">
        <f t="shared" si="146"/>
        <v>9.7894533391795728E-13</v>
      </c>
      <c r="L366" s="327">
        <f t="shared" si="147"/>
        <v>4.445183193149127E-4</v>
      </c>
      <c r="M366" s="327">
        <f t="shared" si="148"/>
        <v>3.6015308122455533E-3</v>
      </c>
      <c r="N366" s="327">
        <f t="shared" si="149"/>
        <v>3.7018193378301235E-2</v>
      </c>
      <c r="O366" s="328">
        <f t="shared" si="150"/>
        <v>1.3915289023133911E-2</v>
      </c>
      <c r="P366" s="327">
        <f t="shared" si="151"/>
        <v>3.4621136412237245E-3</v>
      </c>
      <c r="Q366" s="327">
        <f t="shared" si="152"/>
        <v>2.1116470546663248E-2</v>
      </c>
      <c r="R366" s="327">
        <f t="shared" si="153"/>
        <v>3.2990022602084834E-2</v>
      </c>
      <c r="S366" s="327">
        <f t="shared" si="154"/>
        <v>2.289941988199903E-2</v>
      </c>
      <c r="T366" s="327">
        <f t="shared" si="155"/>
        <v>0</v>
      </c>
      <c r="U366" s="328">
        <f t="shared" si="156"/>
        <v>1.4371624820541662E-5</v>
      </c>
      <c r="V366" s="327">
        <f t="shared" si="157"/>
        <v>5.8563702430736663E-4</v>
      </c>
      <c r="W366" s="327">
        <f t="shared" si="158"/>
        <v>3.8372057214844987E-3</v>
      </c>
      <c r="X366" s="327">
        <f t="shared" si="159"/>
        <v>2.4345807820594589E-2</v>
      </c>
      <c r="Y366" s="327">
        <f t="shared" si="160"/>
        <v>2.8134069021595216E-2</v>
      </c>
      <c r="Z366" s="327">
        <f t="shared" si="161"/>
        <v>4.9968922812655533E-46</v>
      </c>
      <c r="AA366" s="328">
        <f t="shared" si="162"/>
        <v>3.4741960963361462E-3</v>
      </c>
    </row>
    <row r="367" spans="1:27" ht="12" customHeight="1" x14ac:dyDescent="0.15">
      <c r="A367" s="269">
        <f t="shared" si="136"/>
        <v>352</v>
      </c>
      <c r="B367" s="322">
        <f t="shared" si="137"/>
        <v>324.92307692307691</v>
      </c>
      <c r="C367" s="323">
        <f t="shared" si="138"/>
        <v>1408</v>
      </c>
      <c r="D367" s="327">
        <f t="shared" si="139"/>
        <v>7.7153260659544558E-6</v>
      </c>
      <c r="E367" s="327">
        <f t="shared" si="140"/>
        <v>3.5917744618594521E-5</v>
      </c>
      <c r="F367" s="327">
        <f t="shared" si="141"/>
        <v>1.2969289603247169E-2</v>
      </c>
      <c r="G367" s="327">
        <f t="shared" si="142"/>
        <v>1.6719796311159357E-2</v>
      </c>
      <c r="H367" s="327">
        <f t="shared" si="143"/>
        <v>5.7683862229260382E-3</v>
      </c>
      <c r="I367" s="327">
        <f t="shared" si="144"/>
        <v>1.0640273849116255E-3</v>
      </c>
      <c r="J367" s="327">
        <f t="shared" si="145"/>
        <v>1.2700554574827407E-11</v>
      </c>
      <c r="K367" s="327">
        <f t="shared" si="146"/>
        <v>9.0269420723946681E-13</v>
      </c>
      <c r="L367" s="327">
        <f t="shared" si="147"/>
        <v>4.4049967788573063E-4</v>
      </c>
      <c r="M367" s="327">
        <f t="shared" si="148"/>
        <v>3.5863072463006877E-3</v>
      </c>
      <c r="N367" s="327">
        <f t="shared" si="149"/>
        <v>3.701804281067729E-2</v>
      </c>
      <c r="O367" s="328">
        <f t="shared" si="150"/>
        <v>1.3874743835243642E-2</v>
      </c>
      <c r="P367" s="327">
        <f t="shared" si="151"/>
        <v>3.4066765070389642E-3</v>
      </c>
      <c r="Q367" s="327">
        <f t="shared" si="152"/>
        <v>2.0955061980442058E-2</v>
      </c>
      <c r="R367" s="327">
        <f t="shared" si="153"/>
        <v>3.2808968054757304E-2</v>
      </c>
      <c r="S367" s="327">
        <f t="shared" si="154"/>
        <v>2.2790785703226984E-2</v>
      </c>
      <c r="T367" s="327">
        <f t="shared" si="155"/>
        <v>0</v>
      </c>
      <c r="U367" s="328">
        <f t="shared" si="156"/>
        <v>1.3842179054424086E-5</v>
      </c>
      <c r="V367" s="327">
        <f t="shared" si="157"/>
        <v>5.7334956813932336E-4</v>
      </c>
      <c r="W367" s="327">
        <f t="shared" si="158"/>
        <v>3.7877761101873667E-3</v>
      </c>
      <c r="X367" s="327">
        <f t="shared" si="159"/>
        <v>2.4212697832792451E-2</v>
      </c>
      <c r="Y367" s="327">
        <f t="shared" si="160"/>
        <v>2.802023616199598E-2</v>
      </c>
      <c r="Z367" s="327">
        <f t="shared" si="161"/>
        <v>1.3495606152779001E-46</v>
      </c>
      <c r="AA367" s="328">
        <f t="shared" si="162"/>
        <v>3.434420715078712E-3</v>
      </c>
    </row>
    <row r="368" spans="1:27" ht="12" customHeight="1" x14ac:dyDescent="0.15">
      <c r="A368" s="269">
        <f t="shared" si="136"/>
        <v>353</v>
      </c>
      <c r="B368" s="322">
        <f t="shared" si="137"/>
        <v>325.84615384615387</v>
      </c>
      <c r="C368" s="323">
        <f t="shared" si="138"/>
        <v>1412</v>
      </c>
      <c r="D368" s="327">
        <f t="shared" si="139"/>
        <v>7.4615615068731552E-6</v>
      </c>
      <c r="E368" s="327">
        <f t="shared" si="140"/>
        <v>3.4950959376961306E-5</v>
      </c>
      <c r="F368" s="327">
        <f t="shared" si="141"/>
        <v>1.2896399316336904E-2</v>
      </c>
      <c r="G368" s="327">
        <f t="shared" si="142"/>
        <v>1.6654480613168803E-2</v>
      </c>
      <c r="H368" s="327">
        <f t="shared" si="143"/>
        <v>5.7456542173052643E-3</v>
      </c>
      <c r="I368" s="327">
        <f t="shared" si="144"/>
        <v>1.0507061184333866E-3</v>
      </c>
      <c r="J368" s="327">
        <f t="shared" si="145"/>
        <v>1.1826810435204553E-11</v>
      </c>
      <c r="K368" s="327">
        <f t="shared" si="146"/>
        <v>8.3237674868495658E-13</v>
      </c>
      <c r="L368" s="327">
        <f t="shared" si="147"/>
        <v>4.3652599663235314E-4</v>
      </c>
      <c r="M368" s="327">
        <f t="shared" si="148"/>
        <v>3.5711907144365907E-3</v>
      </c>
      <c r="N368" s="327">
        <f t="shared" si="149"/>
        <v>3.7017896488022443E-2</v>
      </c>
      <c r="O368" s="328">
        <f t="shared" si="150"/>
        <v>1.3834429910439221E-2</v>
      </c>
      <c r="P368" s="327">
        <f t="shared" si="151"/>
        <v>3.3521270605979029E-3</v>
      </c>
      <c r="Q368" s="327">
        <f t="shared" si="152"/>
        <v>2.0795023811855044E-2</v>
      </c>
      <c r="R368" s="327">
        <f t="shared" si="153"/>
        <v>3.2629243609869074E-2</v>
      </c>
      <c r="S368" s="327">
        <f t="shared" si="154"/>
        <v>2.2682960962686006E-2</v>
      </c>
      <c r="T368" s="327">
        <f t="shared" si="155"/>
        <v>0</v>
      </c>
      <c r="U368" s="328">
        <f t="shared" si="156"/>
        <v>1.3332050453396249E-5</v>
      </c>
      <c r="V368" s="327">
        <f t="shared" si="157"/>
        <v>5.6131991940628582E-4</v>
      </c>
      <c r="W368" s="327">
        <f t="shared" si="158"/>
        <v>3.7390082568501404E-3</v>
      </c>
      <c r="X368" s="327">
        <f t="shared" si="159"/>
        <v>2.408057464595792E-2</v>
      </c>
      <c r="Y368" s="327">
        <f t="shared" si="160"/>
        <v>2.7907171684831367E-2</v>
      </c>
      <c r="Z368" s="327">
        <f t="shared" si="161"/>
        <v>3.5862887998057106E-47</v>
      </c>
      <c r="AA368" s="328">
        <f t="shared" si="162"/>
        <v>3.3951477812892428E-3</v>
      </c>
    </row>
    <row r="369" spans="1:27" ht="12" customHeight="1" x14ac:dyDescent="0.15">
      <c r="A369" s="269">
        <f t="shared" si="136"/>
        <v>354</v>
      </c>
      <c r="B369" s="322">
        <f t="shared" si="137"/>
        <v>326.76923076923077</v>
      </c>
      <c r="C369" s="323">
        <f t="shared" si="138"/>
        <v>1416</v>
      </c>
      <c r="D369" s="327">
        <f t="shared" si="139"/>
        <v>7.2161435103214658E-6</v>
      </c>
      <c r="E369" s="327">
        <f t="shared" si="140"/>
        <v>3.4010358291386273E-5</v>
      </c>
      <c r="F369" s="327">
        <f t="shared" si="141"/>
        <v>1.282406827125826E-2</v>
      </c>
      <c r="G369" s="327">
        <f t="shared" si="142"/>
        <v>1.6589599471664263E-2</v>
      </c>
      <c r="H369" s="327">
        <f t="shared" si="143"/>
        <v>5.7231538796775313E-3</v>
      </c>
      <c r="I369" s="327">
        <f t="shared" si="144"/>
        <v>1.0375690253154879E-3</v>
      </c>
      <c r="J369" s="327">
        <f t="shared" si="145"/>
        <v>1.1013176176376899E-11</v>
      </c>
      <c r="K369" s="327">
        <f t="shared" si="146"/>
        <v>7.6753166752328763E-13</v>
      </c>
      <c r="L369" s="327">
        <f t="shared" si="147"/>
        <v>4.3259667232431465E-4</v>
      </c>
      <c r="M369" s="327">
        <f t="shared" si="148"/>
        <v>3.5561801660127538E-3</v>
      </c>
      <c r="N369" s="327">
        <f t="shared" si="149"/>
        <v>3.7017754290641795E-2</v>
      </c>
      <c r="O369" s="328">
        <f t="shared" si="150"/>
        <v>1.3794345287542125E-2</v>
      </c>
      <c r="P369" s="327">
        <f t="shared" si="151"/>
        <v>3.2984510877904225E-3</v>
      </c>
      <c r="Q369" s="327">
        <f t="shared" si="152"/>
        <v>2.0636342980103785E-2</v>
      </c>
      <c r="R369" s="327">
        <f t="shared" si="153"/>
        <v>3.2450836846158349E-2</v>
      </c>
      <c r="S369" s="327">
        <f t="shared" si="154"/>
        <v>2.2575937473576523E-2</v>
      </c>
      <c r="T369" s="327">
        <f t="shared" si="155"/>
        <v>0</v>
      </c>
      <c r="U369" s="328">
        <f t="shared" si="156"/>
        <v>1.2840541773528891E-5</v>
      </c>
      <c r="V369" s="327">
        <f t="shared" si="157"/>
        <v>5.4954266895988247E-4</v>
      </c>
      <c r="W369" s="327">
        <f t="shared" si="158"/>
        <v>3.6908929101017686E-3</v>
      </c>
      <c r="X369" s="327">
        <f t="shared" si="159"/>
        <v>2.3949428889488478E-2</v>
      </c>
      <c r="Y369" s="327">
        <f t="shared" si="160"/>
        <v>2.7794868354185848E-2</v>
      </c>
      <c r="Z369" s="327">
        <f t="shared" si="161"/>
        <v>9.3750029515193743E-48</v>
      </c>
      <c r="AA369" s="328">
        <f t="shared" si="162"/>
        <v>3.3563703007317702E-3</v>
      </c>
    </row>
    <row r="370" spans="1:27" ht="12" customHeight="1" x14ac:dyDescent="0.15">
      <c r="A370" s="269">
        <f t="shared" si="136"/>
        <v>355</v>
      </c>
      <c r="B370" s="322">
        <f t="shared" si="137"/>
        <v>327.69230769230768</v>
      </c>
      <c r="C370" s="323">
        <f t="shared" si="138"/>
        <v>1420</v>
      </c>
      <c r="D370" s="327">
        <f t="shared" si="139"/>
        <v>6.97879754976063E-6</v>
      </c>
      <c r="E370" s="327">
        <f t="shared" si="140"/>
        <v>3.3095227406942521E-5</v>
      </c>
      <c r="F370" s="327">
        <f t="shared" si="141"/>
        <v>1.2752290956598467E-2</v>
      </c>
      <c r="G370" s="327">
        <f t="shared" si="142"/>
        <v>1.6525148813270753E-2</v>
      </c>
      <c r="H370" s="327">
        <f t="shared" si="143"/>
        <v>5.7008822978623684E-3</v>
      </c>
      <c r="I370" s="327">
        <f t="shared" si="144"/>
        <v>1.0246132991281742E-3</v>
      </c>
      <c r="J370" s="327">
        <f t="shared" si="145"/>
        <v>1.0255516494191435E-11</v>
      </c>
      <c r="K370" s="327">
        <f t="shared" si="146"/>
        <v>7.0773349792090693E-13</v>
      </c>
      <c r="L370" s="327">
        <f t="shared" si="147"/>
        <v>4.287111112050157E-4</v>
      </c>
      <c r="M370" s="327">
        <f t="shared" si="148"/>
        <v>3.5412745636088333E-3</v>
      </c>
      <c r="N370" s="327">
        <f t="shared" si="149"/>
        <v>3.7017616102216266E-2</v>
      </c>
      <c r="O370" s="328">
        <f t="shared" si="150"/>
        <v>1.3754488027422327E-2</v>
      </c>
      <c r="P370" s="327">
        <f t="shared" si="151"/>
        <v>3.2456346021099976E-3</v>
      </c>
      <c r="Q370" s="327">
        <f t="shared" si="152"/>
        <v>2.0479006565406788E-2</v>
      </c>
      <c r="R370" s="327">
        <f t="shared" si="153"/>
        <v>3.2273735484276589E-2</v>
      </c>
      <c r="S370" s="327">
        <f t="shared" si="154"/>
        <v>2.2469707153359646E-2</v>
      </c>
      <c r="T370" s="327">
        <f t="shared" si="155"/>
        <v>0</v>
      </c>
      <c r="U370" s="328">
        <f t="shared" si="156"/>
        <v>1.2366980633671254E-5</v>
      </c>
      <c r="V370" s="327">
        <f t="shared" si="157"/>
        <v>5.3801252114298091E-4</v>
      </c>
      <c r="W370" s="327">
        <f t="shared" si="158"/>
        <v>3.6434209543618951E-3</v>
      </c>
      <c r="X370" s="327">
        <f t="shared" si="159"/>
        <v>2.3819251302161781E-2</v>
      </c>
      <c r="Y370" s="327">
        <f t="shared" si="160"/>
        <v>2.7683319021337572E-2</v>
      </c>
      <c r="Z370" s="327">
        <f t="shared" si="161"/>
        <v>2.4103638698129649E-48</v>
      </c>
      <c r="AA370" s="328">
        <f t="shared" si="162"/>
        <v>3.3180813862594416E-3</v>
      </c>
    </row>
    <row r="371" spans="1:27" ht="12" customHeight="1" x14ac:dyDescent="0.15">
      <c r="A371" s="269">
        <f t="shared" si="136"/>
        <v>356</v>
      </c>
      <c r="B371" s="322">
        <f t="shared" si="137"/>
        <v>328.61538461538464</v>
      </c>
      <c r="C371" s="323">
        <f t="shared" si="138"/>
        <v>1424</v>
      </c>
      <c r="D371" s="327">
        <f t="shared" si="139"/>
        <v>6.7492581280960616E-6</v>
      </c>
      <c r="E371" s="327">
        <f t="shared" si="140"/>
        <v>3.2204872379778109E-5</v>
      </c>
      <c r="F371" s="327">
        <f t="shared" si="141"/>
        <v>1.2681061927773407E-2</v>
      </c>
      <c r="G371" s="327">
        <f t="shared" si="142"/>
        <v>1.6461124613778647E-2</v>
      </c>
      <c r="H371" s="327">
        <f t="shared" si="143"/>
        <v>5.6788366039827792E-3</v>
      </c>
      <c r="I371" s="327">
        <f t="shared" si="144"/>
        <v>1.0118361804583031E-3</v>
      </c>
      <c r="J371" s="327">
        <f t="shared" si="145"/>
        <v>9.5499805758335505E-12</v>
      </c>
      <c r="K371" s="327">
        <f t="shared" si="146"/>
        <v>6.5258981963161585E-13</v>
      </c>
      <c r="L371" s="327">
        <f t="shared" si="147"/>
        <v>4.2486872882097071E-4</v>
      </c>
      <c r="M371" s="327">
        <f t="shared" si="148"/>
        <v>3.5264728828219788E-3</v>
      </c>
      <c r="N371" s="327">
        <f t="shared" si="149"/>
        <v>3.701748180970757E-2</v>
      </c>
      <c r="O371" s="328">
        <f t="shared" si="150"/>
        <v>1.3714856212689638E-2</v>
      </c>
      <c r="P371" s="327">
        <f t="shared" si="151"/>
        <v>3.1936638410091905E-3</v>
      </c>
      <c r="Q371" s="327">
        <f t="shared" si="152"/>
        <v>2.0323001787263359E-2</v>
      </c>
      <c r="R371" s="327">
        <f t="shared" si="153"/>
        <v>3.2097927384861613E-2</v>
      </c>
      <c r="S371" s="327">
        <f t="shared" si="154"/>
        <v>2.2364262022160269E-2</v>
      </c>
      <c r="T371" s="327">
        <f t="shared" si="155"/>
        <v>0</v>
      </c>
      <c r="U371" s="328">
        <f t="shared" si="156"/>
        <v>1.1910718640373297E-5</v>
      </c>
      <c r="V371" s="327">
        <f t="shared" si="157"/>
        <v>5.2672429140849315E-4</v>
      </c>
      <c r="W371" s="327">
        <f t="shared" si="158"/>
        <v>3.5965834077354045E-3</v>
      </c>
      <c r="X371" s="327">
        <f t="shared" si="159"/>
        <v>2.3690032730613986E-2</v>
      </c>
      <c r="Y371" s="327">
        <f t="shared" si="160"/>
        <v>2.7572516623481397E-2</v>
      </c>
      <c r="Z371" s="327">
        <f t="shared" si="161"/>
        <v>6.0938184006829326E-49</v>
      </c>
      <c r="AA371" s="328">
        <f t="shared" si="162"/>
        <v>3.2802742560142928E-3</v>
      </c>
    </row>
    <row r="372" spans="1:27" ht="12" customHeight="1" x14ac:dyDescent="0.15">
      <c r="A372" s="269">
        <f t="shared" si="136"/>
        <v>357</v>
      </c>
      <c r="B372" s="322">
        <f t="shared" si="137"/>
        <v>329.53846153846155</v>
      </c>
      <c r="C372" s="323">
        <f t="shared" si="138"/>
        <v>1428</v>
      </c>
      <c r="D372" s="327">
        <f t="shared" si="139"/>
        <v>6.5272684806902507E-6</v>
      </c>
      <c r="E372" s="327">
        <f t="shared" si="140"/>
        <v>3.1338617934047827E-5</v>
      </c>
      <c r="F372" s="327">
        <f t="shared" si="141"/>
        <v>1.2610375806060503E-2</v>
      </c>
      <c r="G372" s="327">
        <f t="shared" si="142"/>
        <v>1.6397522897418856E-2</v>
      </c>
      <c r="H372" s="327">
        <f t="shared" si="143"/>
        <v>5.6570139736779011E-3</v>
      </c>
      <c r="I372" s="327">
        <f t="shared" si="144"/>
        <v>9.992349560459246E-4</v>
      </c>
      <c r="J372" s="327">
        <f t="shared" si="145"/>
        <v>8.8929825280330094E-12</v>
      </c>
      <c r="K372" s="327">
        <f t="shared" si="146"/>
        <v>6.0173869406995297E-13</v>
      </c>
      <c r="L372" s="327">
        <f t="shared" si="147"/>
        <v>4.2106894985427523E-4</v>
      </c>
      <c r="M372" s="327">
        <f t="shared" si="148"/>
        <v>3.5117741120677549E-3</v>
      </c>
      <c r="N372" s="327">
        <f t="shared" si="149"/>
        <v>3.7017351303265326E-2</v>
      </c>
      <c r="O372" s="328">
        <f t="shared" si="150"/>
        <v>1.3675447947390543E-2</v>
      </c>
      <c r="P372" s="327">
        <f t="shared" si="151"/>
        <v>3.1425252623135287E-3</v>
      </c>
      <c r="Q372" s="327">
        <f t="shared" si="152"/>
        <v>2.016831600274208E-2</v>
      </c>
      <c r="R372" s="327">
        <f t="shared" si="153"/>
        <v>3.1923400546640557E-2</v>
      </c>
      <c r="S372" s="327">
        <f t="shared" si="154"/>
        <v>2.2259594201198826E-2</v>
      </c>
      <c r="T372" s="327">
        <f t="shared" si="155"/>
        <v>0</v>
      </c>
      <c r="U372" s="328">
        <f t="shared" si="156"/>
        <v>1.1471130544116193E-5</v>
      </c>
      <c r="V372" s="327">
        <f t="shared" si="157"/>
        <v>5.1567290398813663E-4</v>
      </c>
      <c r="W372" s="327">
        <f t="shared" si="158"/>
        <v>3.5503714199416965E-3</v>
      </c>
      <c r="X372" s="327">
        <f t="shared" si="159"/>
        <v>2.3561764127841722E-2</v>
      </c>
      <c r="Y372" s="327">
        <f t="shared" si="160"/>
        <v>2.7462454182472985E-2</v>
      </c>
      <c r="Z372" s="327">
        <f t="shared" si="161"/>
        <v>1.5146129463696412E-49</v>
      </c>
      <c r="AA372" s="328">
        <f t="shared" si="162"/>
        <v>3.2429422316617718E-3</v>
      </c>
    </row>
    <row r="373" spans="1:27" ht="12" customHeight="1" x14ac:dyDescent="0.15">
      <c r="A373" s="269">
        <f t="shared" si="136"/>
        <v>358</v>
      </c>
      <c r="B373" s="322">
        <f t="shared" si="137"/>
        <v>330.46153846153845</v>
      </c>
      <c r="C373" s="323">
        <f t="shared" si="138"/>
        <v>1432</v>
      </c>
      <c r="D373" s="327">
        <f t="shared" si="139"/>
        <v>6.3125802881436364E-6</v>
      </c>
      <c r="E373" s="327">
        <f t="shared" si="140"/>
        <v>3.0495807334023522E-5</v>
      </c>
      <c r="F373" s="327">
        <f t="shared" si="141"/>
        <v>1.2540227277649918E-2</v>
      </c>
      <c r="G373" s="327">
        <f t="shared" si="142"/>
        <v>1.6334339736150508E-2</v>
      </c>
      <c r="H373" s="327">
        <f t="shared" si="143"/>
        <v>5.6354116253315416E-3</v>
      </c>
      <c r="I373" s="327">
        <f t="shared" si="144"/>
        <v>9.8680695793795792E-4</v>
      </c>
      <c r="J373" s="327">
        <f t="shared" si="145"/>
        <v>8.2811831517256578E-12</v>
      </c>
      <c r="K373" s="327">
        <f t="shared" si="146"/>
        <v>5.5484629909610362E-13</v>
      </c>
      <c r="L373" s="327">
        <f t="shared" si="147"/>
        <v>4.1731120795884813E-4</v>
      </c>
      <c r="M373" s="327">
        <f t="shared" si="148"/>
        <v>3.4971772523847248E-3</v>
      </c>
      <c r="N373" s="327">
        <f t="shared" si="149"/>
        <v>3.7017224476137423E-2</v>
      </c>
      <c r="O373" s="328">
        <f t="shared" si="150"/>
        <v>1.3636261356709931E-2</v>
      </c>
      <c r="P373" s="327">
        <f t="shared" si="151"/>
        <v>3.0922055406927538E-3</v>
      </c>
      <c r="Q373" s="327">
        <f t="shared" si="152"/>
        <v>2.0014936704793509E-2</v>
      </c>
      <c r="R373" s="327">
        <f t="shared" si="153"/>
        <v>3.1750143104563922E-2</v>
      </c>
      <c r="S373" s="327">
        <f t="shared" si="154"/>
        <v>2.2155695911250925E-2</v>
      </c>
      <c r="T373" s="327">
        <f t="shared" si="155"/>
        <v>0</v>
      </c>
      <c r="U373" s="328">
        <f t="shared" si="156"/>
        <v>1.1047613424741698E-5</v>
      </c>
      <c r="V373" s="327">
        <f t="shared" si="157"/>
        <v>5.0485338961010404E-4</v>
      </c>
      <c r="W373" s="327">
        <f t="shared" si="158"/>
        <v>3.5047762702779175E-3</v>
      </c>
      <c r="X373" s="327">
        <f t="shared" si="159"/>
        <v>2.3434436551729498E-2</v>
      </c>
      <c r="Y373" s="327">
        <f t="shared" si="160"/>
        <v>2.7353124803595062E-2</v>
      </c>
      <c r="Z373" s="327">
        <f t="shared" si="161"/>
        <v>3.7002197256201245E-50</v>
      </c>
      <c r="AA373" s="328">
        <f t="shared" si="162"/>
        <v>3.2060787366574584E-3</v>
      </c>
    </row>
    <row r="374" spans="1:27" ht="12" customHeight="1" x14ac:dyDescent="0.15">
      <c r="A374" s="269">
        <f t="shared" si="136"/>
        <v>359</v>
      </c>
      <c r="B374" s="322">
        <f t="shared" si="137"/>
        <v>331.38461538461536</v>
      </c>
      <c r="C374" s="323">
        <f t="shared" si="138"/>
        <v>1436</v>
      </c>
      <c r="D374" s="327">
        <f t="shared" si="139"/>
        <v>6.1049533985226309E-6</v>
      </c>
      <c r="E374" s="327">
        <f t="shared" si="140"/>
        <v>2.9675801870947622E-5</v>
      </c>
      <c r="F374" s="327">
        <f t="shared" si="141"/>
        <v>1.2470611092710082E-2</v>
      </c>
      <c r="G374" s="327">
        <f t="shared" si="142"/>
        <v>1.6271571248961159E-2</v>
      </c>
      <c r="H374" s="327">
        <f t="shared" si="143"/>
        <v>5.6140268193162089E-3</v>
      </c>
      <c r="I374" s="327">
        <f t="shared" si="144"/>
        <v>9.745495626589662E-4</v>
      </c>
      <c r="J374" s="327">
        <f t="shared" si="145"/>
        <v>7.7114729705415593E-12</v>
      </c>
      <c r="K374" s="327">
        <f t="shared" si="146"/>
        <v>5.1160474712908811E-13</v>
      </c>
      <c r="L374" s="327">
        <f t="shared" si="147"/>
        <v>4.1359494559956023E-4</v>
      </c>
      <c r="M374" s="327">
        <f t="shared" si="148"/>
        <v>3.4826813172425105E-3</v>
      </c>
      <c r="N374" s="327">
        <f t="shared" si="149"/>
        <v>3.7017101224582377E-2</v>
      </c>
      <c r="O374" s="328">
        <f t="shared" si="150"/>
        <v>1.3597294586677753E-2</v>
      </c>
      <c r="P374" s="327">
        <f t="shared" si="151"/>
        <v>3.0426915641886053E-3</v>
      </c>
      <c r="Q374" s="327">
        <f t="shared" si="152"/>
        <v>1.9862851520585974E-2</v>
      </c>
      <c r="R374" s="327">
        <f t="shared" si="153"/>
        <v>3.1578143327968156E-2</v>
      </c>
      <c r="S374" s="327">
        <f t="shared" si="154"/>
        <v>2.2052559471134579E-2</v>
      </c>
      <c r="T374" s="327">
        <f t="shared" si="155"/>
        <v>0</v>
      </c>
      <c r="U374" s="328">
        <f t="shared" si="156"/>
        <v>1.0639585904526072E-5</v>
      </c>
      <c r="V374" s="327">
        <f t="shared" si="157"/>
        <v>4.9426088326462642E-4</v>
      </c>
      <c r="W374" s="327">
        <f t="shared" si="158"/>
        <v>3.4597893656159451E-3</v>
      </c>
      <c r="X374" s="327">
        <f t="shared" si="159"/>
        <v>2.3308041163600079E-2</v>
      </c>
      <c r="Y374" s="327">
        <f t="shared" si="160"/>
        <v>2.7244521674344702E-2</v>
      </c>
      <c r="Z374" s="327">
        <f t="shared" si="161"/>
        <v>8.8833005642735905E-51</v>
      </c>
      <c r="AA374" s="328">
        <f t="shared" si="162"/>
        <v>3.1696772945452034E-3</v>
      </c>
    </row>
    <row r="375" spans="1:27" ht="12" customHeight="1" x14ac:dyDescent="0.15">
      <c r="A375" s="269">
        <f t="shared" si="136"/>
        <v>360</v>
      </c>
      <c r="B375" s="322">
        <f t="shared" si="137"/>
        <v>332.30769230769232</v>
      </c>
      <c r="C375" s="323">
        <f t="shared" si="138"/>
        <v>1440</v>
      </c>
      <c r="D375" s="327">
        <f t="shared" si="139"/>
        <v>5.9041555587236974E-6</v>
      </c>
      <c r="E375" s="327">
        <f t="shared" si="140"/>
        <v>2.8877980364216106E-5</v>
      </c>
      <c r="F375" s="327">
        <f t="shared" si="141"/>
        <v>1.2401522064469761E-2</v>
      </c>
      <c r="G375" s="327">
        <f t="shared" si="142"/>
        <v>1.6209213601178912E-2</v>
      </c>
      <c r="H375" s="327">
        <f t="shared" si="143"/>
        <v>5.5928568572523379E-3</v>
      </c>
      <c r="I375" s="327">
        <f t="shared" si="144"/>
        <v>9.6246019039880615E-4</v>
      </c>
      <c r="J375" s="327">
        <f t="shared" si="145"/>
        <v>7.1809564268604513E-12</v>
      </c>
      <c r="K375" s="327">
        <f t="shared" si="146"/>
        <v>4.7173007239445356E-13</v>
      </c>
      <c r="L375" s="327">
        <f t="shared" si="147"/>
        <v>4.0991961389491571E-4</v>
      </c>
      <c r="M375" s="327">
        <f t="shared" si="148"/>
        <v>3.4682853323532597E-3</v>
      </c>
      <c r="N375" s="327">
        <f t="shared" si="149"/>
        <v>3.7016981447784467E-2</v>
      </c>
      <c r="O375" s="328">
        <f t="shared" si="150"/>
        <v>1.3558545803880735E-2</v>
      </c>
      <c r="P375" s="327">
        <f t="shared" si="151"/>
        <v>2.993970430798209E-3</v>
      </c>
      <c r="Q375" s="327">
        <f t="shared" si="152"/>
        <v>1.9712048209865392E-2</v>
      </c>
      <c r="R375" s="327">
        <f t="shared" si="153"/>
        <v>3.1407389618766546E-2</v>
      </c>
      <c r="S375" s="327">
        <f t="shared" si="154"/>
        <v>2.1950177296223814E-2</v>
      </c>
      <c r="T375" s="327">
        <f t="shared" si="155"/>
        <v>0</v>
      </c>
      <c r="U375" s="328">
        <f t="shared" si="156"/>
        <v>1.024648738934264E-5</v>
      </c>
      <c r="V375" s="327">
        <f t="shared" si="157"/>
        <v>4.8389062201641434E-4</v>
      </c>
      <c r="W375" s="327">
        <f t="shared" si="158"/>
        <v>3.4154022384320828E-3</v>
      </c>
      <c r="X375" s="327">
        <f t="shared" si="159"/>
        <v>2.3182569226788075E-2</v>
      </c>
      <c r="Y375" s="327">
        <f t="shared" si="160"/>
        <v>2.7136638063240945E-2</v>
      </c>
      <c r="Z375" s="327">
        <f t="shared" si="161"/>
        <v>2.0953102882799424E-51</v>
      </c>
      <c r="AA375" s="328">
        <f t="shared" si="162"/>
        <v>3.1337315272859101E-3</v>
      </c>
    </row>
    <row r="376" spans="1:27" ht="12" customHeight="1" x14ac:dyDescent="0.15">
      <c r="A376" s="269">
        <f t="shared" si="136"/>
        <v>361</v>
      </c>
      <c r="B376" s="322">
        <f t="shared" si="137"/>
        <v>333.23076923076923</v>
      </c>
      <c r="C376" s="323">
        <f t="shared" si="138"/>
        <v>1444</v>
      </c>
      <c r="D376" s="327">
        <f t="shared" si="139"/>
        <v>5.709962154673249E-6</v>
      </c>
      <c r="E376" s="327">
        <f t="shared" si="140"/>
        <v>2.8101738676490747E-5</v>
      </c>
      <c r="F376" s="327">
        <f t="shared" si="141"/>
        <v>1.2332955068315554E-2</v>
      </c>
      <c r="G376" s="327">
        <f t="shared" si="142"/>
        <v>1.6147263003796472E-2</v>
      </c>
      <c r="H376" s="327">
        <f t="shared" si="143"/>
        <v>5.5718990812823384E-3</v>
      </c>
      <c r="I376" s="327">
        <f t="shared" si="144"/>
        <v>9.5053630421615409E-4</v>
      </c>
      <c r="J376" s="327">
        <f t="shared" si="145"/>
        <v>6.6869371651116909E-12</v>
      </c>
      <c r="K376" s="327">
        <f t="shared" si="146"/>
        <v>4.3496037421056921E-13</v>
      </c>
      <c r="L376" s="327">
        <f t="shared" si="147"/>
        <v>4.0628467246273114E-4</v>
      </c>
      <c r="M376" s="327">
        <f t="shared" si="148"/>
        <v>3.4539883354865785E-3</v>
      </c>
      <c r="N376" s="327">
        <f t="shared" si="149"/>
        <v>3.7016865047771186E-2</v>
      </c>
      <c r="O376" s="328">
        <f t="shared" si="150"/>
        <v>1.3520013195178577E-2</v>
      </c>
      <c r="P376" s="327">
        <f t="shared" si="151"/>
        <v>2.9460294451121674E-3</v>
      </c>
      <c r="Q376" s="327">
        <f t="shared" si="152"/>
        <v>1.9562514663337412E-2</v>
      </c>
      <c r="R376" s="327">
        <f t="shared" si="153"/>
        <v>3.1237870509670196E-2</v>
      </c>
      <c r="S376" s="327">
        <f t="shared" si="154"/>
        <v>2.1848541896988951E-2</v>
      </c>
      <c r="T376" s="327">
        <f t="shared" si="155"/>
        <v>0</v>
      </c>
      <c r="U376" s="328">
        <f t="shared" si="156"/>
        <v>9.8677773350264175E-6</v>
      </c>
      <c r="V376" s="327">
        <f t="shared" si="157"/>
        <v>4.7373794286299857E-4</v>
      </c>
      <c r="W376" s="327">
        <f t="shared" si="158"/>
        <v>3.3716065448691573E-3</v>
      </c>
      <c r="X376" s="327">
        <f t="shared" si="159"/>
        <v>2.3058012105237502E-2</v>
      </c>
      <c r="Y376" s="327">
        <f t="shared" si="160"/>
        <v>2.7029467318653567E-2</v>
      </c>
      <c r="Z376" s="327">
        <f t="shared" si="161"/>
        <v>4.8546114004265134E-52</v>
      </c>
      <c r="AA376" s="328">
        <f t="shared" si="162"/>
        <v>3.0982351536177344E-3</v>
      </c>
    </row>
    <row r="377" spans="1:27" ht="12" customHeight="1" x14ac:dyDescent="0.15">
      <c r="A377" s="269">
        <f t="shared" si="136"/>
        <v>362</v>
      </c>
      <c r="B377" s="322">
        <f t="shared" si="137"/>
        <v>334.15384615384613</v>
      </c>
      <c r="C377" s="323">
        <f t="shared" si="138"/>
        <v>1448</v>
      </c>
      <c r="D377" s="327">
        <f t="shared" si="139"/>
        <v>5.5221559600724202E-6</v>
      </c>
      <c r="E377" s="327">
        <f t="shared" si="140"/>
        <v>2.7346489242338894E-5</v>
      </c>
      <c r="F377" s="327">
        <f t="shared" si="141"/>
        <v>1.2264905040903273E-2</v>
      </c>
      <c r="G377" s="327">
        <f t="shared" si="142"/>
        <v>1.6085715712806946E-2</v>
      </c>
      <c r="H377" s="327">
        <f t="shared" si="143"/>
        <v>5.5511508733590963E-3</v>
      </c>
      <c r="I377" s="327">
        <f t="shared" si="144"/>
        <v>9.3877540925757508E-4</v>
      </c>
      <c r="J377" s="327">
        <f t="shared" si="145"/>
        <v>6.2269043275203108E-12</v>
      </c>
      <c r="K377" s="327">
        <f t="shared" si="146"/>
        <v>4.0105410423005154E-13</v>
      </c>
      <c r="L377" s="327">
        <f t="shared" si="147"/>
        <v>4.0268958926914511E-4</v>
      </c>
      <c r="M377" s="327">
        <f t="shared" si="148"/>
        <v>3.4397893762876299E-3</v>
      </c>
      <c r="N377" s="327">
        <f t="shared" si="149"/>
        <v>3.7016751929332993E-2</v>
      </c>
      <c r="O377" s="328">
        <f t="shared" si="150"/>
        <v>1.3481694967425087E-2</v>
      </c>
      <c r="P377" s="327">
        <f t="shared" si="151"/>
        <v>2.8988561150064544E-3</v>
      </c>
      <c r="Q377" s="327">
        <f t="shared" si="152"/>
        <v>1.9414238901072176E-2</v>
      </c>
      <c r="R377" s="327">
        <f t="shared" si="153"/>
        <v>3.1069574662433985E-2</v>
      </c>
      <c r="S377" s="327">
        <f t="shared" si="154"/>
        <v>2.1747645877562432E-2</v>
      </c>
      <c r="T377" s="327">
        <f t="shared" si="155"/>
        <v>0</v>
      </c>
      <c r="U377" s="328">
        <f t="shared" si="156"/>
        <v>9.5029345403840892E-6</v>
      </c>
      <c r="V377" s="327">
        <f t="shared" si="157"/>
        <v>4.6379828063800076E-4</v>
      </c>
      <c r="W377" s="327">
        <f t="shared" si="158"/>
        <v>3.32839406283036E-3</v>
      </c>
      <c r="X377" s="327">
        <f t="shared" si="159"/>
        <v>2.2934361262120118E-2</v>
      </c>
      <c r="Y377" s="327">
        <f t="shared" si="160"/>
        <v>2.6923002867650623E-2</v>
      </c>
      <c r="Z377" s="327">
        <f t="shared" si="161"/>
        <v>1.1045784068564696E-52</v>
      </c>
      <c r="AA377" s="328">
        <f t="shared" si="162"/>
        <v>3.0631819874462618E-3</v>
      </c>
    </row>
    <row r="378" spans="1:27" ht="12" customHeight="1" x14ac:dyDescent="0.15">
      <c r="A378" s="269">
        <f t="shared" si="136"/>
        <v>363</v>
      </c>
      <c r="B378" s="322">
        <f t="shared" si="137"/>
        <v>335.07692307692309</v>
      </c>
      <c r="C378" s="323">
        <f t="shared" si="138"/>
        <v>1452</v>
      </c>
      <c r="D378" s="327">
        <f t="shared" si="139"/>
        <v>5.34052689340606E-6</v>
      </c>
      <c r="E378" s="327">
        <f t="shared" si="140"/>
        <v>2.6611660610030711E-5</v>
      </c>
      <c r="F378" s="327">
        <f t="shared" si="141"/>
        <v>1.2197366979285529E-2</v>
      </c>
      <c r="G378" s="327">
        <f t="shared" si="142"/>
        <v>1.6024568028550932E-2</v>
      </c>
      <c r="H378" s="327">
        <f t="shared" si="143"/>
        <v>5.5306096545487534E-3</v>
      </c>
      <c r="I378" s="327">
        <f t="shared" si="144"/>
        <v>9.271750519930233E-4</v>
      </c>
      <c r="J378" s="327">
        <f t="shared" si="145"/>
        <v>5.7985197926475895E-12</v>
      </c>
      <c r="K378" s="327">
        <f t="shared" si="146"/>
        <v>3.6978848648783922E-13</v>
      </c>
      <c r="L378" s="327">
        <f t="shared" si="147"/>
        <v>3.991338404806255E-4</v>
      </c>
      <c r="M378" s="327">
        <f t="shared" si="148"/>
        <v>3.4256875160985764E-3</v>
      </c>
      <c r="N378" s="327">
        <f t="shared" si="149"/>
        <v>3.7016641999945414E-2</v>
      </c>
      <c r="O378" s="328">
        <f t="shared" si="150"/>
        <v>1.3443589347193771E-2</v>
      </c>
      <c r="P378" s="327">
        <f t="shared" si="151"/>
        <v>2.8524381483873307E-3</v>
      </c>
      <c r="Q378" s="327">
        <f t="shared" si="152"/>
        <v>1.9267209070931605E-2</v>
      </c>
      <c r="R378" s="327">
        <f t="shared" si="153"/>
        <v>3.0902490866133059E-2</v>
      </c>
      <c r="S378" s="327">
        <f t="shared" si="154"/>
        <v>2.1647481934329735E-2</v>
      </c>
      <c r="T378" s="327">
        <f t="shared" si="155"/>
        <v>0</v>
      </c>
      <c r="U378" s="328">
        <f t="shared" si="156"/>
        <v>9.1514564644068486E-6</v>
      </c>
      <c r="V378" s="327">
        <f t="shared" si="157"/>
        <v>4.5406716595840246E-4</v>
      </c>
      <c r="W378" s="327">
        <f t="shared" si="158"/>
        <v>3.2857566901043963E-3</v>
      </c>
      <c r="X378" s="327">
        <f t="shared" si="159"/>
        <v>2.2811608258477389E-2</v>
      </c>
      <c r="Y378" s="327">
        <f t="shared" si="160"/>
        <v>2.6817238214866691E-2</v>
      </c>
      <c r="Z378" s="327">
        <f t="shared" si="161"/>
        <v>2.4676138645548833E-53</v>
      </c>
      <c r="AA378" s="328">
        <f t="shared" si="162"/>
        <v>3.0285659362627726E-3</v>
      </c>
    </row>
    <row r="379" spans="1:27" ht="12" customHeight="1" x14ac:dyDescent="0.15">
      <c r="A379" s="269">
        <f t="shared" si="136"/>
        <v>364</v>
      </c>
      <c r="B379" s="322">
        <f t="shared" si="137"/>
        <v>336</v>
      </c>
      <c r="C379" s="323">
        <f t="shared" si="138"/>
        <v>1456</v>
      </c>
      <c r="D379" s="327">
        <f t="shared" si="139"/>
        <v>5.1648717829438732E-6</v>
      </c>
      <c r="E379" s="327">
        <f t="shared" si="140"/>
        <v>2.5896696996112977E-5</v>
      </c>
      <c r="F379" s="327">
        <f t="shared" si="141"/>
        <v>1.2130335940053083E-2</v>
      </c>
      <c r="G379" s="327">
        <f t="shared" si="142"/>
        <v>1.5963816295074783E-2</v>
      </c>
      <c r="H379" s="327">
        <f t="shared" si="143"/>
        <v>5.5102728843472301E-3</v>
      </c>
      <c r="I379" s="327">
        <f t="shared" si="144"/>
        <v>9.1573281946599749E-4</v>
      </c>
      <c r="J379" s="327">
        <f t="shared" si="145"/>
        <v>5.399606291865947E-12</v>
      </c>
      <c r="K379" s="327">
        <f t="shared" si="146"/>
        <v>3.4095805996958366E-13</v>
      </c>
      <c r="L379" s="327">
        <f t="shared" si="147"/>
        <v>3.9561691031864132E-4</v>
      </c>
      <c r="M379" s="327">
        <f t="shared" si="148"/>
        <v>3.4116818277831326E-3</v>
      </c>
      <c r="N379" s="327">
        <f t="shared" si="149"/>
        <v>3.7016535169693179E-2</v>
      </c>
      <c r="O379" s="328">
        <f t="shared" si="150"/>
        <v>1.3405694580507974E-2</v>
      </c>
      <c r="P379" s="327">
        <f t="shared" si="151"/>
        <v>2.8067634499883564E-3</v>
      </c>
      <c r="Q379" s="327">
        <f t="shared" si="152"/>
        <v>1.9121413447018194E-2</v>
      </c>
      <c r="R379" s="327">
        <f t="shared" si="153"/>
        <v>3.0736608035463298E-2</v>
      </c>
      <c r="S379" s="327">
        <f t="shared" si="154"/>
        <v>2.1548042854545448E-2</v>
      </c>
      <c r="T379" s="327">
        <f t="shared" si="155"/>
        <v>0</v>
      </c>
      <c r="U379" s="328">
        <f t="shared" si="156"/>
        <v>8.8128585662428094E-6</v>
      </c>
      <c r="V379" s="327">
        <f t="shared" si="157"/>
        <v>4.445402232148825E-4</v>
      </c>
      <c r="W379" s="327">
        <f t="shared" si="158"/>
        <v>3.243686442521156E-3</v>
      </c>
      <c r="X379" s="327">
        <f t="shared" si="159"/>
        <v>2.2689744751883456E-2</v>
      </c>
      <c r="Y379" s="327">
        <f t="shared" si="160"/>
        <v>2.6712166941389413E-2</v>
      </c>
      <c r="Z379" s="327">
        <f t="shared" si="161"/>
        <v>5.4112530934482099E-54</v>
      </c>
      <c r="AA379" s="328">
        <f t="shared" si="162"/>
        <v>2.994380999592261E-3</v>
      </c>
    </row>
    <row r="380" spans="1:27" ht="12" customHeight="1" x14ac:dyDescent="0.15">
      <c r="A380" s="269">
        <f t="shared" si="136"/>
        <v>365</v>
      </c>
      <c r="B380" s="322">
        <f t="shared" si="137"/>
        <v>336.92307692307691</v>
      </c>
      <c r="C380" s="323">
        <f t="shared" si="138"/>
        <v>1460</v>
      </c>
      <c r="D380" s="327">
        <f t="shared" si="139"/>
        <v>4.9949941394708763E-6</v>
      </c>
      <c r="E380" s="327">
        <f t="shared" si="140"/>
        <v>2.5201057852406474E-5</v>
      </c>
      <c r="F380" s="327">
        <f t="shared" si="141"/>
        <v>1.2063807038490193E-2</v>
      </c>
      <c r="G380" s="327">
        <f t="shared" si="142"/>
        <v>1.5903456899499843E-2</v>
      </c>
      <c r="H380" s="327">
        <f t="shared" si="143"/>
        <v>5.4901380600104197E-3</v>
      </c>
      <c r="I380" s="327">
        <f t="shared" si="144"/>
        <v>9.0444633855801815E-4</v>
      </c>
      <c r="J380" s="327">
        <f t="shared" si="145"/>
        <v>5.0281363433694312E-12</v>
      </c>
      <c r="K380" s="327">
        <f t="shared" si="146"/>
        <v>3.1437333420986267E-13</v>
      </c>
      <c r="L380" s="327">
        <f t="shared" si="147"/>
        <v>3.921382909173321E-4</v>
      </c>
      <c r="M380" s="327">
        <f t="shared" si="148"/>
        <v>3.3977713955542338E-3</v>
      </c>
      <c r="N380" s="327">
        <f t="shared" si="149"/>
        <v>3.7016431351196734E-2</v>
      </c>
      <c r="O380" s="328">
        <f t="shared" si="150"/>
        <v>1.3368008932575434E-2</v>
      </c>
      <c r="P380" s="327">
        <f t="shared" si="151"/>
        <v>2.7618201182186665E-3</v>
      </c>
      <c r="Q380" s="327">
        <f t="shared" si="152"/>
        <v>1.8976840428145396E-2</v>
      </c>
      <c r="R380" s="327">
        <f t="shared" si="153"/>
        <v>3.0571915209069433E-2</v>
      </c>
      <c r="S380" s="327">
        <f t="shared" si="154"/>
        <v>2.1449321514973044E-2</v>
      </c>
      <c r="T380" s="327">
        <f t="shared" si="155"/>
        <v>0</v>
      </c>
      <c r="U380" s="328">
        <f t="shared" si="156"/>
        <v>8.4866736700384138E-6</v>
      </c>
      <c r="V380" s="327">
        <f t="shared" si="157"/>
        <v>4.3521316860431508E-4</v>
      </c>
      <c r="W380" s="327">
        <f t="shared" si="158"/>
        <v>3.2021754521375533E-3</v>
      </c>
      <c r="X380" s="327">
        <f t="shared" si="159"/>
        <v>2.2568762495128958E-2</v>
      </c>
      <c r="Y380" s="327">
        <f t="shared" si="160"/>
        <v>2.6607782703665296E-2</v>
      </c>
      <c r="Z380" s="327">
        <f t="shared" si="161"/>
        <v>1.164551454599919E-54</v>
      </c>
      <c r="AA380" s="328">
        <f t="shared" si="162"/>
        <v>2.9606212674693211E-3</v>
      </c>
    </row>
    <row r="381" spans="1:27" ht="12" customHeight="1" x14ac:dyDescent="0.15">
      <c r="A381" s="269">
        <f t="shared" si="136"/>
        <v>366</v>
      </c>
      <c r="B381" s="322">
        <f t="shared" si="137"/>
        <v>337.84615384615387</v>
      </c>
      <c r="C381" s="323">
        <f t="shared" si="138"/>
        <v>1464</v>
      </c>
      <c r="D381" s="327">
        <f t="shared" si="139"/>
        <v>4.8307039364929554E-6</v>
      </c>
      <c r="E381" s="327">
        <f t="shared" si="140"/>
        <v>2.4524217445072271E-5</v>
      </c>
      <c r="F381" s="327">
        <f t="shared" si="141"/>
        <v>1.1997775447744496E-2</v>
      </c>
      <c r="G381" s="327">
        <f t="shared" si="142"/>
        <v>1.5843486271402491E-2</v>
      </c>
      <c r="H381" s="327">
        <f t="shared" si="143"/>
        <v>5.4702027158975448E-3</v>
      </c>
      <c r="I381" s="327">
        <f t="shared" si="144"/>
        <v>8.933132752686479E-4</v>
      </c>
      <c r="J381" s="327">
        <f t="shared" si="145"/>
        <v>4.6822219474775161E-12</v>
      </c>
      <c r="K381" s="327">
        <f t="shared" si="146"/>
        <v>2.8985954916408732E-13</v>
      </c>
      <c r="L381" s="327">
        <f t="shared" si="147"/>
        <v>3.8869748218472999E-4</v>
      </c>
      <c r="M381" s="327">
        <f t="shared" si="148"/>
        <v>3.3839553148047128E-3</v>
      </c>
      <c r="N381" s="327">
        <f t="shared" si="149"/>
        <v>3.7016330459540683E-2</v>
      </c>
      <c r="O381" s="328">
        <f t="shared" si="150"/>
        <v>1.3330530687527061E-2</v>
      </c>
      <c r="P381" s="327">
        <f t="shared" si="151"/>
        <v>2.7175964420617657E-3</v>
      </c>
      <c r="Q381" s="327">
        <f t="shared" si="152"/>
        <v>1.8833478536328947E-2</v>
      </c>
      <c r="R381" s="327">
        <f t="shared" si="153"/>
        <v>3.0408401547899255E-2</v>
      </c>
      <c r="S381" s="327">
        <f t="shared" si="154"/>
        <v>2.1351310880548677E-2</v>
      </c>
      <c r="T381" s="327">
        <f t="shared" si="155"/>
        <v>0</v>
      </c>
      <c r="U381" s="328">
        <f t="shared" si="156"/>
        <v>8.1724513498748763E-6</v>
      </c>
      <c r="V381" s="327">
        <f t="shared" si="157"/>
        <v>4.2608180820355175E-4</v>
      </c>
      <c r="W381" s="327">
        <f t="shared" si="158"/>
        <v>3.1612159654530814E-3</v>
      </c>
      <c r="X381" s="327">
        <f t="shared" si="159"/>
        <v>2.2448653334926849E-2</v>
      </c>
      <c r="Y381" s="327">
        <f t="shared" si="160"/>
        <v>2.6504079232423657E-2</v>
      </c>
      <c r="Z381" s="327">
        <f t="shared" si="161"/>
        <v>2.4590007893346256E-55</v>
      </c>
      <c r="AA381" s="328">
        <f t="shared" si="162"/>
        <v>2.9272809189420101E-3</v>
      </c>
    </row>
    <row r="382" spans="1:27" ht="12" customHeight="1" x14ac:dyDescent="0.15">
      <c r="A382" s="269">
        <f t="shared" si="136"/>
        <v>367</v>
      </c>
      <c r="B382" s="322">
        <f t="shared" si="137"/>
        <v>338.76923076923077</v>
      </c>
      <c r="C382" s="323">
        <f t="shared" si="138"/>
        <v>1468</v>
      </c>
      <c r="D382" s="327">
        <f t="shared" si="139"/>
        <v>4.6718173976717702E-6</v>
      </c>
      <c r="E382" s="327">
        <f t="shared" si="140"/>
        <v>2.3865664445412833E-5</v>
      </c>
      <c r="F382" s="327">
        <f t="shared" si="141"/>
        <v>1.193223639801011E-2</v>
      </c>
      <c r="G382" s="327">
        <f t="shared" si="142"/>
        <v>1.5783900882204594E-2</v>
      </c>
      <c r="H382" s="327">
        <f t="shared" si="143"/>
        <v>5.4504644228275355E-3</v>
      </c>
      <c r="I382" s="327">
        <f t="shared" si="144"/>
        <v>8.823313340095007E-4</v>
      </c>
      <c r="J382" s="327">
        <f t="shared" si="145"/>
        <v>4.3601049908581332E-12</v>
      </c>
      <c r="K382" s="327">
        <f t="shared" si="146"/>
        <v>2.6725553127532515E-13</v>
      </c>
      <c r="L382" s="327">
        <f t="shared" si="147"/>
        <v>3.8529399166542522E-4</v>
      </c>
      <c r="M382" s="327">
        <f t="shared" si="148"/>
        <v>3.3702326919409953E-3</v>
      </c>
      <c r="N382" s="327">
        <f t="shared" si="149"/>
        <v>3.7016232412204149E-2</v>
      </c>
      <c r="O382" s="328">
        <f t="shared" si="150"/>
        <v>1.3293258148160162E-2</v>
      </c>
      <c r="P382" s="327">
        <f t="shared" si="151"/>
        <v>2.6740808980239487E-3</v>
      </c>
      <c r="Q382" s="327">
        <f t="shared" si="152"/>
        <v>1.8691316415299558E-2</v>
      </c>
      <c r="R382" s="327">
        <f t="shared" si="153"/>
        <v>3.0246056333582461E-2</v>
      </c>
      <c r="S382" s="327">
        <f t="shared" si="154"/>
        <v>2.125400400306816E-2</v>
      </c>
      <c r="T382" s="327">
        <f t="shared" si="155"/>
        <v>0</v>
      </c>
      <c r="U382" s="328">
        <f t="shared" si="156"/>
        <v>7.8697573375752228E-6</v>
      </c>
      <c r="V382" s="327">
        <f t="shared" si="157"/>
        <v>4.1714203608362183E-4</v>
      </c>
      <c r="W382" s="327">
        <f t="shared" si="158"/>
        <v>3.1208003416542513E-3</v>
      </c>
      <c r="X382" s="327">
        <f t="shared" si="159"/>
        <v>2.2329409210637086E-2</v>
      </c>
      <c r="Y382" s="327">
        <f t="shared" si="160"/>
        <v>2.640105033161878E-2</v>
      </c>
      <c r="Z382" s="327">
        <f t="shared" si="161"/>
        <v>5.093256112204386E-56</v>
      </c>
      <c r="AA382" s="328">
        <f t="shared" si="162"/>
        <v>2.8943542206013584E-3</v>
      </c>
    </row>
    <row r="383" spans="1:27" ht="12" customHeight="1" x14ac:dyDescent="0.15">
      <c r="A383" s="269">
        <f t="shared" si="136"/>
        <v>368</v>
      </c>
      <c r="B383" s="322">
        <f t="shared" si="137"/>
        <v>339.69230769230768</v>
      </c>
      <c r="C383" s="323">
        <f t="shared" si="138"/>
        <v>1472</v>
      </c>
      <c r="D383" s="327">
        <f t="shared" si="139"/>
        <v>4.5181567912510104E-6</v>
      </c>
      <c r="E383" s="327">
        <f t="shared" si="140"/>
        <v>2.3224901532071465E-5</v>
      </c>
      <c r="F383" s="327">
        <f t="shared" si="141"/>
        <v>1.1867185175724271E-2</v>
      </c>
      <c r="G383" s="327">
        <f t="shared" si="142"/>
        <v>1.5724697244574478E-2</v>
      </c>
      <c r="H383" s="327">
        <f t="shared" si="143"/>
        <v>5.4309207874480986E-3</v>
      </c>
      <c r="I383" s="327">
        <f t="shared" si="144"/>
        <v>8.7149825691112959E-4</v>
      </c>
      <c r="J383" s="327">
        <f t="shared" si="145"/>
        <v>4.0601483108992145E-12</v>
      </c>
      <c r="K383" s="327">
        <f t="shared" si="146"/>
        <v>2.464126382827639E-13</v>
      </c>
      <c r="L383" s="327">
        <f t="shared" si="147"/>
        <v>3.8192733440733928E-4</v>
      </c>
      <c r="M383" s="327">
        <f t="shared" si="148"/>
        <v>3.3566026442197194E-3</v>
      </c>
      <c r="N383" s="327">
        <f t="shared" si="149"/>
        <v>3.7016137128993383E-2</v>
      </c>
      <c r="O383" s="328">
        <f t="shared" si="150"/>
        <v>1.325618963568569E-2</v>
      </c>
      <c r="P383" s="327">
        <f t="shared" si="151"/>
        <v>2.6312621471315722E-3</v>
      </c>
      <c r="Q383" s="327">
        <f t="shared" si="152"/>
        <v>1.8550342829035379E-2</v>
      </c>
      <c r="R383" s="327">
        <f t="shared" si="153"/>
        <v>3.0084868966834932E-2</v>
      </c>
      <c r="S383" s="327">
        <f t="shared" si="154"/>
        <v>2.115739401989691E-2</v>
      </c>
      <c r="T383" s="327">
        <f t="shared" si="155"/>
        <v>0</v>
      </c>
      <c r="U383" s="328">
        <f t="shared" si="156"/>
        <v>7.5781729504953432E-6</v>
      </c>
      <c r="V383" s="327">
        <f t="shared" si="157"/>
        <v>4.0838983246349028E-4</v>
      </c>
      <c r="W383" s="327">
        <f t="shared" si="158"/>
        <v>3.0809210508878073E-3</v>
      </c>
      <c r="X383" s="327">
        <f t="shared" si="159"/>
        <v>2.2211022153013182E-2</v>
      </c>
      <c r="Y383" s="327">
        <f t="shared" si="160"/>
        <v>2.6298689877389786E-2</v>
      </c>
      <c r="Z383" s="327">
        <f t="shared" si="161"/>
        <v>1.034583782295721E-56</v>
      </c>
      <c r="AA383" s="328">
        <f t="shared" si="162"/>
        <v>2.8618355251395222E-3</v>
      </c>
    </row>
    <row r="384" spans="1:27" ht="12" customHeight="1" x14ac:dyDescent="0.15">
      <c r="A384" s="269">
        <f t="shared" si="136"/>
        <v>369</v>
      </c>
      <c r="B384" s="322">
        <f t="shared" si="137"/>
        <v>340.61538461538464</v>
      </c>
      <c r="C384" s="323">
        <f t="shared" si="138"/>
        <v>1476</v>
      </c>
      <c r="D384" s="327">
        <f t="shared" si="139"/>
        <v>4.3695502312442403E-6</v>
      </c>
      <c r="E384" s="327">
        <f t="shared" si="140"/>
        <v>2.2601445004312824E-5</v>
      </c>
      <c r="F384" s="327">
        <f t="shared" si="141"/>
        <v>1.1802617122777193E-2</v>
      </c>
      <c r="G384" s="327">
        <f t="shared" si="142"/>
        <v>1.56658719118377E-2</v>
      </c>
      <c r="H384" s="327">
        <f t="shared" si="143"/>
        <v>5.4115694516171037E-3</v>
      </c>
      <c r="I384" s="327">
        <f t="shared" si="144"/>
        <v>8.6081182314545757E-4</v>
      </c>
      <c r="J384" s="327">
        <f t="shared" si="145"/>
        <v>3.7808273748135538E-12</v>
      </c>
      <c r="K384" s="327">
        <f t="shared" si="146"/>
        <v>2.2719378589488733E-13</v>
      </c>
      <c r="L384" s="327">
        <f t="shared" si="147"/>
        <v>3.785970328299415E-4</v>
      </c>
      <c r="M384" s="327">
        <f t="shared" si="148"/>
        <v>3.3430642995871205E-3</v>
      </c>
      <c r="N384" s="327">
        <f t="shared" si="149"/>
        <v>3.7016044531976065E-2</v>
      </c>
      <c r="O384" s="328">
        <f t="shared" si="150"/>
        <v>1.3219323489479576E-2</v>
      </c>
      <c r="P384" s="327">
        <f t="shared" si="151"/>
        <v>2.5891290319764431E-3</v>
      </c>
      <c r="Q384" s="327">
        <f t="shared" si="152"/>
        <v>1.8410546660315268E-2</v>
      </c>
      <c r="R384" s="327">
        <f t="shared" si="153"/>
        <v>2.9924828965887107E-2</v>
      </c>
      <c r="S384" s="327">
        <f t="shared" si="154"/>
        <v>2.1061474152701893E-2</v>
      </c>
      <c r="T384" s="327">
        <f t="shared" si="155"/>
        <v>0</v>
      </c>
      <c r="U384" s="328">
        <f t="shared" si="156"/>
        <v>7.2972945392990596E-6</v>
      </c>
      <c r="V384" s="327">
        <f t="shared" si="157"/>
        <v>3.9982126190256145E-4</v>
      </c>
      <c r="W384" s="327">
        <f t="shared" si="158"/>
        <v>3.0415706725618872E-3</v>
      </c>
      <c r="X384" s="327">
        <f t="shared" si="159"/>
        <v>2.2093484282967646E-2</v>
      </c>
      <c r="Y384" s="327">
        <f t="shared" si="160"/>
        <v>2.6196991817037815E-2</v>
      </c>
      <c r="Z384" s="327">
        <f t="shared" si="161"/>
        <v>2.0604604516386184E-57</v>
      </c>
      <c r="AA384" s="328">
        <f t="shared" si="162"/>
        <v>2.8297192699322515E-3</v>
      </c>
    </row>
    <row r="385" spans="1:27" ht="12" customHeight="1" x14ac:dyDescent="0.15">
      <c r="A385" s="269">
        <f t="shared" si="136"/>
        <v>370</v>
      </c>
      <c r="B385" s="322">
        <f t="shared" si="137"/>
        <v>341.53846153846155</v>
      </c>
      <c r="C385" s="323">
        <f t="shared" si="138"/>
        <v>1480</v>
      </c>
      <c r="D385" s="327">
        <f t="shared" si="139"/>
        <v>4.225831485161918E-6</v>
      </c>
      <c r="E385" s="327">
        <f t="shared" si="140"/>
        <v>2.1994824406074053E-5</v>
      </c>
      <c r="F385" s="327">
        <f t="shared" si="141"/>
        <v>1.1738527635734797E-2</v>
      </c>
      <c r="G385" s="327">
        <f t="shared" si="142"/>
        <v>1.5607421477398114E-2</v>
      </c>
      <c r="H385" s="327">
        <f t="shared" si="143"/>
        <v>5.3924080917962273E-3</v>
      </c>
      <c r="I385" s="327">
        <f t="shared" si="144"/>
        <v>8.5026984825931073E-4</v>
      </c>
      <c r="J385" s="327">
        <f t="shared" si="145"/>
        <v>3.5207225311859888E-12</v>
      </c>
      <c r="K385" s="327">
        <f t="shared" si="146"/>
        <v>2.0947254998333461E-13</v>
      </c>
      <c r="L385" s="327">
        <f t="shared" si="147"/>
        <v>3.7530261659612929E-4</v>
      </c>
      <c r="M385" s="327">
        <f t="shared" si="148"/>
        <v>3.3296167965213368E-3</v>
      </c>
      <c r="N385" s="327">
        <f t="shared" si="149"/>
        <v>3.7015954545417423E-2</v>
      </c>
      <c r="O385" s="328">
        <f t="shared" si="150"/>
        <v>1.3182658066838146E-2</v>
      </c>
      <c r="P385" s="327">
        <f t="shared" si="151"/>
        <v>2.5476705738085009E-3</v>
      </c>
      <c r="Q385" s="327">
        <f t="shared" si="152"/>
        <v>1.8271916909291221E-2</v>
      </c>
      <c r="R385" s="327">
        <f t="shared" si="153"/>
        <v>2.9765925964937101E-2</v>
      </c>
      <c r="S385" s="327">
        <f t="shared" si="154"/>
        <v>2.0966237706205884E-2</v>
      </c>
      <c r="T385" s="327">
        <f t="shared" si="155"/>
        <v>0</v>
      </c>
      <c r="U385" s="328">
        <f t="shared" si="156"/>
        <v>7.0267329552731184E-6</v>
      </c>
      <c r="V385" s="327">
        <f t="shared" si="157"/>
        <v>3.9143247153110262E-4</v>
      </c>
      <c r="W385" s="327">
        <f t="shared" si="158"/>
        <v>3.002741893674798E-3</v>
      </c>
      <c r="X385" s="327">
        <f t="shared" si="159"/>
        <v>2.197678781035628E-2</v>
      </c>
      <c r="Y385" s="327">
        <f t="shared" si="160"/>
        <v>2.6095950168020094E-2</v>
      </c>
      <c r="Z385" s="327">
        <f t="shared" si="161"/>
        <v>4.0223997448883228E-58</v>
      </c>
      <c r="AA385" s="328">
        <f t="shared" si="162"/>
        <v>2.7979999756473362E-3</v>
      </c>
    </row>
    <row r="386" spans="1:27" ht="12" customHeight="1" x14ac:dyDescent="0.15">
      <c r="A386" s="269">
        <f t="shared" si="136"/>
        <v>371</v>
      </c>
      <c r="B386" s="322">
        <f t="shared" si="137"/>
        <v>342.46153846153845</v>
      </c>
      <c r="C386" s="323">
        <f t="shared" si="138"/>
        <v>1484</v>
      </c>
      <c r="D386" s="327">
        <f t="shared" si="139"/>
        <v>4.0868397880622996E-6</v>
      </c>
      <c r="E386" s="327">
        <f t="shared" si="140"/>
        <v>2.1404582160480172E-5</v>
      </c>
      <c r="F386" s="327">
        <f t="shared" si="141"/>
        <v>1.1674912165073992E-2</v>
      </c>
      <c r="G386" s="327">
        <f t="shared" si="142"/>
        <v>1.5549342574168373E-2</v>
      </c>
      <c r="H386" s="327">
        <f t="shared" si="143"/>
        <v>5.3734344184563597E-3</v>
      </c>
      <c r="I386" s="327">
        <f t="shared" si="144"/>
        <v>8.3987018352327247E-4</v>
      </c>
      <c r="J386" s="327">
        <f t="shared" si="145"/>
        <v>3.2785117945809259E-12</v>
      </c>
      <c r="K386" s="327">
        <f t="shared" si="146"/>
        <v>1.9313233844391374E-13</v>
      </c>
      <c r="L386" s="327">
        <f t="shared" si="147"/>
        <v>3.7204362248577372E-4</v>
      </c>
      <c r="M386" s="327">
        <f t="shared" si="148"/>
        <v>3.3162592838773706E-3</v>
      </c>
      <c r="N386" s="327">
        <f t="shared" si="149"/>
        <v>3.7015867095718351E-2</v>
      </c>
      <c r="O386" s="328">
        <f t="shared" si="150"/>
        <v>1.3146191742737533E-2</v>
      </c>
      <c r="P386" s="327">
        <f t="shared" si="151"/>
        <v>2.506875969675039E-3</v>
      </c>
      <c r="Q386" s="327">
        <f t="shared" si="152"/>
        <v>1.8134442692081181E-2</v>
      </c>
      <c r="R386" s="327">
        <f t="shared" si="153"/>
        <v>2.9608149712626597E-2</v>
      </c>
      <c r="S386" s="327">
        <f t="shared" si="154"/>
        <v>2.0871678066962808E-2</v>
      </c>
      <c r="T386" s="327">
        <f t="shared" si="155"/>
        <v>0</v>
      </c>
      <c r="U386" s="328">
        <f t="shared" si="156"/>
        <v>6.7661130358498411E-6</v>
      </c>
      <c r="V386" s="327">
        <f t="shared" si="157"/>
        <v>3.8321968931779281E-4</v>
      </c>
      <c r="W386" s="327">
        <f t="shared" si="158"/>
        <v>2.9644275071709779E-3</v>
      </c>
      <c r="X386" s="327">
        <f t="shared" si="159"/>
        <v>2.1860925032782696E-2</v>
      </c>
      <c r="Y386" s="327">
        <f t="shared" si="160"/>
        <v>2.5995559016961288E-2</v>
      </c>
      <c r="Z386" s="327">
        <f t="shared" si="161"/>
        <v>7.6952201883312966E-59</v>
      </c>
      <c r="AA386" s="328">
        <f t="shared" si="162"/>
        <v>2.7666722448782544E-3</v>
      </c>
    </row>
    <row r="387" spans="1:27" ht="12" customHeight="1" x14ac:dyDescent="0.15">
      <c r="A387" s="269">
        <f t="shared" si="136"/>
        <v>372</v>
      </c>
      <c r="B387" s="322">
        <f t="shared" si="137"/>
        <v>343.38461538461536</v>
      </c>
      <c r="C387" s="323">
        <f t="shared" si="138"/>
        <v>1488</v>
      </c>
      <c r="D387" s="327">
        <f t="shared" si="139"/>
        <v>3.9524196627185508E-6</v>
      </c>
      <c r="E387" s="327">
        <f t="shared" si="140"/>
        <v>2.0830273214531862E-5</v>
      </c>
      <c r="F387" s="327">
        <f t="shared" si="141"/>
        <v>1.161176621443083E-2</v>
      </c>
      <c r="G387" s="327">
        <f t="shared" si="142"/>
        <v>1.5491631874010238E-2</v>
      </c>
      <c r="H387" s="327">
        <f t="shared" si="143"/>
        <v>5.3546461754946538E-3</v>
      </c>
      <c r="I387" s="327">
        <f t="shared" si="144"/>
        <v>8.2961071529086272E-4</v>
      </c>
      <c r="J387" s="327">
        <f t="shared" si="145"/>
        <v>3.052964126538385E-12</v>
      </c>
      <c r="K387" s="327">
        <f t="shared" si="146"/>
        <v>1.7806562732489647E-13</v>
      </c>
      <c r="L387" s="327">
        <f t="shared" si="147"/>
        <v>3.6881959427226274E-4</v>
      </c>
      <c r="M387" s="327">
        <f t="shared" si="148"/>
        <v>3.3029909207347844E-3</v>
      </c>
      <c r="N387" s="327">
        <f t="shared" si="149"/>
        <v>3.7015782111355151E-2</v>
      </c>
      <c r="O387" s="328">
        <f t="shared" si="150"/>
        <v>1.310992290959675E-2</v>
      </c>
      <c r="P387" s="327">
        <f t="shared" si="151"/>
        <v>2.4667345896057513E-3</v>
      </c>
      <c r="Q387" s="327">
        <f t="shared" si="152"/>
        <v>1.7998113239380283E-2</v>
      </c>
      <c r="R387" s="327">
        <f t="shared" si="153"/>
        <v>2.9451490070541042E-2</v>
      </c>
      <c r="S387" s="327">
        <f t="shared" si="154"/>
        <v>2.0777788702154597E-2</v>
      </c>
      <c r="T387" s="327">
        <f t="shared" si="155"/>
        <v>0</v>
      </c>
      <c r="U387" s="328">
        <f t="shared" si="156"/>
        <v>6.5150731087815217E-6</v>
      </c>
      <c r="V387" s="327">
        <f t="shared" si="157"/>
        <v>3.7517922237362581E-4</v>
      </c>
      <c r="W387" s="327">
        <f t="shared" si="158"/>
        <v>2.92662041032351E-3</v>
      </c>
      <c r="X387" s="327">
        <f t="shared" si="159"/>
        <v>2.1745888334421037E-2</v>
      </c>
      <c r="Y387" s="327">
        <f t="shared" si="160"/>
        <v>2.589581251868037E-2</v>
      </c>
      <c r="Z387" s="327">
        <f t="shared" si="161"/>
        <v>1.4423244619757786E-59</v>
      </c>
      <c r="AA387" s="328">
        <f t="shared" si="162"/>
        <v>2.7357307608022463E-3</v>
      </c>
    </row>
    <row r="388" spans="1:27" ht="12" customHeight="1" x14ac:dyDescent="0.15">
      <c r="A388" s="269">
        <f t="shared" si="136"/>
        <v>373</v>
      </c>
      <c r="B388" s="322">
        <f t="shared" si="137"/>
        <v>344.30769230769232</v>
      </c>
      <c r="C388" s="323">
        <f t="shared" si="138"/>
        <v>1492</v>
      </c>
      <c r="D388" s="327">
        <f t="shared" si="139"/>
        <v>3.8224207457006472E-6</v>
      </c>
      <c r="E388" s="327">
        <f t="shared" si="140"/>
        <v>2.0271464693680965E-5</v>
      </c>
      <c r="F388" s="327">
        <f t="shared" si="141"/>
        <v>1.1549085339860432E-2</v>
      </c>
      <c r="G388" s="327">
        <f t="shared" si="142"/>
        <v>1.5434286087183976E-2</v>
      </c>
      <c r="H388" s="327">
        <f t="shared" si="143"/>
        <v>5.3360411396629606E-3</v>
      </c>
      <c r="I388" s="327">
        <f t="shared" si="144"/>
        <v>8.1948936437270525E-4</v>
      </c>
      <c r="J388" s="327">
        <f t="shared" si="145"/>
        <v>2.8429331788088473E-12</v>
      </c>
      <c r="K388" s="327">
        <f t="shared" si="146"/>
        <v>1.6417325624036614E-13</v>
      </c>
      <c r="L388" s="327">
        <f t="shared" si="147"/>
        <v>3.6563008260126484E-4</v>
      </c>
      <c r="M388" s="327">
        <f t="shared" si="148"/>
        <v>3.2898108762479971E-3</v>
      </c>
      <c r="N388" s="327">
        <f t="shared" si="149"/>
        <v>3.7015699522820952E-2</v>
      </c>
      <c r="O388" s="328">
        <f t="shared" si="150"/>
        <v>1.3073849977044704E-2</v>
      </c>
      <c r="P388" s="327">
        <f t="shared" si="151"/>
        <v>2.4272359738428569E-3</v>
      </c>
      <c r="Q388" s="327">
        <f t="shared" si="152"/>
        <v>1.7862917895091476E-2</v>
      </c>
      <c r="R388" s="327">
        <f t="shared" si="153"/>
        <v>2.9295937011731721E-2</v>
      </c>
      <c r="S388" s="327">
        <f t="shared" si="154"/>
        <v>2.0684563158408165E-2</v>
      </c>
      <c r="T388" s="327">
        <f t="shared" si="155"/>
        <v>0</v>
      </c>
      <c r="U388" s="328">
        <f t="shared" si="156"/>
        <v>6.2732645125240794E-6</v>
      </c>
      <c r="V388" s="327">
        <f t="shared" si="157"/>
        <v>3.6730745529139756E-4</v>
      </c>
      <c r="W388" s="327">
        <f t="shared" si="158"/>
        <v>2.8893136031428977E-3</v>
      </c>
      <c r="X388" s="327">
        <f t="shared" si="159"/>
        <v>2.1631670184856788E-2</v>
      </c>
      <c r="Y388" s="327">
        <f t="shared" si="160"/>
        <v>2.579670489523448E-2</v>
      </c>
      <c r="Z388" s="327">
        <f t="shared" si="161"/>
        <v>2.6478955771379631E-60</v>
      </c>
      <c r="AA388" s="328">
        <f t="shared" si="162"/>
        <v>2.7051702858620352E-3</v>
      </c>
    </row>
    <row r="389" spans="1:27" ht="12" customHeight="1" x14ac:dyDescent="0.15">
      <c r="A389" s="269">
        <f t="shared" si="136"/>
        <v>374</v>
      </c>
      <c r="B389" s="322">
        <f t="shared" si="137"/>
        <v>345.23076923076923</v>
      </c>
      <c r="C389" s="323">
        <f t="shared" si="138"/>
        <v>1496</v>
      </c>
      <c r="D389" s="327">
        <f t="shared" si="139"/>
        <v>3.6966976191776864E-6</v>
      </c>
      <c r="E389" s="327">
        <f t="shared" si="140"/>
        <v>1.9727735566012281E-5</v>
      </c>
      <c r="F389" s="327">
        <f t="shared" si="141"/>
        <v>1.1486865149108683E-2</v>
      </c>
      <c r="G389" s="327">
        <f t="shared" si="142"/>
        <v>1.5377301961807189E-2</v>
      </c>
      <c r="H389" s="327">
        <f t="shared" si="143"/>
        <v>5.3176171200073237E-3</v>
      </c>
      <c r="I389" s="327">
        <f t="shared" si="144"/>
        <v>8.0950408542124208E-4</v>
      </c>
      <c r="J389" s="327">
        <f t="shared" si="145"/>
        <v>2.6473514670270121E-12</v>
      </c>
      <c r="K389" s="327">
        <f t="shared" si="146"/>
        <v>1.5136377847259295E-13</v>
      </c>
      <c r="L389" s="327">
        <f t="shared" si="147"/>
        <v>3.6247464487182413E-4</v>
      </c>
      <c r="M389" s="327">
        <f t="shared" si="148"/>
        <v>3.2767183294992179E-3</v>
      </c>
      <c r="N389" s="327">
        <f t="shared" si="149"/>
        <v>3.7015619262568834E-2</v>
      </c>
      <c r="O389" s="328">
        <f t="shared" si="150"/>
        <v>1.3037971371690965E-2</v>
      </c>
      <c r="P389" s="327">
        <f t="shared" si="151"/>
        <v>2.3883698301155713E-3</v>
      </c>
      <c r="Q389" s="327">
        <f t="shared" si="152"/>
        <v>1.7728846114974897E-2</v>
      </c>
      <c r="R389" s="327">
        <f t="shared" si="153"/>
        <v>2.9141480619260807E-2</v>
      </c>
      <c r="S389" s="327">
        <f t="shared" si="154"/>
        <v>2.0591995060633077E-2</v>
      </c>
      <c r="T389" s="327">
        <f t="shared" si="155"/>
        <v>0</v>
      </c>
      <c r="U389" s="328">
        <f t="shared" si="156"/>
        <v>6.04035113482837E-6</v>
      </c>
      <c r="V389" s="327">
        <f t="shared" si="157"/>
        <v>3.5960084852003371E-4</v>
      </c>
      <c r="W389" s="327">
        <f t="shared" si="158"/>
        <v>2.8525001868115532E-3</v>
      </c>
      <c r="X389" s="327">
        <f t="shared" si="159"/>
        <v>2.1518263137946136E-2</v>
      </c>
      <c r="Y389" s="327">
        <f t="shared" si="160"/>
        <v>2.569823043497781E-2</v>
      </c>
      <c r="Z389" s="327">
        <f t="shared" si="161"/>
        <v>4.7601782263114149E-61</v>
      </c>
      <c r="AA389" s="328">
        <f t="shared" si="162"/>
        <v>2.6749856604717515E-3</v>
      </c>
    </row>
    <row r="390" spans="1:27" ht="12" customHeight="1" x14ac:dyDescent="0.15">
      <c r="A390" s="269">
        <f t="shared" si="136"/>
        <v>375</v>
      </c>
      <c r="B390" s="322">
        <f t="shared" si="137"/>
        <v>346.15384615384613</v>
      </c>
      <c r="C390" s="323">
        <f t="shared" si="138"/>
        <v>1500</v>
      </c>
      <c r="D390" s="327">
        <f t="shared" si="139"/>
        <v>3.575109648252258E-6</v>
      </c>
      <c r="E390" s="327">
        <f t="shared" si="140"/>
        <v>1.9198676315765698E-5</v>
      </c>
      <c r="F390" s="327">
        <f t="shared" si="141"/>
        <v>1.1425101300896801E-2</v>
      </c>
      <c r="G390" s="327">
        <f t="shared" si="142"/>
        <v>1.5320676283322407E-2</v>
      </c>
      <c r="H390" s="327">
        <f t="shared" si="143"/>
        <v>5.2993719573183728E-3</v>
      </c>
      <c r="I390" s="327">
        <f t="shared" si="144"/>
        <v>7.9965286632743826E-4</v>
      </c>
      <c r="J390" s="327">
        <f t="shared" si="145"/>
        <v>2.4652249452118706E-12</v>
      </c>
      <c r="K390" s="327">
        <f t="shared" si="146"/>
        <v>1.3955286152298573E-13</v>
      </c>
      <c r="L390" s="327">
        <f t="shared" si="147"/>
        <v>3.5935284512034205E-4</v>
      </c>
      <c r="M390" s="327">
        <f t="shared" si="148"/>
        <v>3.2637124693538164E-3</v>
      </c>
      <c r="N390" s="327">
        <f t="shared" si="149"/>
        <v>3.7015541264956535E-2</v>
      </c>
      <c r="O390" s="328">
        <f t="shared" si="150"/>
        <v>1.3002285536900004E-2</v>
      </c>
      <c r="P390" s="327">
        <f t="shared" si="151"/>
        <v>2.3501260309582018E-3</v>
      </c>
      <c r="Q390" s="327">
        <f t="shared" si="152"/>
        <v>1.759588746531502E-2</v>
      </c>
      <c r="R390" s="327">
        <f t="shared" si="153"/>
        <v>2.8988111084768287E-2</v>
      </c>
      <c r="S390" s="327">
        <f t="shared" si="154"/>
        <v>2.0500078110878738E-2</v>
      </c>
      <c r="T390" s="327">
        <f t="shared" si="155"/>
        <v>0</v>
      </c>
      <c r="U390" s="328">
        <f t="shared" si="156"/>
        <v>5.8160089662084857E-6</v>
      </c>
      <c r="V390" s="327">
        <f t="shared" si="157"/>
        <v>3.5205593677302297E-4</v>
      </c>
      <c r="W390" s="327">
        <f t="shared" si="158"/>
        <v>2.8161733621435091E-3</v>
      </c>
      <c r="X390" s="327">
        <f t="shared" si="159"/>
        <v>2.1405659830692647E-2</v>
      </c>
      <c r="Y390" s="327">
        <f t="shared" si="160"/>
        <v>2.5600383491636545E-2</v>
      </c>
      <c r="Z390" s="327">
        <f t="shared" si="161"/>
        <v>8.3775528093146885E-62</v>
      </c>
      <c r="AA390" s="328">
        <f t="shared" si="162"/>
        <v>2.645171801745505E-3</v>
      </c>
    </row>
    <row r="391" spans="1:27" ht="12" customHeight="1" x14ac:dyDescent="0.15">
      <c r="A391" s="269">
        <f t="shared" si="136"/>
        <v>376</v>
      </c>
      <c r="B391" s="322">
        <f t="shared" si="137"/>
        <v>347.07692307692309</v>
      </c>
      <c r="C391" s="323">
        <f t="shared" si="138"/>
        <v>1504</v>
      </c>
      <c r="D391" s="327">
        <f t="shared" si="139"/>
        <v>3.457520823645167E-6</v>
      </c>
      <c r="E391" s="327">
        <f t="shared" si="140"/>
        <v>1.8683888625933654E-5</v>
      </c>
      <c r="F391" s="327">
        <f t="shared" si="141"/>
        <v>1.1363789504215682E-2</v>
      </c>
      <c r="G391" s="327">
        <f t="shared" si="142"/>
        <v>1.5264405873973782E-2</v>
      </c>
      <c r="H391" s="327">
        <f t="shared" si="143"/>
        <v>5.2813035235923494E-3</v>
      </c>
      <c r="I391" s="327">
        <f t="shared" si="144"/>
        <v>7.8993372763047631E-4</v>
      </c>
      <c r="J391" s="327">
        <f t="shared" si="145"/>
        <v>2.2956279535182843E-12</v>
      </c>
      <c r="K391" s="327">
        <f t="shared" si="146"/>
        <v>1.2866273419981277E-13</v>
      </c>
      <c r="L391" s="327">
        <f t="shared" si="147"/>
        <v>3.5626425390555827E-4</v>
      </c>
      <c r="M391" s="327">
        <f t="shared" si="148"/>
        <v>3.2507924943182805E-3</v>
      </c>
      <c r="N391" s="327">
        <f t="shared" si="149"/>
        <v>3.7015465466192783E-2</v>
      </c>
      <c r="O391" s="328">
        <f t="shared" si="150"/>
        <v>1.2966790932569286E-2</v>
      </c>
      <c r="P391" s="327">
        <f t="shared" si="151"/>
        <v>2.3124946110712205E-3</v>
      </c>
      <c r="Q391" s="327">
        <f t="shared" si="152"/>
        <v>1.7464031621606504E-2</v>
      </c>
      <c r="R391" s="327">
        <f t="shared" si="153"/>
        <v>2.8835818707060423E-2</v>
      </c>
      <c r="S391" s="327">
        <f t="shared" si="154"/>
        <v>2.0408806087211233E-2</v>
      </c>
      <c r="T391" s="327">
        <f t="shared" si="155"/>
        <v>0</v>
      </c>
      <c r="U391" s="328">
        <f t="shared" si="156"/>
        <v>5.59992566961931E-6</v>
      </c>
      <c r="V391" s="327">
        <f t="shared" si="157"/>
        <v>3.44669327470248E-4</v>
      </c>
      <c r="W391" s="327">
        <f t="shared" si="158"/>
        <v>2.7803264280689801E-3</v>
      </c>
      <c r="X391" s="327">
        <f t="shared" si="159"/>
        <v>2.1293852982141592E-2</v>
      </c>
      <c r="Y391" s="327">
        <f t="shared" si="160"/>
        <v>2.5503158483398524E-2</v>
      </c>
      <c r="Z391" s="327">
        <f t="shared" si="161"/>
        <v>1.4430070921874989E-62</v>
      </c>
      <c r="AA391" s="328">
        <f t="shared" si="162"/>
        <v>2.6157237022481628E-3</v>
      </c>
    </row>
    <row r="392" spans="1:27" ht="12" customHeight="1" x14ac:dyDescent="0.15">
      <c r="A392" s="269">
        <f t="shared" si="136"/>
        <v>377</v>
      </c>
      <c r="B392" s="322">
        <f t="shared" si="137"/>
        <v>348</v>
      </c>
      <c r="C392" s="323">
        <f t="shared" si="138"/>
        <v>1508</v>
      </c>
      <c r="D392" s="327">
        <f t="shared" si="139"/>
        <v>3.3437996095543681E-6</v>
      </c>
      <c r="E392" s="327">
        <f t="shared" si="140"/>
        <v>1.8182985069681885E-5</v>
      </c>
      <c r="F392" s="327">
        <f t="shared" si="141"/>
        <v>1.1302925517633677E-2</v>
      </c>
      <c r="G392" s="327">
        <f t="shared" si="142"/>
        <v>1.5208487592292185E-2</v>
      </c>
      <c r="H392" s="327">
        <f t="shared" si="143"/>
        <v>5.2634097215025219E-3</v>
      </c>
      <c r="I392" s="327">
        <f t="shared" si="144"/>
        <v>7.8034472193766469E-4</v>
      </c>
      <c r="J392" s="327">
        <f t="shared" si="145"/>
        <v>2.1376985135616702E-12</v>
      </c>
      <c r="K392" s="327">
        <f t="shared" si="146"/>
        <v>1.1862167663376773E-13</v>
      </c>
      <c r="L392" s="327">
        <f t="shared" si="147"/>
        <v>3.5320844819730635E-4</v>
      </c>
      <c r="M392" s="327">
        <f t="shared" si="148"/>
        <v>3.2379576124005487E-3</v>
      </c>
      <c r="N392" s="327">
        <f t="shared" si="149"/>
        <v>3.7015391804284981E-2</v>
      </c>
      <c r="O392" s="328">
        <f t="shared" si="150"/>
        <v>1.2931486034910598E-2</v>
      </c>
      <c r="P392" s="327">
        <f t="shared" si="151"/>
        <v>2.2754657647245792E-3</v>
      </c>
      <c r="Q392" s="327">
        <f t="shared" si="152"/>
        <v>1.7333268367257446E-2</v>
      </c>
      <c r="R392" s="327">
        <f t="shared" si="153"/>
        <v>2.8684593890720311E-2</v>
      </c>
      <c r="S392" s="327">
        <f t="shared" si="154"/>
        <v>2.0318172842609238E-2</v>
      </c>
      <c r="T392" s="327">
        <f t="shared" si="155"/>
        <v>0</v>
      </c>
      <c r="U392" s="328">
        <f t="shared" si="156"/>
        <v>5.3918001654551517E-6</v>
      </c>
      <c r="V392" s="327">
        <f t="shared" si="157"/>
        <v>3.3743769921250821E-4</v>
      </c>
      <c r="W392" s="327">
        <f t="shared" si="158"/>
        <v>2.7449527801435792E-3</v>
      </c>
      <c r="X392" s="327">
        <f t="shared" si="159"/>
        <v>2.1182835392291488E-2</v>
      </c>
      <c r="Y392" s="327">
        <f t="shared" si="160"/>
        <v>2.5406549892018081E-2</v>
      </c>
      <c r="Z392" s="327">
        <f t="shared" si="161"/>
        <v>2.4319878572895891E-63</v>
      </c>
      <c r="AA392" s="328">
        <f t="shared" si="162"/>
        <v>2.5866364287696619E-3</v>
      </c>
    </row>
    <row r="393" spans="1:27" ht="12" customHeight="1" x14ac:dyDescent="0.15">
      <c r="A393" s="269">
        <f t="shared" si="136"/>
        <v>378</v>
      </c>
      <c r="B393" s="322">
        <f t="shared" si="137"/>
        <v>348.92307692307691</v>
      </c>
      <c r="C393" s="323">
        <f t="shared" si="138"/>
        <v>1512</v>
      </c>
      <c r="D393" s="327">
        <f t="shared" si="139"/>
        <v>3.2338187965179495E-6</v>
      </c>
      <c r="E393" s="327">
        <f t="shared" si="140"/>
        <v>1.7695588810343472E-5</v>
      </c>
      <c r="F393" s="327">
        <f t="shared" si="141"/>
        <v>1.1242505148613358E-2</v>
      </c>
      <c r="G393" s="327">
        <f t="shared" si="142"/>
        <v>1.5152918332588998E-2</v>
      </c>
      <c r="H393" s="327">
        <f t="shared" si="143"/>
        <v>5.2456884838808079E-3</v>
      </c>
      <c r="I393" s="327">
        <f t="shared" si="144"/>
        <v>7.7088393335600358E-4</v>
      </c>
      <c r="J393" s="327">
        <f t="shared" si="145"/>
        <v>1.9906339474043071E-12</v>
      </c>
      <c r="K393" s="327">
        <f t="shared" si="146"/>
        <v>1.0936354989201142E-13</v>
      </c>
      <c r="L393" s="327">
        <f t="shared" si="147"/>
        <v>3.5018501126637958E-4</v>
      </c>
      <c r="M393" s="327">
        <f t="shared" si="148"/>
        <v>3.2252070409727112E-3</v>
      </c>
      <c r="N393" s="327">
        <f t="shared" si="149"/>
        <v>3.7015320218988616E-2</v>
      </c>
      <c r="O393" s="328">
        <f t="shared" si="150"/>
        <v>1.2896369336235006E-2</v>
      </c>
      <c r="P393" s="327">
        <f t="shared" si="151"/>
        <v>2.2390298432025816E-3</v>
      </c>
      <c r="Q393" s="327">
        <f t="shared" si="152"/>
        <v>1.7203587592310252E-2</v>
      </c>
      <c r="R393" s="327">
        <f t="shared" si="153"/>
        <v>2.8534427144737973E-2</v>
      </c>
      <c r="S393" s="327">
        <f t="shared" si="154"/>
        <v>2.0228172303878435E-2</v>
      </c>
      <c r="T393" s="327">
        <f t="shared" si="155"/>
        <v>0</v>
      </c>
      <c r="U393" s="328">
        <f t="shared" si="156"/>
        <v>5.1913422307592327E-6</v>
      </c>
      <c r="V393" s="327">
        <f t="shared" si="157"/>
        <v>3.3035780028804594E-4</v>
      </c>
      <c r="W393" s="327">
        <f t="shared" si="158"/>
        <v>2.7100459090811779E-3</v>
      </c>
      <c r="X393" s="327">
        <f t="shared" si="159"/>
        <v>2.1072599941022285E-2</v>
      </c>
      <c r="Y393" s="327">
        <f t="shared" si="160"/>
        <v>2.5310552261935671E-2</v>
      </c>
      <c r="Z393" s="327">
        <f t="shared" si="161"/>
        <v>4.0093951984865058E-64</v>
      </c>
      <c r="AA393" s="328">
        <f t="shared" si="162"/>
        <v>2.5579051211195303E-3</v>
      </c>
    </row>
    <row r="394" spans="1:27" ht="12" customHeight="1" x14ac:dyDescent="0.15">
      <c r="A394" s="269">
        <f t="shared" si="136"/>
        <v>379</v>
      </c>
      <c r="B394" s="322">
        <f t="shared" si="137"/>
        <v>349.84615384615387</v>
      </c>
      <c r="C394" s="323">
        <f t="shared" si="138"/>
        <v>1516</v>
      </c>
      <c r="D394" s="327">
        <f t="shared" si="139"/>
        <v>3.1274553591165933E-6</v>
      </c>
      <c r="E394" s="327">
        <f t="shared" si="140"/>
        <v>1.7221333309746472E-5</v>
      </c>
      <c r="F394" s="327">
        <f t="shared" si="141"/>
        <v>1.1182524252841053E-2</v>
      </c>
      <c r="G394" s="327">
        <f t="shared" si="142"/>
        <v>1.5097695024458166E-2</v>
      </c>
      <c r="H394" s="327">
        <f t="shared" si="143"/>
        <v>5.2281377732093237E-3</v>
      </c>
      <c r="I394" s="327">
        <f t="shared" si="144"/>
        <v>7.6154947693485298E-4</v>
      </c>
      <c r="J394" s="327">
        <f t="shared" si="145"/>
        <v>1.8536867979368239E-12</v>
      </c>
      <c r="K394" s="327">
        <f t="shared" si="146"/>
        <v>1.0082736211931772E-13</v>
      </c>
      <c r="L394" s="327">
        <f t="shared" si="147"/>
        <v>3.4719353257661734E-4</v>
      </c>
      <c r="M394" s="327">
        <f t="shared" si="148"/>
        <v>3.2125400066360926E-3</v>
      </c>
      <c r="N394" s="327">
        <f t="shared" si="149"/>
        <v>3.7015250651757849E-2</v>
      </c>
      <c r="O394" s="328">
        <f t="shared" si="150"/>
        <v>1.2861439344741188E-2</v>
      </c>
      <c r="P394" s="327">
        <f t="shared" si="151"/>
        <v>2.2031773522897076E-3</v>
      </c>
      <c r="Q394" s="327">
        <f t="shared" si="152"/>
        <v>1.7074979292179975E-2</v>
      </c>
      <c r="R394" s="327">
        <f t="shared" si="153"/>
        <v>2.8385309081162324E-2</v>
      </c>
      <c r="S394" s="327">
        <f t="shared" si="154"/>
        <v>2.0138798470584609E-2</v>
      </c>
      <c r="T394" s="327">
        <f t="shared" si="155"/>
        <v>0</v>
      </c>
      <c r="U394" s="328">
        <f t="shared" si="156"/>
        <v>4.9982721119778972E-6</v>
      </c>
      <c r="V394" s="327">
        <f t="shared" si="157"/>
        <v>3.2342644721040952E-4</v>
      </c>
      <c r="W394" s="327">
        <f t="shared" si="158"/>
        <v>2.675599399310627E-3</v>
      </c>
      <c r="X394" s="327">
        <f t="shared" si="159"/>
        <v>2.0963139587039659E-2</v>
      </c>
      <c r="Y394" s="327">
        <f t="shared" si="160"/>
        <v>2.5215160199411165E-2</v>
      </c>
      <c r="Z394" s="327">
        <f t="shared" si="161"/>
        <v>6.4640140022579104E-65</v>
      </c>
      <c r="AA394" s="328">
        <f t="shared" si="162"/>
        <v>2.5295249909439432E-3</v>
      </c>
    </row>
    <row r="395" spans="1:27" ht="12" customHeight="1" x14ac:dyDescent="0.15">
      <c r="A395" s="269">
        <f t="shared" si="136"/>
        <v>380</v>
      </c>
      <c r="B395" s="322">
        <f t="shared" si="137"/>
        <v>350.76923076923077</v>
      </c>
      <c r="C395" s="323">
        <f t="shared" si="138"/>
        <v>1520</v>
      </c>
      <c r="D395" s="327">
        <f t="shared" si="139"/>
        <v>3.0245903183563947E-6</v>
      </c>
      <c r="E395" s="327">
        <f t="shared" si="140"/>
        <v>1.675986204464312E-5</v>
      </c>
      <c r="F395" s="327">
        <f t="shared" si="141"/>
        <v>1.1122978733565825E-2</v>
      </c>
      <c r="G395" s="327">
        <f t="shared" si="142"/>
        <v>1.504281463228627E-2</v>
      </c>
      <c r="H395" s="327">
        <f t="shared" si="143"/>
        <v>5.2107555811217255E-3</v>
      </c>
      <c r="I395" s="327">
        <f t="shared" si="144"/>
        <v>7.5233949811903678E-4</v>
      </c>
      <c r="J395" s="327">
        <f t="shared" si="145"/>
        <v>1.7261610299200769E-12</v>
      </c>
      <c r="K395" s="327">
        <f t="shared" si="146"/>
        <v>9.295686837285195E-14</v>
      </c>
      <c r="L395" s="327">
        <f t="shared" si="147"/>
        <v>3.4423360767976696E-4</v>
      </c>
      <c r="M395" s="327">
        <f t="shared" si="148"/>
        <v>3.1999557450885963E-3</v>
      </c>
      <c r="N395" s="327">
        <f t="shared" si="149"/>
        <v>3.7015183045697626E-2</v>
      </c>
      <c r="O395" s="328">
        <f t="shared" si="150"/>
        <v>1.2826694584307097E-2</v>
      </c>
      <c r="P395" s="327">
        <f t="shared" si="151"/>
        <v>2.1678989497966768E-3</v>
      </c>
      <c r="Q395" s="327">
        <f t="shared" si="152"/>
        <v>1.6947433566408973E-2</v>
      </c>
      <c r="R395" s="327">
        <f t="shared" si="153"/>
        <v>2.8237230413772907E-2</v>
      </c>
      <c r="S395" s="327">
        <f t="shared" si="154"/>
        <v>2.0050045414004316E-2</v>
      </c>
      <c r="T395" s="327">
        <f t="shared" si="155"/>
        <v>0</v>
      </c>
      <c r="U395" s="328">
        <f t="shared" si="156"/>
        <v>4.8123201530358983E-6</v>
      </c>
      <c r="V395" s="327">
        <f t="shared" si="157"/>
        <v>3.1664052328699607E-4</v>
      </c>
      <c r="W395" s="327">
        <f t="shared" si="158"/>
        <v>2.6416069275555232E-3</v>
      </c>
      <c r="X395" s="327">
        <f t="shared" si="159"/>
        <v>2.0854447366836615E-2</v>
      </c>
      <c r="Y395" s="327">
        <f t="shared" si="160"/>
        <v>2.5120368371672148E-2</v>
      </c>
      <c r="Z395" s="327">
        <f t="shared" si="161"/>
        <v>1.0188532462374625E-65</v>
      </c>
      <c r="AA395" s="328">
        <f t="shared" si="162"/>
        <v>2.5014913205632094E-3</v>
      </c>
    </row>
    <row r="396" spans="1:27" ht="12" customHeight="1" x14ac:dyDescent="0.15">
      <c r="A396" s="269">
        <f t="shared" si="136"/>
        <v>381</v>
      </c>
      <c r="B396" s="322">
        <f t="shared" si="137"/>
        <v>351.69230769230768</v>
      </c>
      <c r="C396" s="323">
        <f t="shared" si="138"/>
        <v>1524</v>
      </c>
      <c r="D396" s="327">
        <f t="shared" si="139"/>
        <v>2.925108608577959E-6</v>
      </c>
      <c r="E396" s="327">
        <f t="shared" si="140"/>
        <v>1.631082823101116E-5</v>
      </c>
      <c r="F396" s="327">
        <f t="shared" si="141"/>
        <v>1.1063864540949653E-2</v>
      </c>
      <c r="G396" s="327">
        <f t="shared" si="142"/>
        <v>1.4988274154771051E-2</v>
      </c>
      <c r="H396" s="327">
        <f t="shared" si="143"/>
        <v>5.1935399279140681E-3</v>
      </c>
      <c r="I396" s="327">
        <f t="shared" si="144"/>
        <v>7.4325217221338225E-4</v>
      </c>
      <c r="J396" s="327">
        <f t="shared" si="145"/>
        <v>1.6074084923791431E-12</v>
      </c>
      <c r="K396" s="327">
        <f t="shared" si="146"/>
        <v>8.570020153667968E-14</v>
      </c>
      <c r="L396" s="327">
        <f t="shared" si="147"/>
        <v>3.4130483811156687E-4</v>
      </c>
      <c r="M396" s="327">
        <f t="shared" si="148"/>
        <v>3.187453500994317E-3</v>
      </c>
      <c r="N396" s="327">
        <f t="shared" si="149"/>
        <v>3.7015117345517115E-2</v>
      </c>
      <c r="O396" s="328">
        <f t="shared" si="150"/>
        <v>1.2792133594284714E-2</v>
      </c>
      <c r="P396" s="327">
        <f t="shared" si="151"/>
        <v>2.1331854431261101E-3</v>
      </c>
      <c r="Q396" s="327">
        <f t="shared" si="152"/>
        <v>1.6820940617439446E-2</v>
      </c>
      <c r="R396" s="327">
        <f t="shared" si="153"/>
        <v>2.8090181956771043E-2</v>
      </c>
      <c r="S396" s="327">
        <f t="shared" si="154"/>
        <v>1.9961907276093756E-2</v>
      </c>
      <c r="T396" s="327">
        <f t="shared" si="155"/>
        <v>0</v>
      </c>
      <c r="U396" s="328">
        <f t="shared" si="156"/>
        <v>4.6332264341808482E-6</v>
      </c>
      <c r="V396" s="327">
        <f t="shared" si="157"/>
        <v>3.0999697721762501E-4</v>
      </c>
      <c r="W396" s="327">
        <f t="shared" si="158"/>
        <v>2.6080622614368895E-3</v>
      </c>
      <c r="X396" s="327">
        <f t="shared" si="159"/>
        <v>2.0746516393669756E-2</v>
      </c>
      <c r="Y396" s="327">
        <f t="shared" si="160"/>
        <v>2.5026171506075133E-2</v>
      </c>
      <c r="Z396" s="327">
        <f t="shared" si="161"/>
        <v>1.5695869461670382E-66</v>
      </c>
      <c r="AA396" s="328">
        <f t="shared" si="162"/>
        <v>2.4737994618300174E-3</v>
      </c>
    </row>
    <row r="397" spans="1:27" ht="12" customHeight="1" x14ac:dyDescent="0.15">
      <c r="A397" s="269">
        <f t="shared" si="136"/>
        <v>382</v>
      </c>
      <c r="B397" s="322">
        <f t="shared" si="137"/>
        <v>352.61538461538464</v>
      </c>
      <c r="C397" s="323">
        <f t="shared" si="138"/>
        <v>1528</v>
      </c>
      <c r="D397" s="327">
        <f t="shared" si="139"/>
        <v>2.8288989487430738E-6</v>
      </c>
      <c r="E397" s="327">
        <f t="shared" si="140"/>
        <v>1.5873894556007691E-5</v>
      </c>
      <c r="F397" s="327">
        <f t="shared" si="141"/>
        <v>1.1005177671427613E-2</v>
      </c>
      <c r="G397" s="327">
        <f t="shared" si="142"/>
        <v>1.4934070624447316E-2</v>
      </c>
      <c r="H397" s="327">
        <f t="shared" si="143"/>
        <v>5.1764888620649766E-3</v>
      </c>
      <c r="I397" s="327">
        <f t="shared" si="144"/>
        <v>7.3428570385591918E-4</v>
      </c>
      <c r="J397" s="327">
        <f t="shared" si="145"/>
        <v>1.4968256243695887E-12</v>
      </c>
      <c r="K397" s="327">
        <f t="shared" si="146"/>
        <v>7.9009531904693705E-14</v>
      </c>
      <c r="L397" s="327">
        <f t="shared" si="147"/>
        <v>3.3840683129027216E-4</v>
      </c>
      <c r="M397" s="327">
        <f t="shared" si="148"/>
        <v>3.1750325278553327E-3</v>
      </c>
      <c r="N397" s="327">
        <f t="shared" si="149"/>
        <v>3.7015053497484518E-2</v>
      </c>
      <c r="O397" s="328">
        <f t="shared" si="150"/>
        <v>1.2757754929298301E-2</v>
      </c>
      <c r="P397" s="327">
        <f t="shared" si="151"/>
        <v>2.0990277868772047E-3</v>
      </c>
      <c r="Q397" s="327">
        <f t="shared" si="152"/>
        <v>1.6695490749400944E-2</v>
      </c>
      <c r="R397" s="327">
        <f t="shared" si="153"/>
        <v>2.7944154623491313E-2</v>
      </c>
      <c r="S397" s="327">
        <f t="shared" si="154"/>
        <v>1.9874378268474362E-2</v>
      </c>
      <c r="T397" s="327">
        <f t="shared" si="155"/>
        <v>0</v>
      </c>
      <c r="U397" s="328">
        <f t="shared" si="156"/>
        <v>4.4607404254826122E-6</v>
      </c>
      <c r="V397" s="327">
        <f t="shared" si="157"/>
        <v>3.0349282172251673E-4</v>
      </c>
      <c r="W397" s="327">
        <f t="shared" si="158"/>
        <v>2.5749592580981253E-3</v>
      </c>
      <c r="X397" s="327">
        <f t="shared" si="159"/>
        <v>2.0639339856552419E-2</v>
      </c>
      <c r="Y397" s="327">
        <f t="shared" si="160"/>
        <v>2.4932564389281084E-2</v>
      </c>
      <c r="Z397" s="327">
        <f t="shared" si="161"/>
        <v>2.3626560074336251E-67</v>
      </c>
      <c r="AA397" s="328">
        <f t="shared" si="162"/>
        <v>2.4464448350070001E-3</v>
      </c>
    </row>
    <row r="398" spans="1:27" ht="12" customHeight="1" x14ac:dyDescent="0.15">
      <c r="A398" s="269">
        <f t="shared" si="136"/>
        <v>383</v>
      </c>
      <c r="B398" s="322">
        <f t="shared" si="137"/>
        <v>353.53846153846155</v>
      </c>
      <c r="C398" s="323">
        <f t="shared" si="138"/>
        <v>1532</v>
      </c>
      <c r="D398" s="327">
        <f t="shared" si="139"/>
        <v>2.7358537179548281E-6</v>
      </c>
      <c r="E398" s="327">
        <f t="shared" si="140"/>
        <v>1.5448732917361826E-5</v>
      </c>
      <c r="F398" s="327">
        <f t="shared" si="141"/>
        <v>1.0946914167078159E-2</v>
      </c>
      <c r="G398" s="327">
        <f t="shared" si="142"/>
        <v>1.4880201107220839E-2</v>
      </c>
      <c r="H398" s="327">
        <f t="shared" si="143"/>
        <v>5.1596004597650215E-3</v>
      </c>
      <c r="I398" s="327">
        <f t="shared" si="144"/>
        <v>7.2543832650273643E-4</v>
      </c>
      <c r="J398" s="327">
        <f t="shared" si="145"/>
        <v>1.3938503873730613E-12</v>
      </c>
      <c r="K398" s="327">
        <f t="shared" si="146"/>
        <v>7.2840753207471269E-14</v>
      </c>
      <c r="L398" s="327">
        <f t="shared" si="147"/>
        <v>3.355392004168456E-4</v>
      </c>
      <c r="M398" s="327">
        <f t="shared" si="148"/>
        <v>3.1626920878856622E-3</v>
      </c>
      <c r="N398" s="327">
        <f t="shared" si="149"/>
        <v>3.7014991449383028E-2</v>
      </c>
      <c r="O398" s="328">
        <f t="shared" si="150"/>
        <v>1.2723557159045606E-2</v>
      </c>
      <c r="P398" s="327">
        <f t="shared" si="151"/>
        <v>2.0654170804887467E-3</v>
      </c>
      <c r="Q398" s="327">
        <f t="shared" si="152"/>
        <v>1.6571074366915479E-2</v>
      </c>
      <c r="R398" s="327">
        <f t="shared" si="153"/>
        <v>2.7799139425131347E-2</v>
      </c>
      <c r="S398" s="327">
        <f t="shared" si="154"/>
        <v>1.9787452671435724E-2</v>
      </c>
      <c r="T398" s="327">
        <f t="shared" si="155"/>
        <v>0</v>
      </c>
      <c r="U398" s="328">
        <f t="shared" si="156"/>
        <v>4.2946206511018659E-6</v>
      </c>
      <c r="V398" s="327">
        <f t="shared" si="157"/>
        <v>2.9712513219905842E-4</v>
      </c>
      <c r="W398" s="327">
        <f t="shared" si="158"/>
        <v>2.5422918628520506E-3</v>
      </c>
      <c r="X398" s="327">
        <f t="shared" si="159"/>
        <v>2.0532911019261912E-2</v>
      </c>
      <c r="Y398" s="327">
        <f t="shared" si="160"/>
        <v>2.4839541866443732E-2</v>
      </c>
      <c r="Z398" s="327">
        <f t="shared" si="161"/>
        <v>3.4740209461538831E-68</v>
      </c>
      <c r="AA398" s="328">
        <f t="shared" si="162"/>
        <v>2.4194229276655044E-3</v>
      </c>
    </row>
    <row r="399" spans="1:27" ht="12" customHeight="1" x14ac:dyDescent="0.15">
      <c r="A399" s="269">
        <f t="shared" si="136"/>
        <v>384</v>
      </c>
      <c r="B399" s="322">
        <f t="shared" si="137"/>
        <v>354.46153846153845</v>
      </c>
      <c r="C399" s="323">
        <f t="shared" si="138"/>
        <v>1536</v>
      </c>
      <c r="D399" s="327">
        <f t="shared" si="139"/>
        <v>2.6458688350720047E-6</v>
      </c>
      <c r="E399" s="327">
        <f t="shared" si="140"/>
        <v>1.5035024169997129E-5</v>
      </c>
      <c r="F399" s="327">
        <f t="shared" si="141"/>
        <v>1.0889070115003951E-2</v>
      </c>
      <c r="G399" s="327">
        <f t="shared" si="142"/>
        <v>1.4826662701909859E-2</v>
      </c>
      <c r="H399" s="327">
        <f t="shared" si="143"/>
        <v>5.1428728244549832E-3</v>
      </c>
      <c r="I399" s="327">
        <f t="shared" si="144"/>
        <v>7.1670830192205326E-4</v>
      </c>
      <c r="J399" s="327">
        <f t="shared" si="145"/>
        <v>1.2979594087309143E-12</v>
      </c>
      <c r="K399" s="327">
        <f t="shared" si="146"/>
        <v>6.715319303104585E-14</v>
      </c>
      <c r="L399" s="327">
        <f t="shared" si="147"/>
        <v>3.3270156437770204E-4</v>
      </c>
      <c r="M399" s="327">
        <f t="shared" si="148"/>
        <v>3.1504314518873565E-3</v>
      </c>
      <c r="N399" s="327">
        <f t="shared" si="149"/>
        <v>3.7014931150468167E-2</v>
      </c>
      <c r="O399" s="328">
        <f t="shared" si="150"/>
        <v>1.2689538868102179E-2</v>
      </c>
      <c r="P399" s="327">
        <f t="shared" si="151"/>
        <v>2.0323445659198489E-3</v>
      </c>
      <c r="Q399" s="327">
        <f t="shared" si="152"/>
        <v>1.6447681973917709E-2</v>
      </c>
      <c r="R399" s="327">
        <f t="shared" si="153"/>
        <v>2.7655127469501717E-2</v>
      </c>
      <c r="S399" s="327">
        <f t="shared" si="154"/>
        <v>1.9701124832955108E-2</v>
      </c>
      <c r="T399" s="327">
        <f t="shared" si="155"/>
        <v>0</v>
      </c>
      <c r="U399" s="328">
        <f t="shared" si="156"/>
        <v>4.1346343667703067E-6</v>
      </c>
      <c r="V399" s="327">
        <f t="shared" si="157"/>
        <v>2.9089104540675213E-4</v>
      </c>
      <c r="W399" s="327">
        <f t="shared" si="158"/>
        <v>2.5100541078495616E-3</v>
      </c>
      <c r="X399" s="327">
        <f t="shared" si="159"/>
        <v>2.0427223219362967E-2</v>
      </c>
      <c r="Y399" s="327">
        <f t="shared" si="160"/>
        <v>2.4747098840411152E-2</v>
      </c>
      <c r="Z399" s="327">
        <f t="shared" si="161"/>
        <v>4.9883291058416913E-69</v>
      </c>
      <c r="AA399" s="328">
        <f t="shared" si="162"/>
        <v>2.3927292936027911E-3</v>
      </c>
    </row>
    <row r="400" spans="1:27" ht="12" customHeight="1" x14ac:dyDescent="0.15">
      <c r="A400" s="269">
        <f t="shared" ref="A400:A463" si="163">+A399+1</f>
        <v>385</v>
      </c>
      <c r="B400" s="322">
        <f t="shared" ref="B400:B463" si="164">12*C400/52</f>
        <v>355.38461538461536</v>
      </c>
      <c r="C400" s="323">
        <f t="shared" ref="C400:C463" si="165">+C399+4</f>
        <v>1540</v>
      </c>
      <c r="D400" s="327">
        <f t="shared" ref="D400:D463" si="166">EXP(-(EXP(-$D$7)*$B400))</f>
        <v>2.5588436422830976E-6</v>
      </c>
      <c r="E400" s="327">
        <f t="shared" ref="E400:E463" si="167">EXP(-EXP(-($E$7/EXP($E$8)))*$B400^(1/EXP($E$8)))</f>
        <v>1.4632457879681227E-5</v>
      </c>
      <c r="F400" s="327">
        <f t="shared" ref="F400:F463" si="168">1 - _xlfn.NORM.S.DIST(((LN($B400) - $F$7)/EXP($F$8)), TRUE())</f>
        <v>1.083164164672179E-2</v>
      </c>
      <c r="G400" s="327">
        <f t="shared" ref="G400:G463" si="169">1/(1+EXP(-($G$7/EXP($G$8)))*$B400^(1/EXP($G$8)))</f>
        <v>1.4773452539793848E-2</v>
      </c>
      <c r="H400" s="327">
        <f t="shared" ref="H400:H463" si="170">IF($H$8=0,EXP(-EXP($H$7)*$B400),EXP(-(EXP($H$7)/$H$8)*(EXP($H$8*$B400)-1)))</f>
        <v>5.1263040863729053E-3</v>
      </c>
      <c r="I400" s="327">
        <f t="shared" ref="I400:I463" si="171">IF($I$9&gt;0,1-_xlfn.GAMMA.DIST(EXP($I$9*(LN($B400)-$I$7)/$I$8)/$I$9^2,1/$I$9^2,1,TRUE()),_xlfn.GAMMA.DIST(EXP($I$9*(LN($B400)-$I$7)/$I$8)/$I$9^2,1/$I$9^2,1,TRUE()))</f>
        <v>7.080939196981717E-4</v>
      </c>
      <c r="J400" s="327">
        <f t="shared" ref="J400:J463" si="172">EXP(-(EXP(-$J$7)*$B400))</f>
        <v>1.2086653215975314E-12</v>
      </c>
      <c r="K400" s="327">
        <f t="shared" ref="K400:K463" si="173">EXP(-EXP(-($K$7/EXP($K$8)))*$B400^(1/EXP($K$8)))</f>
        <v>6.1909345734595021E-14</v>
      </c>
      <c r="L400" s="327">
        <f t="shared" ref="L400:L463" si="174">1 - _xlfn.NORM.S.DIST(((LN($B400) - $L$7)/EXP($L$8)), TRUE())</f>
        <v>3.2989354764823009E-4</v>
      </c>
      <c r="M400" s="327">
        <f t="shared" ref="M400:M463" si="175">1/(1+EXP(-($M$7/EXP($M$8)))*$B400^(1/EXP($M$8)))</f>
        <v>3.1382498991286614E-3</v>
      </c>
      <c r="N400" s="327">
        <f t="shared" ref="N400:N463" si="176">IF($N$8=0,EXP(-EXP($N$7)*$B400),EXP(-(EXP($N$7)/$N$8)*(EXP($N$8*$B400)-1)))</f>
        <v>3.7014872551426159E-2</v>
      </c>
      <c r="O400" s="328">
        <f t="shared" ref="O400:O463" si="177">IF($O$9&gt;0,1-_xlfn.GAMMA.DIST(EXP($O$9*(LN($B400)-$O$7)/$O$8)/$O$9^2,1/$O$9^2,1,TRUE()),_xlfn.GAMMA.DIST(EXP($O$9*(LN($B400)-$O$7)/$O$8)/$O$9^2,1/$O$9^2,1,TRUE()))</f>
        <v>1.2655698655728841E-2</v>
      </c>
      <c r="P400" s="327">
        <f t="shared" ref="P400:P463" si="178">EXP(-(EXP(-$P$7)*$B400))</f>
        <v>1.9998016253678619E-3</v>
      </c>
      <c r="Q400" s="327">
        <f t="shared" ref="Q400:Q463" si="179">EXP(-EXP(-($Q$7/EXP($Q$8)))*$B400^(1/EXP($Q$8)))</f>
        <v>1.6325304172491395E-2</v>
      </c>
      <c r="R400" s="327">
        <f t="shared" ref="R400:R463" si="180">1 - _xlfn.NORM.S.DIST(((LN($B400) - $R$7)/EXP($R$8)), TRUE())</f>
        <v>2.7512109959793141E-2</v>
      </c>
      <c r="S400" s="327">
        <f t="shared" ref="S400:S463" si="181">1/(1+EXP(-($S$7/EXP($S$8)))*$B400^(1/EXP($S$8)))</f>
        <v>1.9615389167733362E-2</v>
      </c>
      <c r="T400" s="327">
        <f t="shared" ref="T400:T463" si="182">IF($T$8=0,EXP(-EXP($T$7)*$B400),EXP(-(EXP($T$7)/$T$8)*(EXP($T$8*$B400)-1)))</f>
        <v>0</v>
      </c>
      <c r="U400" s="328">
        <f t="shared" ref="U400:U463" si="183">IF($U$9&gt;0,1-_xlfn.GAMMA.DIST(EXP($U$9*(LN($B400)-$U$7)/$U$8)/$U$9^2,1/$U$9^2,1,TRUE()),_xlfn.GAMMA.DIST(EXP($U$9*(LN($B400)-$U$7)/$U$8)/$U$9^2,1/$U$9^2,1,TRUE()))</f>
        <v>3.9805572469298056E-6</v>
      </c>
      <c r="V400" s="327">
        <f t="shared" ref="V400:V463" si="184">EXP(-(EXP(-$V$7)*$B400))</f>
        <v>2.847877581797553E-4</v>
      </c>
      <c r="W400" s="327">
        <f t="shared" ref="W400:W463" si="185">EXP(-EXP(-($W$7/EXP($W$8)))*$B400^(1/EXP($W$8)))</f>
        <v>2.4782401107696513E-3</v>
      </c>
      <c r="X400" s="327">
        <f t="shared" ref="X400:X463" si="186">1 - _xlfn.NORM.S.DIST(((LN($B400) - $X$7)/EXP($X$8)), TRUE())</f>
        <v>2.0322269867245502E-2</v>
      </c>
      <c r="Y400" s="327">
        <f t="shared" ref="Y400:Y463" si="187">1/(1+EXP(-($Y$7/EXP($Y$8)))*$B400^(1/EXP($Y$8)))</f>
        <v>2.4655230270940336E-2</v>
      </c>
      <c r="Z400" s="327">
        <f t="shared" ref="Z400:Z463" si="188">IF($Z$8=0,EXP(-EXP($Z$7)*$B400),EXP(-(EXP($Z$7)/$Z$8)*(EXP($Z$8*$B400)-1)))</f>
        <v>6.9926346449194025E-70</v>
      </c>
      <c r="AA400" s="328">
        <f t="shared" ref="AA400:AA463" si="189">IF($AA$9&gt;0,1-_xlfn.GAMMA.DIST(EXP($AA$9*(LN($B400)-$AA$7)/$AA$8)/$AA$9^2,1/$AA$9^2,1,TRUE()),_xlfn.GAMMA.DIST(EXP($AA$9*(LN($B400)-$AA$7)/$AA$8)/$AA$9^2,1/$AA$9^2,1,TRUE()))</f>
        <v>2.3663595517782188E-3</v>
      </c>
    </row>
    <row r="401" spans="1:27" ht="12" customHeight="1" x14ac:dyDescent="0.15">
      <c r="A401" s="269">
        <f t="shared" si="163"/>
        <v>386</v>
      </c>
      <c r="B401" s="322">
        <f t="shared" si="164"/>
        <v>356.30769230769232</v>
      </c>
      <c r="C401" s="323">
        <f t="shared" si="165"/>
        <v>1544</v>
      </c>
      <c r="D401" s="327">
        <f t="shared" si="166"/>
        <v>2.4746807925096627E-6</v>
      </c>
      <c r="E401" s="327">
        <f t="shared" si="167"/>
        <v>1.4240732083506027E-5</v>
      </c>
      <c r="F401" s="327">
        <f t="shared" si="168"/>
        <v>1.0774624937562427E-2</v>
      </c>
      <c r="G401" s="327">
        <f t="shared" si="169"/>
        <v>1.4720567784169775E-2</v>
      </c>
      <c r="H401" s="327">
        <f t="shared" si="170"/>
        <v>5.1098924021096689E-3</v>
      </c>
      <c r="I401" s="327">
        <f t="shared" si="171"/>
        <v>6.9959349674453275E-4</v>
      </c>
      <c r="J401" s="327">
        <f t="shared" si="172"/>
        <v>1.1255142878935118E-12</v>
      </c>
      <c r="K401" s="327">
        <f t="shared" si="173"/>
        <v>5.7074626120812852E-14</v>
      </c>
      <c r="L401" s="327">
        <f t="shared" si="174"/>
        <v>3.2711478019920026E-4</v>
      </c>
      <c r="M401" s="327">
        <f t="shared" si="175"/>
        <v>3.1261467172241878E-3</v>
      </c>
      <c r="N401" s="327">
        <f t="shared" si="176"/>
        <v>3.7014815604333742E-2</v>
      </c>
      <c r="O401" s="328">
        <f t="shared" si="177"/>
        <v>1.2622035135681914E-2</v>
      </c>
      <c r="P401" s="327">
        <f t="shared" si="178"/>
        <v>1.9677797790227966E-3</v>
      </c>
      <c r="Q401" s="327">
        <f t="shared" si="179"/>
        <v>1.6203931661720756E-2</v>
      </c>
      <c r="R401" s="327">
        <f t="shared" si="180"/>
        <v>2.7370078193362457E-2</v>
      </c>
      <c r="S401" s="327">
        <f t="shared" si="181"/>
        <v>1.9530240156246589E-2</v>
      </c>
      <c r="T401" s="327">
        <f t="shared" si="182"/>
        <v>0</v>
      </c>
      <c r="U401" s="328">
        <f t="shared" si="183"/>
        <v>3.8321730844170787E-6</v>
      </c>
      <c r="V401" s="327">
        <f t="shared" si="184"/>
        <v>2.7881252616643082E-4</v>
      </c>
      <c r="W401" s="327">
        <f t="shared" si="185"/>
        <v>2.4468440735301261E-3</v>
      </c>
      <c r="X401" s="327">
        <f t="shared" si="186"/>
        <v>2.0218044445176941E-2</v>
      </c>
      <c r="Y401" s="327">
        <f t="shared" si="187"/>
        <v>2.4563931173923727E-2</v>
      </c>
      <c r="Z401" s="327">
        <f t="shared" si="188"/>
        <v>9.5666616644770055E-71</v>
      </c>
      <c r="AA401" s="328">
        <f t="shared" si="189"/>
        <v>2.3403093852679691E-3</v>
      </c>
    </row>
    <row r="402" spans="1:27" ht="12" customHeight="1" x14ac:dyDescent="0.15">
      <c r="A402" s="269">
        <f t="shared" si="163"/>
        <v>387</v>
      </c>
      <c r="B402" s="322">
        <f t="shared" si="164"/>
        <v>357.23076923076923</v>
      </c>
      <c r="C402" s="323">
        <f t="shared" si="165"/>
        <v>1548</v>
      </c>
      <c r="D402" s="327">
        <f t="shared" si="166"/>
        <v>2.3932861405131297E-6</v>
      </c>
      <c r="E402" s="327">
        <f t="shared" si="167"/>
        <v>1.3859553057008993E-5</v>
      </c>
      <c r="F402" s="327">
        <f t="shared" si="168"/>
        <v>1.0718016206079706E-2</v>
      </c>
      <c r="G402" s="327">
        <f t="shared" si="169"/>
        <v>1.4668005629915359E-2</v>
      </c>
      <c r="H402" s="327">
        <f t="shared" si="170"/>
        <v>5.0936359541730505E-3</v>
      </c>
      <c r="I402" s="327">
        <f t="shared" si="171"/>
        <v>6.9120537682620942E-4</v>
      </c>
      <c r="J402" s="327">
        <f t="shared" si="172"/>
        <v>1.0480836916691721E-12</v>
      </c>
      <c r="K402" s="327">
        <f t="shared" si="173"/>
        <v>5.2617142248154661E-14</v>
      </c>
      <c r="L402" s="327">
        <f t="shared" si="174"/>
        <v>3.2436489740428343E-4</v>
      </c>
      <c r="M402" s="327">
        <f t="shared" si="175"/>
        <v>3.1141212020171457E-3</v>
      </c>
      <c r="N402" s="327">
        <f t="shared" si="176"/>
        <v>3.7014760262618809E-2</v>
      </c>
      <c r="O402" s="328">
        <f t="shared" si="177"/>
        <v>1.2588546936026694E-2</v>
      </c>
      <c r="P402" s="327">
        <f t="shared" si="178"/>
        <v>1.9362706828577193E-3</v>
      </c>
      <c r="Q402" s="327">
        <f t="shared" si="179"/>
        <v>1.6083555236557776E-2</v>
      </c>
      <c r="R402" s="327">
        <f t="shared" si="180"/>
        <v>2.7229023560537136E-2</v>
      </c>
      <c r="S402" s="327">
        <f t="shared" si="181"/>
        <v>1.9445672343813905E-2</v>
      </c>
      <c r="T402" s="327">
        <f t="shared" si="182"/>
        <v>0</v>
      </c>
      <c r="U402" s="328">
        <f t="shared" si="183"/>
        <v>3.6892735003624111E-6</v>
      </c>
      <c r="V402" s="327">
        <f t="shared" si="184"/>
        <v>2.7296266259535095E-4</v>
      </c>
      <c r="W402" s="327">
        <f t="shared" si="185"/>
        <v>2.4158602810191747E-3</v>
      </c>
      <c r="X402" s="327">
        <f t="shared" si="186"/>
        <v>2.0114540506369405E-2</v>
      </c>
      <c r="Y402" s="327">
        <f t="shared" si="187"/>
        <v>2.4473196620629075E-2</v>
      </c>
      <c r="Z402" s="327">
        <f t="shared" si="188"/>
        <v>1.2769767644073644E-71</v>
      </c>
      <c r="AA402" s="328">
        <f t="shared" si="189"/>
        <v>2.3145745402393114E-3</v>
      </c>
    </row>
    <row r="403" spans="1:27" ht="12" customHeight="1" x14ac:dyDescent="0.15">
      <c r="A403" s="269">
        <f t="shared" si="163"/>
        <v>388</v>
      </c>
      <c r="B403" s="322">
        <f t="shared" si="164"/>
        <v>358.15384615384613</v>
      </c>
      <c r="C403" s="323">
        <f t="shared" si="165"/>
        <v>1552</v>
      </c>
      <c r="D403" s="327">
        <f t="shared" si="166"/>
        <v>2.3145686375831304E-6</v>
      </c>
      <c r="E403" s="327">
        <f t="shared" si="167"/>
        <v>1.3488635087746376E-5</v>
      </c>
      <c r="F403" s="327">
        <f t="shared" si="168"/>
        <v>1.0661811713469249E-2</v>
      </c>
      <c r="G403" s="327">
        <f t="shared" si="169"/>
        <v>1.4615763303059448E-2</v>
      </c>
      <c r="H403" s="327">
        <f t="shared" si="170"/>
        <v>5.0775329505598861E-3</v>
      </c>
      <c r="I403" s="327">
        <f t="shared" si="171"/>
        <v>6.8292793009228081E-4</v>
      </c>
      <c r="J403" s="327">
        <f t="shared" si="172"/>
        <v>9.7597999115476954E-13</v>
      </c>
      <c r="K403" s="327">
        <f t="shared" si="173"/>
        <v>4.8507485898955997E-14</v>
      </c>
      <c r="L403" s="327">
        <f t="shared" si="174"/>
        <v>3.2164353994967865E-4</v>
      </c>
      <c r="M403" s="327">
        <f t="shared" si="175"/>
        <v>3.1021726574634659E-3</v>
      </c>
      <c r="N403" s="327">
        <f t="shared" si="176"/>
        <v>3.7014706481022369E-2</v>
      </c>
      <c r="O403" s="328">
        <f t="shared" si="177"/>
        <v>1.2555232698953462E-2</v>
      </c>
      <c r="P403" s="327">
        <f t="shared" si="178"/>
        <v>1.9052661264545216E-3</v>
      </c>
      <c r="Q403" s="327">
        <f t="shared" si="179"/>
        <v>1.596416578670393E-2</v>
      </c>
      <c r="R403" s="327">
        <f t="shared" si="180"/>
        <v>2.7088937543435776E-2</v>
      </c>
      <c r="S403" s="327">
        <f t="shared" si="181"/>
        <v>1.9361680339680314E-2</v>
      </c>
      <c r="T403" s="327">
        <f t="shared" si="182"/>
        <v>0</v>
      </c>
      <c r="U403" s="328">
        <f t="shared" si="183"/>
        <v>3.5516576631922092E-6</v>
      </c>
      <c r="V403" s="327">
        <f t="shared" si="184"/>
        <v>2.672355370671799E-4</v>
      </c>
      <c r="W403" s="327">
        <f t="shared" si="185"/>
        <v>2.3852830998468892E-3</v>
      </c>
      <c r="X403" s="327">
        <f t="shared" si="186"/>
        <v>2.0011751674060219E-2</v>
      </c>
      <c r="Y403" s="327">
        <f t="shared" si="187"/>
        <v>2.4383021736950422E-2</v>
      </c>
      <c r="Z403" s="327">
        <f t="shared" si="188"/>
        <v>1.6625553861870165E-72</v>
      </c>
      <c r="AA403" s="328">
        <f t="shared" si="189"/>
        <v>2.2891508249407444E-3</v>
      </c>
    </row>
    <row r="404" spans="1:27" ht="12" customHeight="1" x14ac:dyDescent="0.15">
      <c r="A404" s="269">
        <f t="shared" si="163"/>
        <v>389</v>
      </c>
      <c r="B404" s="322">
        <f t="shared" si="164"/>
        <v>359.07692307692309</v>
      </c>
      <c r="C404" s="323">
        <f t="shared" si="165"/>
        <v>1556</v>
      </c>
      <c r="D404" s="327">
        <f t="shared" si="166"/>
        <v>2.2384402296897099E-6</v>
      </c>
      <c r="E404" s="327">
        <f t="shared" si="167"/>
        <v>1.3127700255141709E-5</v>
      </c>
      <c r="F404" s="327">
        <f t="shared" si="168"/>
        <v>1.0606007762995806E-2</v>
      </c>
      <c r="G404" s="327">
        <f t="shared" si="169"/>
        <v>1.4563838060359257E-2</v>
      </c>
      <c r="H404" s="327">
        <f t="shared" si="170"/>
        <v>5.061581624336349E-3</v>
      </c>
      <c r="I404" s="327">
        <f t="shared" si="171"/>
        <v>6.7475955261542264E-4</v>
      </c>
      <c r="J404" s="327">
        <f t="shared" si="172"/>
        <v>9.0883671858060863E-13</v>
      </c>
      <c r="K404" s="327">
        <f t="shared" si="173"/>
        <v>4.4718539332758092E-14</v>
      </c>
      <c r="L404" s="327">
        <f t="shared" si="174"/>
        <v>3.1895035374518432E-4</v>
      </c>
      <c r="M404" s="327">
        <f t="shared" si="175"/>
        <v>3.0903003955178796E-3</v>
      </c>
      <c r="N404" s="327">
        <f t="shared" si="176"/>
        <v>3.7014654215561507E-2</v>
      </c>
      <c r="O404" s="328">
        <f t="shared" si="177"/>
        <v>1.2522091080596541E-2</v>
      </c>
      <c r="P404" s="327">
        <f t="shared" si="178"/>
        <v>1.8747580308645078E-3</v>
      </c>
      <c r="Q404" s="327">
        <f t="shared" si="179"/>
        <v>1.5845754295507115E-2</v>
      </c>
      <c r="R404" s="327">
        <f t="shared" si="180"/>
        <v>2.6949811714808147E-2</v>
      </c>
      <c r="S404" s="327">
        <f t="shared" si="181"/>
        <v>1.9278258816114901E-2</v>
      </c>
      <c r="T404" s="327">
        <f t="shared" si="182"/>
        <v>0</v>
      </c>
      <c r="U404" s="328">
        <f t="shared" si="183"/>
        <v>3.4191320192888952E-6</v>
      </c>
      <c r="V404" s="327">
        <f t="shared" si="184"/>
        <v>2.6162857437191583E-4</v>
      </c>
      <c r="W404" s="327">
        <f t="shared" si="185"/>
        <v>2.3551069771167586E-3</v>
      </c>
      <c r="X404" s="327">
        <f t="shared" si="186"/>
        <v>1.9909671640606752E-2</v>
      </c>
      <c r="Y404" s="327">
        <f t="shared" si="187"/>
        <v>2.4293401702671705E-2</v>
      </c>
      <c r="Z404" s="327">
        <f t="shared" si="188"/>
        <v>2.1105988686169522E-73</v>
      </c>
      <c r="AA404" s="328">
        <f t="shared" si="189"/>
        <v>2.2640341087116767E-3</v>
      </c>
    </row>
    <row r="405" spans="1:27" ht="12" customHeight="1" x14ac:dyDescent="0.15">
      <c r="A405" s="269">
        <f t="shared" si="163"/>
        <v>390</v>
      </c>
      <c r="B405" s="322">
        <f t="shared" si="164"/>
        <v>360</v>
      </c>
      <c r="C405" s="323">
        <f t="shared" si="165"/>
        <v>1560</v>
      </c>
      <c r="D405" s="327">
        <f t="shared" si="166"/>
        <v>2.1648157589854053E-6</v>
      </c>
      <c r="E405" s="327">
        <f t="shared" si="167"/>
        <v>1.2776478216431013E-5</v>
      </c>
      <c r="F405" s="327">
        <f t="shared" si="168"/>
        <v>1.0550600699430035E-2</v>
      </c>
      <c r="G405" s="327">
        <f t="shared" si="169"/>
        <v>1.4512227188884454E-2</v>
      </c>
      <c r="H405" s="327">
        <f t="shared" si="170"/>
        <v>5.0457802332260831E-3</v>
      </c>
      <c r="I405" s="327">
        <f t="shared" si="171"/>
        <v>6.6669866594204485E-4</v>
      </c>
      <c r="J405" s="327">
        <f t="shared" si="172"/>
        <v>8.4631261760097691E-13</v>
      </c>
      <c r="K405" s="327">
        <f t="shared" si="173"/>
        <v>4.1225297060401495E-14</v>
      </c>
      <c r="L405" s="327">
        <f t="shared" si="174"/>
        <v>3.1628498983737874E-4</v>
      </c>
      <c r="M405" s="327">
        <f t="shared" si="175"/>
        <v>3.0785037360218804E-3</v>
      </c>
      <c r="N405" s="327">
        <f t="shared" si="176"/>
        <v>3.7014603423493407E-2</v>
      </c>
      <c r="O405" s="328">
        <f t="shared" si="177"/>
        <v>1.2489120750856057E-2</v>
      </c>
      <c r="P405" s="327">
        <f t="shared" si="178"/>
        <v>1.844738446503247E-3</v>
      </c>
      <c r="Q405" s="327">
        <f t="shared" si="179"/>
        <v>1.5728311838872973E-2</v>
      </c>
      <c r="R405" s="327">
        <f t="shared" si="180"/>
        <v>2.6811637736889882E-2</v>
      </c>
      <c r="S405" s="327">
        <f t="shared" si="181"/>
        <v>1.9195402507523784E-2</v>
      </c>
      <c r="T405" s="327">
        <f t="shared" si="182"/>
        <v>0</v>
      </c>
      <c r="U405" s="328">
        <f t="shared" si="183"/>
        <v>3.2915100319774737E-6</v>
      </c>
      <c r="V405" s="327">
        <f t="shared" si="184"/>
        <v>2.5613925333094423E-4</v>
      </c>
      <c r="W405" s="327">
        <f t="shared" si="185"/>
        <v>2.3253264392167085E-3</v>
      </c>
      <c r="X405" s="327">
        <f t="shared" si="186"/>
        <v>1.9808294166594798E-2</v>
      </c>
      <c r="Y405" s="327">
        <f t="shared" si="187"/>
        <v>2.4204331750741614E-2</v>
      </c>
      <c r="Z405" s="327">
        <f t="shared" si="188"/>
        <v>2.6117762908868408E-74</v>
      </c>
      <c r="AA405" s="328">
        <f t="shared" si="189"/>
        <v>2.2392203210080952E-3</v>
      </c>
    </row>
    <row r="406" spans="1:27" ht="12" customHeight="1" x14ac:dyDescent="0.15">
      <c r="A406" s="269">
        <f t="shared" si="163"/>
        <v>391</v>
      </c>
      <c r="B406" s="322">
        <f t="shared" si="164"/>
        <v>360.92307692307691</v>
      </c>
      <c r="C406" s="323">
        <f t="shared" si="165"/>
        <v>1564</v>
      </c>
      <c r="D406" s="327">
        <f t="shared" si="166"/>
        <v>2.0936128685469447E-6</v>
      </c>
      <c r="E406" s="327">
        <f t="shared" si="167"/>
        <v>1.2434705998537599E-5</v>
      </c>
      <c r="F406" s="327">
        <f t="shared" si="168"/>
        <v>1.0495586908493615E-2</v>
      </c>
      <c r="G406" s="327">
        <f t="shared" si="169"/>
        <v>1.4460928005607792E-2</v>
      </c>
      <c r="H406" s="327">
        <f t="shared" si="170"/>
        <v>5.0301270592060148E-3</v>
      </c>
      <c r="I406" s="327">
        <f t="shared" si="171"/>
        <v>6.5874371664986775E-4</v>
      </c>
      <c r="J406" s="327">
        <f t="shared" si="172"/>
        <v>7.8808990885538313E-13</v>
      </c>
      <c r="K406" s="327">
        <f t="shared" si="173"/>
        <v>3.8004701472547235E-14</v>
      </c>
      <c r="L406" s="327">
        <f t="shared" si="174"/>
        <v>3.1364710432391085E-4</v>
      </c>
      <c r="M406" s="327">
        <f t="shared" si="175"/>
        <v>3.0667820065935513E-3</v>
      </c>
      <c r="N406" s="327">
        <f t="shared" si="176"/>
        <v>3.7014554063280344E-2</v>
      </c>
      <c r="O406" s="328">
        <f t="shared" si="177"/>
        <v>1.2456320393222437E-2</v>
      </c>
      <c r="P406" s="327">
        <f t="shared" si="178"/>
        <v>1.8151995510791098E-3</v>
      </c>
      <c r="Q406" s="327">
        <f t="shared" si="179"/>
        <v>1.5611829584190606E-2</v>
      </c>
      <c r="R406" s="327">
        <f t="shared" si="180"/>
        <v>2.6674407360276597E-2</v>
      </c>
      <c r="S406" s="327">
        <f t="shared" si="181"/>
        <v>1.911310620957778E-2</v>
      </c>
      <c r="T406" s="327">
        <f t="shared" si="182"/>
        <v>0</v>
      </c>
      <c r="U406" s="328">
        <f t="shared" si="183"/>
        <v>3.1686119302820615E-6</v>
      </c>
      <c r="V406" s="327">
        <f t="shared" si="184"/>
        <v>2.5076510566338219E-4</v>
      </c>
      <c r="W406" s="327">
        <f t="shared" si="185"/>
        <v>2.2959360906293215E-3</v>
      </c>
      <c r="X406" s="327">
        <f t="shared" si="186"/>
        <v>1.9707613079960384E-2</v>
      </c>
      <c r="Y406" s="327">
        <f t="shared" si="187"/>
        <v>2.4115807166560286E-2</v>
      </c>
      <c r="Z406" s="327">
        <f t="shared" si="188"/>
        <v>3.1494122147722969E-75</v>
      </c>
      <c r="AA406" s="328">
        <f t="shared" si="189"/>
        <v>2.2147054504457753E-3</v>
      </c>
    </row>
    <row r="407" spans="1:27" ht="12" customHeight="1" x14ac:dyDescent="0.15">
      <c r="A407" s="269">
        <f t="shared" si="163"/>
        <v>392</v>
      </c>
      <c r="B407" s="322">
        <f t="shared" si="164"/>
        <v>361.84615384615387</v>
      </c>
      <c r="C407" s="323">
        <f t="shared" si="165"/>
        <v>1568</v>
      </c>
      <c r="D407" s="327">
        <f t="shared" si="166"/>
        <v>2.0247519102501647E-6</v>
      </c>
      <c r="E407" s="327">
        <f t="shared" si="167"/>
        <v>1.2102127795706621E-5</v>
      </c>
      <c r="F407" s="327">
        <f t="shared" si="168"/>
        <v>1.0440962816313126E-2</v>
      </c>
      <c r="G407" s="327">
        <f t="shared" si="169"/>
        <v>1.4409937857002309E-2</v>
      </c>
      <c r="H407" s="327">
        <f t="shared" si="170"/>
        <v>5.0146204081097595E-3</v>
      </c>
      <c r="I407" s="327">
        <f t="shared" si="171"/>
        <v>6.5089317591382478E-4</v>
      </c>
      <c r="J407" s="327">
        <f t="shared" si="172"/>
        <v>7.3387267485183118E-13</v>
      </c>
      <c r="K407" s="327">
        <f t="shared" si="173"/>
        <v>3.5035491246736795E-14</v>
      </c>
      <c r="L407" s="327">
        <f t="shared" si="174"/>
        <v>3.1103635826945641E-4</v>
      </c>
      <c r="M407" s="327">
        <f t="shared" si="175"/>
        <v>3.0551345425191634E-3</v>
      </c>
      <c r="N407" s="327">
        <f t="shared" si="176"/>
        <v>3.7014506094555755E-2</v>
      </c>
      <c r="O407" s="328">
        <f t="shared" si="177"/>
        <v>1.2423688704603586E-2</v>
      </c>
      <c r="P407" s="327">
        <f t="shared" si="178"/>
        <v>1.7861336475550051E-3</v>
      </c>
      <c r="Q407" s="327">
        <f t="shared" si="179"/>
        <v>1.5496298789272386E-2</v>
      </c>
      <c r="R407" s="327">
        <f t="shared" si="180"/>
        <v>2.6538112422811788E-2</v>
      </c>
      <c r="S407" s="327">
        <f t="shared" si="181"/>
        <v>1.9031364778354071E-2</v>
      </c>
      <c r="T407" s="327">
        <f t="shared" si="182"/>
        <v>0</v>
      </c>
      <c r="U407" s="328">
        <f t="shared" si="183"/>
        <v>3.0502644661201117E-6</v>
      </c>
      <c r="V407" s="327">
        <f t="shared" si="184"/>
        <v>2.4550371487621692E-4</v>
      </c>
      <c r="W407" s="327">
        <f t="shared" si="185"/>
        <v>2.2669306127609166E-3</v>
      </c>
      <c r="X407" s="327">
        <f t="shared" si="186"/>
        <v>1.9607622275124803E-2</v>
      </c>
      <c r="Y407" s="327">
        <f t="shared" si="187"/>
        <v>2.4027823287276807E-2</v>
      </c>
      <c r="Z407" s="327">
        <f t="shared" si="188"/>
        <v>3.6995351609873019E-76</v>
      </c>
      <c r="AA407" s="328">
        <f t="shared" si="189"/>
        <v>2.1904855438599213E-3</v>
      </c>
    </row>
    <row r="408" spans="1:27" ht="12" customHeight="1" x14ac:dyDescent="0.15">
      <c r="A408" s="269">
        <f t="shared" si="163"/>
        <v>393</v>
      </c>
      <c r="B408" s="322">
        <f t="shared" si="164"/>
        <v>362.76923076923077</v>
      </c>
      <c r="C408" s="323">
        <f t="shared" si="165"/>
        <v>1572</v>
      </c>
      <c r="D408" s="327">
        <f t="shared" si="166"/>
        <v>1.9581558556749826E-6</v>
      </c>
      <c r="E408" s="327">
        <f t="shared" si="167"/>
        <v>1.1778494772742252E-5</v>
      </c>
      <c r="F408" s="327">
        <f t="shared" si="168"/>
        <v>1.0386724888882592E-2</v>
      </c>
      <c r="G408" s="327">
        <f t="shared" si="169"/>
        <v>1.4359254118644867E-2</v>
      </c>
      <c r="H408" s="327">
        <f t="shared" si="170"/>
        <v>4.9992586092383806E-3</v>
      </c>
      <c r="I408" s="327">
        <f t="shared" si="171"/>
        <v>6.4314553908095817E-4</v>
      </c>
      <c r="J408" s="327">
        <f t="shared" si="172"/>
        <v>6.8338535596325532E-13</v>
      </c>
      <c r="K408" s="327">
        <f t="shared" si="173"/>
        <v>3.2298061540583553E-14</v>
      </c>
      <c r="L408" s="327">
        <f t="shared" si="174"/>
        <v>3.084524176237835E-4</v>
      </c>
      <c r="M408" s="327">
        <f t="shared" si="175"/>
        <v>3.0435606866465992E-3</v>
      </c>
      <c r="N408" s="327">
        <f t="shared" si="176"/>
        <v>3.7014459478091191E-2</v>
      </c>
      <c r="O408" s="328">
        <f t="shared" si="177"/>
        <v>1.2391224395154594E-2</v>
      </c>
      <c r="P408" s="327">
        <f t="shared" si="178"/>
        <v>1.7575331621427419E-3</v>
      </c>
      <c r="Q408" s="327">
        <f t="shared" si="179"/>
        <v>1.5381710801307822E-2</v>
      </c>
      <c r="R408" s="327">
        <f t="shared" si="180"/>
        <v>2.640274484849281E-2</v>
      </c>
      <c r="S408" s="327">
        <f t="shared" si="181"/>
        <v>1.8950173129492182E-2</v>
      </c>
      <c r="T408" s="327">
        <f t="shared" si="182"/>
        <v>0</v>
      </c>
      <c r="U408" s="328">
        <f t="shared" si="183"/>
        <v>2.9363006804894454E-6</v>
      </c>
      <c r="V408" s="327">
        <f t="shared" si="184"/>
        <v>2.4035271517772422E-4</v>
      </c>
      <c r="W408" s="327">
        <f t="shared" si="185"/>
        <v>2.238304762789127E-3</v>
      </c>
      <c r="X408" s="327">
        <f t="shared" si="186"/>
        <v>1.9508315712141844E-2</v>
      </c>
      <c r="Y408" s="327">
        <f t="shared" si="187"/>
        <v>2.394037550109834E-2</v>
      </c>
      <c r="Z408" s="327">
        <f t="shared" si="188"/>
        <v>4.2320234798532047E-77</v>
      </c>
      <c r="AA408" s="328">
        <f t="shared" si="189"/>
        <v>2.1665567053807955E-3</v>
      </c>
    </row>
    <row r="409" spans="1:27" ht="12" customHeight="1" x14ac:dyDescent="0.15">
      <c r="A409" s="269">
        <f t="shared" si="163"/>
        <v>394</v>
      </c>
      <c r="B409" s="322">
        <f t="shared" si="164"/>
        <v>363.69230769230768</v>
      </c>
      <c r="C409" s="323">
        <f t="shared" si="165"/>
        <v>1576</v>
      </c>
      <c r="D409" s="327">
        <f t="shared" si="166"/>
        <v>1.8937502099407663E-6</v>
      </c>
      <c r="E409" s="327">
        <f t="shared" si="167"/>
        <v>1.1463564873689916E-5</v>
      </c>
      <c r="F409" s="327">
        <f t="shared" si="168"/>
        <v>1.0332869631534125E-2</v>
      </c>
      <c r="G409" s="327">
        <f t="shared" si="169"/>
        <v>1.43088741948262E-2</v>
      </c>
      <c r="H409" s="327">
        <f t="shared" si="170"/>
        <v>4.9840400149784025E-3</v>
      </c>
      <c r="I409" s="327">
        <f t="shared" si="171"/>
        <v>6.3549932525253094E-4</v>
      </c>
      <c r="J409" s="327">
        <f t="shared" si="172"/>
        <v>6.3637134989296858E-13</v>
      </c>
      <c r="K409" s="327">
        <f t="shared" si="173"/>
        <v>2.9774335055673206E-14</v>
      </c>
      <c r="L409" s="327">
        <f t="shared" si="174"/>
        <v>3.0589495314115034E-4</v>
      </c>
      <c r="M409" s="327">
        <f t="shared" si="175"/>
        <v>3.0320597892804979E-3</v>
      </c>
      <c r="N409" s="327">
        <f t="shared" si="176"/>
        <v>3.7014414175764163E-2</v>
      </c>
      <c r="O409" s="328">
        <f t="shared" si="177"/>
        <v>1.2358926188110266E-2</v>
      </c>
      <c r="P409" s="327">
        <f t="shared" si="178"/>
        <v>1.7293906423294886E-3</v>
      </c>
      <c r="Q409" s="327">
        <f t="shared" si="179"/>
        <v>1.5268057055830961E-2</v>
      </c>
      <c r="R409" s="327">
        <f t="shared" si="180"/>
        <v>2.6268296646392075E-2</v>
      </c>
      <c r="S409" s="327">
        <f t="shared" si="181"/>
        <v>1.886952623736364E-2</v>
      </c>
      <c r="T409" s="327">
        <f t="shared" si="182"/>
        <v>0</v>
      </c>
      <c r="U409" s="328">
        <f t="shared" si="183"/>
        <v>2.82655967775991E-6</v>
      </c>
      <c r="V409" s="327">
        <f t="shared" si="184"/>
        <v>2.3530979041368717E-4</v>
      </c>
      <c r="W409" s="327">
        <f t="shared" si="185"/>
        <v>2.2100533725288927E-3</v>
      </c>
      <c r="X409" s="327">
        <f t="shared" si="186"/>
        <v>1.9409687415858801E-2</v>
      </c>
      <c r="Y409" s="327">
        <f t="shared" si="187"/>
        <v>2.3853459246609473E-2</v>
      </c>
      <c r="Z409" s="327">
        <f t="shared" si="188"/>
        <v>4.7129152413194815E-78</v>
      </c>
      <c r="AA409" s="328">
        <f t="shared" si="189"/>
        <v>2.1429150955265541E-3</v>
      </c>
    </row>
    <row r="410" spans="1:27" ht="12" customHeight="1" x14ac:dyDescent="0.15">
      <c r="A410" s="269">
        <f t="shared" si="163"/>
        <v>395</v>
      </c>
      <c r="B410" s="322">
        <f t="shared" si="164"/>
        <v>364.61538461538464</v>
      </c>
      <c r="C410" s="323">
        <f t="shared" si="165"/>
        <v>1580</v>
      </c>
      <c r="D410" s="327">
        <f t="shared" si="166"/>
        <v>1.8314629283757859E-6</v>
      </c>
      <c r="E410" s="327">
        <f t="shared" si="167"/>
        <v>1.1157102635809699E-5</v>
      </c>
      <c r="F410" s="327">
        <f t="shared" si="168"/>
        <v>1.0279393588416785E-2</v>
      </c>
      <c r="G410" s="327">
        <f t="shared" si="169"/>
        <v>1.4258795518166879E-2</v>
      </c>
      <c r="H410" s="327">
        <f t="shared" si="170"/>
        <v>4.9689630004269023E-3</v>
      </c>
      <c r="I410" s="327">
        <f t="shared" si="171"/>
        <v>6.2795307687424362E-4</v>
      </c>
      <c r="J410" s="327">
        <f t="shared" si="172"/>
        <v>5.9259170749098153E-13</v>
      </c>
      <c r="K410" s="327">
        <f t="shared" si="173"/>
        <v>2.7447643127761253E-14</v>
      </c>
      <c r="L410" s="327">
        <f t="shared" si="174"/>
        <v>3.0336364030048024E-4</v>
      </c>
      <c r="M410" s="327">
        <f t="shared" si="175"/>
        <v>3.0206312080791079E-3</v>
      </c>
      <c r="N410" s="327">
        <f t="shared" si="176"/>
        <v>3.7014370150527075E-2</v>
      </c>
      <c r="O410" s="328">
        <f t="shared" si="177"/>
        <v>1.2326792819619847E-2</v>
      </c>
      <c r="P410" s="327">
        <f t="shared" si="178"/>
        <v>1.7016987549358653E-3</v>
      </c>
      <c r="Q410" s="327">
        <f t="shared" si="179"/>
        <v>1.5155329075701636E-2</v>
      </c>
      <c r="R410" s="327">
        <f t="shared" si="180"/>
        <v>2.6134759909594241E-2</v>
      </c>
      <c r="S410" s="327">
        <f t="shared" si="181"/>
        <v>1.8789419134255164E-2</v>
      </c>
      <c r="T410" s="327">
        <f t="shared" si="182"/>
        <v>0</v>
      </c>
      <c r="U410" s="328">
        <f t="shared" si="183"/>
        <v>2.7208864079586448E-6</v>
      </c>
      <c r="V410" s="327">
        <f t="shared" si="184"/>
        <v>2.3037267302593434E-4</v>
      </c>
      <c r="W410" s="327">
        <f t="shared" si="185"/>
        <v>2.1821713473162262E-3</v>
      </c>
      <c r="X410" s="327">
        <f t="shared" si="186"/>
        <v>1.9311731475089355E-2</v>
      </c>
      <c r="Y410" s="327">
        <f t="shared" si="187"/>
        <v>2.3767070012102844E-2</v>
      </c>
      <c r="Z410" s="327">
        <f t="shared" si="188"/>
        <v>5.1077245641096054E-79</v>
      </c>
      <c r="AA410" s="328">
        <f t="shared" si="189"/>
        <v>2.1195569303099626E-3</v>
      </c>
    </row>
    <row r="411" spans="1:27" ht="12" customHeight="1" x14ac:dyDescent="0.15">
      <c r="A411" s="269">
        <f t="shared" si="163"/>
        <v>396</v>
      </c>
      <c r="B411" s="322">
        <f t="shared" si="164"/>
        <v>365.53846153846155</v>
      </c>
      <c r="C411" s="323">
        <f t="shared" si="165"/>
        <v>1584</v>
      </c>
      <c r="D411" s="327">
        <f t="shared" si="166"/>
        <v>1.7712243359274563E-6</v>
      </c>
      <c r="E411" s="327">
        <f t="shared" si="167"/>
        <v>1.0858879008696631E-5</v>
      </c>
      <c r="F411" s="327">
        <f t="shared" si="168"/>
        <v>1.0226293341983217E-2</v>
      </c>
      <c r="G411" s="327">
        <f t="shared" si="169"/>
        <v>1.4209015549239361E-2</v>
      </c>
      <c r="H411" s="327">
        <f t="shared" si="170"/>
        <v>4.9540259630235532E-3</v>
      </c>
      <c r="I411" s="327">
        <f t="shared" si="171"/>
        <v>6.2050535933466655E-4</v>
      </c>
      <c r="J411" s="327">
        <f t="shared" si="172"/>
        <v>5.5182391829258296E-13</v>
      </c>
      <c r="K411" s="327">
        <f t="shared" si="173"/>
        <v>2.5302616064392219E-14</v>
      </c>
      <c r="L411" s="327">
        <f t="shared" si="174"/>
        <v>3.0085815922797909E-4</v>
      </c>
      <c r="M411" s="327">
        <f t="shared" si="175"/>
        <v>3.0092743079528647E-3</v>
      </c>
      <c r="N411" s="327">
        <f t="shared" si="176"/>
        <v>3.7014327366376776E-2</v>
      </c>
      <c r="O411" s="328">
        <f t="shared" si="177"/>
        <v>1.2294823038584585E-2</v>
      </c>
      <c r="P411" s="327">
        <f t="shared" si="178"/>
        <v>1.6744502842051157E-3</v>
      </c>
      <c r="Q411" s="327">
        <f t="shared" si="179"/>
        <v>1.5043518470099566E-2</v>
      </c>
      <c r="R411" s="327">
        <f t="shared" si="180"/>
        <v>2.6002126814148041E-2</v>
      </c>
      <c r="S411" s="327">
        <f t="shared" si="181"/>
        <v>1.8709846909564946E-2</v>
      </c>
      <c r="T411" s="327">
        <f t="shared" si="182"/>
        <v>0</v>
      </c>
      <c r="U411" s="328">
        <f t="shared" si="183"/>
        <v>2.619131457048951E-6</v>
      </c>
      <c r="V411" s="327">
        <f t="shared" si="184"/>
        <v>2.2553914303272891E-4</v>
      </c>
      <c r="W411" s="327">
        <f t="shared" si="185"/>
        <v>2.1546536649096537E-3</v>
      </c>
      <c r="X411" s="327">
        <f t="shared" si="186"/>
        <v>1.9214442041798896E-2</v>
      </c>
      <c r="Y411" s="327">
        <f t="shared" si="187"/>
        <v>2.3681203334919795E-2</v>
      </c>
      <c r="Z411" s="327">
        <f t="shared" si="188"/>
        <v>5.3853685557232517E-80</v>
      </c>
      <c r="AA411" s="328">
        <f t="shared" si="189"/>
        <v>2.0964784803619851E-3</v>
      </c>
    </row>
    <row r="412" spans="1:27" ht="12" customHeight="1" x14ac:dyDescent="0.15">
      <c r="A412" s="269">
        <f t="shared" si="163"/>
        <v>397</v>
      </c>
      <c r="B412" s="322">
        <f t="shared" si="164"/>
        <v>366.46153846153845</v>
      </c>
      <c r="C412" s="323">
        <f t="shared" si="165"/>
        <v>1588</v>
      </c>
      <c r="D412" s="327">
        <f t="shared" si="166"/>
        <v>1.712967049223259E-6</v>
      </c>
      <c r="E412" s="327">
        <f t="shared" si="167"/>
        <v>1.0568671178400976E-5</v>
      </c>
      <c r="F412" s="327">
        <f t="shared" si="168"/>
        <v>1.0173565512484939E-2</v>
      </c>
      <c r="G412" s="327">
        <f t="shared" si="169"/>
        <v>1.4159531776196234E-2</v>
      </c>
      <c r="H412" s="327">
        <f t="shared" si="170"/>
        <v>4.9392273221894384E-3</v>
      </c>
      <c r="I412" s="327">
        <f t="shared" si="171"/>
        <v>6.1315476057011153E-4</v>
      </c>
      <c r="J412" s="327">
        <f t="shared" si="172"/>
        <v>5.138607796066966E-13</v>
      </c>
      <c r="K412" s="327">
        <f t="shared" si="173"/>
        <v>2.3325082011514976E-14</v>
      </c>
      <c r="L412" s="327">
        <f t="shared" si="174"/>
        <v>2.9837819462086301E-4</v>
      </c>
      <c r="M412" s="327">
        <f t="shared" si="175"/>
        <v>2.9979884609645365E-3</v>
      </c>
      <c r="N412" s="327">
        <f t="shared" si="176"/>
        <v>3.7014285788325281E-2</v>
      </c>
      <c r="O412" s="328">
        <f t="shared" si="177"/>
        <v>1.2263015606497509E-2</v>
      </c>
      <c r="P412" s="327">
        <f t="shared" si="178"/>
        <v>1.6476381299228608E-3</v>
      </c>
      <c r="Q412" s="327">
        <f t="shared" si="179"/>
        <v>1.4932616933531992E-2</v>
      </c>
      <c r="R412" s="327">
        <f t="shared" si="180"/>
        <v>2.5870389618034673E-2</v>
      </c>
      <c r="S412" s="327">
        <f t="shared" si="181"/>
        <v>1.8630804709012135E-2</v>
      </c>
      <c r="T412" s="327">
        <f t="shared" si="182"/>
        <v>0</v>
      </c>
      <c r="U412" s="328">
        <f t="shared" si="183"/>
        <v>2.5211508437594787E-6</v>
      </c>
      <c r="V412" s="327">
        <f t="shared" si="184"/>
        <v>2.2080702703055092E-4</v>
      </c>
      <c r="W412" s="327">
        <f t="shared" si="185"/>
        <v>2.1274953744090034E-3</v>
      </c>
      <c r="X412" s="327">
        <f t="shared" si="186"/>
        <v>1.9117813330301603E-2</v>
      </c>
      <c r="Y412" s="327">
        <f t="shared" si="187"/>
        <v>2.3595854800801497E-2</v>
      </c>
      <c r="Z412" s="327">
        <f t="shared" si="188"/>
        <v>5.5221162047728185E-81</v>
      </c>
      <c r="AA412" s="328">
        <f t="shared" si="189"/>
        <v>2.0736760700696966E-3</v>
      </c>
    </row>
    <row r="413" spans="1:27" ht="12" customHeight="1" x14ac:dyDescent="0.15">
      <c r="A413" s="269">
        <f t="shared" si="163"/>
        <v>398</v>
      </c>
      <c r="B413" s="322">
        <f t="shared" si="164"/>
        <v>367.38461538461536</v>
      </c>
      <c r="C413" s="323">
        <f t="shared" si="165"/>
        <v>1592</v>
      </c>
      <c r="D413" s="327">
        <f t="shared" si="166"/>
        <v>1.6566259011951672E-6</v>
      </c>
      <c r="E413" s="327">
        <f t="shared" si="167"/>
        <v>1.028626239641141E-5</v>
      </c>
      <c r="F413" s="327">
        <f t="shared" si="168"/>
        <v>1.0121206757474521E-2</v>
      </c>
      <c r="G413" s="327">
        <f t="shared" si="169"/>
        <v>1.411034171440397E-2</v>
      </c>
      <c r="H413" s="327">
        <f t="shared" si="170"/>
        <v>4.9245655189725538E-3</v>
      </c>
      <c r="I413" s="327">
        <f t="shared" si="171"/>
        <v>6.0589989067794114E-4</v>
      </c>
      <c r="J413" s="327">
        <f t="shared" si="172"/>
        <v>4.785093434061684E-13</v>
      </c>
      <c r="K413" s="327">
        <f t="shared" si="173"/>
        <v>2.1501973686405239E-14</v>
      </c>
      <c r="L413" s="327">
        <f t="shared" si="174"/>
        <v>2.9592343567208523E-4</v>
      </c>
      <c r="M413" s="327">
        <f t="shared" si="175"/>
        <v>2.9867730462310995E-3</v>
      </c>
      <c r="N413" s="327">
        <f t="shared" si="176"/>
        <v>3.7014245382370949E-2</v>
      </c>
      <c r="O413" s="328">
        <f t="shared" si="177"/>
        <v>1.2231369297285639E-2</v>
      </c>
      <c r="P413" s="327">
        <f t="shared" si="178"/>
        <v>1.6212553055669925E-3</v>
      </c>
      <c r="Q413" s="327">
        <f t="shared" si="179"/>
        <v>1.4822616244854087E-2</v>
      </c>
      <c r="R413" s="327">
        <f t="shared" si="180"/>
        <v>2.5739540660149496E-2</v>
      </c>
      <c r="S413" s="327">
        <f t="shared" si="181"/>
        <v>1.8552287733859217E-2</v>
      </c>
      <c r="T413" s="327">
        <f t="shared" si="182"/>
        <v>0</v>
      </c>
      <c r="U413" s="328">
        <f t="shared" si="183"/>
        <v>2.4268058250731528E-6</v>
      </c>
      <c r="V413" s="327">
        <f t="shared" si="184"/>
        <v>2.1617419721682362E-4</v>
      </c>
      <c r="W413" s="327">
        <f t="shared" si="185"/>
        <v>2.1006915951913342E-3</v>
      </c>
      <c r="X413" s="327">
        <f t="shared" si="186"/>
        <v>1.902183961646986E-2</v>
      </c>
      <c r="Y413" s="327">
        <f t="shared" si="187"/>
        <v>2.3511020043250282E-2</v>
      </c>
      <c r="Z413" s="327">
        <f t="shared" si="188"/>
        <v>5.5048818453221001E-82</v>
      </c>
      <c r="AA413" s="328">
        <f t="shared" si="189"/>
        <v>2.0511460767294043E-3</v>
      </c>
    </row>
    <row r="414" spans="1:27" ht="12" customHeight="1" x14ac:dyDescent="0.15">
      <c r="A414" s="269">
        <f t="shared" si="163"/>
        <v>399</v>
      </c>
      <c r="B414" s="322">
        <f t="shared" si="164"/>
        <v>368.30769230769232</v>
      </c>
      <c r="C414" s="323">
        <f t="shared" si="165"/>
        <v>1596</v>
      </c>
      <c r="D414" s="327">
        <f t="shared" si="166"/>
        <v>1.6021378681832471E-6</v>
      </c>
      <c r="E414" s="327">
        <f t="shared" si="167"/>
        <v>1.0011441813364669E-5</v>
      </c>
      <c r="F414" s="327">
        <f t="shared" si="168"/>
        <v>1.0069213771315755E-2</v>
      </c>
      <c r="G414" s="327">
        <f t="shared" si="169"/>
        <v>1.406144290608269E-2</v>
      </c>
      <c r="H414" s="327">
        <f t="shared" si="170"/>
        <v>4.9100390156997988E-3</v>
      </c>
      <c r="I414" s="327">
        <f t="shared" si="171"/>
        <v>5.9873938153687245E-4</v>
      </c>
      <c r="J414" s="327">
        <f t="shared" si="172"/>
        <v>4.4558993566750271E-13</v>
      </c>
      <c r="K414" s="327">
        <f t="shared" si="173"/>
        <v>1.9821242365656487E-14</v>
      </c>
      <c r="L414" s="327">
        <f t="shared" si="174"/>
        <v>2.9349357599750547E-4</v>
      </c>
      <c r="M414" s="327">
        <f t="shared" si="175"/>
        <v>2.9756274498270799E-3</v>
      </c>
      <c r="N414" s="327">
        <f t="shared" si="176"/>
        <v>3.70142061154708E-2</v>
      </c>
      <c r="O414" s="328">
        <f t="shared" si="177"/>
        <v>1.2199882897154712E-2</v>
      </c>
      <c r="P414" s="327">
        <f t="shared" si="178"/>
        <v>1.5952949364871653E-3</v>
      </c>
      <c r="Q414" s="327">
        <f t="shared" si="179"/>
        <v>1.4713508266302034E-2</v>
      </c>
      <c r="R414" s="327">
        <f t="shared" si="180"/>
        <v>2.5609572359299282E-2</v>
      </c>
      <c r="S414" s="327">
        <f t="shared" si="181"/>
        <v>1.847429124014641E-2</v>
      </c>
      <c r="T414" s="327">
        <f t="shared" si="182"/>
        <v>0</v>
      </c>
      <c r="U414" s="328">
        <f t="shared" si="183"/>
        <v>2.3359627070451694E-6</v>
      </c>
      <c r="V414" s="327">
        <f t="shared" si="184"/>
        <v>2.116385704331422E-4</v>
      </c>
      <c r="W414" s="327">
        <f t="shared" si="185"/>
        <v>2.074237515863418E-3</v>
      </c>
      <c r="X414" s="327">
        <f t="shared" si="186"/>
        <v>1.892651523695521E-2</v>
      </c>
      <c r="Y414" s="327">
        <f t="shared" si="187"/>
        <v>2.3426694742900496E-2</v>
      </c>
      <c r="Z414" s="327">
        <f t="shared" si="188"/>
        <v>5.3332403339534152E-83</v>
      </c>
      <c r="AA414" s="328">
        <f t="shared" si="189"/>
        <v>2.0288849297140921E-3</v>
      </c>
    </row>
    <row r="415" spans="1:27" ht="12" customHeight="1" x14ac:dyDescent="0.15">
      <c r="A415" s="269">
        <f t="shared" si="163"/>
        <v>400</v>
      </c>
      <c r="B415" s="322">
        <f t="shared" si="164"/>
        <v>369.23076923076923</v>
      </c>
      <c r="C415" s="323">
        <f t="shared" si="165"/>
        <v>1600</v>
      </c>
      <c r="D415" s="327">
        <f t="shared" si="166"/>
        <v>1.5494419994368809E-6</v>
      </c>
      <c r="E415" s="327">
        <f t="shared" si="167"/>
        <v>9.7440043173490806E-6</v>
      </c>
      <c r="F415" s="327">
        <f t="shared" si="168"/>
        <v>1.0017583284701259E-2</v>
      </c>
      <c r="G415" s="327">
        <f t="shared" si="169"/>
        <v>1.4012832919951389E-2</v>
      </c>
      <c r="H415" s="327">
        <f t="shared" si="170"/>
        <v>4.8956462956353903E-3</v>
      </c>
      <c r="I415" s="327">
        <f t="shared" si="171"/>
        <v>5.9167188643360902E-4</v>
      </c>
      <c r="J415" s="327">
        <f t="shared" si="172"/>
        <v>4.149352431758816E-13</v>
      </c>
      <c r="K415" s="327">
        <f t="shared" si="173"/>
        <v>1.8271778564441911E-14</v>
      </c>
      <c r="L415" s="327">
        <f t="shared" si="174"/>
        <v>2.9108831356283726E-4</v>
      </c>
      <c r="M415" s="327">
        <f t="shared" si="175"/>
        <v>2.9645510646895586E-3</v>
      </c>
      <c r="N415" s="327">
        <f t="shared" si="176"/>
        <v>3.7014167955513454E-2</v>
      </c>
      <c r="O415" s="328">
        <f t="shared" si="177"/>
        <v>1.2168555204436021E-2</v>
      </c>
      <c r="P415" s="327">
        <f t="shared" si="178"/>
        <v>1.5697502581134514E-3</v>
      </c>
      <c r="Q415" s="327">
        <f t="shared" si="179"/>
        <v>1.4605284942538703E-2</v>
      </c>
      <c r="R415" s="327">
        <f t="shared" si="180"/>
        <v>2.5480477213214336E-2</v>
      </c>
      <c r="S415" s="327">
        <f t="shared" si="181"/>
        <v>1.8396810537939037E-2</v>
      </c>
      <c r="T415" s="327">
        <f t="shared" si="182"/>
        <v>0</v>
      </c>
      <c r="U415" s="328">
        <f t="shared" si="183"/>
        <v>2.2484926636145985E-6</v>
      </c>
      <c r="V415" s="327">
        <f t="shared" si="184"/>
        <v>2.0719810722858294E-4</v>
      </c>
      <c r="W415" s="327">
        <f t="shared" si="185"/>
        <v>2.0481283932308933E-3</v>
      </c>
      <c r="X415" s="327">
        <f t="shared" si="186"/>
        <v>1.8831834588420304E-2</v>
      </c>
      <c r="Y415" s="327">
        <f t="shared" si="187"/>
        <v>2.3342874626899622E-2</v>
      </c>
      <c r="Z415" s="327">
        <f t="shared" si="188"/>
        <v>5.0197428083246516E-84</v>
      </c>
      <c r="AA415" s="328">
        <f t="shared" si="189"/>
        <v>2.0068891096558517E-3</v>
      </c>
    </row>
    <row r="416" spans="1:27" ht="12" customHeight="1" x14ac:dyDescent="0.15">
      <c r="A416" s="269">
        <f t="shared" si="163"/>
        <v>401</v>
      </c>
      <c r="B416" s="322">
        <f t="shared" si="164"/>
        <v>370.15384615384613</v>
      </c>
      <c r="C416" s="323">
        <f t="shared" si="165"/>
        <v>1604</v>
      </c>
      <c r="D416" s="327">
        <f t="shared" si="166"/>
        <v>1.4984793489347616E-6</v>
      </c>
      <c r="E416" s="327">
        <f t="shared" si="167"/>
        <v>9.4837503766754454E-6</v>
      </c>
      <c r="F416" s="327">
        <f t="shared" si="168"/>
        <v>9.9663120641777514E-3</v>
      </c>
      <c r="G416" s="327">
        <f t="shared" si="169"/>
        <v>1.3964509350878741E-2</v>
      </c>
      <c r="H416" s="327">
        <f t="shared" si="170"/>
        <v>4.8813858626454952E-3</v>
      </c>
      <c r="I416" s="327">
        <f t="shared" si="171"/>
        <v>5.8469607969746651E-4</v>
      </c>
      <c r="J416" s="327">
        <f t="shared" si="172"/>
        <v>3.8638946315408128E-13</v>
      </c>
      <c r="K416" s="327">
        <f t="shared" si="173"/>
        <v>1.684333888701823E-14</v>
      </c>
      <c r="L416" s="327">
        <f t="shared" si="174"/>
        <v>2.8870735061381492E-4</v>
      </c>
      <c r="M416" s="327">
        <f t="shared" si="175"/>
        <v>2.9535432905246442E-3</v>
      </c>
      <c r="N416" s="327">
        <f t="shared" si="176"/>
        <v>3.7014130871292843E-2</v>
      </c>
      <c r="O416" s="328">
        <f t="shared" si="177"/>
        <v>1.2137385029435732E-2</v>
      </c>
      <c r="P416" s="327">
        <f t="shared" si="178"/>
        <v>1.5446146141936757E-3</v>
      </c>
      <c r="Q416" s="327">
        <f t="shared" si="179"/>
        <v>1.4497938299711801E-2</v>
      </c>
      <c r="R416" s="327">
        <f t="shared" si="180"/>
        <v>2.5352247797573502E-2</v>
      </c>
      <c r="S416" s="327">
        <f t="shared" si="181"/>
        <v>1.8319840990586492E-2</v>
      </c>
      <c r="T416" s="327">
        <f t="shared" si="182"/>
        <v>0</v>
      </c>
      <c r="U416" s="328">
        <f t="shared" si="183"/>
        <v>2.1642715613001684E-6</v>
      </c>
      <c r="V416" s="327">
        <f t="shared" si="184"/>
        <v>2.028508109426558E-4</v>
      </c>
      <c r="W416" s="327">
        <f t="shared" si="185"/>
        <v>2.022359551283538E-3</v>
      </c>
      <c r="X416" s="327">
        <f t="shared" si="186"/>
        <v>1.8737792126782837E-2</v>
      </c>
      <c r="Y416" s="327">
        <f t="shared" si="187"/>
        <v>2.3259555468298537E-2</v>
      </c>
      <c r="Z416" s="327">
        <f t="shared" si="188"/>
        <v>4.5884235508597594E-85</v>
      </c>
      <c r="AA416" s="328">
        <f t="shared" si="189"/>
        <v>1.9851551476404161E-3</v>
      </c>
    </row>
    <row r="417" spans="1:27" ht="12" customHeight="1" x14ac:dyDescent="0.15">
      <c r="A417" s="269">
        <f t="shared" si="163"/>
        <v>402</v>
      </c>
      <c r="B417" s="322">
        <f t="shared" si="164"/>
        <v>371.07692307692309</v>
      </c>
      <c r="C417" s="323">
        <f t="shared" si="165"/>
        <v>1608</v>
      </c>
      <c r="D417" s="327">
        <f t="shared" si="166"/>
        <v>1.4491929094474058E-6</v>
      </c>
      <c r="E417" s="327">
        <f t="shared" si="167"/>
        <v>9.230485886990288E-6</v>
      </c>
      <c r="F417" s="327">
        <f t="shared" si="168"/>
        <v>9.915396911677643E-3</v>
      </c>
      <c r="G417" s="327">
        <f t="shared" si="169"/>
        <v>1.3916469819539406E-2</v>
      </c>
      <c r="H417" s="327">
        <f t="shared" si="170"/>
        <v>4.8672562408689935E-3</v>
      </c>
      <c r="I417" s="327">
        <f t="shared" si="171"/>
        <v>5.7781065634165962E-4</v>
      </c>
      <c r="J417" s="327">
        <f t="shared" si="172"/>
        <v>3.5980751139332628E-13</v>
      </c>
      <c r="K417" s="327">
        <f t="shared" si="173"/>
        <v>1.552647856881897E-14</v>
      </c>
      <c r="L417" s="327">
        <f t="shared" si="174"/>
        <v>2.8635039360569436E-4</v>
      </c>
      <c r="M417" s="327">
        <f t="shared" si="175"/>
        <v>2.9426035337154809E-3</v>
      </c>
      <c r="N417" s="327">
        <f t="shared" si="176"/>
        <v>3.7014094832482726E-2</v>
      </c>
      <c r="O417" s="328">
        <f t="shared" si="177"/>
        <v>1.2106371194286217E-2</v>
      </c>
      <c r="P417" s="327">
        <f t="shared" si="178"/>
        <v>1.5198814550589771E-3</v>
      </c>
      <c r="Q417" s="327">
        <f t="shared" si="179"/>
        <v>1.4391460444524058E-2</v>
      </c>
      <c r="R417" s="327">
        <f t="shared" si="180"/>
        <v>2.5224876765044257E-2</v>
      </c>
      <c r="S417" s="327">
        <f t="shared" si="181"/>
        <v>1.8243378013993249E-2</v>
      </c>
      <c r="T417" s="327">
        <f t="shared" si="182"/>
        <v>0</v>
      </c>
      <c r="U417" s="328">
        <f t="shared" si="183"/>
        <v>2.0831797895581872E-6</v>
      </c>
      <c r="V417" s="327">
        <f t="shared" si="184"/>
        <v>1.9859472680750721E-4</v>
      </c>
      <c r="W417" s="327">
        <f t="shared" si="185"/>
        <v>1.9969263801965335E-3</v>
      </c>
      <c r="X417" s="327">
        <f t="shared" si="186"/>
        <v>1.8644382366470258E-2</v>
      </c>
      <c r="Y417" s="327">
        <f t="shared" si="187"/>
        <v>2.3176733085451404E-2</v>
      </c>
      <c r="Z417" s="327">
        <f t="shared" si="188"/>
        <v>4.0717386709213094E-86</v>
      </c>
      <c r="AA417" s="328">
        <f t="shared" si="189"/>
        <v>1.9636796244179022E-3</v>
      </c>
    </row>
    <row r="418" spans="1:27" ht="12" customHeight="1" x14ac:dyDescent="0.15">
      <c r="A418" s="269">
        <f t="shared" si="163"/>
        <v>403</v>
      </c>
      <c r="B418" s="322">
        <f t="shared" si="164"/>
        <v>372</v>
      </c>
      <c r="C418" s="323">
        <f t="shared" si="165"/>
        <v>1612</v>
      </c>
      <c r="D418" s="327">
        <f t="shared" si="166"/>
        <v>1.4015275487684266E-6</v>
      </c>
      <c r="E418" s="327">
        <f t="shared" si="167"/>
        <v>8.9840220226094143E-6</v>
      </c>
      <c r="F418" s="327">
        <f t="shared" si="168"/>
        <v>9.8648346640588525E-3</v>
      </c>
      <c r="G418" s="327">
        <f t="shared" si="169"/>
        <v>1.3868711972075542E-2</v>
      </c>
      <c r="H418" s="327">
        <f t="shared" si="170"/>
        <v>4.8532559743942796E-3</v>
      </c>
      <c r="I418" s="327">
        <f t="shared" si="171"/>
        <v>5.7101433170991811E-4</v>
      </c>
      <c r="J418" s="327">
        <f t="shared" si="172"/>
        <v>3.350542848613692E-13</v>
      </c>
      <c r="K418" s="327">
        <f t="shared" si="173"/>
        <v>1.4312489267717926E-14</v>
      </c>
      <c r="L418" s="327">
        <f t="shared" si="174"/>
        <v>2.8401715313564058E-4</v>
      </c>
      <c r="M418" s="327">
        <f t="shared" si="175"/>
        <v>2.9317312072316888E-3</v>
      </c>
      <c r="N418" s="327">
        <f t="shared" si="176"/>
        <v>3.7014059809611796E-2</v>
      </c>
      <c r="O418" s="328">
        <f t="shared" si="177"/>
        <v>1.2075512532799837E-2</v>
      </c>
      <c r="P418" s="327">
        <f t="shared" si="178"/>
        <v>1.4955443359171423E-3</v>
      </c>
      <c r="Q418" s="327">
        <f t="shared" si="179"/>
        <v>1.4285843563315449E-2</v>
      </c>
      <c r="R418" s="327">
        <f t="shared" si="180"/>
        <v>2.5098356844336145E-2</v>
      </c>
      <c r="S418" s="327">
        <f t="shared" si="181"/>
        <v>1.8167417075901519E-2</v>
      </c>
      <c r="T418" s="327">
        <f t="shared" si="182"/>
        <v>0</v>
      </c>
      <c r="U418" s="328">
        <f t="shared" si="183"/>
        <v>2.0051020985789592E-6</v>
      </c>
      <c r="V418" s="327">
        <f t="shared" si="184"/>
        <v>1.9442794106895575E-4</v>
      </c>
      <c r="W418" s="327">
        <f t="shared" si="185"/>
        <v>1.9718243353472969E-3</v>
      </c>
      <c r="X418" s="327">
        <f t="shared" si="186"/>
        <v>1.8551599879684799E-2</v>
      </c>
      <c r="Y418" s="327">
        <f t="shared" si="187"/>
        <v>2.3094403341424766E-2</v>
      </c>
      <c r="Z418" s="327">
        <f t="shared" si="188"/>
        <v>3.5064798450329779E-87</v>
      </c>
      <c r="AA418" s="328">
        <f t="shared" si="189"/>
        <v>1.9424591696256543E-3</v>
      </c>
    </row>
    <row r="419" spans="1:27" ht="12" customHeight="1" x14ac:dyDescent="0.15">
      <c r="A419" s="269">
        <f t="shared" si="163"/>
        <v>404</v>
      </c>
      <c r="B419" s="322">
        <f t="shared" si="164"/>
        <v>372.92307692307691</v>
      </c>
      <c r="C419" s="323">
        <f t="shared" si="165"/>
        <v>1616</v>
      </c>
      <c r="D419" s="327">
        <f t="shared" si="166"/>
        <v>1.3554299480431749E-6</v>
      </c>
      <c r="E419" s="327">
        <f t="shared" si="167"/>
        <v>8.7441750919555925E-6</v>
      </c>
      <c r="F419" s="327">
        <f t="shared" si="168"/>
        <v>9.8146221926508348E-3</v>
      </c>
      <c r="G419" s="327">
        <f t="shared" si="169"/>
        <v>1.3821233479763653E-2</v>
      </c>
      <c r="H419" s="327">
        <f t="shared" si="170"/>
        <v>4.8393836269418978E-3</v>
      </c>
      <c r="I419" s="327">
        <f t="shared" si="171"/>
        <v>5.6430584113198456E-4</v>
      </c>
      <c r="J419" s="327">
        <f t="shared" si="172"/>
        <v>3.1200397503998902E-13</v>
      </c>
      <c r="K419" s="327">
        <f t="shared" si="173"/>
        <v>1.319334169641581E-14</v>
      </c>
      <c r="L419" s="327">
        <f t="shared" si="174"/>
        <v>2.8170734387555907E-4</v>
      </c>
      <c r="M419" s="327">
        <f t="shared" si="175"/>
        <v>2.9209257305403084E-3</v>
      </c>
      <c r="N419" s="327">
        <f t="shared" si="176"/>
        <v>3.7014025774039679E-2</v>
      </c>
      <c r="O419" s="328">
        <f t="shared" si="177"/>
        <v>1.2044807890324746E-2</v>
      </c>
      <c r="P419" s="327">
        <f t="shared" si="178"/>
        <v>1.4715969151732663E-3</v>
      </c>
      <c r="Q419" s="327">
        <f t="shared" si="179"/>
        <v>1.4181079921157424E-2</v>
      </c>
      <c r="R419" s="327">
        <f t="shared" si="180"/>
        <v>2.497268083926707E-2</v>
      </c>
      <c r="S419" s="327">
        <f t="shared" si="181"/>
        <v>1.8091953695185348E-2</v>
      </c>
      <c r="T419" s="327">
        <f t="shared" si="182"/>
        <v>0</v>
      </c>
      <c r="U419" s="328">
        <f t="shared" si="183"/>
        <v>1.9299274416351153E-6</v>
      </c>
      <c r="V419" s="327">
        <f t="shared" si="184"/>
        <v>1.9034858012596676E-4</v>
      </c>
      <c r="W419" s="327">
        <f t="shared" si="185"/>
        <v>1.9470489363477986E-3</v>
      </c>
      <c r="X419" s="327">
        <f t="shared" si="186"/>
        <v>1.8459439295680613E-2</v>
      </c>
      <c r="Y419" s="327">
        <f t="shared" si="187"/>
        <v>2.3012562143415623E-2</v>
      </c>
      <c r="Z419" s="327">
        <f t="shared" si="188"/>
        <v>2.9293857839187581E-88</v>
      </c>
      <c r="AA419" s="328">
        <f t="shared" si="189"/>
        <v>1.921490461024189E-3</v>
      </c>
    </row>
    <row r="420" spans="1:27" ht="12" customHeight="1" x14ac:dyDescent="0.15">
      <c r="A420" s="269">
        <f t="shared" si="163"/>
        <v>405</v>
      </c>
      <c r="B420" s="322">
        <f t="shared" si="164"/>
        <v>373.84615384615387</v>
      </c>
      <c r="C420" s="323">
        <f t="shared" si="165"/>
        <v>1620</v>
      </c>
      <c r="D420" s="327">
        <f t="shared" si="166"/>
        <v>1.3108485421258586E-6</v>
      </c>
      <c r="E420" s="327">
        <f t="shared" si="167"/>
        <v>8.5107663969868056E-6</v>
      </c>
      <c r="F420" s="327">
        <f t="shared" si="168"/>
        <v>9.7647564028076062E-3</v>
      </c>
      <c r="G420" s="327">
        <f t="shared" si="169"/>
        <v>1.3774032038686601E-2</v>
      </c>
      <c r="H420" s="327">
        <f t="shared" si="170"/>
        <v>4.825637781552961E-3</v>
      </c>
      <c r="I420" s="327">
        <f t="shared" si="171"/>
        <v>5.5768393958322005E-4</v>
      </c>
      <c r="J420" s="327">
        <f t="shared" si="172"/>
        <v>2.9053942850195486E-13</v>
      </c>
      <c r="K420" s="327">
        <f t="shared" si="173"/>
        <v>1.2161632719567415E-14</v>
      </c>
      <c r="L420" s="327">
        <f t="shared" si="174"/>
        <v>2.794206845063707E-4</v>
      </c>
      <c r="M420" s="327">
        <f t="shared" si="175"/>
        <v>2.9101865295181164E-3</v>
      </c>
      <c r="N420" s="327">
        <f t="shared" si="176"/>
        <v>3.7013992697933436E-2</v>
      </c>
      <c r="O420" s="328">
        <f t="shared" si="177"/>
        <v>1.2014256123602777E-2</v>
      </c>
      <c r="P420" s="327">
        <f t="shared" si="178"/>
        <v>1.448032952777304E-3</v>
      </c>
      <c r="Q420" s="327">
        <f t="shared" si="179"/>
        <v>1.4077161860958334E-2</v>
      </c>
      <c r="R420" s="327">
        <f t="shared" si="180"/>
        <v>2.484784162784448E-2</v>
      </c>
      <c r="S420" s="327">
        <f t="shared" si="181"/>
        <v>1.8016983441155786E-2</v>
      </c>
      <c r="T420" s="327">
        <f t="shared" si="182"/>
        <v>0</v>
      </c>
      <c r="U420" s="328">
        <f t="shared" si="183"/>
        <v>1.8575488236471926E-6</v>
      </c>
      <c r="V420" s="327">
        <f t="shared" si="184"/>
        <v>1.8635480968818852E-4</v>
      </c>
      <c r="W420" s="327">
        <f t="shared" si="185"/>
        <v>1.9225957660920746E-3</v>
      </c>
      <c r="X420" s="327">
        <f t="shared" si="186"/>
        <v>1.8367895300050008E-2</v>
      </c>
      <c r="Y420" s="327">
        <f t="shared" si="187"/>
        <v>2.2931205442178401E-2</v>
      </c>
      <c r="Z420" s="327">
        <f t="shared" si="188"/>
        <v>2.3731887793540489E-89</v>
      </c>
      <c r="AA420" s="328">
        <f t="shared" si="189"/>
        <v>1.900770223746906E-3</v>
      </c>
    </row>
    <row r="421" spans="1:27" ht="12" customHeight="1" x14ac:dyDescent="0.15">
      <c r="A421" s="269">
        <f t="shared" si="163"/>
        <v>406</v>
      </c>
      <c r="B421" s="322">
        <f t="shared" si="164"/>
        <v>374.76923076923077</v>
      </c>
      <c r="C421" s="323">
        <f t="shared" si="165"/>
        <v>1624</v>
      </c>
      <c r="D421" s="327">
        <f t="shared" si="166"/>
        <v>1.2677334618983607E-6</v>
      </c>
      <c r="E421" s="327">
        <f t="shared" si="167"/>
        <v>8.2836220965006662E-6</v>
      </c>
      <c r="F421" s="327">
        <f t="shared" si="168"/>
        <v>9.7152342334676511E-3</v>
      </c>
      <c r="G421" s="327">
        <f t="shared" si="169"/>
        <v>1.3727105369410492E-2</v>
      </c>
      <c r="H421" s="327">
        <f t="shared" si="170"/>
        <v>4.8120170402832299E-3</v>
      </c>
      <c r="I421" s="327">
        <f t="shared" si="171"/>
        <v>5.5114740135164819E-4</v>
      </c>
      <c r="J421" s="327">
        <f t="shared" si="172"/>
        <v>2.7055155147758538E-13</v>
      </c>
      <c r="K421" s="327">
        <f t="shared" si="173"/>
        <v>1.1210536568524027E-14</v>
      </c>
      <c r="L421" s="327">
        <f t="shared" si="174"/>
        <v>2.7715689765339668E-4</v>
      </c>
      <c r="M421" s="327">
        <f t="shared" si="175"/>
        <v>2.8995130363653684E-3</v>
      </c>
      <c r="N421" s="327">
        <f t="shared" si="176"/>
        <v>3.7013960554244794E-2</v>
      </c>
      <c r="O421" s="328">
        <f t="shared" si="177"/>
        <v>1.1983856100629596E-2</v>
      </c>
      <c r="P421" s="327">
        <f t="shared" si="178"/>
        <v>1.4248463085980876E-3</v>
      </c>
      <c r="Q421" s="327">
        <f t="shared" si="179"/>
        <v>1.3974081802581082E-2</v>
      </c>
      <c r="R421" s="327">
        <f t="shared" si="180"/>
        <v>2.4723832161357651E-2</v>
      </c>
      <c r="S421" s="327">
        <f t="shared" si="181"/>
        <v>1.7942501932877331E-2</v>
      </c>
      <c r="T421" s="327">
        <f t="shared" si="182"/>
        <v>0</v>
      </c>
      <c r="U421" s="328">
        <f t="shared" si="183"/>
        <v>1.787863154634195E-6</v>
      </c>
      <c r="V421" s="327">
        <f t="shared" si="184"/>
        <v>1.8244483395115938E-4</v>
      </c>
      <c r="W421" s="327">
        <f t="shared" si="185"/>
        <v>1.8984604698185311E-3</v>
      </c>
      <c r="X421" s="327">
        <f t="shared" si="186"/>
        <v>1.8276962634020677E-2</v>
      </c>
      <c r="Y421" s="327">
        <f t="shared" si="187"/>
        <v>2.2850329231460978E-2</v>
      </c>
      <c r="Z421" s="327">
        <f t="shared" si="188"/>
        <v>1.8636879477705624E-90</v>
      </c>
      <c r="AA421" s="328">
        <f t="shared" si="189"/>
        <v>1.8802952295620123E-3</v>
      </c>
    </row>
    <row r="422" spans="1:27" ht="12" customHeight="1" x14ac:dyDescent="0.15">
      <c r="A422" s="269">
        <f t="shared" si="163"/>
        <v>407</v>
      </c>
      <c r="B422" s="322">
        <f t="shared" si="164"/>
        <v>375.69230769230768</v>
      </c>
      <c r="C422" s="323">
        <f t="shared" si="165"/>
        <v>1628</v>
      </c>
      <c r="D422" s="327">
        <f t="shared" si="166"/>
        <v>1.2260364784862367E-6</v>
      </c>
      <c r="E422" s="327">
        <f t="shared" si="167"/>
        <v>8.0625730732116623E-6</v>
      </c>
      <c r="F422" s="327">
        <f t="shared" si="168"/>
        <v>9.6660526567206029E-3</v>
      </c>
      <c r="G422" s="327">
        <f t="shared" si="169"/>
        <v>1.3680451216666884E-2</v>
      </c>
      <c r="H422" s="327">
        <f t="shared" si="170"/>
        <v>4.7985200239026764E-3</v>
      </c>
      <c r="I422" s="327">
        <f t="shared" si="171"/>
        <v>5.4469501971143863E-4</v>
      </c>
      <c r="J422" s="327">
        <f t="shared" si="172"/>
        <v>2.5193875538457604E-13</v>
      </c>
      <c r="K422" s="327">
        <f t="shared" si="173"/>
        <v>1.0333759853504349E-14</v>
      </c>
      <c r="L422" s="327">
        <f t="shared" si="174"/>
        <v>2.749157098226318E-4</v>
      </c>
      <c r="M422" s="327">
        <f t="shared" si="175"/>
        <v>2.8889046895208886E-3</v>
      </c>
      <c r="N422" s="327">
        <f t="shared" si="176"/>
        <v>3.70139293166881E-2</v>
      </c>
      <c r="O422" s="328">
        <f t="shared" si="177"/>
        <v>1.1953606700516758E-2</v>
      </c>
      <c r="P422" s="327">
        <f t="shared" si="178"/>
        <v>1.4020309408233622E-3</v>
      </c>
      <c r="Q422" s="327">
        <f t="shared" si="179"/>
        <v>1.3871832241971291E-2</v>
      </c>
      <c r="R422" s="327">
        <f t="shared" si="180"/>
        <v>2.4600645463484616E-2</v>
      </c>
      <c r="S422" s="327">
        <f t="shared" si="181"/>
        <v>1.7868504838495072E-2</v>
      </c>
      <c r="T422" s="327">
        <f t="shared" si="182"/>
        <v>0</v>
      </c>
      <c r="U422" s="328">
        <f t="shared" si="183"/>
        <v>1.720771109159358E-6</v>
      </c>
      <c r="V422" s="327">
        <f t="shared" si="184"/>
        <v>1.7861689478882204E-4</v>
      </c>
      <c r="W422" s="327">
        <f t="shared" si="185"/>
        <v>1.8746387541869901E-3</v>
      </c>
      <c r="X422" s="327">
        <f t="shared" si="186"/>
        <v>1.8186636093763364E-2</v>
      </c>
      <c r="Y422" s="327">
        <f t="shared" si="187"/>
        <v>2.276992954744881E-2</v>
      </c>
      <c r="Z422" s="327">
        <f t="shared" si="188"/>
        <v>1.4181819507599012E-91</v>
      </c>
      <c r="AA422" s="328">
        <f t="shared" si="189"/>
        <v>1.8600622961468805E-3</v>
      </c>
    </row>
    <row r="423" spans="1:27" ht="12" customHeight="1" x14ac:dyDescent="0.15">
      <c r="A423" s="269">
        <f t="shared" si="163"/>
        <v>408</v>
      </c>
      <c r="B423" s="322">
        <f t="shared" si="164"/>
        <v>376.61538461538464</v>
      </c>
      <c r="C423" s="323">
        <f t="shared" si="165"/>
        <v>1632</v>
      </c>
      <c r="D423" s="327">
        <f t="shared" si="166"/>
        <v>1.1857109493095043E-6</v>
      </c>
      <c r="E423" s="327">
        <f t="shared" si="167"/>
        <v>7.847454804492159E-6</v>
      </c>
      <c r="F423" s="327">
        <f t="shared" si="168"/>
        <v>9.6172086773796961E-3</v>
      </c>
      <c r="G423" s="327">
        <f t="shared" si="169"/>
        <v>1.3634067349039365E-2</v>
      </c>
      <c r="H423" s="327">
        <f t="shared" si="170"/>
        <v>4.7851453716004962E-3</v>
      </c>
      <c r="I423" s="327">
        <f t="shared" si="171"/>
        <v>5.3832560660149742E-4</v>
      </c>
      <c r="J423" s="327">
        <f t="shared" si="172"/>
        <v>2.3460644050303156E-13</v>
      </c>
      <c r="K423" s="327">
        <f t="shared" si="173"/>
        <v>9.5255000778964589E-15</v>
      </c>
      <c r="L423" s="327">
        <f t="shared" si="174"/>
        <v>2.7269685133912702E-4</v>
      </c>
      <c r="M423" s="327">
        <f t="shared" si="175"/>
        <v>2.8783609335784966E-3</v>
      </c>
      <c r="N423" s="327">
        <f t="shared" si="176"/>
        <v>3.7013898959718711E-2</v>
      </c>
      <c r="O423" s="328">
        <f t="shared" si="177"/>
        <v>1.1923506813355777E-2</v>
      </c>
      <c r="P423" s="327">
        <f t="shared" si="178"/>
        <v>1.3795809043854646E-3</v>
      </c>
      <c r="Q423" s="327">
        <f t="shared" si="179"/>
        <v>1.377040575029718E-2</v>
      </c>
      <c r="R423" s="327">
        <f t="shared" si="180"/>
        <v>2.4478274629410324E-2</v>
      </c>
      <c r="S423" s="327">
        <f t="shared" si="181"/>
        <v>1.7794987874572201E-2</v>
      </c>
      <c r="T423" s="327">
        <f t="shared" si="182"/>
        <v>0</v>
      </c>
      <c r="U423" s="328">
        <f t="shared" si="183"/>
        <v>1.6561769898837397E-6</v>
      </c>
      <c r="V423" s="327">
        <f t="shared" si="184"/>
        <v>1.7486927096297964E-4</v>
      </c>
      <c r="W423" s="327">
        <f t="shared" si="185"/>
        <v>1.8511263863700595E-3</v>
      </c>
      <c r="X423" s="327">
        <f t="shared" si="186"/>
        <v>1.8096910529709187E-2</v>
      </c>
      <c r="Y423" s="327">
        <f t="shared" si="187"/>
        <v>2.2690002468217875E-2</v>
      </c>
      <c r="Z423" s="327">
        <f t="shared" si="188"/>
        <v>1.0452956386360504E-92</v>
      </c>
      <c r="AA423" s="328">
        <f t="shared" si="189"/>
        <v>1.84006828637584E-3</v>
      </c>
    </row>
    <row r="424" spans="1:27" ht="12" customHeight="1" x14ac:dyDescent="0.15">
      <c r="A424" s="269">
        <f t="shared" si="163"/>
        <v>409</v>
      </c>
      <c r="B424" s="322">
        <f t="shared" si="164"/>
        <v>377.53846153846155</v>
      </c>
      <c r="C424" s="323">
        <f t="shared" si="165"/>
        <v>1636</v>
      </c>
      <c r="D424" s="327">
        <f t="shared" si="166"/>
        <v>1.1467117659078944E-6</v>
      </c>
      <c r="E424" s="327">
        <f t="shared" si="167"/>
        <v>7.6381072366786692E-6</v>
      </c>
      <c r="F424" s="327">
        <f t="shared" si="168"/>
        <v>9.5686993325616587E-3</v>
      </c>
      <c r="G424" s="327">
        <f t="shared" si="169"/>
        <v>1.3587951558655477E-2</v>
      </c>
      <c r="H424" s="327">
        <f t="shared" si="170"/>
        <v>4.7718917406954558E-3</v>
      </c>
      <c r="I424" s="327">
        <f t="shared" si="171"/>
        <v>5.3203799231049675E-4</v>
      </c>
      <c r="J424" s="327">
        <f t="shared" si="172"/>
        <v>2.1846651517145782E-13</v>
      </c>
      <c r="K424" s="327">
        <f t="shared" si="173"/>
        <v>8.7804073823259602E-15</v>
      </c>
      <c r="L424" s="327">
        <f t="shared" si="174"/>
        <v>2.7050005628548313E-4</v>
      </c>
      <c r="M424" s="327">
        <f t="shared" si="175"/>
        <v>2.8678812192047989E-3</v>
      </c>
      <c r="N424" s="327">
        <f t="shared" si="176"/>
        <v>3.701386945851215E-2</v>
      </c>
      <c r="O424" s="328">
        <f t="shared" si="177"/>
        <v>1.189355534008436E-2</v>
      </c>
      <c r="P424" s="327">
        <f t="shared" si="178"/>
        <v>1.3574903494121989E-3</v>
      </c>
      <c r="Q424" s="327">
        <f t="shared" si="179"/>
        <v>1.3669794973100316E-2</v>
      </c>
      <c r="R424" s="327">
        <f t="shared" si="180"/>
        <v>2.4356712824957882E-2</v>
      </c>
      <c r="S424" s="327">
        <f t="shared" si="181"/>
        <v>1.7721946805438499E-2</v>
      </c>
      <c r="T424" s="327">
        <f t="shared" si="182"/>
        <v>0</v>
      </c>
      <c r="U424" s="328">
        <f t="shared" si="183"/>
        <v>1.5939885970039924E-6</v>
      </c>
      <c r="V424" s="327">
        <f t="shared" si="184"/>
        <v>1.7120027734933879E-4</v>
      </c>
      <c r="W424" s="327">
        <f t="shared" si="185"/>
        <v>1.8279191931587736E-3</v>
      </c>
      <c r="X424" s="327">
        <f t="shared" si="186"/>
        <v>1.8007780845876509E-2</v>
      </c>
      <c r="Y424" s="327">
        <f t="shared" si="187"/>
        <v>2.2610544113195859E-2</v>
      </c>
      <c r="Z424" s="327">
        <f t="shared" si="188"/>
        <v>7.4597321396899113E-94</v>
      </c>
      <c r="AA424" s="328">
        <f t="shared" si="189"/>
        <v>1.8203101076179617E-3</v>
      </c>
    </row>
    <row r="425" spans="1:27" ht="12" customHeight="1" x14ac:dyDescent="0.15">
      <c r="A425" s="269">
        <f t="shared" si="163"/>
        <v>410</v>
      </c>
      <c r="B425" s="322">
        <f t="shared" si="164"/>
        <v>378.46153846153845</v>
      </c>
      <c r="C425" s="323">
        <f t="shared" si="165"/>
        <v>1640</v>
      </c>
      <c r="D425" s="327">
        <f t="shared" si="166"/>
        <v>1.1089953034821476E-6</v>
      </c>
      <c r="E425" s="327">
        <f t="shared" si="167"/>
        <v>7.4343746628415104E-6</v>
      </c>
      <c r="F425" s="327">
        <f t="shared" si="168"/>
        <v>9.5205216912719326E-3</v>
      </c>
      <c r="G425" s="327">
        <f t="shared" si="169"/>
        <v>1.3542101660882907E-2</v>
      </c>
      <c r="H425" s="327">
        <f t="shared" si="170"/>
        <v>4.7587578063513734E-3</v>
      </c>
      <c r="I425" s="327">
        <f t="shared" si="171"/>
        <v>5.2583102516767788E-4</v>
      </c>
      <c r="J425" s="327">
        <f t="shared" si="172"/>
        <v>2.0343694806001821E-13</v>
      </c>
      <c r="K425" s="327">
        <f t="shared" si="173"/>
        <v>8.0935492672872873E-15</v>
      </c>
      <c r="L425" s="327">
        <f t="shared" si="174"/>
        <v>2.6832506244189869E-4</v>
      </c>
      <c r="M425" s="327">
        <f t="shared" si="175"/>
        <v>2.857465003058226E-3</v>
      </c>
      <c r="N425" s="327">
        <f t="shared" si="176"/>
        <v>3.7013840788943826E-2</v>
      </c>
      <c r="O425" s="328">
        <f t="shared" si="177"/>
        <v>1.1863751192354378E-2</v>
      </c>
      <c r="P425" s="327">
        <f t="shared" si="178"/>
        <v>1.335753519702507E-3</v>
      </c>
      <c r="Q425" s="327">
        <f t="shared" si="179"/>
        <v>1.3569992629457002E-2</v>
      </c>
      <c r="R425" s="327">
        <f t="shared" si="180"/>
        <v>2.4235953285732581E-2</v>
      </c>
      <c r="S425" s="327">
        <f t="shared" si="181"/>
        <v>1.764937744254862E-2</v>
      </c>
      <c r="T425" s="327">
        <f t="shared" si="182"/>
        <v>0</v>
      </c>
      <c r="U425" s="328">
        <f t="shared" si="183"/>
        <v>1.5341171011318266E-6</v>
      </c>
      <c r="V425" s="327">
        <f t="shared" si="184"/>
        <v>1.6760826417979086E-4</v>
      </c>
      <c r="W425" s="327">
        <f t="shared" si="185"/>
        <v>1.8050130600821459E-3</v>
      </c>
      <c r="X425" s="327">
        <f t="shared" si="186"/>
        <v>1.7919241999208468E-2</v>
      </c>
      <c r="Y425" s="327">
        <f t="shared" si="187"/>
        <v>2.2531550642631449E-2</v>
      </c>
      <c r="Z425" s="327">
        <f t="shared" si="188"/>
        <v>5.1524121753492512E-95</v>
      </c>
      <c r="AA425" s="328">
        <f t="shared" si="189"/>
        <v>1.8007847110487196E-3</v>
      </c>
    </row>
    <row r="426" spans="1:27" ht="12" customHeight="1" x14ac:dyDescent="0.15">
      <c r="A426" s="269">
        <f t="shared" si="163"/>
        <v>411</v>
      </c>
      <c r="B426" s="322">
        <f t="shared" si="164"/>
        <v>379.38461538461536</v>
      </c>
      <c r="C426" s="323">
        <f t="shared" si="165"/>
        <v>1644</v>
      </c>
      <c r="D426" s="327">
        <f t="shared" si="166"/>
        <v>1.0725193720949819E-6</v>
      </c>
      <c r="E426" s="327">
        <f t="shared" si="167"/>
        <v>7.2361056039236854E-6</v>
      </c>
      <c r="F426" s="327">
        <f t="shared" si="168"/>
        <v>9.4726728539966665E-3</v>
      </c>
      <c r="G426" s="327">
        <f t="shared" si="169"/>
        <v>1.3496515494030544E-2</v>
      </c>
      <c r="H426" s="327">
        <f t="shared" si="170"/>
        <v>4.745742261297748E-3</v>
      </c>
      <c r="I426" s="327">
        <f t="shared" si="171"/>
        <v>5.1970357123942712E-4</v>
      </c>
      <c r="J426" s="327">
        <f t="shared" si="172"/>
        <v>1.894413512454904E-13</v>
      </c>
      <c r="K426" s="327">
        <f t="shared" si="173"/>
        <v>7.4603780626509469E-15</v>
      </c>
      <c r="L426" s="327">
        <f t="shared" si="174"/>
        <v>2.6617161122699518E-4</v>
      </c>
      <c r="M426" s="327">
        <f t="shared" si="175"/>
        <v>2.8471117477093582E-3</v>
      </c>
      <c r="N426" s="327">
        <f t="shared" si="176"/>
        <v>3.7013812927569265E-2</v>
      </c>
      <c r="O426" s="328">
        <f t="shared" si="177"/>
        <v>1.1834093292401827E-2</v>
      </c>
      <c r="P426" s="327">
        <f t="shared" si="178"/>
        <v>1.3143647512265711E-3</v>
      </c>
      <c r="Q426" s="327">
        <f t="shared" si="179"/>
        <v>1.3470991511150715E-2</v>
      </c>
      <c r="R426" s="327">
        <f t="shared" si="180"/>
        <v>2.4115989316276454E-2</v>
      </c>
      <c r="S426" s="327">
        <f t="shared" si="181"/>
        <v>1.7577275643850612E-2</v>
      </c>
      <c r="T426" s="327">
        <f t="shared" si="182"/>
        <v>0</v>
      </c>
      <c r="U426" s="328">
        <f t="shared" si="183"/>
        <v>1.4764769220576568E-6</v>
      </c>
      <c r="V426" s="327">
        <f t="shared" si="184"/>
        <v>1.6409161630059188E-4</v>
      </c>
      <c r="W426" s="327">
        <f t="shared" si="185"/>
        <v>1.7824039305403383E-3</v>
      </c>
      <c r="X426" s="327">
        <f t="shared" si="186"/>
        <v>1.7831288998919392E-2</v>
      </c>
      <c r="Y426" s="327">
        <f t="shared" si="187"/>
        <v>2.2453018257071508E-2</v>
      </c>
      <c r="Z426" s="327">
        <f t="shared" si="188"/>
        <v>3.4429081825770166E-96</v>
      </c>
      <c r="AA426" s="328">
        <f t="shared" si="189"/>
        <v>1.7814890909721992E-3</v>
      </c>
    </row>
    <row r="427" spans="1:27" ht="12" customHeight="1" x14ac:dyDescent="0.15">
      <c r="A427" s="269">
        <f t="shared" si="163"/>
        <v>412</v>
      </c>
      <c r="B427" s="322">
        <f t="shared" si="164"/>
        <v>380.30769230769232</v>
      </c>
      <c r="C427" s="323">
        <f t="shared" si="165"/>
        <v>1648</v>
      </c>
      <c r="D427" s="327">
        <f t="shared" si="166"/>
        <v>1.0372431694770739E-6</v>
      </c>
      <c r="E427" s="327">
        <f t="shared" si="167"/>
        <v>7.0431526931536738E-6</v>
      </c>
      <c r="F427" s="327">
        <f t="shared" si="168"/>
        <v>9.4251499523007043E-3</v>
      </c>
      <c r="G427" s="327">
        <f t="shared" si="169"/>
        <v>1.3451190919053845E-2</v>
      </c>
      <c r="H427" s="327">
        <f t="shared" si="170"/>
        <v>4.7328438155553858E-3</v>
      </c>
      <c r="I427" s="327">
        <f t="shared" si="171"/>
        <v>5.136545140306259E-4</v>
      </c>
      <c r="J427" s="327">
        <f t="shared" si="172"/>
        <v>1.7640859196889551E-13</v>
      </c>
      <c r="K427" s="327">
        <f t="shared" si="173"/>
        <v>6.8767009303704756E-15</v>
      </c>
      <c r="L427" s="327">
        <f t="shared" si="174"/>
        <v>2.6403944764052945E-4</v>
      </c>
      <c r="M427" s="327">
        <f t="shared" si="175"/>
        <v>2.8368209215624994E-3</v>
      </c>
      <c r="N427" s="327">
        <f t="shared" si="176"/>
        <v>3.7013785851604919E-2</v>
      </c>
      <c r="O427" s="328">
        <f t="shared" si="177"/>
        <v>1.1804580572918834E-2</v>
      </c>
      <c r="P427" s="327">
        <f t="shared" si="178"/>
        <v>1.2933184706499139E-3</v>
      </c>
      <c r="Q427" s="327">
        <f t="shared" si="179"/>
        <v>1.3372784481854385E-2</v>
      </c>
      <c r="R427" s="327">
        <f t="shared" si="180"/>
        <v>2.399681428923639E-2</v>
      </c>
      <c r="S427" s="327">
        <f t="shared" si="181"/>
        <v>1.7505637313164152E-2</v>
      </c>
      <c r="T427" s="327">
        <f t="shared" si="182"/>
        <v>0</v>
      </c>
      <c r="U427" s="328">
        <f t="shared" si="183"/>
        <v>1.4209856107338936E-6</v>
      </c>
      <c r="V427" s="327">
        <f t="shared" si="184"/>
        <v>1.6064875244610491E-4</v>
      </c>
      <c r="W427" s="327">
        <f t="shared" si="185"/>
        <v>1.76008780495142E-3</v>
      </c>
      <c r="X427" s="327">
        <f t="shared" si="186"/>
        <v>1.7743916905849977E-2</v>
      </c>
      <c r="Y427" s="327">
        <f t="shared" si="187"/>
        <v>2.2374943196846405E-2</v>
      </c>
      <c r="Z427" s="327">
        <f t="shared" si="188"/>
        <v>2.2247939492597761E-97</v>
      </c>
      <c r="AA427" s="328">
        <f t="shared" si="189"/>
        <v>1.762420284154631E-3</v>
      </c>
    </row>
    <row r="428" spans="1:27" ht="12" customHeight="1" x14ac:dyDescent="0.15">
      <c r="A428" s="269">
        <f t="shared" si="163"/>
        <v>413</v>
      </c>
      <c r="B428" s="322">
        <f t="shared" si="164"/>
        <v>381.23076923076923</v>
      </c>
      <c r="C428" s="323">
        <f t="shared" si="165"/>
        <v>1652</v>
      </c>
      <c r="D428" s="327">
        <f t="shared" si="166"/>
        <v>1.0031272353853288E-6</v>
      </c>
      <c r="E428" s="327">
        <f t="shared" si="167"/>
        <v>6.8553725636429337E-6</v>
      </c>
      <c r="F428" s="327">
        <f t="shared" si="168"/>
        <v>9.3779501484311245E-3</v>
      </c>
      <c r="G428" s="327">
        <f t="shared" si="169"/>
        <v>1.3406125819265136E-2</v>
      </c>
      <c r="H428" s="327">
        <f t="shared" si="170"/>
        <v>4.7200611961668946E-3</v>
      </c>
      <c r="I428" s="327">
        <f t="shared" si="171"/>
        <v>5.0768275419288411E-4</v>
      </c>
      <c r="J428" s="327">
        <f t="shared" si="172"/>
        <v>1.6427243110254777E-13</v>
      </c>
      <c r="K428" s="327">
        <f t="shared" si="173"/>
        <v>6.3386522033136664E-15</v>
      </c>
      <c r="L428" s="327">
        <f t="shared" si="174"/>
        <v>2.6192832020599521E-4</v>
      </c>
      <c r="M428" s="327">
        <f t="shared" si="175"/>
        <v>2.8265919987784907E-3</v>
      </c>
      <c r="N428" s="327">
        <f t="shared" si="176"/>
        <v>3.7013759538909598E-2</v>
      </c>
      <c r="O428" s="328">
        <f t="shared" si="177"/>
        <v>1.1775211976927233E-2</v>
      </c>
      <c r="P428" s="327">
        <f t="shared" si="178"/>
        <v>1.2726091938811404E-3</v>
      </c>
      <c r="Q428" s="327">
        <f t="shared" si="179"/>
        <v>1.3275364476324219E-2</v>
      </c>
      <c r="R428" s="327">
        <f t="shared" si="180"/>
        <v>2.3878421644542902E-2</v>
      </c>
      <c r="S428" s="327">
        <f t="shared" si="181"/>
        <v>1.7434458399568992E-2</v>
      </c>
      <c r="T428" s="327">
        <f t="shared" si="182"/>
        <v>0</v>
      </c>
      <c r="U428" s="328">
        <f t="shared" si="183"/>
        <v>1.3675637359211734E-6</v>
      </c>
      <c r="V428" s="327">
        <f t="shared" si="184"/>
        <v>1.5727812452778493E-4</v>
      </c>
      <c r="W428" s="327">
        <f t="shared" si="185"/>
        <v>1.7380607399113681E-3</v>
      </c>
      <c r="X428" s="327">
        <f t="shared" si="186"/>
        <v>1.7657120831833573E-2</v>
      </c>
      <c r="Y428" s="327">
        <f t="shared" si="187"/>
        <v>2.2297321741562983E-2</v>
      </c>
      <c r="Z428" s="327">
        <f t="shared" si="188"/>
        <v>1.3897077773734845E-98</v>
      </c>
      <c r="AA428" s="328">
        <f t="shared" si="189"/>
        <v>1.7435753691703582E-3</v>
      </c>
    </row>
    <row r="429" spans="1:27" ht="12" customHeight="1" x14ac:dyDescent="0.15">
      <c r="A429" s="269">
        <f t="shared" si="163"/>
        <v>414</v>
      </c>
      <c r="B429" s="322">
        <f t="shared" si="164"/>
        <v>382.15384615384613</v>
      </c>
      <c r="C429" s="323">
        <f t="shared" si="165"/>
        <v>1656</v>
      </c>
      <c r="D429" s="327">
        <f t="shared" si="166"/>
        <v>9.7013340746232222E-7</v>
      </c>
      <c r="E429" s="327">
        <f t="shared" si="167"/>
        <v>6.6726257390779547E-6</v>
      </c>
      <c r="F429" s="327">
        <f t="shared" si="168"/>
        <v>9.3310706349272188E-3</v>
      </c>
      <c r="G429" s="327">
        <f t="shared" si="169"/>
        <v>1.3361318100047656E-2</v>
      </c>
      <c r="H429" s="327">
        <f t="shared" si="170"/>
        <v>4.7073931469319916E-3</v>
      </c>
      <c r="I429" s="327">
        <f t="shared" si="171"/>
        <v>5.0178720923654829E-4</v>
      </c>
      <c r="J429" s="327">
        <f t="shared" si="172"/>
        <v>1.5297118648903106E-13</v>
      </c>
      <c r="K429" s="327">
        <f t="shared" si="173"/>
        <v>5.8426678784511398E-15</v>
      </c>
      <c r="L429" s="327">
        <f t="shared" si="174"/>
        <v>2.5983798091522292E-4</v>
      </c>
      <c r="M429" s="327">
        <f t="shared" si="175"/>
        <v>2.8164244591987152E-3</v>
      </c>
      <c r="N429" s="327">
        <f t="shared" si="176"/>
        <v>3.7013733967966277E-2</v>
      </c>
      <c r="O429" s="328">
        <f t="shared" si="177"/>
        <v>1.1745986457654151E-2</v>
      </c>
      <c r="P429" s="327">
        <f t="shared" si="178"/>
        <v>1.2522315246429312E-3</v>
      </c>
      <c r="Q429" s="327">
        <f t="shared" si="179"/>
        <v>1.3178724499602307E-2</v>
      </c>
      <c r="R429" s="327">
        <f t="shared" si="180"/>
        <v>2.3760804888600329E-2</v>
      </c>
      <c r="S429" s="327">
        <f t="shared" si="181"/>
        <v>1.73637348968021E-2</v>
      </c>
      <c r="T429" s="327">
        <f t="shared" si="182"/>
        <v>0</v>
      </c>
      <c r="U429" s="328">
        <f t="shared" si="183"/>
        <v>1.316134775164457E-6</v>
      </c>
      <c r="V429" s="327">
        <f t="shared" si="184"/>
        <v>1.5397821693807456E-4</v>
      </c>
      <c r="W429" s="327">
        <f t="shared" si="185"/>
        <v>1.716318847367036E-3</v>
      </c>
      <c r="X429" s="327">
        <f t="shared" si="186"/>
        <v>1.757089593906902E-2</v>
      </c>
      <c r="Y429" s="327">
        <f t="shared" si="187"/>
        <v>2.2220150209604803E-2</v>
      </c>
      <c r="Z429" s="327">
        <f t="shared" si="188"/>
        <v>8.3877237471322197E-100</v>
      </c>
      <c r="AA429" s="328">
        <f t="shared" si="189"/>
        <v>1.7249514657565745E-3</v>
      </c>
    </row>
    <row r="430" spans="1:27" ht="12" customHeight="1" x14ac:dyDescent="0.15">
      <c r="A430" s="269">
        <f t="shared" si="163"/>
        <v>415</v>
      </c>
      <c r="B430" s="322">
        <f t="shared" si="164"/>
        <v>383.07692307692309</v>
      </c>
      <c r="C430" s="323">
        <f t="shared" si="165"/>
        <v>1660</v>
      </c>
      <c r="D430" s="327">
        <f t="shared" si="166"/>
        <v>9.3822477854758654E-7</v>
      </c>
      <c r="E430" s="327">
        <f t="shared" si="167"/>
        <v>6.4947765274222139E-6</v>
      </c>
      <c r="F430" s="327">
        <f t="shared" si="168"/>
        <v>9.2845086342360217E-3</v>
      </c>
      <c r="G430" s="327">
        <f t="shared" si="169"/>
        <v>1.3316765688574438E-2</v>
      </c>
      <c r="H430" s="327">
        <f t="shared" si="170"/>
        <v>4.6948384281475224E-3</v>
      </c>
      <c r="I430" s="327">
        <f t="shared" si="171"/>
        <v>4.9596681324937109E-4</v>
      </c>
      <c r="J430" s="327">
        <f t="shared" si="172"/>
        <v>1.4244741944102705E-13</v>
      </c>
      <c r="K430" s="327">
        <f t="shared" si="173"/>
        <v>5.3854620967850922E-15</v>
      </c>
      <c r="L430" s="327">
        <f t="shared" si="174"/>
        <v>2.5776818517297961E-4</v>
      </c>
      <c r="M430" s="327">
        <f t="shared" si="175"/>
        <v>2.8063177882702711E-3</v>
      </c>
      <c r="N430" s="327">
        <f t="shared" si="176"/>
        <v>3.7013709117864592E-2</v>
      </c>
      <c r="O430" s="328">
        <f t="shared" si="177"/>
        <v>1.1716902978409438E-2</v>
      </c>
      <c r="P430" s="327">
        <f t="shared" si="178"/>
        <v>1.2321801530659198E-3</v>
      </c>
      <c r="Q430" s="327">
        <f t="shared" si="179"/>
        <v>1.3082857626230746E-2</v>
      </c>
      <c r="R430" s="327">
        <f t="shared" si="180"/>
        <v>2.3643957593489029E-2</v>
      </c>
      <c r="S430" s="327">
        <f t="shared" si="181"/>
        <v>1.7293462842665024E-2</v>
      </c>
      <c r="T430" s="327">
        <f t="shared" si="182"/>
        <v>0</v>
      </c>
      <c r="U430" s="328">
        <f t="shared" si="183"/>
        <v>1.2666250088777531E-6</v>
      </c>
      <c r="V430" s="327">
        <f t="shared" si="184"/>
        <v>1.5074754586891199E-4</v>
      </c>
      <c r="W430" s="327">
        <f t="shared" si="185"/>
        <v>1.6948582938020337E-3</v>
      </c>
      <c r="X430" s="327">
        <f t="shared" si="186"/>
        <v>1.7485237439504919E-2</v>
      </c>
      <c r="Y430" s="327">
        <f t="shared" si="187"/>
        <v>2.2143424957640503E-2</v>
      </c>
      <c r="Z430" s="327">
        <f t="shared" si="188"/>
        <v>4.8895289836200129E-101</v>
      </c>
      <c r="AA430" s="328">
        <f t="shared" si="189"/>
        <v>1.7065457341813861E-3</v>
      </c>
    </row>
    <row r="431" spans="1:27" ht="12" customHeight="1" x14ac:dyDescent="0.15">
      <c r="A431" s="269">
        <f t="shared" si="163"/>
        <v>416</v>
      </c>
      <c r="B431" s="322">
        <f t="shared" si="164"/>
        <v>384</v>
      </c>
      <c r="C431" s="323">
        <f t="shared" si="165"/>
        <v>1664</v>
      </c>
      <c r="D431" s="327">
        <f t="shared" si="166"/>
        <v>9.0736565539297587E-7</v>
      </c>
      <c r="E431" s="327">
        <f t="shared" si="167"/>
        <v>6.3216929175437448E-6</v>
      </c>
      <c r="F431" s="327">
        <f t="shared" si="168"/>
        <v>9.2382613983329476E-3</v>
      </c>
      <c r="G431" s="327">
        <f t="shared" si="169"/>
        <v>1.3272466533531134E-2</v>
      </c>
      <c r="H431" s="327">
        <f t="shared" si="170"/>
        <v>4.6823958163520795E-3</v>
      </c>
      <c r="I431" s="327">
        <f t="shared" si="171"/>
        <v>4.9022051661884447E-4</v>
      </c>
      <c r="J431" s="327">
        <f t="shared" si="172"/>
        <v>1.3264764280862158E-13</v>
      </c>
      <c r="K431" s="327">
        <f t="shared" si="173"/>
        <v>4.9640054554050185E-15</v>
      </c>
      <c r="L431" s="327">
        <f t="shared" si="174"/>
        <v>2.5571869174390027E-4</v>
      </c>
      <c r="M431" s="327">
        <f t="shared" si="175"/>
        <v>2.7962714769723417E-3</v>
      </c>
      <c r="N431" s="327">
        <f t="shared" si="176"/>
        <v>3.7013684968283597E-2</v>
      </c>
      <c r="O431" s="328">
        <f t="shared" si="177"/>
        <v>1.1687960512464611E-2</v>
      </c>
      <c r="P431" s="327">
        <f t="shared" si="178"/>
        <v>1.2124498543050826E-3</v>
      </c>
      <c r="Q431" s="327">
        <f t="shared" si="179"/>
        <v>1.2987756999474312E-2</v>
      </c>
      <c r="R431" s="327">
        <f t="shared" si="180"/>
        <v>2.352787339617779E-2</v>
      </c>
      <c r="S431" s="327">
        <f t="shared" si="181"/>
        <v>1.7223638318439798E-2</v>
      </c>
      <c r="T431" s="327">
        <f t="shared" si="182"/>
        <v>0</v>
      </c>
      <c r="U431" s="328">
        <f t="shared" si="183"/>
        <v>1.2189634196468901E-6</v>
      </c>
      <c r="V431" s="327">
        <f t="shared" si="184"/>
        <v>1.4758465864453442E-4</v>
      </c>
      <c r="W431" s="327">
        <f t="shared" si="185"/>
        <v>1.6736752994351892E-3</v>
      </c>
      <c r="X431" s="327">
        <f t="shared" si="186"/>
        <v>1.7400140594230895E-2</v>
      </c>
      <c r="Y431" s="327">
        <f t="shared" si="187"/>
        <v>2.2067142380138977E-2</v>
      </c>
      <c r="Z431" s="327">
        <f t="shared" si="188"/>
        <v>2.7517264595489973E-102</v>
      </c>
      <c r="AA431" s="328">
        <f t="shared" si="189"/>
        <v>1.6883553746207536E-3</v>
      </c>
    </row>
    <row r="432" spans="1:27" ht="12" customHeight="1" x14ac:dyDescent="0.15">
      <c r="A432" s="269">
        <f t="shared" si="163"/>
        <v>417</v>
      </c>
      <c r="B432" s="322">
        <f t="shared" si="164"/>
        <v>384.92307692307691</v>
      </c>
      <c r="C432" s="323">
        <f t="shared" si="165"/>
        <v>1668</v>
      </c>
      <c r="D432" s="327">
        <f t="shared" si="166"/>
        <v>8.7752151873589258E-7</v>
      </c>
      <c r="E432" s="327">
        <f t="shared" si="167"/>
        <v>6.1532464786873859E-6</v>
      </c>
      <c r="F432" s="327">
        <f t="shared" si="168"/>
        <v>9.1923262083494217E-3</v>
      </c>
      <c r="G432" s="327">
        <f t="shared" si="169"/>
        <v>1.3228418604843153E-2</v>
      </c>
      <c r="H432" s="327">
        <f t="shared" si="170"/>
        <v>4.6700641040751277E-3</v>
      </c>
      <c r="I432" s="327">
        <f t="shared" si="171"/>
        <v>4.845472857610833E-4</v>
      </c>
      <c r="J432" s="327">
        <f t="shared" si="172"/>
        <v>1.2352204913033231E-13</v>
      </c>
      <c r="K432" s="327">
        <f t="shared" si="173"/>
        <v>4.5755050090957676E-15</v>
      </c>
      <c r="L432" s="327">
        <f t="shared" si="174"/>
        <v>2.5368926269908609E-4</v>
      </c>
      <c r="M432" s="327">
        <f t="shared" si="175"/>
        <v>2.7862850217436797E-3</v>
      </c>
      <c r="N432" s="327">
        <f t="shared" si="176"/>
        <v>3.7013661499475325E-2</v>
      </c>
      <c r="O432" s="328">
        <f t="shared" si="177"/>
        <v>1.1659158042933875E-2</v>
      </c>
      <c r="P432" s="327">
        <f t="shared" si="178"/>
        <v>1.1930354871782871E-3</v>
      </c>
      <c r="Q432" s="327">
        <f t="shared" si="179"/>
        <v>1.2893415830554197E-2</v>
      </c>
      <c r="R432" s="327">
        <f t="shared" si="180"/>
        <v>2.3412545997748335E-2</v>
      </c>
      <c r="S432" s="327">
        <f t="shared" si="181"/>
        <v>1.7154257448314315E-2</v>
      </c>
      <c r="T432" s="327">
        <f t="shared" si="182"/>
        <v>0</v>
      </c>
      <c r="U432" s="328">
        <f t="shared" si="183"/>
        <v>1.1730815931976224E-6</v>
      </c>
      <c r="V432" s="327">
        <f t="shared" si="184"/>
        <v>1.4448813306827809E-4</v>
      </c>
      <c r="W432" s="327">
        <f t="shared" si="185"/>
        <v>1.6527661374313983E-3</v>
      </c>
      <c r="X432" s="327">
        <f t="shared" si="186"/>
        <v>1.7315600712877854E-2</v>
      </c>
      <c r="Y432" s="327">
        <f t="shared" si="187"/>
        <v>2.1991298908891885E-2</v>
      </c>
      <c r="Z432" s="327">
        <f t="shared" si="188"/>
        <v>1.4944092981362915E-103</v>
      </c>
      <c r="AA432" s="328">
        <f t="shared" si="189"/>
        <v>1.6703776265460935E-3</v>
      </c>
    </row>
    <row r="433" spans="1:27" ht="12" customHeight="1" x14ac:dyDescent="0.15">
      <c r="A433" s="269">
        <f t="shared" si="163"/>
        <v>418</v>
      </c>
      <c r="B433" s="322">
        <f t="shared" si="164"/>
        <v>385.84615384615387</v>
      </c>
      <c r="C433" s="323">
        <f t="shared" si="165"/>
        <v>1672</v>
      </c>
      <c r="D433" s="327">
        <f t="shared" si="166"/>
        <v>8.4865898468577397E-7</v>
      </c>
      <c r="E433" s="327">
        <f t="shared" si="167"/>
        <v>5.9893122627132934E-6</v>
      </c>
      <c r="F433" s="327">
        <f t="shared" si="168"/>
        <v>9.1467003742040642E-3</v>
      </c>
      <c r="G433" s="327">
        <f t="shared" si="169"/>
        <v>1.3184619893406753E-2</v>
      </c>
      <c r="H433" s="327">
        <f t="shared" si="170"/>
        <v>4.6578420995905942E-3</v>
      </c>
      <c r="I433" s="327">
        <f t="shared" si="171"/>
        <v>4.7894610285359462E-4</v>
      </c>
      <c r="J433" s="327">
        <f t="shared" si="172"/>
        <v>1.1502425748619849E-13</v>
      </c>
      <c r="K433" s="327">
        <f t="shared" si="173"/>
        <v>4.2173858300000367E-15</v>
      </c>
      <c r="L433" s="327">
        <f t="shared" si="174"/>
        <v>2.5167966336425707E-4</v>
      </c>
      <c r="M433" s="327">
        <f t="shared" si="175"/>
        <v>2.7763579244112131E-3</v>
      </c>
      <c r="N433" s="327">
        <f t="shared" si="176"/>
        <v>3.7013638692248475E-2</v>
      </c>
      <c r="O433" s="328">
        <f t="shared" si="177"/>
        <v>1.163049456265651E-2</v>
      </c>
      <c r="P433" s="327">
        <f t="shared" si="178"/>
        <v>1.1739319928266382E-3</v>
      </c>
      <c r="Q433" s="327">
        <f t="shared" si="179"/>
        <v>1.2799827397890503E-2</v>
      </c>
      <c r="R433" s="327">
        <f t="shared" si="180"/>
        <v>2.3297969162629051E-2</v>
      </c>
      <c r="S433" s="327">
        <f t="shared" si="181"/>
        <v>1.7085316398816316E-2</v>
      </c>
      <c r="T433" s="327">
        <f t="shared" si="182"/>
        <v>0</v>
      </c>
      <c r="U433" s="328">
        <f t="shared" si="183"/>
        <v>1.1289136245817843E-6</v>
      </c>
      <c r="V433" s="327">
        <f t="shared" si="184"/>
        <v>1.4145657678308815E-4</v>
      </c>
      <c r="W433" s="327">
        <f t="shared" si="185"/>
        <v>1.632127133124692E-3</v>
      </c>
      <c r="X433" s="327">
        <f t="shared" si="186"/>
        <v>1.7231613153027903E-2</v>
      </c>
      <c r="Y433" s="327">
        <f t="shared" si="187"/>
        <v>2.1915891012543525E-2</v>
      </c>
      <c r="Z433" s="327">
        <f t="shared" si="188"/>
        <v>7.8283155359814083E-105</v>
      </c>
      <c r="AA433" s="328">
        <f t="shared" si="189"/>
        <v>1.6526097681230922E-3</v>
      </c>
    </row>
    <row r="434" spans="1:27" ht="12" customHeight="1" x14ac:dyDescent="0.15">
      <c r="A434" s="269">
        <f t="shared" si="163"/>
        <v>419</v>
      </c>
      <c r="B434" s="322">
        <f t="shared" si="164"/>
        <v>386.76923076923077</v>
      </c>
      <c r="C434" s="323">
        <f t="shared" si="165"/>
        <v>1676</v>
      </c>
      <c r="D434" s="327">
        <f t="shared" si="166"/>
        <v>8.2074576738061323E-7</v>
      </c>
      <c r="E434" s="327">
        <f t="shared" si="167"/>
        <v>5.8297687090235826E-6</v>
      </c>
      <c r="F434" s="327">
        <f t="shared" si="168"/>
        <v>9.1013812342413125E-3</v>
      </c>
      <c r="G434" s="327">
        <f t="shared" si="169"/>
        <v>1.314106841082425E-2</v>
      </c>
      <c r="H434" s="327">
        <f t="shared" si="170"/>
        <v>4.6457286266747564E-3</v>
      </c>
      <c r="I434" s="327">
        <f t="shared" si="171"/>
        <v>4.7341596557293197E-4</v>
      </c>
      <c r="J434" s="327">
        <f t="shared" si="172"/>
        <v>1.0711107776629662E-13</v>
      </c>
      <c r="K434" s="327">
        <f t="shared" si="173"/>
        <v>3.8872740040605091E-15</v>
      </c>
      <c r="L434" s="327">
        <f t="shared" si="174"/>
        <v>2.4968966226879274E-4</v>
      </c>
      <c r="M434" s="327">
        <f t="shared" si="175"/>
        <v>2.7664896921197656E-3</v>
      </c>
      <c r="N434" s="327">
        <f t="shared" si="176"/>
        <v>3.7013616527952771E-2</v>
      </c>
      <c r="O434" s="328">
        <f t="shared" si="177"/>
        <v>1.1601969074081163E-2</v>
      </c>
      <c r="P434" s="327">
        <f t="shared" si="178"/>
        <v>1.1551343933962769E-3</v>
      </c>
      <c r="Q434" s="327">
        <f t="shared" si="179"/>
        <v>1.270698504635465E-2</v>
      </c>
      <c r="R434" s="327">
        <f t="shared" si="180"/>
        <v>2.318413671784092E-2</v>
      </c>
      <c r="S434" s="327">
        <f t="shared" si="181"/>
        <v>1.7016811378256266E-2</v>
      </c>
      <c r="T434" s="327">
        <f t="shared" si="182"/>
        <v>0</v>
      </c>
      <c r="U434" s="328">
        <f t="shared" si="183"/>
        <v>1.0863960266949135E-6</v>
      </c>
      <c r="V434" s="327">
        <f t="shared" si="184"/>
        <v>1.3848862664544206E-4</v>
      </c>
      <c r="W434" s="327">
        <f t="shared" si="185"/>
        <v>1.6117546632533528E-3</v>
      </c>
      <c r="X434" s="327">
        <f t="shared" si="186"/>
        <v>1.7148173319630811E-2</v>
      </c>
      <c r="Y434" s="327">
        <f t="shared" si="187"/>
        <v>2.1840915196127211E-2</v>
      </c>
      <c r="Z434" s="327">
        <f t="shared" si="188"/>
        <v>3.953735075419885E-106</v>
      </c>
      <c r="AA434" s="328">
        <f t="shared" si="189"/>
        <v>1.6350491156194025E-3</v>
      </c>
    </row>
    <row r="435" spans="1:27" ht="12" customHeight="1" x14ac:dyDescent="0.15">
      <c r="A435" s="269">
        <f t="shared" si="163"/>
        <v>420</v>
      </c>
      <c r="B435" s="322">
        <f t="shared" si="164"/>
        <v>387.69230769230768</v>
      </c>
      <c r="C435" s="323">
        <f t="shared" si="165"/>
        <v>1680</v>
      </c>
      <c r="D435" s="327">
        <f t="shared" si="166"/>
        <v>7.9375064287171689E-7</v>
      </c>
      <c r="E435" s="327">
        <f t="shared" si="167"/>
        <v>5.6744975521042402E-6</v>
      </c>
      <c r="F435" s="327">
        <f t="shared" si="168"/>
        <v>9.0563661548733743E-3</v>
      </c>
      <c r="G435" s="327">
        <f t="shared" si="169"/>
        <v>1.3097762189143134E-2</v>
      </c>
      <c r="H435" s="327">
        <f t="shared" si="170"/>
        <v>4.6337225243684279E-3</v>
      </c>
      <c r="I435" s="327">
        <f t="shared" si="171"/>
        <v>4.6795588683778977E-4</v>
      </c>
      <c r="J435" s="327">
        <f t="shared" si="172"/>
        <v>9.9742291156578297E-14</v>
      </c>
      <c r="K435" s="327">
        <f t="shared" si="173"/>
        <v>3.5829809524021622E-15</v>
      </c>
      <c r="L435" s="327">
        <f t="shared" si="174"/>
        <v>2.4771903109555016E-4</v>
      </c>
      <c r="M435" s="327">
        <f t="shared" si="175"/>
        <v>2.7566798372628343E-3</v>
      </c>
      <c r="N435" s="327">
        <f t="shared" si="176"/>
        <v>3.7013594988463801E-2</v>
      </c>
      <c r="O435" s="328">
        <f t="shared" si="177"/>
        <v>1.1573580589151705E-2</v>
      </c>
      <c r="P435" s="327">
        <f t="shared" si="178"/>
        <v>1.1366377907412854E-3</v>
      </c>
      <c r="Q435" s="327">
        <f t="shared" si="179"/>
        <v>1.261488218653093E-2</v>
      </c>
      <c r="R435" s="327">
        <f t="shared" si="180"/>
        <v>2.3071042552252785E-2</v>
      </c>
      <c r="S435" s="327">
        <f t="shared" si="181"/>
        <v>1.69487386361785E-2</v>
      </c>
      <c r="T435" s="327">
        <f t="shared" si="182"/>
        <v>0</v>
      </c>
      <c r="U435" s="328">
        <f t="shared" si="183"/>
        <v>1.0454676431237431E-6</v>
      </c>
      <c r="V435" s="327">
        <f t="shared" si="184"/>
        <v>1.3558294811241042E-4</v>
      </c>
      <c r="W435" s="327">
        <f t="shared" si="185"/>
        <v>1.5916451552067466E-3</v>
      </c>
      <c r="X435" s="327">
        <f t="shared" si="186"/>
        <v>1.706527666443014E-2</v>
      </c>
      <c r="Y435" s="327">
        <f t="shared" si="187"/>
        <v>2.1766368000608979E-2</v>
      </c>
      <c r="Z435" s="327">
        <f t="shared" si="188"/>
        <v>1.9243803334502708E-107</v>
      </c>
      <c r="AA435" s="328">
        <f t="shared" si="189"/>
        <v>1.6176930228224418E-3</v>
      </c>
    </row>
    <row r="436" spans="1:27" ht="12" customHeight="1" x14ac:dyDescent="0.15">
      <c r="A436" s="269">
        <f t="shared" si="163"/>
        <v>421</v>
      </c>
      <c r="B436" s="322">
        <f t="shared" si="164"/>
        <v>388.61538461538464</v>
      </c>
      <c r="C436" s="323">
        <f t="shared" si="165"/>
        <v>1684</v>
      </c>
      <c r="D436" s="327">
        <f t="shared" si="166"/>
        <v>7.6764341419635675E-7</v>
      </c>
      <c r="E436" s="327">
        <f t="shared" si="167"/>
        <v>5.5233837316088878E-6</v>
      </c>
      <c r="F436" s="327">
        <f t="shared" si="168"/>
        <v>9.011652530229064E-3</v>
      </c>
      <c r="G436" s="327">
        <f t="shared" si="169"/>
        <v>1.3054699280599154E-2</v>
      </c>
      <c r="H436" s="327">
        <f t="shared" si="170"/>
        <v>4.6218226467432651E-3</v>
      </c>
      <c r="I436" s="327">
        <f t="shared" si="171"/>
        <v>4.6256489455620553E-4</v>
      </c>
      <c r="J436" s="327">
        <f t="shared" si="172"/>
        <v>9.2880445726352204E-14</v>
      </c>
      <c r="K436" s="327">
        <f t="shared" si="173"/>
        <v>3.3024889745108758E-15</v>
      </c>
      <c r="L436" s="327">
        <f t="shared" si="174"/>
        <v>2.4576754463190298E-4</v>
      </c>
      <c r="M436" s="327">
        <f t="shared" si="175"/>
        <v>2.7469278774144581E-3</v>
      </c>
      <c r="N436" s="327">
        <f t="shared" si="176"/>
        <v>3.7013574056167987E-2</v>
      </c>
      <c r="O436" s="328">
        <f t="shared" si="177"/>
        <v>1.1545328129194708E-2</v>
      </c>
      <c r="P436" s="327">
        <f t="shared" si="178"/>
        <v>1.1184373651473634E-3</v>
      </c>
      <c r="Q436" s="327">
        <f t="shared" si="179"/>
        <v>1.2523512293987875E-2</v>
      </c>
      <c r="R436" s="327">
        <f t="shared" si="180"/>
        <v>2.2958680615847049E-2</v>
      </c>
      <c r="S436" s="327">
        <f t="shared" si="181"/>
        <v>1.6881094462821298E-2</v>
      </c>
      <c r="T436" s="327">
        <f t="shared" si="182"/>
        <v>0</v>
      </c>
      <c r="U436" s="328">
        <f t="shared" si="183"/>
        <v>1.0060695624369842E-6</v>
      </c>
      <c r="V436" s="327">
        <f t="shared" si="184"/>
        <v>1.3273823464157798E-4</v>
      </c>
      <c r="W436" s="327">
        <f t="shared" si="185"/>
        <v>1.5717950862838841E-3</v>
      </c>
      <c r="X436" s="327">
        <f t="shared" si="186"/>
        <v>1.6982918685396475E-2</v>
      </c>
      <c r="Y436" s="327">
        <f t="shared" si="187"/>
        <v>2.1692246002437816E-2</v>
      </c>
      <c r="Z436" s="327">
        <f t="shared" si="188"/>
        <v>9.0223473595473313E-109</v>
      </c>
      <c r="AA436" s="328">
        <f t="shared" si="189"/>
        <v>1.6005388804676279E-3</v>
      </c>
    </row>
    <row r="437" spans="1:27" ht="12" customHeight="1" x14ac:dyDescent="0.15">
      <c r="A437" s="269">
        <f t="shared" si="163"/>
        <v>422</v>
      </c>
      <c r="B437" s="322">
        <f t="shared" si="164"/>
        <v>389.53846153846155</v>
      </c>
      <c r="C437" s="323">
        <f t="shared" si="165"/>
        <v>1688</v>
      </c>
      <c r="D437" s="327">
        <f t="shared" si="166"/>
        <v>7.4239487759920733E-7</v>
      </c>
      <c r="E437" s="327">
        <f t="shared" si="167"/>
        <v>5.376315304913842E-6</v>
      </c>
      <c r="F437" s="327">
        <f t="shared" si="168"/>
        <v>8.9672377818066362E-3</v>
      </c>
      <c r="G437" s="327">
        <f t="shared" si="169"/>
        <v>1.3011877757362981E-2</v>
      </c>
      <c r="H437" s="327">
        <f t="shared" si="170"/>
        <v>4.6100278626722366E-3</v>
      </c>
      <c r="I437" s="327">
        <f t="shared" si="171"/>
        <v>4.5724203137686992E-4</v>
      </c>
      <c r="J437" s="327">
        <f t="shared" si="172"/>
        <v>8.6490666078477447E-14</v>
      </c>
      <c r="K437" s="327">
        <f t="shared" si="173"/>
        <v>3.0439379180807455E-15</v>
      </c>
      <c r="L437" s="327">
        <f t="shared" si="174"/>
        <v>2.4383498072089171E-4</v>
      </c>
      <c r="M437" s="327">
        <f t="shared" si="175"/>
        <v>2.7372333352621101E-3</v>
      </c>
      <c r="N437" s="327">
        <f t="shared" si="176"/>
        <v>3.7013553713948412E-2</v>
      </c>
      <c r="O437" s="328">
        <f t="shared" si="177"/>
        <v>1.1517210724808503E-2</v>
      </c>
      <c r="P437" s="327">
        <f t="shared" si="178"/>
        <v>1.1005283740759414E-3</v>
      </c>
      <c r="Q437" s="327">
        <f t="shared" si="179"/>
        <v>1.24328689085579E-2</v>
      </c>
      <c r="R437" s="327">
        <f t="shared" si="180"/>
        <v>2.284704491899614E-2</v>
      </c>
      <c r="S437" s="327">
        <f t="shared" si="181"/>
        <v>1.6813875188584678E-2</v>
      </c>
      <c r="T437" s="327">
        <f t="shared" si="182"/>
        <v>0</v>
      </c>
      <c r="U437" s="328">
        <f t="shared" si="183"/>
        <v>9.6814503769415694E-7</v>
      </c>
      <c r="V437" s="327">
        <f t="shared" si="184"/>
        <v>1.2995320710355493E-4</v>
      </c>
      <c r="W437" s="327">
        <f t="shared" si="185"/>
        <v>1.5522009829632695E-3</v>
      </c>
      <c r="X437" s="327">
        <f t="shared" si="186"/>
        <v>1.6901094926169757E-2</v>
      </c>
      <c r="Y437" s="327">
        <f t="shared" si="187"/>
        <v>2.1618545813102304E-2</v>
      </c>
      <c r="Z437" s="327">
        <f t="shared" si="188"/>
        <v>4.0727916352092488E-110</v>
      </c>
      <c r="AA437" s="328">
        <f t="shared" si="189"/>
        <v>1.5835841156749408E-3</v>
      </c>
    </row>
    <row r="438" spans="1:27" ht="12" customHeight="1" x14ac:dyDescent="0.15">
      <c r="A438" s="269">
        <f t="shared" si="163"/>
        <v>423</v>
      </c>
      <c r="B438" s="322">
        <f t="shared" si="164"/>
        <v>390.46153846153845</v>
      </c>
      <c r="C438" s="323">
        <f t="shared" si="165"/>
        <v>1692</v>
      </c>
      <c r="D438" s="327">
        <f t="shared" si="166"/>
        <v>7.1797678986478149E-7</v>
      </c>
      <c r="E438" s="327">
        <f t="shared" si="167"/>
        <v>5.2331833620765647E-6</v>
      </c>
      <c r="F438" s="327">
        <f t="shared" si="168"/>
        <v>8.923119358132281E-3</v>
      </c>
      <c r="G438" s="327">
        <f t="shared" si="169"/>
        <v>1.2969295711291023E-2</v>
      </c>
      <c r="H438" s="327">
        <f t="shared" si="170"/>
        <v>4.5983370556040293E-3</v>
      </c>
      <c r="I438" s="327">
        <f t="shared" si="171"/>
        <v>4.51986354446543E-4</v>
      </c>
      <c r="J438" s="327">
        <f t="shared" si="172"/>
        <v>8.0540476094811608E-14</v>
      </c>
      <c r="K438" s="327">
        <f t="shared" si="173"/>
        <v>2.8056128878133858E-15</v>
      </c>
      <c r="L438" s="327">
        <f t="shared" si="174"/>
        <v>2.4192112021403922E-4</v>
      </c>
      <c r="M438" s="327">
        <f t="shared" si="175"/>
        <v>2.7275957385406277E-3</v>
      </c>
      <c r="N438" s="327">
        <f t="shared" si="176"/>
        <v>3.7013533945170637E-2</v>
      </c>
      <c r="O438" s="328">
        <f t="shared" si="177"/>
        <v>1.1489227415753929E-2</v>
      </c>
      <c r="P438" s="327">
        <f t="shared" si="178"/>
        <v>1.0829061509284022E-3</v>
      </c>
      <c r="Q438" s="327">
        <f t="shared" si="179"/>
        <v>1.2342945633626649E-2</v>
      </c>
      <c r="R438" s="327">
        <f t="shared" si="180"/>
        <v>2.2736129531748084E-2</v>
      </c>
      <c r="S438" s="327">
        <f t="shared" si="181"/>
        <v>1.6747077183506723E-2</v>
      </c>
      <c r="T438" s="327">
        <f t="shared" si="182"/>
        <v>0</v>
      </c>
      <c r="U438" s="328">
        <f t="shared" si="183"/>
        <v>9.3163940706464388E-7</v>
      </c>
      <c r="V438" s="327">
        <f t="shared" si="184"/>
        <v>1.2722661320681462E-4</v>
      </c>
      <c r="W438" s="327">
        <f t="shared" si="185"/>
        <v>1.5328594201841803E-3</v>
      </c>
      <c r="X438" s="327">
        <f t="shared" si="186"/>
        <v>1.681980097550817E-2</v>
      </c>
      <c r="Y438" s="327">
        <f t="shared" si="187"/>
        <v>2.1545264078694368E-2</v>
      </c>
      <c r="Z438" s="327">
        <f t="shared" si="188"/>
        <v>1.7693147162584991E-111</v>
      </c>
      <c r="AA438" s="328">
        <f t="shared" si="189"/>
        <v>1.5668261913959203E-3</v>
      </c>
    </row>
    <row r="439" spans="1:27" ht="12" customHeight="1" x14ac:dyDescent="0.15">
      <c r="A439" s="269">
        <f t="shared" si="163"/>
        <v>424</v>
      </c>
      <c r="B439" s="322">
        <f t="shared" si="164"/>
        <v>391.38461538461536</v>
      </c>
      <c r="C439" s="323">
        <f t="shared" si="165"/>
        <v>1696</v>
      </c>
      <c r="D439" s="327">
        <f t="shared" si="166"/>
        <v>6.943618367243539E-7</v>
      </c>
      <c r="E439" s="327">
        <f t="shared" si="167"/>
        <v>5.0938819431303752E-6</v>
      </c>
      <c r="F439" s="327">
        <f t="shared" si="168"/>
        <v>8.879294734423171E-3</v>
      </c>
      <c r="G439" s="327">
        <f t="shared" si="169"/>
        <v>1.2926951253679363E-2</v>
      </c>
      <c r="H439" s="327">
        <f t="shared" si="170"/>
        <v>4.5867491233414328E-3</v>
      </c>
      <c r="I439" s="327">
        <f t="shared" si="171"/>
        <v>4.4679693516935792E-4</v>
      </c>
      <c r="J439" s="327">
        <f t="shared" si="172"/>
        <v>7.4999633876019829E-14</v>
      </c>
      <c r="K439" s="327">
        <f t="shared" si="173"/>
        <v>2.5859329122613247E-15</v>
      </c>
      <c r="L439" s="327">
        <f t="shared" si="174"/>
        <v>2.4002574692483236E-4</v>
      </c>
      <c r="M439" s="327">
        <f t="shared" si="175"/>
        <v>2.7180146199671192E-3</v>
      </c>
      <c r="N439" s="327">
        <f t="shared" si="176"/>
        <v>3.7013514733669206E-2</v>
      </c>
      <c r="O439" s="328">
        <f t="shared" si="177"/>
        <v>1.1461377250846354E-2</v>
      </c>
      <c r="P439" s="327">
        <f t="shared" si="178"/>
        <v>1.0655661038300932E-3</v>
      </c>
      <c r="Q439" s="327">
        <f t="shared" si="179"/>
        <v>1.2253736135430703E-2</v>
      </c>
      <c r="R439" s="327">
        <f t="shared" si="180"/>
        <v>2.2625928583122179E-2</v>
      </c>
      <c r="S439" s="327">
        <f t="shared" si="181"/>
        <v>1.6680696856747529E-2</v>
      </c>
      <c r="T439" s="327">
        <f t="shared" si="182"/>
        <v>0</v>
      </c>
      <c r="U439" s="328">
        <f t="shared" si="183"/>
        <v>8.9650001799945755E-7</v>
      </c>
      <c r="V439" s="327">
        <f t="shared" si="184"/>
        <v>1.2455722693459906E-4</v>
      </c>
      <c r="W439" s="327">
        <f t="shared" si="185"/>
        <v>1.5137670206387473E-3</v>
      </c>
      <c r="X439" s="327">
        <f t="shared" si="186"/>
        <v>1.6739032466745463E-2</v>
      </c>
      <c r="Y439" s="327">
        <f t="shared" si="187"/>
        <v>2.1472397479478725E-2</v>
      </c>
      <c r="Z439" s="327">
        <f t="shared" si="188"/>
        <v>7.393531834246309E-113</v>
      </c>
      <c r="AA439" s="328">
        <f t="shared" si="189"/>
        <v>1.5502626058692126E-3</v>
      </c>
    </row>
    <row r="440" spans="1:27" ht="12" customHeight="1" x14ac:dyDescent="0.15">
      <c r="A440" s="269">
        <f t="shared" si="163"/>
        <v>425</v>
      </c>
      <c r="B440" s="322">
        <f t="shared" si="164"/>
        <v>392.30769230769232</v>
      </c>
      <c r="C440" s="323">
        <f t="shared" si="165"/>
        <v>1700</v>
      </c>
      <c r="D440" s="327">
        <f t="shared" si="166"/>
        <v>6.7152360230199066E-7</v>
      </c>
      <c r="E440" s="327">
        <f t="shared" si="167"/>
        <v>4.9583079576510028E-6</v>
      </c>
      <c r="F440" s="327">
        <f t="shared" si="168"/>
        <v>8.8357614122557271E-3</v>
      </c>
      <c r="G440" s="327">
        <f t="shared" si="169"/>
        <v>1.2884842515021925E-2</v>
      </c>
      <c r="H440" s="327">
        <f t="shared" si="170"/>
        <v>4.5752629778235687E-3</v>
      </c>
      <c r="I440" s="327">
        <f t="shared" si="171"/>
        <v>4.4167285897311892E-4</v>
      </c>
      <c r="J440" s="327">
        <f t="shared" si="172"/>
        <v>6.9839978036824128E-14</v>
      </c>
      <c r="K440" s="327">
        <f t="shared" si="173"/>
        <v>2.3834404941150983E-15</v>
      </c>
      <c r="L440" s="327">
        <f t="shared" si="174"/>
        <v>2.3814864758242571E-4</v>
      </c>
      <c r="M440" s="327">
        <f t="shared" si="175"/>
        <v>2.7084895171768952E-3</v>
      </c>
      <c r="N440" s="327">
        <f t="shared" si="176"/>
        <v>3.7013496063734386E-2</v>
      </c>
      <c r="O440" s="328">
        <f t="shared" si="177"/>
        <v>1.1433659287849587E-2</v>
      </c>
      <c r="P440" s="327">
        <f t="shared" si="178"/>
        <v>1.0485037144338039E-3</v>
      </c>
      <c r="Q440" s="327">
        <f t="shared" si="179"/>
        <v>1.2165234142364542E-2</v>
      </c>
      <c r="R440" s="327">
        <f t="shared" si="180"/>
        <v>2.2516436260414441E-2</v>
      </c>
      <c r="S440" s="327">
        <f t="shared" si="181"/>
        <v>1.6614730656081468E-2</v>
      </c>
      <c r="T440" s="327">
        <f t="shared" si="182"/>
        <v>0</v>
      </c>
      <c r="U440" s="328">
        <f t="shared" si="183"/>
        <v>8.6267615428958777E-7</v>
      </c>
      <c r="V440" s="327">
        <f t="shared" si="184"/>
        <v>1.219438479936378E-4</v>
      </c>
      <c r="W440" s="327">
        <f t="shared" si="185"/>
        <v>1.4949204540751931E-3</v>
      </c>
      <c r="X440" s="327">
        <f t="shared" si="186"/>
        <v>1.6658785077255933E-2</v>
      </c>
      <c r="Y440" s="327">
        <f t="shared" si="187"/>
        <v>2.1399942729469032E-2</v>
      </c>
      <c r="Z440" s="327">
        <f t="shared" si="188"/>
        <v>2.9704614496539742E-114</v>
      </c>
      <c r="AA440" s="328">
        <f t="shared" si="189"/>
        <v>1.5338908920846661E-3</v>
      </c>
    </row>
    <row r="441" spans="1:27" ht="12" customHeight="1" x14ac:dyDescent="0.15">
      <c r="A441" s="269">
        <f t="shared" si="163"/>
        <v>426</v>
      </c>
      <c r="B441" s="322">
        <f t="shared" si="164"/>
        <v>393.23076923076923</v>
      </c>
      <c r="C441" s="323">
        <f t="shared" si="165"/>
        <v>1704</v>
      </c>
      <c r="D441" s="327">
        <f t="shared" si="166"/>
        <v>6.4943653956554872E-7</v>
      </c>
      <c r="E441" s="327">
        <f t="shared" si="167"/>
        <v>4.8263611065325349E-6</v>
      </c>
      <c r="F441" s="327">
        <f t="shared" si="168"/>
        <v>8.7925169192384356E-3</v>
      </c>
      <c r="G441" s="327">
        <f t="shared" si="169"/>
        <v>1.2842967644771806E-2</v>
      </c>
      <c r="H441" s="327">
        <f t="shared" si="170"/>
        <v>4.5638775449118847E-3</v>
      </c>
      <c r="I441" s="327">
        <f t="shared" si="171"/>
        <v>4.3661322507770883E-4</v>
      </c>
      <c r="J441" s="327">
        <f t="shared" si="172"/>
        <v>6.5035284575484453E-14</v>
      </c>
      <c r="K441" s="327">
        <f t="shared" si="173"/>
        <v>2.1967919751272874E-15</v>
      </c>
      <c r="L441" s="327">
        <f t="shared" si="174"/>
        <v>2.3628961178667751E-4</v>
      </c>
      <c r="M441" s="327">
        <f t="shared" si="175"/>
        <v>2.6990199726603732E-3</v>
      </c>
      <c r="N441" s="327">
        <f t="shared" si="176"/>
        <v>3.7013477920099278E-2</v>
      </c>
      <c r="O441" s="328">
        <f t="shared" si="177"/>
        <v>1.140607259337092E-2</v>
      </c>
      <c r="P441" s="327">
        <f t="shared" si="178"/>
        <v>1.031714536742415E-3</v>
      </c>
      <c r="Q441" s="327">
        <f t="shared" si="179"/>
        <v>1.2077433444295538E-2</v>
      </c>
      <c r="R441" s="327">
        <f t="shared" si="180"/>
        <v>2.2407646808512705E-2</v>
      </c>
      <c r="S441" s="327">
        <f t="shared" si="181"/>
        <v>1.654917506739656E-2</v>
      </c>
      <c r="T441" s="327">
        <f t="shared" si="182"/>
        <v>0</v>
      </c>
      <c r="U441" s="328">
        <f t="shared" si="183"/>
        <v>8.3011896578888411E-7</v>
      </c>
      <c r="V441" s="327">
        <f t="shared" si="184"/>
        <v>1.1938530127443675E-4</v>
      </c>
      <c r="W441" s="327">
        <f t="shared" si="185"/>
        <v>1.4763164366115452E-3</v>
      </c>
      <c r="X441" s="327">
        <f t="shared" si="186"/>
        <v>1.6579054527926629E-2</v>
      </c>
      <c r="Y441" s="327">
        <f t="shared" si="187"/>
        <v>2.1327896576010402E-2</v>
      </c>
      <c r="Z441" s="327">
        <f t="shared" si="188"/>
        <v>1.1468578198334168E-115</v>
      </c>
      <c r="AA441" s="328">
        <f t="shared" si="189"/>
        <v>1.5177086172579735E-3</v>
      </c>
    </row>
    <row r="442" spans="1:27" ht="12" customHeight="1" x14ac:dyDescent="0.15">
      <c r="A442" s="269">
        <f t="shared" si="163"/>
        <v>427</v>
      </c>
      <c r="B442" s="322">
        <f t="shared" si="164"/>
        <v>394.15384615384613</v>
      </c>
      <c r="C442" s="323">
        <f t="shared" si="165"/>
        <v>1708</v>
      </c>
      <c r="D442" s="327">
        <f t="shared" si="166"/>
        <v>6.2807594174955104E-7</v>
      </c>
      <c r="E442" s="327">
        <f t="shared" si="167"/>
        <v>4.6979438059102063E-6</v>
      </c>
      <c r="F442" s="327">
        <f t="shared" si="168"/>
        <v>8.7495588086894394E-3</v>
      </c>
      <c r="G442" s="327">
        <f t="shared" si="169"/>
        <v>1.2801324811106117E-2</v>
      </c>
      <c r="H442" s="327">
        <f t="shared" si="170"/>
        <v>4.5525917641798929E-3</v>
      </c>
      <c r="I442" s="327">
        <f t="shared" si="171"/>
        <v>4.3161714626860359E-4</v>
      </c>
      <c r="J442" s="327">
        <f t="shared" si="172"/>
        <v>6.0561133590049745E-14</v>
      </c>
      <c r="K442" s="327">
        <f t="shared" si="173"/>
        <v>2.0247486522257007E-15</v>
      </c>
      <c r="L442" s="327">
        <f t="shared" si="174"/>
        <v>2.344484319644069E-4</v>
      </c>
      <c r="M442" s="327">
        <f t="shared" si="175"/>
        <v>2.6896055337008828E-3</v>
      </c>
      <c r="N442" s="327">
        <f t="shared" si="176"/>
        <v>3.7013460287927451E-2</v>
      </c>
      <c r="O442" s="328">
        <f t="shared" si="177"/>
        <v>1.1378616242757822E-2</v>
      </c>
      <c r="P442" s="327">
        <f t="shared" si="178"/>
        <v>1.0151941959503843E-3</v>
      </c>
      <c r="Q442" s="327">
        <f t="shared" si="179"/>
        <v>1.1990327891887823E-2</v>
      </c>
      <c r="R442" s="327">
        <f t="shared" si="180"/>
        <v>2.2299554529220056E-2</v>
      </c>
      <c r="S442" s="327">
        <f t="shared" si="181"/>
        <v>1.6484026614201942E-2</v>
      </c>
      <c r="T442" s="327">
        <f t="shared" si="182"/>
        <v>0</v>
      </c>
      <c r="U442" s="328">
        <f t="shared" si="183"/>
        <v>7.9878139969125073E-7</v>
      </c>
      <c r="V442" s="327">
        <f t="shared" si="184"/>
        <v>1.1688043632288542E-4</v>
      </c>
      <c r="W442" s="327">
        <f t="shared" si="185"/>
        <v>1.4579517300599616E-3</v>
      </c>
      <c r="X442" s="327">
        <f t="shared" si="186"/>
        <v>1.649983658263654E-2</v>
      </c>
      <c r="Y442" s="327">
        <f t="shared" si="187"/>
        <v>2.1256255799367331E-2</v>
      </c>
      <c r="Z442" s="327">
        <f t="shared" si="188"/>
        <v>4.2529950606564368E-117</v>
      </c>
      <c r="AA442" s="328">
        <f t="shared" si="189"/>
        <v>1.5017133823116424E-3</v>
      </c>
    </row>
    <row r="443" spans="1:27" ht="12" customHeight="1" x14ac:dyDescent="0.15">
      <c r="A443" s="269">
        <f t="shared" si="163"/>
        <v>428</v>
      </c>
      <c r="B443" s="322">
        <f t="shared" si="164"/>
        <v>395.07692307692309</v>
      </c>
      <c r="C443" s="323">
        <f t="shared" si="165"/>
        <v>1712</v>
      </c>
      <c r="D443" s="327">
        <f t="shared" si="166"/>
        <v>6.0741791471800905E-7</v>
      </c>
      <c r="E443" s="327">
        <f t="shared" si="167"/>
        <v>4.5729611131724288E-6</v>
      </c>
      <c r="F443" s="327">
        <f t="shared" si="168"/>
        <v>8.7068846593189031E-3</v>
      </c>
      <c r="G443" s="327">
        <f t="shared" si="169"/>
        <v>1.2759912200694572E-2</v>
      </c>
      <c r="H443" s="327">
        <f t="shared" si="170"/>
        <v>4.5414045887064904E-3</v>
      </c>
      <c r="I443" s="327">
        <f t="shared" si="171"/>
        <v>4.266837486742725E-4</v>
      </c>
      <c r="J443" s="327">
        <f t="shared" si="172"/>
        <v>5.6394785163966017E-14</v>
      </c>
      <c r="K443" s="327">
        <f t="shared" si="173"/>
        <v>1.8661685863047014E-15</v>
      </c>
      <c r="L443" s="327">
        <f t="shared" si="174"/>
        <v>2.32624903325096E-4</v>
      </c>
      <c r="M443" s="327">
        <f t="shared" si="175"/>
        <v>2.6802457523134827E-3</v>
      </c>
      <c r="N443" s="327">
        <f t="shared" si="176"/>
        <v>3.7013443152800661E-2</v>
      </c>
      <c r="O443" s="328">
        <f t="shared" si="177"/>
        <v>1.1351289319996136E-2</v>
      </c>
      <c r="P443" s="327">
        <f t="shared" si="178"/>
        <v>9.989383873037906E-4</v>
      </c>
      <c r="Q443" s="327">
        <f t="shared" si="179"/>
        <v>1.1903911395934776E-2</v>
      </c>
      <c r="R443" s="327">
        <f t="shared" si="180"/>
        <v>2.2192153780589141E-2</v>
      </c>
      <c r="S443" s="327">
        <f t="shared" si="181"/>
        <v>1.6419281857142497E-2</v>
      </c>
      <c r="T443" s="327">
        <f t="shared" si="182"/>
        <v>0</v>
      </c>
      <c r="U443" s="328">
        <f t="shared" si="183"/>
        <v>7.686181360266886E-7</v>
      </c>
      <c r="V443" s="327">
        <f t="shared" si="184"/>
        <v>1.1442812682295593E-4</v>
      </c>
      <c r="W443" s="327">
        <f t="shared" si="185"/>
        <v>1.4398231412614695E-3</v>
      </c>
      <c r="X443" s="327">
        <f t="shared" si="186"/>
        <v>1.6421127047744233E-2</v>
      </c>
      <c r="Y443" s="327">
        <f t="shared" si="187"/>
        <v>2.11850172123185E-2</v>
      </c>
      <c r="Z443" s="327">
        <f t="shared" si="188"/>
        <v>1.5141298343418882E-118</v>
      </c>
      <c r="AA443" s="328">
        <f t="shared" si="189"/>
        <v>1.4859028213666248E-3</v>
      </c>
    </row>
    <row r="444" spans="1:27" ht="12" customHeight="1" x14ac:dyDescent="0.15">
      <c r="A444" s="269">
        <f t="shared" si="163"/>
        <v>429</v>
      </c>
      <c r="B444" s="322">
        <f t="shared" si="164"/>
        <v>396</v>
      </c>
      <c r="C444" s="323">
        <f t="shared" si="165"/>
        <v>1716</v>
      </c>
      <c r="D444" s="327">
        <f t="shared" si="166"/>
        <v>5.8743935023624712E-7</v>
      </c>
      <c r="E444" s="327">
        <f t="shared" si="167"/>
        <v>4.4513206550026801E-6</v>
      </c>
      <c r="F444" s="327">
        <f t="shared" si="168"/>
        <v>8.6644920749158194E-3</v>
      </c>
      <c r="G444" s="327">
        <f t="shared" si="169"/>
        <v>1.2718728018471058E-2</v>
      </c>
      <c r="H444" s="327">
        <f t="shared" si="170"/>
        <v>4.5303149848729069E-3</v>
      </c>
      <c r="I444" s="327">
        <f t="shared" si="171"/>
        <v>4.2181217154757533E-4</v>
      </c>
      <c r="J444" s="327">
        <f t="shared" si="172"/>
        <v>5.2515063790226713E-14</v>
      </c>
      <c r="K444" s="327">
        <f t="shared" si="173"/>
        <v>1.7199990497334267E-15</v>
      </c>
      <c r="L444" s="327">
        <f t="shared" si="174"/>
        <v>2.3081882381859042E-4</v>
      </c>
      <c r="M444" s="327">
        <f t="shared" si="175"/>
        <v>2.6709401851846399E-3</v>
      </c>
      <c r="N444" s="327">
        <f t="shared" si="176"/>
        <v>3.7013426500707151E-2</v>
      </c>
      <c r="O444" s="328">
        <f t="shared" si="177"/>
        <v>1.1324090917609525E-2</v>
      </c>
      <c r="P444" s="327">
        <f t="shared" si="178"/>
        <v>9.8294287497863934E-4</v>
      </c>
      <c r="Q444" s="327">
        <f t="shared" si="179"/>
        <v>1.1818177926698878E-2</v>
      </c>
      <c r="R444" s="327">
        <f t="shared" si="180"/>
        <v>2.2085438976263694E-2</v>
      </c>
      <c r="S444" s="327">
        <f t="shared" si="181"/>
        <v>1.6354937393520889E-2</v>
      </c>
      <c r="T444" s="327">
        <f t="shared" si="182"/>
        <v>0</v>
      </c>
      <c r="U444" s="328">
        <f t="shared" si="183"/>
        <v>7.3958552349040474E-7</v>
      </c>
      <c r="V444" s="327">
        <f t="shared" si="184"/>
        <v>1.1202727009025325E-4</v>
      </c>
      <c r="W444" s="327">
        <f t="shared" si="185"/>
        <v>1.4219275214307602E-3</v>
      </c>
      <c r="X444" s="327">
        <f t="shared" si="186"/>
        <v>1.6342921771580698E-2</v>
      </c>
      <c r="Y444" s="327">
        <f t="shared" si="187"/>
        <v>2.1114177659756563E-2</v>
      </c>
      <c r="Z444" s="327">
        <f t="shared" si="188"/>
        <v>5.1724334816769986E-120</v>
      </c>
      <c r="AA444" s="328">
        <f t="shared" si="189"/>
        <v>1.4702746012407175E-3</v>
      </c>
    </row>
    <row r="445" spans="1:27" ht="12" customHeight="1" x14ac:dyDescent="0.15">
      <c r="A445" s="269">
        <f t="shared" si="163"/>
        <v>430</v>
      </c>
      <c r="B445" s="322">
        <f t="shared" si="164"/>
        <v>396.92307692307691</v>
      </c>
      <c r="C445" s="323">
        <f t="shared" si="165"/>
        <v>1720</v>
      </c>
      <c r="D445" s="327">
        <f t="shared" si="166"/>
        <v>5.6811790012184319E-7</v>
      </c>
      <c r="E445" s="327">
        <f t="shared" si="167"/>
        <v>4.3329325573964299E-6</v>
      </c>
      <c r="F445" s="327">
        <f t="shared" si="168"/>
        <v>8.6223786840389227E-3</v>
      </c>
      <c r="G445" s="327">
        <f t="shared" si="169"/>
        <v>1.2677770487408858E-2</v>
      </c>
      <c r="H445" s="327">
        <f t="shared" si="170"/>
        <v>4.5193219321630826E-3</v>
      </c>
      <c r="I445" s="327">
        <f t="shared" si="171"/>
        <v>4.1700156705082314E-4</v>
      </c>
      <c r="J445" s="327">
        <f t="shared" si="172"/>
        <v>4.8902250746647302E-14</v>
      </c>
      <c r="K445" s="327">
        <f t="shared" si="173"/>
        <v>1.5852695628241359E-15</v>
      </c>
      <c r="L445" s="327">
        <f t="shared" si="174"/>
        <v>2.2902999409335489E-4</v>
      </c>
      <c r="M445" s="327">
        <f t="shared" si="175"/>
        <v>2.6616883936128656E-3</v>
      </c>
      <c r="N445" s="327">
        <f t="shared" si="176"/>
        <v>3.7013410318030175E-2</v>
      </c>
      <c r="O445" s="328">
        <f t="shared" si="177"/>
        <v>1.1297020136560438E-2</v>
      </c>
      <c r="P445" s="327">
        <f t="shared" si="178"/>
        <v>9.672034909771124E-4</v>
      </c>
      <c r="Q445" s="327">
        <f t="shared" si="179"/>
        <v>1.1733121513260693E-2</v>
      </c>
      <c r="R445" s="327">
        <f t="shared" si="180"/>
        <v>2.1979404584830498E-2</v>
      </c>
      <c r="S445" s="327">
        <f t="shared" si="181"/>
        <v>1.6290989856826699E-2</v>
      </c>
      <c r="T445" s="327">
        <f t="shared" si="182"/>
        <v>0</v>
      </c>
      <c r="U445" s="328">
        <f t="shared" si="183"/>
        <v>7.1164151960179112E-7</v>
      </c>
      <c r="V445" s="327">
        <f t="shared" si="184"/>
        <v>1.0967678657618991E-4</v>
      </c>
      <c r="W445" s="327">
        <f t="shared" si="185"/>
        <v>1.4042617655111527E-3</v>
      </c>
      <c r="X445" s="327">
        <f t="shared" si="186"/>
        <v>1.6265216643951419E-2</v>
      </c>
      <c r="Y445" s="327">
        <f t="shared" si="187"/>
        <v>2.1043734018294506E-2</v>
      </c>
      <c r="Z445" s="327">
        <f t="shared" si="188"/>
        <v>1.6946037872012261E-121</v>
      </c>
      <c r="AA445" s="328">
        <f t="shared" si="189"/>
        <v>1.454826420956401E-3</v>
      </c>
    </row>
    <row r="446" spans="1:27" ht="12" customHeight="1" x14ac:dyDescent="0.15">
      <c r="A446" s="269">
        <f t="shared" si="163"/>
        <v>431</v>
      </c>
      <c r="B446" s="322">
        <f t="shared" si="164"/>
        <v>397.84615384615387</v>
      </c>
      <c r="C446" s="323">
        <f t="shared" si="165"/>
        <v>1724</v>
      </c>
      <c r="D446" s="327">
        <f t="shared" si="166"/>
        <v>5.4943195124577503E-7</v>
      </c>
      <c r="E446" s="327">
        <f t="shared" si="167"/>
        <v>4.2177093775972132E-6</v>
      </c>
      <c r="F446" s="327">
        <f t="shared" si="168"/>
        <v>8.5805421397131543E-3</v>
      </c>
      <c r="G446" s="327">
        <f t="shared" si="169"/>
        <v>1.2637037848298931E-2</v>
      </c>
      <c r="H446" s="327">
        <f t="shared" si="170"/>
        <v>4.5084244229675339E-3</v>
      </c>
      <c r="I446" s="327">
        <f t="shared" si="171"/>
        <v>4.1225110004505794E-4</v>
      </c>
      <c r="J446" s="327">
        <f t="shared" si="172"/>
        <v>4.5537983875266921E-14</v>
      </c>
      <c r="K446" s="327">
        <f t="shared" si="173"/>
        <v>1.4610854733721966E-15</v>
      </c>
      <c r="L446" s="327">
        <f t="shared" si="174"/>
        <v>2.2725821745450681E-4</v>
      </c>
      <c r="M446" s="327">
        <f t="shared" si="175"/>
        <v>2.6524899434501852E-3</v>
      </c>
      <c r="N446" s="327">
        <f t="shared" si="176"/>
        <v>3.7013394591536852E-2</v>
      </c>
      <c r="O446" s="328">
        <f t="shared" si="177"/>
        <v>1.1270076086152412E-2</v>
      </c>
      <c r="P446" s="327">
        <f t="shared" si="178"/>
        <v>9.5171613404150513E-4</v>
      </c>
      <c r="Q446" s="327">
        <f t="shared" si="179"/>
        <v>1.1648736242875315E-2</v>
      </c>
      <c r="R446" s="327">
        <f t="shared" si="180"/>
        <v>2.187404512917912E-2</v>
      </c>
      <c r="S446" s="327">
        <f t="shared" si="181"/>
        <v>1.6227435916272751E-2</v>
      </c>
      <c r="T446" s="327">
        <f t="shared" si="182"/>
        <v>0</v>
      </c>
      <c r="U446" s="328">
        <f t="shared" si="183"/>
        <v>6.8474563108544828E-7</v>
      </c>
      <c r="V446" s="327">
        <f t="shared" si="184"/>
        <v>1.0737561938256741E-4</v>
      </c>
      <c r="W446" s="327">
        <f t="shared" si="185"/>
        <v>1.3868228115392772E-3</v>
      </c>
      <c r="X446" s="327">
        <f t="shared" si="186"/>
        <v>1.6188007595643428E-2</v>
      </c>
      <c r="Y446" s="327">
        <f t="shared" si="187"/>
        <v>2.0973683195877012E-2</v>
      </c>
      <c r="Z446" s="327">
        <f t="shared" si="188"/>
        <v>5.3217938087278242E-123</v>
      </c>
      <c r="AA446" s="328">
        <f t="shared" si="189"/>
        <v>1.4395560112556716E-3</v>
      </c>
    </row>
    <row r="447" spans="1:27" ht="12" customHeight="1" x14ac:dyDescent="0.15">
      <c r="A447" s="269">
        <f t="shared" si="163"/>
        <v>432</v>
      </c>
      <c r="B447" s="322">
        <f t="shared" si="164"/>
        <v>398.76923076923077</v>
      </c>
      <c r="C447" s="323">
        <f t="shared" si="165"/>
        <v>1728</v>
      </c>
      <c r="D447" s="327">
        <f t="shared" si="166"/>
        <v>5.313606013558068E-7</v>
      </c>
      <c r="E447" s="327">
        <f t="shared" si="167"/>
        <v>4.1055660378998917E-6</v>
      </c>
      <c r="F447" s="327">
        <f t="shared" si="168"/>
        <v>8.5389801191291248E-3</v>
      </c>
      <c r="G447" s="327">
        <f t="shared" si="169"/>
        <v>1.2596528359531517E-2</v>
      </c>
      <c r="H447" s="327">
        <f t="shared" si="170"/>
        <v>4.497621462390548E-3</v>
      </c>
      <c r="I447" s="327">
        <f t="shared" si="171"/>
        <v>4.075599478829961E-4</v>
      </c>
      <c r="J447" s="327">
        <f t="shared" si="172"/>
        <v>4.2405164256498955E-14</v>
      </c>
      <c r="K447" s="327">
        <f t="shared" si="173"/>
        <v>1.3466220369537748E-15</v>
      </c>
      <c r="L447" s="327">
        <f t="shared" si="174"/>
        <v>2.2550329982373718E-4</v>
      </c>
      <c r="M447" s="327">
        <f t="shared" si="175"/>
        <v>2.6433444050445267E-3</v>
      </c>
      <c r="N447" s="327">
        <f t="shared" si="176"/>
        <v>3.7013379308367358E-2</v>
      </c>
      <c r="O447" s="328">
        <f t="shared" si="177"/>
        <v>1.1243257883933724E-2</v>
      </c>
      <c r="P447" s="327">
        <f t="shared" si="178"/>
        <v>9.3647676858554872E-4</v>
      </c>
      <c r="Q447" s="327">
        <f t="shared" si="179"/>
        <v>1.1565016260336921E-2</v>
      </c>
      <c r="R447" s="327">
        <f t="shared" si="180"/>
        <v>2.1769355185870753E-2</v>
      </c>
      <c r="S447" s="327">
        <f t="shared" si="181"/>
        <v>1.6164272276338317E-2</v>
      </c>
      <c r="T447" s="327">
        <f t="shared" si="182"/>
        <v>0</v>
      </c>
      <c r="U447" s="328">
        <f t="shared" si="183"/>
        <v>6.588588579159449E-7</v>
      </c>
      <c r="V447" s="327">
        <f t="shared" si="184"/>
        <v>1.051227337863395E-4</v>
      </c>
      <c r="W447" s="327">
        <f t="shared" si="185"/>
        <v>1.3696076400195472E-3</v>
      </c>
      <c r="X447" s="327">
        <f t="shared" si="186"/>
        <v>1.6111290597940031E-2</v>
      </c>
      <c r="Y447" s="327">
        <f t="shared" si="187"/>
        <v>2.0904022131398067E-2</v>
      </c>
      <c r="Z447" s="327">
        <f t="shared" si="188"/>
        <v>1.6011679774752774E-124</v>
      </c>
      <c r="AA447" s="328">
        <f t="shared" si="189"/>
        <v>1.4244611341239777E-3</v>
      </c>
    </row>
    <row r="448" spans="1:27" ht="12" customHeight="1" x14ac:dyDescent="0.15">
      <c r="A448" s="269">
        <f t="shared" si="163"/>
        <v>433</v>
      </c>
      <c r="B448" s="322">
        <f t="shared" si="164"/>
        <v>399.69230769230768</v>
      </c>
      <c r="C448" s="323">
        <f t="shared" si="165"/>
        <v>1732</v>
      </c>
      <c r="D448" s="327">
        <f t="shared" si="166"/>
        <v>5.1388363569505056E-7</v>
      </c>
      <c r="E448" s="327">
        <f t="shared" si="167"/>
        <v>3.9964197612689672E-6</v>
      </c>
      <c r="F448" s="327">
        <f t="shared" si="168"/>
        <v>8.4976903233473511E-3</v>
      </c>
      <c r="G448" s="327">
        <f t="shared" si="169"/>
        <v>1.2556240296880947E-2</v>
      </c>
      <c r="H448" s="327">
        <f t="shared" si="170"/>
        <v>4.486912068060683E-3</v>
      </c>
      <c r="I448" s="327">
        <f t="shared" si="171"/>
        <v>4.0292730020496936E-4</v>
      </c>
      <c r="J448" s="327">
        <f t="shared" si="172"/>
        <v>3.9487869303702603E-14</v>
      </c>
      <c r="K448" s="327">
        <f t="shared" si="173"/>
        <v>1.241118958960755E-15</v>
      </c>
      <c r="L448" s="327">
        <f t="shared" si="174"/>
        <v>2.2376504969934263E-4</v>
      </c>
      <c r="M448" s="327">
        <f t="shared" si="175"/>
        <v>2.6342513531829636E-3</v>
      </c>
      <c r="N448" s="327">
        <f t="shared" si="176"/>
        <v>3.7013364456024378E-2</v>
      </c>
      <c r="O448" s="328">
        <f t="shared" si="177"/>
        <v>1.1216564655602378E-2</v>
      </c>
      <c r="P448" s="327">
        <f t="shared" si="178"/>
        <v>9.2148142364284556E-4</v>
      </c>
      <c r="Q448" s="327">
        <f t="shared" si="179"/>
        <v>1.1481955767351113E-2</v>
      </c>
      <c r="R448" s="327">
        <f t="shared" si="180"/>
        <v>2.1665329384515486E-2</v>
      </c>
      <c r="S448" s="327">
        <f t="shared" si="181"/>
        <v>1.6101495676319164E-2</v>
      </c>
      <c r="T448" s="327">
        <f t="shared" si="182"/>
        <v>0</v>
      </c>
      <c r="U448" s="328">
        <f t="shared" si="183"/>
        <v>6.3394363847280033E-7</v>
      </c>
      <c r="V448" s="327">
        <f t="shared" si="184"/>
        <v>1.0291711677434771E-4</v>
      </c>
      <c r="W448" s="327">
        <f t="shared" si="185"/>
        <v>1.3526132733082017E-3</v>
      </c>
      <c r="X448" s="327">
        <f t="shared" si="186"/>
        <v>1.6035061662142525E-2</v>
      </c>
      <c r="Y448" s="327">
        <f t="shared" si="187"/>
        <v>2.0834747794323656E-2</v>
      </c>
      <c r="Z448" s="327">
        <f t="shared" si="188"/>
        <v>4.6129025236272854E-126</v>
      </c>
      <c r="AA448" s="328">
        <f t="shared" si="189"/>
        <v>1.4095395823205958E-3</v>
      </c>
    </row>
    <row r="449" spans="1:27" ht="12" customHeight="1" x14ac:dyDescent="0.15">
      <c r="A449" s="269">
        <f t="shared" si="163"/>
        <v>434</v>
      </c>
      <c r="B449" s="322">
        <f t="shared" si="164"/>
        <v>400.61538461538464</v>
      </c>
      <c r="C449" s="323">
        <f t="shared" si="165"/>
        <v>1736</v>
      </c>
      <c r="D449" s="327">
        <f t="shared" si="166"/>
        <v>4.9698150438958412E-7</v>
      </c>
      <c r="E449" s="327">
        <f t="shared" si="167"/>
        <v>3.890190008721494E-6</v>
      </c>
      <c r="F449" s="327">
        <f t="shared" si="168"/>
        <v>8.4566704770074885E-3</v>
      </c>
      <c r="G449" s="327">
        <f t="shared" si="169"/>
        <v>1.2516171953293315E-2</v>
      </c>
      <c r="H449" s="327">
        <f t="shared" si="170"/>
        <v>4.4762952699445024E-3</v>
      </c>
      <c r="I449" s="327">
        <f t="shared" si="171"/>
        <v>3.9835235873919572E-4</v>
      </c>
      <c r="J449" s="327">
        <f t="shared" si="172"/>
        <v>3.6771271836479625E-14</v>
      </c>
      <c r="K449" s="327">
        <f t="shared" si="173"/>
        <v>1.1438753623881301E-15</v>
      </c>
      <c r="L449" s="327">
        <f t="shared" si="174"/>
        <v>2.220432781170345E-4</v>
      </c>
      <c r="M449" s="327">
        <f t="shared" si="175"/>
        <v>2.62521036703577E-3</v>
      </c>
      <c r="N449" s="327">
        <f t="shared" si="176"/>
        <v>3.7013350022362924E-2</v>
      </c>
      <c r="O449" s="328">
        <f t="shared" si="177"/>
        <v>1.1189995534912381E-2</v>
      </c>
      <c r="P449" s="327">
        <f t="shared" si="178"/>
        <v>9.0672619183214268E-4</v>
      </c>
      <c r="Q449" s="327">
        <f t="shared" si="179"/>
        <v>1.139954902191493E-2</v>
      </c>
      <c r="R449" s="327">
        <f t="shared" si="180"/>
        <v>2.1561962407157798E-2</v>
      </c>
      <c r="S449" s="327">
        <f t="shared" si="181"/>
        <v>1.6039102889884107E-2</v>
      </c>
      <c r="T449" s="327">
        <f t="shared" si="182"/>
        <v>0</v>
      </c>
      <c r="U449" s="328">
        <f t="shared" si="183"/>
        <v>6.099637972489802E-7</v>
      </c>
      <c r="V449" s="327">
        <f t="shared" si="184"/>
        <v>1.0075777658781859E-4</v>
      </c>
      <c r="W449" s="327">
        <f t="shared" si="185"/>
        <v>1.3358367750066068E-3</v>
      </c>
      <c r="X449" s="327">
        <f t="shared" si="186"/>
        <v>1.5959316839097681E-2</v>
      </c>
      <c r="Y449" s="327">
        <f t="shared" si="187"/>
        <v>2.0765857184319794E-2</v>
      </c>
      <c r="Z449" s="327">
        <f t="shared" si="188"/>
        <v>1.2718528996990723E-127</v>
      </c>
      <c r="AA449" s="328">
        <f t="shared" si="189"/>
        <v>1.3947891789181099E-3</v>
      </c>
    </row>
    <row r="450" spans="1:27" ht="12" customHeight="1" x14ac:dyDescent="0.15">
      <c r="A450" s="269">
        <f t="shared" si="163"/>
        <v>435</v>
      </c>
      <c r="B450" s="322">
        <f t="shared" si="164"/>
        <v>401.53846153846155</v>
      </c>
      <c r="C450" s="323">
        <f t="shared" si="165"/>
        <v>1740</v>
      </c>
      <c r="D450" s="327">
        <f t="shared" si="166"/>
        <v>4.8063530057980617E-7</v>
      </c>
      <c r="E450" s="327">
        <f t="shared" si="167"/>
        <v>3.7867984184267728E-6</v>
      </c>
      <c r="F450" s="327">
        <f t="shared" si="168"/>
        <v>8.4159183280400063E-3</v>
      </c>
      <c r="G450" s="327">
        <f t="shared" si="169"/>
        <v>1.2476321638677615E-2</v>
      </c>
      <c r="H450" s="327">
        <f t="shared" si="170"/>
        <v>4.4657701101635042E-3</v>
      </c>
      <c r="I450" s="327">
        <f t="shared" si="171"/>
        <v>3.9383433710604709E-4</v>
      </c>
      <c r="J450" s="327">
        <f t="shared" si="172"/>
        <v>3.4241564721384107E-14</v>
      </c>
      <c r="K450" s="327">
        <f t="shared" si="173"/>
        <v>1.0542451481950241E-15</v>
      </c>
      <c r="L450" s="327">
        <f t="shared" si="174"/>
        <v>2.2033779861141412E-4</v>
      </c>
      <c r="M450" s="327">
        <f t="shared" si="175"/>
        <v>2.6162210301013543E-3</v>
      </c>
      <c r="N450" s="327">
        <f t="shared" si="176"/>
        <v>3.701333599558039E-2</v>
      </c>
      <c r="O450" s="328">
        <f t="shared" si="177"/>
        <v>1.1163549663581414E-2</v>
      </c>
      <c r="P450" s="327">
        <f t="shared" si="178"/>
        <v>8.9220722833917429E-4</v>
      </c>
      <c r="Q450" s="327">
        <f t="shared" si="179"/>
        <v>1.1317790337704414E-2</v>
      </c>
      <c r="R450" s="327">
        <f t="shared" si="180"/>
        <v>2.1459248987670598E-2</v>
      </c>
      <c r="S450" s="327">
        <f t="shared" si="181"/>
        <v>1.5977090724638588E-2</v>
      </c>
      <c r="T450" s="327">
        <f t="shared" si="182"/>
        <v>0</v>
      </c>
      <c r="U450" s="328">
        <f t="shared" si="183"/>
        <v>5.8688449400268183E-7</v>
      </c>
      <c r="V450" s="327">
        <f t="shared" si="184"/>
        <v>9.8643742276417913E-5</v>
      </c>
      <c r="W450" s="327">
        <f t="shared" si="185"/>
        <v>1.3192752493639685E-3</v>
      </c>
      <c r="X450" s="327">
        <f t="shared" si="186"/>
        <v>1.5884052218732014E-2</v>
      </c>
      <c r="Y450" s="327">
        <f t="shared" si="187"/>
        <v>2.069734733088624E-2</v>
      </c>
      <c r="Z450" s="327">
        <f t="shared" si="188"/>
        <v>3.3541966692651802E-129</v>
      </c>
      <c r="AA450" s="328">
        <f t="shared" si="189"/>
        <v>1.380207776847886E-3</v>
      </c>
    </row>
    <row r="451" spans="1:27" ht="12" customHeight="1" x14ac:dyDescent="0.15">
      <c r="A451" s="269">
        <f t="shared" si="163"/>
        <v>436</v>
      </c>
      <c r="B451" s="322">
        <f t="shared" si="164"/>
        <v>402.46153846153845</v>
      </c>
      <c r="C451" s="323">
        <f t="shared" si="165"/>
        <v>1744</v>
      </c>
      <c r="D451" s="327">
        <f t="shared" si="166"/>
        <v>4.6482673927106933E-7</v>
      </c>
      <c r="E451" s="327">
        <f t="shared" si="167"/>
        <v>3.6861687464744078E-6</v>
      </c>
      <c r="F451" s="327">
        <f t="shared" si="168"/>
        <v>8.3754316473839685E-3</v>
      </c>
      <c r="G451" s="327">
        <f t="shared" si="169"/>
        <v>1.243668767969945E-2</v>
      </c>
      <c r="H451" s="327">
        <f t="shared" si="170"/>
        <v>4.4553356428141105E-3</v>
      </c>
      <c r="I451" s="327">
        <f t="shared" si="171"/>
        <v>3.8937246062387132E-4</v>
      </c>
      <c r="J451" s="327">
        <f t="shared" si="172"/>
        <v>3.1885890697029063E-14</v>
      </c>
      <c r="K451" s="327">
        <f t="shared" si="173"/>
        <v>9.7163271763906837E-16</v>
      </c>
      <c r="L451" s="327">
        <f t="shared" si="174"/>
        <v>2.1864842717811417E-4</v>
      </c>
      <c r="M451" s="327">
        <f t="shared" si="175"/>
        <v>2.607282930151964E-3</v>
      </c>
      <c r="N451" s="327">
        <f t="shared" si="176"/>
        <v>3.701332236420684E-2</v>
      </c>
      <c r="O451" s="328">
        <f t="shared" si="177"/>
        <v>1.113722619119962E-2</v>
      </c>
      <c r="P451" s="327">
        <f t="shared" si="178"/>
        <v>8.7792074991480649E-4</v>
      </c>
      <c r="Q451" s="327">
        <f t="shared" si="179"/>
        <v>1.1236674083469922E-2</v>
      </c>
      <c r="R451" s="327">
        <f t="shared" si="180"/>
        <v>2.1357183911156818E-2</v>
      </c>
      <c r="S451" s="327">
        <f t="shared" si="181"/>
        <v>1.5915456021694377E-2</v>
      </c>
      <c r="T451" s="327">
        <f t="shared" si="182"/>
        <v>0</v>
      </c>
      <c r="U451" s="328">
        <f t="shared" si="183"/>
        <v>5.646721750185435E-7</v>
      </c>
      <c r="V451" s="327">
        <f t="shared" si="184"/>
        <v>9.6574063261661616E-5</v>
      </c>
      <c r="W451" s="327">
        <f t="shared" si="185"/>
        <v>1.3029258406889721E-3</v>
      </c>
      <c r="X451" s="327">
        <f t="shared" si="186"/>
        <v>1.5809263929592809E-2</v>
      </c>
      <c r="Y451" s="327">
        <f t="shared" si="187"/>
        <v>2.0629215292995221E-2</v>
      </c>
      <c r="Z451" s="327">
        <f t="shared" si="188"/>
        <v>8.4564887635205205E-131</v>
      </c>
      <c r="AA451" s="328">
        <f t="shared" si="189"/>
        <v>1.3657932584544286E-3</v>
      </c>
    </row>
    <row r="452" spans="1:27" ht="12" customHeight="1" x14ac:dyDescent="0.15">
      <c r="A452" s="269">
        <f t="shared" si="163"/>
        <v>437</v>
      </c>
      <c r="B452" s="322">
        <f t="shared" si="164"/>
        <v>403.38461538461536</v>
      </c>
      <c r="C452" s="323">
        <f t="shared" si="165"/>
        <v>1748</v>
      </c>
      <c r="D452" s="327">
        <f t="shared" si="166"/>
        <v>4.4953813687993721E-7</v>
      </c>
      <c r="E452" s="327">
        <f t="shared" si="167"/>
        <v>3.588226809265289E-6</v>
      </c>
      <c r="F452" s="327">
        <f t="shared" si="168"/>
        <v>8.3352082287069251E-3</v>
      </c>
      <c r="G452" s="327">
        <f t="shared" si="169"/>
        <v>1.2397268419578021E-2</v>
      </c>
      <c r="H452" s="327">
        <f t="shared" si="170"/>
        <v>4.4449909337907871E-3</v>
      </c>
      <c r="I452" s="327">
        <f t="shared" si="171"/>
        <v>3.8496596612080936E-4</v>
      </c>
      <c r="J452" s="327">
        <f t="shared" si="172"/>
        <v>2.9692277026929835E-14</v>
      </c>
      <c r="K452" s="327">
        <f t="shared" si="173"/>
        <v>8.9548902836994423E-16</v>
      </c>
      <c r="L452" s="327">
        <f t="shared" si="174"/>
        <v>2.169749822367173E-4</v>
      </c>
      <c r="M452" s="327">
        <f t="shared" si="175"/>
        <v>2.5983956591802376E-3</v>
      </c>
      <c r="N452" s="327">
        <f t="shared" si="176"/>
        <v>3.7013309117095772E-2</v>
      </c>
      <c r="O452" s="328">
        <f t="shared" si="177"/>
        <v>1.1111024275139625E-2</v>
      </c>
      <c r="P452" s="327">
        <f t="shared" si="178"/>
        <v>8.6386303388922647E-4</v>
      </c>
      <c r="Q452" s="327">
        <f t="shared" si="179"/>
        <v>1.1156194682438324E-2</v>
      </c>
      <c r="R452" s="327">
        <f t="shared" si="180"/>
        <v>2.1255762013359991E-2</v>
      </c>
      <c r="S452" s="327">
        <f t="shared" si="181"/>
        <v>1.5854195655245713E-2</v>
      </c>
      <c r="T452" s="327">
        <f t="shared" si="182"/>
        <v>0</v>
      </c>
      <c r="U452" s="328">
        <f t="shared" si="183"/>
        <v>5.4329452625623276E-7</v>
      </c>
      <c r="V452" s="327">
        <f t="shared" si="184"/>
        <v>9.4547808909486907E-5</v>
      </c>
      <c r="W452" s="327">
        <f t="shared" si="185"/>
        <v>1.2867857327704983E-3</v>
      </c>
      <c r="X452" s="327">
        <f t="shared" si="186"/>
        <v>1.5734948138394933E-2</v>
      </c>
      <c r="Y452" s="327">
        <f t="shared" si="187"/>
        <v>2.0561458158735335E-2</v>
      </c>
      <c r="Z452" s="327">
        <f t="shared" si="188"/>
        <v>2.0370395633893501E-132</v>
      </c>
      <c r="AA452" s="328">
        <f t="shared" si="189"/>
        <v>1.3515435350559546E-3</v>
      </c>
    </row>
    <row r="453" spans="1:27" ht="12" customHeight="1" x14ac:dyDescent="0.15">
      <c r="A453" s="269">
        <f t="shared" si="163"/>
        <v>438</v>
      </c>
      <c r="B453" s="322">
        <f t="shared" si="164"/>
        <v>404.30769230769232</v>
      </c>
      <c r="C453" s="323">
        <f t="shared" si="165"/>
        <v>1752</v>
      </c>
      <c r="D453" s="327">
        <f t="shared" si="166"/>
        <v>4.3475239145318782E-7</v>
      </c>
      <c r="E453" s="327">
        <f t="shared" si="167"/>
        <v>3.4929004274805972E-6</v>
      </c>
      <c r="F453" s="327">
        <f t="shared" si="168"/>
        <v>8.2952458881296876E-3</v>
      </c>
      <c r="G453" s="327">
        <f t="shared" si="169"/>
        <v>1.235806221788581E-2</v>
      </c>
      <c r="H453" s="327">
        <f t="shared" si="170"/>
        <v>4.4347350606120774E-3</v>
      </c>
      <c r="I453" s="327">
        <f t="shared" si="171"/>
        <v>3.8061410174761168E-4</v>
      </c>
      <c r="J453" s="327">
        <f t="shared" si="172"/>
        <v>2.7649574647951969E-14</v>
      </c>
      <c r="K453" s="327">
        <f t="shared" si="173"/>
        <v>8.2530795826464965E-16</v>
      </c>
      <c r="L453" s="327">
        <f t="shared" si="174"/>
        <v>2.1531728459389665E-4</v>
      </c>
      <c r="M453" s="327">
        <f t="shared" si="175"/>
        <v>2.5895588133464913E-3</v>
      </c>
      <c r="N453" s="327">
        <f t="shared" si="176"/>
        <v>3.7013296243414831E-2</v>
      </c>
      <c r="O453" s="328">
        <f t="shared" si="177"/>
        <v>1.1084943080468016E-2</v>
      </c>
      <c r="P453" s="327">
        <f t="shared" si="178"/>
        <v>8.5003041720191103E-4</v>
      </c>
      <c r="Q453" s="327">
        <f t="shared" si="179"/>
        <v>1.1076346611723112E-2</v>
      </c>
      <c r="R453" s="327">
        <f t="shared" si="180"/>
        <v>2.1154978180081385E-2</v>
      </c>
      <c r="S453" s="327">
        <f t="shared" si="181"/>
        <v>1.5793306532151725E-2</v>
      </c>
      <c r="T453" s="327">
        <f t="shared" si="182"/>
        <v>0</v>
      </c>
      <c r="U453" s="328">
        <f t="shared" si="183"/>
        <v>5.2272042727619095E-7</v>
      </c>
      <c r="V453" s="327">
        <f t="shared" si="184"/>
        <v>9.2564068111790598E-5</v>
      </c>
      <c r="W453" s="327">
        <f t="shared" si="185"/>
        <v>1.2708521483070618E-3</v>
      </c>
      <c r="X453" s="327">
        <f t="shared" si="186"/>
        <v>1.5661101049573634E-2</v>
      </c>
      <c r="Y453" s="327">
        <f t="shared" si="187"/>
        <v>2.0494073044960516E-2</v>
      </c>
      <c r="Z453" s="327">
        <f t="shared" si="188"/>
        <v>4.685669042779205E-134</v>
      </c>
      <c r="AA453" s="328">
        <f t="shared" si="189"/>
        <v>1.3374565465125166E-3</v>
      </c>
    </row>
    <row r="454" spans="1:27" ht="12" customHeight="1" x14ac:dyDescent="0.15">
      <c r="A454" s="269">
        <f t="shared" si="163"/>
        <v>439</v>
      </c>
      <c r="B454" s="322">
        <f t="shared" si="164"/>
        <v>405.23076923076923</v>
      </c>
      <c r="C454" s="323">
        <f t="shared" si="165"/>
        <v>1756</v>
      </c>
      <c r="D454" s="327">
        <f t="shared" si="166"/>
        <v>4.2045296353743313E-7</v>
      </c>
      <c r="E454" s="327">
        <f t="shared" si="167"/>
        <v>3.4001193715849283E-6</v>
      </c>
      <c r="F454" s="327">
        <f t="shared" si="168"/>
        <v>8.2555424639555453E-3</v>
      </c>
      <c r="G454" s="327">
        <f t="shared" si="169"/>
        <v>1.2319067450351384E-2</v>
      </c>
      <c r="H454" s="327">
        <f t="shared" si="170"/>
        <v>4.4245671122496418E-3</v>
      </c>
      <c r="I454" s="327">
        <f t="shared" si="171"/>
        <v>3.7631612679511761E-4</v>
      </c>
      <c r="J454" s="327">
        <f t="shared" si="172"/>
        <v>2.5747401505088262E-14</v>
      </c>
      <c r="K454" s="327">
        <f t="shared" si="173"/>
        <v>7.6062295301171699E-16</v>
      </c>
      <c r="L454" s="327">
        <f t="shared" si="174"/>
        <v>2.1367515740777776E-4</v>
      </c>
      <c r="M454" s="327">
        <f t="shared" si="175"/>
        <v>2.5807719929268435E-3</v>
      </c>
      <c r="N454" s="327">
        <f t="shared" si="176"/>
        <v>3.701328373263707E-2</v>
      </c>
      <c r="O454" s="328">
        <f t="shared" si="177"/>
        <v>1.1058981779857851E-2</v>
      </c>
      <c r="P454" s="327">
        <f t="shared" si="178"/>
        <v>8.3641929544713987E-4</v>
      </c>
      <c r="Q454" s="327">
        <f t="shared" si="179"/>
        <v>1.0997124401741203E-2</v>
      </c>
      <c r="R454" s="327">
        <f t="shared" si="180"/>
        <v>2.1054827346606242E-2</v>
      </c>
      <c r="S454" s="327">
        <f t="shared" si="181"/>
        <v>1.5732785591525203E-2</v>
      </c>
      <c r="T454" s="327">
        <f t="shared" si="182"/>
        <v>0</v>
      </c>
      <c r="U454" s="328">
        <f t="shared" si="183"/>
        <v>5.0291990860706903E-7</v>
      </c>
      <c r="V454" s="327">
        <f t="shared" si="184"/>
        <v>9.0621948876749877E-5</v>
      </c>
      <c r="W454" s="327">
        <f t="shared" si="185"/>
        <v>1.2551223483449334E-3</v>
      </c>
      <c r="X454" s="327">
        <f t="shared" si="186"/>
        <v>1.5587718904844561E-2</v>
      </c>
      <c r="Y454" s="327">
        <f t="shared" si="187"/>
        <v>2.0427057096944E-2</v>
      </c>
      <c r="Z454" s="327">
        <f t="shared" si="188"/>
        <v>1.0286281474892154E-135</v>
      </c>
      <c r="AA454" s="328">
        <f t="shared" si="189"/>
        <v>1.3235302608007871E-3</v>
      </c>
    </row>
    <row r="455" spans="1:27" ht="12" customHeight="1" x14ac:dyDescent="0.15">
      <c r="A455" s="269">
        <f t="shared" si="163"/>
        <v>440</v>
      </c>
      <c r="B455" s="322">
        <f t="shared" si="164"/>
        <v>406.15384615384613</v>
      </c>
      <c r="C455" s="323">
        <f t="shared" si="165"/>
        <v>1760</v>
      </c>
      <c r="D455" s="327">
        <f t="shared" si="166"/>
        <v>4.0662385767795213E-7</v>
      </c>
      <c r="E455" s="327">
        <f t="shared" si="167"/>
        <v>3.3098153088216907E-6</v>
      </c>
      <c r="F455" s="327">
        <f t="shared" si="168"/>
        <v>8.2160958164017028E-3</v>
      </c>
      <c r="G455" s="327">
        <f t="shared" si="169"/>
        <v>1.2280282508664638E-2</v>
      </c>
      <c r="H455" s="327">
        <f t="shared" si="170"/>
        <v>4.4144861889601535E-3</v>
      </c>
      <c r="I455" s="327">
        <f t="shared" si="171"/>
        <v>3.7207131151451023E-4</v>
      </c>
      <c r="J455" s="327">
        <f t="shared" si="172"/>
        <v>2.3976089784561203E-14</v>
      </c>
      <c r="K455" s="327">
        <f t="shared" si="173"/>
        <v>7.0100393532258429E-16</v>
      </c>
      <c r="L455" s="327">
        <f t="shared" si="174"/>
        <v>2.1204842615263342E-4</v>
      </c>
      <c r="M455" s="327">
        <f t="shared" si="175"/>
        <v>2.5720348022620454E-3</v>
      </c>
      <c r="N455" s="327">
        <f t="shared" si="176"/>
        <v>3.7013271574532325E-2</v>
      </c>
      <c r="O455" s="328">
        <f t="shared" si="177"/>
        <v>1.1033139553502283E-2</v>
      </c>
      <c r="P455" s="327">
        <f t="shared" si="178"/>
        <v>8.2302612193477828E-4</v>
      </c>
      <c r="Q455" s="327">
        <f t="shared" si="179"/>
        <v>1.0918522635636981E-2</v>
      </c>
      <c r="R455" s="327">
        <f t="shared" si="180"/>
        <v>2.0955304497136784E-2</v>
      </c>
      <c r="S455" s="327">
        <f t="shared" si="181"/>
        <v>1.5672629804327043E-2</v>
      </c>
      <c r="T455" s="327">
        <f t="shared" si="182"/>
        <v>0</v>
      </c>
      <c r="U455" s="328">
        <f t="shared" si="183"/>
        <v>4.8386410855805195E-7</v>
      </c>
      <c r="V455" s="327">
        <f t="shared" si="184"/>
        <v>8.8720577927734644E-5</v>
      </c>
      <c r="W455" s="327">
        <f t="shared" si="185"/>
        <v>1.2395936317247929E-3</v>
      </c>
      <c r="X455" s="327">
        <f t="shared" si="186"/>
        <v>1.5514797982768114E-2</v>
      </c>
      <c r="Y455" s="327">
        <f t="shared" si="187"/>
        <v>2.0360407488037174E-2</v>
      </c>
      <c r="Z455" s="327">
        <f t="shared" si="188"/>
        <v>2.1538163144223755E-137</v>
      </c>
      <c r="AA455" s="328">
        <f t="shared" si="189"/>
        <v>1.309762673596282E-3</v>
      </c>
    </row>
    <row r="456" spans="1:27" ht="12" customHeight="1" x14ac:dyDescent="0.15">
      <c r="A456" s="269">
        <f t="shared" si="163"/>
        <v>441</v>
      </c>
      <c r="B456" s="322">
        <f t="shared" si="164"/>
        <v>407.07692307692309</v>
      </c>
      <c r="C456" s="323">
        <f t="shared" si="165"/>
        <v>1764</v>
      </c>
      <c r="D456" s="327">
        <f t="shared" si="166"/>
        <v>3.9324960452604499E-7</v>
      </c>
      <c r="E456" s="327">
        <f t="shared" si="167"/>
        <v>3.2219217516592494E-6</v>
      </c>
      <c r="F456" s="327">
        <f t="shared" si="168"/>
        <v>8.1769038273359351E-3</v>
      </c>
      <c r="G456" s="327">
        <f t="shared" si="169"/>
        <v>1.2241705800285142E-2</v>
      </c>
      <c r="H456" s="327">
        <f t="shared" si="170"/>
        <v>4.4044914021199935E-3</v>
      </c>
      <c r="I456" s="327">
        <f t="shared" si="171"/>
        <v>3.6787893694101292E-4</v>
      </c>
      <c r="J456" s="327">
        <f t="shared" si="172"/>
        <v>2.232663677706398E-14</v>
      </c>
      <c r="K456" s="327">
        <f t="shared" si="173"/>
        <v>6.4605445536962956E-16</v>
      </c>
      <c r="L456" s="327">
        <f t="shared" si="174"/>
        <v>2.1043691858368962E-4</v>
      </c>
      <c r="M456" s="327">
        <f t="shared" si="175"/>
        <v>2.5633468497070827E-3</v>
      </c>
      <c r="N456" s="327">
        <f t="shared" si="176"/>
        <v>3.7013259759158736E-2</v>
      </c>
      <c r="O456" s="328">
        <f t="shared" si="177"/>
        <v>1.1007415589029526E-2</v>
      </c>
      <c r="P456" s="327">
        <f t="shared" si="178"/>
        <v>8.0984740676610554E-4</v>
      </c>
      <c r="Q456" s="327">
        <f t="shared" si="179"/>
        <v>1.0840535948713531E-2</v>
      </c>
      <c r="R456" s="327">
        <f t="shared" si="180"/>
        <v>2.0856404664232442E-2</v>
      </c>
      <c r="S456" s="327">
        <f t="shared" si="181"/>
        <v>1.5612836172966967E-2</v>
      </c>
      <c r="T456" s="327">
        <f t="shared" si="182"/>
        <v>0</v>
      </c>
      <c r="U456" s="328">
        <f t="shared" si="183"/>
        <v>4.6552523358389664E-7</v>
      </c>
      <c r="V456" s="327">
        <f t="shared" si="184"/>
        <v>8.6859100310639044E-5</v>
      </c>
      <c r="W456" s="327">
        <f t="shared" si="185"/>
        <v>1.2242633345367327E-3</v>
      </c>
      <c r="X456" s="327">
        <f t="shared" si="186"/>
        <v>1.5442334598321006E-2</v>
      </c>
      <c r="Y456" s="327">
        <f t="shared" si="187"/>
        <v>2.0294121419333299E-2</v>
      </c>
      <c r="Z456" s="327">
        <f t="shared" si="188"/>
        <v>4.2990063921488041E-139</v>
      </c>
      <c r="AA456" s="328">
        <f t="shared" si="189"/>
        <v>1.2961518078620227E-3</v>
      </c>
    </row>
    <row r="457" spans="1:27" ht="12" customHeight="1" x14ac:dyDescent="0.15">
      <c r="A457" s="269">
        <f t="shared" si="163"/>
        <v>442</v>
      </c>
      <c r="B457" s="322">
        <f t="shared" si="164"/>
        <v>408</v>
      </c>
      <c r="C457" s="323">
        <f t="shared" si="165"/>
        <v>1768</v>
      </c>
      <c r="D457" s="327">
        <f t="shared" si="166"/>
        <v>3.8031524353490042E-7</v>
      </c>
      <c r="E457" s="327">
        <f t="shared" si="167"/>
        <v>3.1363740076481869E-6</v>
      </c>
      <c r="F457" s="327">
        <f t="shared" si="168"/>
        <v>8.1379644000161289E-3</v>
      </c>
      <c r="G457" s="327">
        <f t="shared" si="169"/>
        <v>1.2203335748253082E-2</v>
      </c>
      <c r="H457" s="327">
        <f t="shared" si="170"/>
        <v>4.3945818740627881E-3</v>
      </c>
      <c r="I457" s="327">
        <f t="shared" si="171"/>
        <v>3.6373829471969543E-4</v>
      </c>
      <c r="J457" s="327">
        <f t="shared" si="172"/>
        <v>2.0790659121402289E-14</v>
      </c>
      <c r="K457" s="327">
        <f t="shared" si="173"/>
        <v>5.9540906364119411E-16</v>
      </c>
      <c r="L457" s="327">
        <f t="shared" si="174"/>
        <v>2.0884046470348583E-4</v>
      </c>
      <c r="M457" s="327">
        <f t="shared" si="175"/>
        <v>2.554707747581549E-3</v>
      </c>
      <c r="N457" s="327">
        <f t="shared" si="176"/>
        <v>3.7013248276854822E-2</v>
      </c>
      <c r="O457" s="328">
        <f t="shared" si="177"/>
        <v>1.0981809081418938E-2</v>
      </c>
      <c r="P457" s="327">
        <f t="shared" si="178"/>
        <v>7.9687971592444853E-4</v>
      </c>
      <c r="Q457" s="327">
        <f t="shared" si="179"/>
        <v>1.0763159027870384E-2</v>
      </c>
      <c r="R457" s="327">
        <f t="shared" si="180"/>
        <v>2.075812292825896E-2</v>
      </c>
      <c r="S457" s="327">
        <f t="shared" si="181"/>
        <v>1.5553401730910006E-2</v>
      </c>
      <c r="T457" s="327">
        <f t="shared" si="182"/>
        <v>0</v>
      </c>
      <c r="U457" s="328">
        <f t="shared" si="183"/>
        <v>4.4787651831690312E-7</v>
      </c>
      <c r="V457" s="327">
        <f t="shared" si="184"/>
        <v>8.5036679009450192E-5</v>
      </c>
      <c r="W457" s="327">
        <f t="shared" si="185"/>
        <v>1.2091288295835907E-3</v>
      </c>
      <c r="X457" s="327">
        <f t="shared" si="186"/>
        <v>1.5370325102473048E-2</v>
      </c>
      <c r="Y457" s="327">
        <f t="shared" si="187"/>
        <v>2.0228196119335826E-2</v>
      </c>
      <c r="Z457" s="327">
        <f t="shared" si="188"/>
        <v>8.1748397425330154E-141</v>
      </c>
      <c r="AA457" s="328">
        <f t="shared" si="189"/>
        <v>1.2826957134434158E-3</v>
      </c>
    </row>
    <row r="458" spans="1:27" ht="12" customHeight="1" x14ac:dyDescent="0.15">
      <c r="A458" s="269">
        <f t="shared" si="163"/>
        <v>443</v>
      </c>
      <c r="B458" s="322">
        <f t="shared" si="164"/>
        <v>408.92307692307691</v>
      </c>
      <c r="C458" s="323">
        <f t="shared" si="165"/>
        <v>1772</v>
      </c>
      <c r="D458" s="327">
        <f t="shared" si="166"/>
        <v>3.6780630622460323E-7</v>
      </c>
      <c r="E458" s="327">
        <f t="shared" si="167"/>
        <v>3.053109130650052E-6</v>
      </c>
      <c r="F458" s="327">
        <f t="shared" si="168"/>
        <v>8.0992754588340432E-3</v>
      </c>
      <c r="G458" s="327">
        <f t="shared" si="169"/>
        <v>1.2165170791002763E-2</v>
      </c>
      <c r="H458" s="327">
        <f t="shared" si="170"/>
        <v>4.3847567379196152E-3</v>
      </c>
      <c r="I458" s="327">
        <f t="shared" si="171"/>
        <v>3.5964868693594276E-4</v>
      </c>
      <c r="J458" s="327">
        <f t="shared" si="172"/>
        <v>1.9360350195977459E-14</v>
      </c>
      <c r="K458" s="327">
        <f t="shared" si="173"/>
        <v>5.4873088886767081E-16</v>
      </c>
      <c r="L458" s="327">
        <f t="shared" si="174"/>
        <v>2.0725889672801312E-4</v>
      </c>
      <c r="M458" s="327">
        <f t="shared" si="175"/>
        <v>2.5461171121206575E-3</v>
      </c>
      <c r="N458" s="327">
        <f t="shared" si="176"/>
        <v>3.7013237118231408E-2</v>
      </c>
      <c r="O458" s="328">
        <f t="shared" si="177"/>
        <v>1.0956319232918172E-2</v>
      </c>
      <c r="P458" s="327">
        <f t="shared" si="178"/>
        <v>7.8411967038036277E-4</v>
      </c>
      <c r="Q458" s="327">
        <f t="shared" si="179"/>
        <v>1.0686386611048409E-2</v>
      </c>
      <c r="R458" s="327">
        <f t="shared" si="180"/>
        <v>2.0660454416843166E-2</v>
      </c>
      <c r="S458" s="327">
        <f t="shared" si="181"/>
        <v>1.5494323542288555E-2</v>
      </c>
      <c r="T458" s="327">
        <f t="shared" si="182"/>
        <v>0</v>
      </c>
      <c r="U458" s="328">
        <f t="shared" si="183"/>
        <v>4.3089218837444321E-7</v>
      </c>
      <c r="V458" s="327">
        <f t="shared" si="184"/>
        <v>8.3252494569881314E-5</v>
      </c>
      <c r="W458" s="327">
        <f t="shared" si="185"/>
        <v>1.1941875258522803E-3</v>
      </c>
      <c r="X458" s="327">
        <f t="shared" si="186"/>
        <v>1.5298765881769594E-2</v>
      </c>
      <c r="Y458" s="327">
        <f t="shared" si="187"/>
        <v>2.0162628843631659E-2</v>
      </c>
      <c r="Z458" s="327">
        <f t="shared" si="188"/>
        <v>1.480067432037758E-142</v>
      </c>
      <c r="AA458" s="328">
        <f t="shared" si="189"/>
        <v>1.2693924666706824E-3</v>
      </c>
    </row>
    <row r="459" spans="1:27" ht="12" customHeight="1" x14ac:dyDescent="0.15">
      <c r="A459" s="269">
        <f t="shared" si="163"/>
        <v>444</v>
      </c>
      <c r="B459" s="322">
        <f t="shared" si="164"/>
        <v>409.84615384615387</v>
      </c>
      <c r="C459" s="323">
        <f t="shared" si="165"/>
        <v>1776</v>
      </c>
      <c r="D459" s="327">
        <f t="shared" si="166"/>
        <v>3.5570879999757816E-7</v>
      </c>
      <c r="E459" s="327">
        <f t="shared" si="167"/>
        <v>2.9720658734009152E-6</v>
      </c>
      <c r="F459" s="327">
        <f t="shared" si="168"/>
        <v>8.0608349490615128E-3</v>
      </c>
      <c r="G459" s="327">
        <f t="shared" si="169"/>
        <v>1.212720938217904E-2</v>
      </c>
      <c r="H459" s="327">
        <f t="shared" si="170"/>
        <v>4.3750151374618955E-3</v>
      </c>
      <c r="I459" s="327">
        <f t="shared" si="171"/>
        <v>3.5560942594736744E-4</v>
      </c>
      <c r="J459" s="327">
        <f t="shared" si="172"/>
        <v>1.8028440441555469E-14</v>
      </c>
      <c r="K459" s="327">
        <f t="shared" si="173"/>
        <v>5.0570940502592897E-16</v>
      </c>
      <c r="L459" s="327">
        <f t="shared" si="174"/>
        <v>2.0569204905407368E-4</v>
      </c>
      <c r="M459" s="327">
        <f t="shared" si="175"/>
        <v>2.5375745634270727E-3</v>
      </c>
      <c r="N459" s="327">
        <f t="shared" si="176"/>
        <v>3.7013226274163979E-2</v>
      </c>
      <c r="O459" s="328">
        <f t="shared" si="177"/>
        <v>1.0930945252961385E-2</v>
      </c>
      <c r="P459" s="327">
        <f t="shared" si="178"/>
        <v>7.7156394521114976E-4</v>
      </c>
      <c r="Q459" s="327">
        <f t="shared" si="179"/>
        <v>1.0610213486681267E-2</v>
      </c>
      <c r="R459" s="327">
        <f t="shared" si="180"/>
        <v>2.0563394304336069E-2</v>
      </c>
      <c r="S459" s="327">
        <f t="shared" si="181"/>
        <v>1.5435598701520423E-2</v>
      </c>
      <c r="T459" s="327">
        <f t="shared" si="182"/>
        <v>0</v>
      </c>
      <c r="U459" s="328">
        <f t="shared" si="183"/>
        <v>4.145474239436453E-7</v>
      </c>
      <c r="V459" s="327">
        <f t="shared" si="184"/>
        <v>8.1505744730904576E-5</v>
      </c>
      <c r="W459" s="327">
        <f t="shared" si="185"/>
        <v>1.1794368679932078E-3</v>
      </c>
      <c r="X459" s="327">
        <f t="shared" si="186"/>
        <v>1.5227653357920201E-2</v>
      </c>
      <c r="Y459" s="327">
        <f t="shared" si="187"/>
        <v>2.0097416874568674E-2</v>
      </c>
      <c r="Z459" s="327">
        <f t="shared" si="188"/>
        <v>2.5498286562725317E-144</v>
      </c>
      <c r="AA459" s="328">
        <f t="shared" si="189"/>
        <v>1.2562401699665049E-3</v>
      </c>
    </row>
    <row r="460" spans="1:27" ht="12" customHeight="1" x14ac:dyDescent="0.15">
      <c r="A460" s="269">
        <f t="shared" si="163"/>
        <v>445</v>
      </c>
      <c r="B460" s="322">
        <f t="shared" si="164"/>
        <v>410.76923076923077</v>
      </c>
      <c r="C460" s="323">
        <f t="shared" si="165"/>
        <v>1780</v>
      </c>
      <c r="D460" s="327">
        <f t="shared" si="166"/>
        <v>3.4400919248636246E-7</v>
      </c>
      <c r="E460" s="327">
        <f t="shared" si="167"/>
        <v>2.8931846413716871E-6</v>
      </c>
      <c r="F460" s="327">
        <f t="shared" si="168"/>
        <v>8.0226408366020907E-3</v>
      </c>
      <c r="G460" s="327">
        <f t="shared" si="169"/>
        <v>1.2089449990455976E-2</v>
      </c>
      <c r="H460" s="327">
        <f t="shared" si="170"/>
        <v>4.3653562269469282E-3</v>
      </c>
      <c r="I460" s="327">
        <f t="shared" si="171"/>
        <v>3.5161983421905241E-4</v>
      </c>
      <c r="J460" s="327">
        <f t="shared" si="172"/>
        <v>1.6788160413660544E-14</v>
      </c>
      <c r="K460" s="327">
        <f t="shared" si="173"/>
        <v>4.6605837267405873E-16</v>
      </c>
      <c r="L460" s="327">
        <f t="shared" si="174"/>
        <v>2.0413975822630714E-4</v>
      </c>
      <c r="M460" s="327">
        <f t="shared" si="175"/>
        <v>2.529079725423346E-3</v>
      </c>
      <c r="N460" s="327">
        <f t="shared" si="176"/>
        <v>3.7013215735785282E-2</v>
      </c>
      <c r="O460" s="328">
        <f t="shared" si="177"/>
        <v>1.0905686358088822E-2</v>
      </c>
      <c r="P460" s="327">
        <f t="shared" si="178"/>
        <v>7.5920926873447722E-4</v>
      </c>
      <c r="Q460" s="327">
        <f t="shared" si="179"/>
        <v>1.0534634493153479E-2</v>
      </c>
      <c r="R460" s="327">
        <f t="shared" si="180"/>
        <v>2.0466937811281838E-2</v>
      </c>
      <c r="S460" s="327">
        <f t="shared" si="181"/>
        <v>1.537722433293222E-2</v>
      </c>
      <c r="T460" s="327">
        <f t="shared" si="182"/>
        <v>0</v>
      </c>
      <c r="U460" s="328">
        <f t="shared" si="183"/>
        <v>3.9881832458732447E-7</v>
      </c>
      <c r="V460" s="327">
        <f t="shared" si="184"/>
        <v>7.9795644064012441E-5</v>
      </c>
      <c r="W460" s="327">
        <f t="shared" si="185"/>
        <v>1.1648743358075434E-3</v>
      </c>
      <c r="X460" s="327">
        <f t="shared" si="186"/>
        <v>1.5156983987391626E-2</v>
      </c>
      <c r="Y460" s="327">
        <f t="shared" si="187"/>
        <v>2.003255752093799E-2</v>
      </c>
      <c r="Z460" s="327">
        <f t="shared" si="188"/>
        <v>4.1773475433966424E-146</v>
      </c>
      <c r="AA460" s="328">
        <f t="shared" si="189"/>
        <v>1.243236951461224E-3</v>
      </c>
    </row>
    <row r="461" spans="1:27" ht="12" customHeight="1" x14ac:dyDescent="0.15">
      <c r="A461" s="269">
        <f t="shared" si="163"/>
        <v>446</v>
      </c>
      <c r="B461" s="322">
        <f t="shared" si="164"/>
        <v>411.69230769230768</v>
      </c>
      <c r="C461" s="323">
        <f t="shared" si="165"/>
        <v>1784</v>
      </c>
      <c r="D461" s="327">
        <f t="shared" si="166"/>
        <v>3.326943964161834E-7</v>
      </c>
      <c r="E461" s="327">
        <f t="shared" si="167"/>
        <v>2.8164074478905296E-6</v>
      </c>
      <c r="F461" s="327">
        <f t="shared" si="168"/>
        <v>7.9846911077440241E-3</v>
      </c>
      <c r="G461" s="327">
        <f t="shared" si="169"/>
        <v>1.2051891099358293E-2</v>
      </c>
      <c r="H461" s="327">
        <f t="shared" si="170"/>
        <v>4.3557791709659547E-3</v>
      </c>
      <c r="I461" s="327">
        <f t="shared" si="171"/>
        <v>3.4767924416290175E-4</v>
      </c>
      <c r="J461" s="327">
        <f t="shared" si="172"/>
        <v>1.5633206376806431E-14</v>
      </c>
      <c r="K461" s="327">
        <f t="shared" si="173"/>
        <v>4.29513941018594E-16</v>
      </c>
      <c r="L461" s="327">
        <f t="shared" si="174"/>
        <v>2.0260186290554927E-4</v>
      </c>
      <c r="M461" s="327">
        <f t="shared" si="175"/>
        <v>2.5206322258050987E-3</v>
      </c>
      <c r="N461" s="327">
        <f t="shared" si="176"/>
        <v>3.7013205494478049E-2</v>
      </c>
      <c r="O461" s="328">
        <f t="shared" si="177"/>
        <v>1.0880541771867107E-2</v>
      </c>
      <c r="P461" s="327">
        <f t="shared" si="178"/>
        <v>7.4705242165586127E-4</v>
      </c>
      <c r="Q461" s="327">
        <f t="shared" si="179"/>
        <v>1.0459644518264958E-2</v>
      </c>
      <c r="R461" s="327">
        <f t="shared" si="180"/>
        <v>2.0371080203895442E-2</v>
      </c>
      <c r="S461" s="327">
        <f t="shared" si="181"/>
        <v>1.5319197590388167E-2</v>
      </c>
      <c r="T461" s="327">
        <f t="shared" si="182"/>
        <v>0</v>
      </c>
      <c r="U461" s="328">
        <f t="shared" si="183"/>
        <v>3.8368187560422484E-7</v>
      </c>
      <c r="V461" s="327">
        <f t="shared" si="184"/>
        <v>7.8121423620048904E-5</v>
      </c>
      <c r="W461" s="327">
        <f t="shared" si="185"/>
        <v>1.1504974437421534E-3</v>
      </c>
      <c r="X461" s="327">
        <f t="shared" si="186"/>
        <v>1.5086754261007584E-2</v>
      </c>
      <c r="Y461" s="327">
        <f t="shared" si="187"/>
        <v>1.9968048117660547E-2</v>
      </c>
      <c r="Z461" s="327">
        <f t="shared" si="188"/>
        <v>6.5039905806120314E-148</v>
      </c>
      <c r="AA461" s="328">
        <f t="shared" si="189"/>
        <v>1.2303809646126984E-3</v>
      </c>
    </row>
    <row r="462" spans="1:27" ht="12" customHeight="1" x14ac:dyDescent="0.15">
      <c r="A462" s="269">
        <f t="shared" si="163"/>
        <v>447</v>
      </c>
      <c r="B462" s="322">
        <f t="shared" si="164"/>
        <v>412.61538461538464</v>
      </c>
      <c r="C462" s="323">
        <f t="shared" si="165"/>
        <v>1788</v>
      </c>
      <c r="D462" s="327">
        <f t="shared" si="166"/>
        <v>3.2175175496543194E-7</v>
      </c>
      <c r="E462" s="327">
        <f t="shared" si="167"/>
        <v>2.7416778704918304E-6</v>
      </c>
      <c r="F462" s="327">
        <f t="shared" si="168"/>
        <v>7.9469837689178924E-3</v>
      </c>
      <c r="G462" s="327">
        <f t="shared" si="169"/>
        <v>1.2014531207085353E-2</v>
      </c>
      <c r="H462" s="327">
        <f t="shared" si="170"/>
        <v>4.3462831442948203E-3</v>
      </c>
      <c r="I462" s="327">
        <f t="shared" si="171"/>
        <v>3.4378699797754653E-4</v>
      </c>
      <c r="J462" s="327">
        <f t="shared" si="172"/>
        <v>1.4557708265698566E-14</v>
      </c>
      <c r="K462" s="327">
        <f t="shared" si="173"/>
        <v>3.9583289817567552E-16</v>
      </c>
      <c r="L462" s="327">
        <f t="shared" si="174"/>
        <v>2.0107820383752362E-4</v>
      </c>
      <c r="M462" s="327">
        <f t="shared" si="175"/>
        <v>2.5122316959948622E-3</v>
      </c>
      <c r="N462" s="327">
        <f t="shared" si="176"/>
        <v>3.701319554186789E-2</v>
      </c>
      <c r="O462" s="328">
        <f t="shared" si="177"/>
        <v>1.0855510724810894E-2</v>
      </c>
      <c r="P462" s="327">
        <f t="shared" si="178"/>
        <v>7.3509023622980816E-4</v>
      </c>
      <c r="Q462" s="327">
        <f t="shared" si="179"/>
        <v>1.0385238498702161E-2</v>
      </c>
      <c r="R462" s="327">
        <f t="shared" si="180"/>
        <v>2.0275816793545731E-2</v>
      </c>
      <c r="S462" s="327">
        <f t="shared" si="181"/>
        <v>1.526151565692445E-2</v>
      </c>
      <c r="T462" s="327">
        <f t="shared" si="182"/>
        <v>0</v>
      </c>
      <c r="U462" s="328">
        <f t="shared" si="183"/>
        <v>3.6911591561050727E-7</v>
      </c>
      <c r="V462" s="327">
        <f t="shared" si="184"/>
        <v>7.6482330583450307E-5</v>
      </c>
      <c r="W462" s="327">
        <f t="shared" si="185"/>
        <v>1.1363037403922529E-3</v>
      </c>
      <c r="X462" s="327">
        <f t="shared" si="186"/>
        <v>1.5016960703553184E-2</v>
      </c>
      <c r="Y462" s="327">
        <f t="shared" si="187"/>
        <v>1.9903886025478188E-2</v>
      </c>
      <c r="Z462" s="327">
        <f t="shared" si="188"/>
        <v>9.617785811015089E-150</v>
      </c>
      <c r="AA462" s="328">
        <f t="shared" si="189"/>
        <v>1.2176703878341577E-3</v>
      </c>
    </row>
    <row r="463" spans="1:27" ht="12" customHeight="1" x14ac:dyDescent="0.15">
      <c r="A463" s="269">
        <f t="shared" si="163"/>
        <v>448</v>
      </c>
      <c r="B463" s="322">
        <f t="shared" si="164"/>
        <v>413.53846153846155</v>
      </c>
      <c r="C463" s="323">
        <f t="shared" si="165"/>
        <v>1792</v>
      </c>
      <c r="D463" s="327">
        <f t="shared" si="166"/>
        <v>3.1116902760764372E-7</v>
      </c>
      <c r="E463" s="327">
        <f t="shared" si="167"/>
        <v>2.6689410084584185E-6</v>
      </c>
      <c r="F463" s="327">
        <f t="shared" si="168"/>
        <v>7.9095168464579091E-3</v>
      </c>
      <c r="G463" s="327">
        <f t="shared" si="169"/>
        <v>1.197736882633741E-2</v>
      </c>
      <c r="H463" s="327">
        <f t="shared" si="170"/>
        <v>4.3368673317470113E-3</v>
      </c>
      <c r="I463" s="327">
        <f t="shared" si="171"/>
        <v>3.3994244749291358E-4</v>
      </c>
      <c r="J463" s="327">
        <f t="shared" si="172"/>
        <v>1.355619985056973E-14</v>
      </c>
      <c r="K463" s="327">
        <f t="shared" si="173"/>
        <v>3.6479105806493077E-16</v>
      </c>
      <c r="L463" s="327">
        <f t="shared" si="174"/>
        <v>1.995686238220884E-4</v>
      </c>
      <c r="M463" s="327">
        <f t="shared" si="175"/>
        <v>2.5038777710965966E-3</v>
      </c>
      <c r="N463" s="327">
        <f t="shared" si="176"/>
        <v>3.7013185869816508E-2</v>
      </c>
      <c r="O463" s="328">
        <f t="shared" si="177"/>
        <v>1.0830592454305453E-2</v>
      </c>
      <c r="P463" s="327">
        <f t="shared" si="178"/>
        <v>7.23319595434385E-4</v>
      </c>
      <c r="Q463" s="327">
        <f t="shared" si="179"/>
        <v>1.0311411419515569E-2</v>
      </c>
      <c r="R463" s="327">
        <f t="shared" si="180"/>
        <v>2.0181142936245622E-2</v>
      </c>
      <c r="S463" s="327">
        <f t="shared" si="181"/>
        <v>1.520417574438887E-2</v>
      </c>
      <c r="T463" s="327">
        <f t="shared" si="182"/>
        <v>0</v>
      </c>
      <c r="U463" s="328">
        <f t="shared" si="183"/>
        <v>3.5509910478737083E-7</v>
      </c>
      <c r="V463" s="327">
        <f t="shared" si="184"/>
        <v>7.4877627933740888E-5</v>
      </c>
      <c r="W463" s="327">
        <f t="shared" si="185"/>
        <v>1.1222908080114663E-3</v>
      </c>
      <c r="X463" s="327">
        <f t="shared" si="186"/>
        <v>1.4947599873384898E-2</v>
      </c>
      <c r="Y463" s="327">
        <f t="shared" si="187"/>
        <v>1.9840068630649015E-2</v>
      </c>
      <c r="Z463" s="327">
        <f t="shared" si="188"/>
        <v>1.3499231032555221E-151</v>
      </c>
      <c r="AA463" s="328">
        <f t="shared" si="189"/>
        <v>1.2051034241258307E-3</v>
      </c>
    </row>
    <row r="464" spans="1:27" ht="12" customHeight="1" x14ac:dyDescent="0.15">
      <c r="A464" s="269">
        <f t="shared" ref="A464:A488" si="190">+A463+1</f>
        <v>449</v>
      </c>
      <c r="B464" s="322">
        <f t="shared" ref="B464:B488" si="191">12*C464/52</f>
        <v>414.46153846153845</v>
      </c>
      <c r="C464" s="323">
        <f t="shared" ref="C464:C488" si="192">+C463+4</f>
        <v>1796</v>
      </c>
      <c r="D464" s="327">
        <f t="shared" ref="D464:D488" si="193">EXP(-(EXP(-$D$7)*$B464))</f>
        <v>3.0093437641914099E-7</v>
      </c>
      <c r="E464" s="327">
        <f t="shared" ref="E464:E488" si="194">EXP(-EXP(-($E$7/EXP($E$8)))*$B464^(1/EXP($E$8)))</f>
        <v>2.5981434415239886E-6</v>
      </c>
      <c r="F464" s="327">
        <f t="shared" ref="F464:F488" si="195">1 - _xlfn.NORM.S.DIST(((LN($B464) - $F$7)/EXP($F$8)), TRUE())</f>
        <v>7.8722883863650006E-3</v>
      </c>
      <c r="G464" s="327">
        <f t="shared" ref="G464:G488" si="196">1/(1+EXP(-($G$7/EXP($G$8)))*$B464^(1/EXP($G$8)))</f>
        <v>1.1940402484144396E-2</v>
      </c>
      <c r="H464" s="327">
        <f t="shared" ref="H464:H488" si="197">IF($H$8=0,EXP(-EXP($H$7)*$B464),EXP(-(EXP($H$7)/$H$8)*(EXP($H$8*$B464)-1)))</f>
        <v>4.3275309280292433E-3</v>
      </c>
      <c r="I464" s="327">
        <f t="shared" ref="I464:I488" si="198">IF($I$9&gt;0,1-_xlfn.GAMMA.DIST(EXP($I$9*(LN($B464)-$I$7)/$I$8)/$I$9^2,1/$I$9^2,1,TRUE()),_xlfn.GAMMA.DIST(EXP($I$9*(LN($B464)-$I$7)/$I$8)/$I$9^2,1/$I$9^2,1,TRUE()))</f>
        <v>3.3614495401668165E-4</v>
      </c>
      <c r="J464" s="327">
        <f t="shared" ref="J464:J488" si="199">EXP(-(EXP(-$J$7)*$B464))</f>
        <v>1.2623590955012797E-14</v>
      </c>
      <c r="K464" s="327">
        <f t="shared" ref="K464:K488" si="200">EXP(-EXP(-($K$7/EXP($K$8)))*$B464^(1/EXP($K$8)))</f>
        <v>3.3618177327587872E-16</v>
      </c>
      <c r="L464" s="327">
        <f t="shared" ref="L464:L488" si="201">1 - _xlfn.NORM.S.DIST(((LN($B464) - $L$7)/EXP($L$8)), TRUE())</f>
        <v>1.980729676825943E-4</v>
      </c>
      <c r="M464" s="327">
        <f t="shared" ref="M464:M488" si="202">1/(1+EXP(-($M$7/EXP($M$8)))*$B464^(1/EXP($M$8)))</f>
        <v>2.4955700898508177E-3</v>
      </c>
      <c r="N464" s="327">
        <f t="shared" ref="N464:N488" si="203">IF($N$8=0,EXP(-EXP($N$7)*$B464),EXP(-(EXP($N$7)/$N$8)*(EXP($N$8*$B464)-1)))</f>
        <v>3.7013176470415021E-2</v>
      </c>
      <c r="O464" s="328">
        <f t="shared" ref="O464:O488" si="204">IF($O$9&gt;0,1-_xlfn.GAMMA.DIST(EXP($O$9*(LN($B464)-$O$7)/$O$8)/$O$9^2,1/$O$9^2,1,TRUE()),_xlfn.GAMMA.DIST(EXP($O$9*(LN($B464)-$O$7)/$O$8)/$O$9^2,1/$O$9^2,1,TRUE()))</f>
        <v>1.0805786204530207E-2</v>
      </c>
      <c r="P464" s="327">
        <f t="shared" ref="P464:P488" si="205">EXP(-(EXP(-$P$7)*$B464))</f>
        <v>7.1173743215900817E-4</v>
      </c>
      <c r="Q464" s="327">
        <f t="shared" ref="Q464:Q488" si="206">EXP(-EXP(-($Q$7/EXP($Q$8)))*$B464^(1/EXP($Q$8)))</f>
        <v>1.0238158313603064E-2</v>
      </c>
      <c r="R464" s="327">
        <f t="shared" ref="R464:R488" si="207">1 - _xlfn.NORM.S.DIST(((LN($B464) - $R$7)/EXP($R$8)), TRUE())</f>
        <v>2.0087054032149276E-2</v>
      </c>
      <c r="S464" s="327">
        <f t="shared" ref="S464:S488" si="208">1/(1+EXP(-($S$7/EXP($S$8)))*$B464^(1/EXP($S$8)))</f>
        <v>1.514717509308542E-2</v>
      </c>
      <c r="T464" s="327">
        <f t="shared" ref="T464:T488" si="209">IF($T$8=0,EXP(-EXP($T$7)*$B464),EXP(-(EXP($T$7)/$T$8)*(EXP($T$8*$B464)-1)))</f>
        <v>0</v>
      </c>
      <c r="U464" s="328">
        <f t="shared" ref="U464:U488" si="210">IF($U$9&gt;0,1-_xlfn.GAMMA.DIST(EXP($U$9*(LN($B464)-$U$7)/$U$8)/$U$9^2,1/$U$9^2,1,TRUE()),_xlfn.GAMMA.DIST(EXP($U$9*(LN($B464)-$U$7)/$U$8)/$U$9^2,1/$U$9^2,1,TRUE()))</f>
        <v>3.4161089534912037E-7</v>
      </c>
      <c r="V464" s="327">
        <f t="shared" ref="V464:V488" si="211">EXP(-(EXP(-$V$7)*$B464))</f>
        <v>7.3306594114130389E-5</v>
      </c>
      <c r="W464" s="327">
        <f t="shared" ref="W464:W488" si="212">EXP(-EXP(-($W$7/EXP($W$8)))*$B464^(1/EXP($W$8)))</f>
        <v>1.1084562620292707E-3</v>
      </c>
      <c r="X464" s="327">
        <f t="shared" ref="X464:X488" si="213">1 - _xlfn.NORM.S.DIST(((LN($B464) - $X$7)/EXP($X$8)), TRUE())</f>
        <v>1.48786683620451E-2</v>
      </c>
      <c r="Y464" s="327">
        <f t="shared" ref="Y464:Y488" si="214">1/(1+EXP(-($Y$7/EXP($Y$8)))*$B464^(1/EXP($Y$8)))</f>
        <v>1.9776593344646723E-2</v>
      </c>
      <c r="Z464" s="327">
        <f t="shared" ref="Z464:Z488" si="215">IF($Z$8=0,EXP(-EXP($Z$7)*$B464),EXP(-(EXP($Z$7)/$Z$8)*(EXP($Z$8*$B464)-1)))</f>
        <v>1.7972193578377435E-153</v>
      </c>
      <c r="AA464" s="328">
        <f t="shared" ref="AA464:AA488" si="216">IF($AA$9&gt;0,1-_xlfn.GAMMA.DIST(EXP($AA$9*(LN($B464)-$AA$7)/$AA$8)/$AA$9^2,1/$AA$9^2,1,TRUE()),_xlfn.GAMMA.DIST(EXP($AA$9*(LN($B464)-$AA$7)/$AA$8)/$AA$9^2,1/$AA$9^2,1,TRUE()))</f>
        <v>1.192678300714678E-3</v>
      </c>
    </row>
    <row r="465" spans="1:27" ht="12" customHeight="1" x14ac:dyDescent="0.15">
      <c r="A465" s="269">
        <f t="shared" si="190"/>
        <v>450</v>
      </c>
      <c r="B465" s="322">
        <f t="shared" si="191"/>
        <v>415.38461538461536</v>
      </c>
      <c r="C465" s="323">
        <f t="shared" si="192"/>
        <v>1800</v>
      </c>
      <c r="D465" s="327">
        <f t="shared" si="193"/>
        <v>2.9103635283704134E-7</v>
      </c>
      <c r="E465" s="327">
        <f t="shared" si="194"/>
        <v>2.529233189703991E-6</v>
      </c>
      <c r="F465" s="327">
        <f t="shared" si="195"/>
        <v>7.8352964540747694E-3</v>
      </c>
      <c r="G465" s="327">
        <f t="shared" si="196"/>
        <v>1.1903630721697167E-2</v>
      </c>
      <c r="H465" s="327">
        <f t="shared" si="197"/>
        <v>4.3182731375993235E-3</v>
      </c>
      <c r="I465" s="327">
        <f t="shared" si="198"/>
        <v>3.3239388818318005E-4</v>
      </c>
      <c r="J465" s="327">
        <f t="shared" si="199"/>
        <v>1.1755141585108975E-14</v>
      </c>
      <c r="K465" s="327">
        <f t="shared" si="200"/>
        <v>3.0981456407807509E-16</v>
      </c>
      <c r="L465" s="327">
        <f t="shared" si="201"/>
        <v>1.9659108223601951E-4</v>
      </c>
      <c r="M465" s="327">
        <f t="shared" si="202"/>
        <v>2.487308294590452E-3</v>
      </c>
      <c r="N465" s="327">
        <f t="shared" si="203"/>
        <v>3.7013167335977523E-2</v>
      </c>
      <c r="O465" s="328">
        <f t="shared" si="204"/>
        <v>1.0781091226383493E-2</v>
      </c>
      <c r="P465" s="327">
        <f t="shared" si="205"/>
        <v>7.0034072840523785E-4</v>
      </c>
      <c r="Q465" s="327">
        <f t="shared" si="206"/>
        <v>1.016547426120022E-2</v>
      </c>
      <c r="R465" s="327">
        <f t="shared" si="207"/>
        <v>1.9993545525055612E-2</v>
      </c>
      <c r="S465" s="327">
        <f t="shared" si="208"/>
        <v>1.5090510971424454E-2</v>
      </c>
      <c r="T465" s="327">
        <f t="shared" si="209"/>
        <v>0</v>
      </c>
      <c r="U465" s="328">
        <f t="shared" si="210"/>
        <v>3.2863150178918943E-7</v>
      </c>
      <c r="V465" s="327">
        <f t="shared" si="211"/>
        <v>7.1768522707065248E-5</v>
      </c>
      <c r="W465" s="327">
        <f t="shared" si="212"/>
        <v>1.0947977505757823E-3</v>
      </c>
      <c r="X465" s="327">
        <f t="shared" si="213"/>
        <v>1.4810162793882808E-2</v>
      </c>
      <c r="Y465" s="327">
        <f t="shared" si="214"/>
        <v>1.9713457603864521E-2</v>
      </c>
      <c r="Z465" s="327">
        <f t="shared" si="215"/>
        <v>2.2681261000210072E-155</v>
      </c>
      <c r="AA465" s="328">
        <f t="shared" si="216"/>
        <v>1.1803932686980101E-3</v>
      </c>
    </row>
    <row r="466" spans="1:27" ht="12" customHeight="1" x14ac:dyDescent="0.15">
      <c r="A466" s="269">
        <f t="shared" si="190"/>
        <v>451</v>
      </c>
      <c r="B466" s="322">
        <f t="shared" si="191"/>
        <v>416.30769230769232</v>
      </c>
      <c r="C466" s="323">
        <f t="shared" si="192"/>
        <v>1804</v>
      </c>
      <c r="D466" s="327">
        <f t="shared" si="193"/>
        <v>2.8146388485280134E-7</v>
      </c>
      <c r="E466" s="327">
        <f t="shared" si="194"/>
        <v>2.4621596742233388E-6</v>
      </c>
      <c r="F466" s="327">
        <f t="shared" si="195"/>
        <v>7.7985391342275667E-3</v>
      </c>
      <c r="G466" s="327">
        <f t="shared" si="196"/>
        <v>1.1867052094180968E-2</v>
      </c>
      <c r="H466" s="327">
        <f t="shared" si="197"/>
        <v>4.3090931745264453E-3</v>
      </c>
      <c r="I466" s="327">
        <f t="shared" si="198"/>
        <v>3.2868862980595104E-4</v>
      </c>
      <c r="J466" s="327">
        <f t="shared" si="199"/>
        <v>1.0946437838362079E-14</v>
      </c>
      <c r="K466" s="327">
        <f t="shared" si="200"/>
        <v>2.8551385451160534E-16</v>
      </c>
      <c r="L466" s="327">
        <f t="shared" si="201"/>
        <v>1.9512281626432593E-4</v>
      </c>
      <c r="M466" s="327">
        <f t="shared" si="202"/>
        <v>2.4790920311972466E-3</v>
      </c>
      <c r="N466" s="327">
        <f t="shared" si="203"/>
        <v>3.701315845903478E-2</v>
      </c>
      <c r="O466" s="328">
        <f t="shared" si="204"/>
        <v>1.0756506777408074E-2</v>
      </c>
      <c r="P466" s="327">
        <f t="shared" si="205"/>
        <v>6.8912651450036644E-4</v>
      </c>
      <c r="Q466" s="327">
        <f t="shared" si="206"/>
        <v>1.0093354389375775E-2</v>
      </c>
      <c r="R466" s="327">
        <f t="shared" si="207"/>
        <v>1.9900612901918691E-2</v>
      </c>
      <c r="S466" s="327">
        <f t="shared" si="208"/>
        <v>1.5034180675577316E-2</v>
      </c>
      <c r="T466" s="327">
        <f t="shared" si="209"/>
        <v>0</v>
      </c>
      <c r="U466" s="328">
        <f t="shared" si="210"/>
        <v>3.1614187334660926E-7</v>
      </c>
      <c r="V466" s="327">
        <f t="shared" si="211"/>
        <v>7.0262722116586266E-5</v>
      </c>
      <c r="W466" s="327">
        <f t="shared" si="212"/>
        <v>1.0813129540135592E-3</v>
      </c>
      <c r="X466" s="327">
        <f t="shared" si="213"/>
        <v>1.4742079825678545E-2</v>
      </c>
      <c r="Y466" s="327">
        <f t="shared" si="214"/>
        <v>1.9650658869322903E-2</v>
      </c>
      <c r="Z466" s="327">
        <f t="shared" si="215"/>
        <v>2.711563380837968E-157</v>
      </c>
      <c r="AA466" s="328">
        <f t="shared" si="216"/>
        <v>1.1682466026938787E-3</v>
      </c>
    </row>
    <row r="467" spans="1:27" ht="12" customHeight="1" x14ac:dyDescent="0.15">
      <c r="A467" s="269">
        <f t="shared" si="190"/>
        <v>452</v>
      </c>
      <c r="B467" s="322">
        <f t="shared" si="191"/>
        <v>417.23076923076923</v>
      </c>
      <c r="C467" s="323">
        <f t="shared" si="192"/>
        <v>1808</v>
      </c>
      <c r="D467" s="327">
        <f t="shared" si="193"/>
        <v>2.7220626462698075E-7</v>
      </c>
      <c r="E467" s="327">
        <f t="shared" si="194"/>
        <v>2.3968736795116263E-6</v>
      </c>
      <c r="F467" s="327">
        <f t="shared" si="195"/>
        <v>7.7620145304425625E-3</v>
      </c>
      <c r="G467" s="327">
        <f t="shared" si="196"/>
        <v>1.1830665170611343E-2</v>
      </c>
      <c r="H467" s="327">
        <f t="shared" si="197"/>
        <v>4.2999902623537143E-3</v>
      </c>
      <c r="I467" s="327">
        <f t="shared" si="198"/>
        <v>3.2502856773131139E-4</v>
      </c>
      <c r="J467" s="327">
        <f t="shared" si="199"/>
        <v>1.0193369469995636E-14</v>
      </c>
      <c r="K467" s="327">
        <f t="shared" si="200"/>
        <v>2.6311780720207418E-16</v>
      </c>
      <c r="L467" s="327">
        <f t="shared" si="201"/>
        <v>1.9366802048481624E-4</v>
      </c>
      <c r="M467" s="327">
        <f t="shared" si="202"/>
        <v>2.4709209490588351E-3</v>
      </c>
      <c r="N467" s="327">
        <f t="shared" si="203"/>
        <v>3.7013149832328049E-2</v>
      </c>
      <c r="O467" s="328">
        <f t="shared" si="204"/>
        <v>1.0732032121717869E-2</v>
      </c>
      <c r="P467" s="327">
        <f t="shared" si="205"/>
        <v>6.7809186832360792E-4</v>
      </c>
      <c r="Q467" s="327">
        <f t="shared" si="206"/>
        <v>1.0021793871534049E-2</v>
      </c>
      <c r="R467" s="327">
        <f t="shared" si="207"/>
        <v>1.9808251692363221E-2</v>
      </c>
      <c r="S467" s="327">
        <f t="shared" si="208"/>
        <v>1.4978181529136518E-2</v>
      </c>
      <c r="T467" s="327">
        <f t="shared" si="209"/>
        <v>0</v>
      </c>
      <c r="U467" s="328">
        <f t="shared" si="210"/>
        <v>3.0412366647247779E-7</v>
      </c>
      <c r="V467" s="327">
        <f t="shared" si="211"/>
        <v>6.8788515257352944E-5</v>
      </c>
      <c r="W467" s="327">
        <f t="shared" si="212"/>
        <v>1.0679995844765106E-3</v>
      </c>
      <c r="X467" s="327">
        <f t="shared" si="213"/>
        <v>1.4674416146274738E-2</v>
      </c>
      <c r="Y467" s="327">
        <f t="shared" si="214"/>
        <v>1.9588194626381394E-2</v>
      </c>
      <c r="Z467" s="327">
        <f t="shared" si="215"/>
        <v>3.0687932019330906E-159</v>
      </c>
      <c r="AA467" s="328">
        <f t="shared" si="216"/>
        <v>1.1562366004969071E-3</v>
      </c>
    </row>
    <row r="468" spans="1:27" ht="12" customHeight="1" x14ac:dyDescent="0.15">
      <c r="A468" s="269">
        <f t="shared" si="190"/>
        <v>453</v>
      </c>
      <c r="B468" s="322">
        <f t="shared" si="191"/>
        <v>418.15384615384613</v>
      </c>
      <c r="C468" s="323">
        <f t="shared" si="192"/>
        <v>1812</v>
      </c>
      <c r="D468" s="327">
        <f t="shared" si="193"/>
        <v>2.6325313651136631E-7</v>
      </c>
      <c r="E468" s="327">
        <f t="shared" si="194"/>
        <v>2.3333273162357743E-6</v>
      </c>
      <c r="F468" s="327">
        <f t="shared" si="195"/>
        <v>7.7257207650938131E-3</v>
      </c>
      <c r="G468" s="327">
        <f t="shared" si="196"/>
        <v>1.1794468533672107E-2</v>
      </c>
      <c r="H468" s="327">
        <f t="shared" si="197"/>
        <v>4.2909636339629915E-3</v>
      </c>
      <c r="I468" s="327">
        <f t="shared" si="198"/>
        <v>3.2141309969557774E-4</v>
      </c>
      <c r="J468" s="327">
        <f t="shared" si="199"/>
        <v>9.492109002592793E-15</v>
      </c>
      <c r="K468" s="327">
        <f t="shared" si="200"/>
        <v>2.4247724919497159E-16</v>
      </c>
      <c r="L468" s="327">
        <f t="shared" si="201"/>
        <v>1.9222654752204527E-4</v>
      </c>
      <c r="M468" s="327">
        <f t="shared" si="202"/>
        <v>2.4627947010264135E-3</v>
      </c>
      <c r="N468" s="327">
        <f t="shared" si="203"/>
        <v>3.701314144880332E-2</v>
      </c>
      <c r="O468" s="328">
        <f t="shared" si="204"/>
        <v>1.0707666529925445E-2</v>
      </c>
      <c r="P468" s="327">
        <f t="shared" si="205"/>
        <v>6.6723391454466682E-4</v>
      </c>
      <c r="Q468" s="327">
        <f t="shared" si="206"/>
        <v>9.9507879269225621E-3</v>
      </c>
      <c r="R468" s="327">
        <f t="shared" si="207"/>
        <v>1.9716457468208159E-2</v>
      </c>
      <c r="S468" s="327">
        <f t="shared" si="208"/>
        <v>1.4922510882780241E-2</v>
      </c>
      <c r="T468" s="327">
        <f t="shared" si="209"/>
        <v>0</v>
      </c>
      <c r="U468" s="328">
        <f t="shared" si="210"/>
        <v>2.9255921929483009E-7</v>
      </c>
      <c r="V468" s="327">
        <f t="shared" si="211"/>
        <v>6.7345239250189308E-5</v>
      </c>
      <c r="W468" s="327">
        <f t="shared" si="212"/>
        <v>1.0548553854157012E-3</v>
      </c>
      <c r="X468" s="327">
        <f t="shared" si="213"/>
        <v>1.4607168476210575E-2</v>
      </c>
      <c r="Y468" s="327">
        <f t="shared" si="214"/>
        <v>1.9526062384454427E-2</v>
      </c>
      <c r="Z468" s="327">
        <f t="shared" si="215"/>
        <v>3.2856100948004173E-161</v>
      </c>
      <c r="AA468" s="328">
        <f t="shared" si="216"/>
        <v>1.1443615827388953E-3</v>
      </c>
    </row>
    <row r="469" spans="1:27" ht="12" customHeight="1" x14ac:dyDescent="0.15">
      <c r="A469" s="269">
        <f t="shared" si="190"/>
        <v>454</v>
      </c>
      <c r="B469" s="322">
        <f t="shared" si="191"/>
        <v>419.07692307692309</v>
      </c>
      <c r="C469" s="323">
        <f t="shared" si="192"/>
        <v>1816</v>
      </c>
      <c r="D469" s="327">
        <f t="shared" si="193"/>
        <v>2.5459448546505928E-7</v>
      </c>
      <c r="E469" s="327">
        <f t="shared" si="194"/>
        <v>2.2714739853420117E-6</v>
      </c>
      <c r="F469" s="327">
        <f t="shared" si="195"/>
        <v>7.6896559790906593E-3</v>
      </c>
      <c r="G469" s="327">
        <f t="shared" si="196"/>
        <v>1.1758460779555875E-2</v>
      </c>
      <c r="H469" s="327">
        <f t="shared" si="197"/>
        <v>4.2820125314419017E-3</v>
      </c>
      <c r="I469" s="327">
        <f t="shared" si="198"/>
        <v>3.1784163218451233E-4</v>
      </c>
      <c r="J469" s="327">
        <f t="shared" si="199"/>
        <v>8.8390922729049024E-15</v>
      </c>
      <c r="K469" s="327">
        <f t="shared" si="200"/>
        <v>2.2345468170563147E-16</v>
      </c>
      <c r="L469" s="327">
        <f t="shared" si="201"/>
        <v>1.9079825188006438E-4</v>
      </c>
      <c r="M469" s="327">
        <f t="shared" si="202"/>
        <v>2.4547129433730264E-3</v>
      </c>
      <c r="N469" s="327">
        <f t="shared" si="203"/>
        <v>3.7013133301605335E-2</v>
      </c>
      <c r="O469" s="328">
        <f t="shared" si="204"/>
        <v>1.0683409279070641E-2</v>
      </c>
      <c r="P469" s="327">
        <f t="shared" si="205"/>
        <v>6.5654982387450516E-4</v>
      </c>
      <c r="Q469" s="327">
        <f t="shared" si="206"/>
        <v>9.8803318201459069E-3</v>
      </c>
      <c r="R469" s="327">
        <f t="shared" si="207"/>
        <v>1.9625225842995087E-2</v>
      </c>
      <c r="S469" s="327">
        <f t="shared" si="208"/>
        <v>1.4867166113942057E-2</v>
      </c>
      <c r="T469" s="327">
        <f t="shared" si="209"/>
        <v>0</v>
      </c>
      <c r="U469" s="328">
        <f t="shared" si="210"/>
        <v>2.8143152630555335E-7</v>
      </c>
      <c r="V469" s="327">
        <f t="shared" si="211"/>
        <v>6.5932245124020791E-5</v>
      </c>
      <c r="W469" s="327">
        <f t="shared" si="212"/>
        <v>1.0418781311519762E-3</v>
      </c>
      <c r="X469" s="327">
        <f t="shared" si="213"/>
        <v>1.4540333567362063E-2</v>
      </c>
      <c r="Y469" s="327">
        <f t="shared" si="214"/>
        <v>1.9464259676731131E-2</v>
      </c>
      <c r="Z469" s="327">
        <f t="shared" si="215"/>
        <v>3.3255735009364803E-163</v>
      </c>
      <c r="AA469" s="328">
        <f t="shared" si="216"/>
        <v>1.1326198925557529E-3</v>
      </c>
    </row>
    <row r="470" spans="1:27" ht="12" customHeight="1" x14ac:dyDescent="0.15">
      <c r="A470" s="269">
        <f t="shared" si="190"/>
        <v>455</v>
      </c>
      <c r="B470" s="322">
        <f t="shared" si="191"/>
        <v>420</v>
      </c>
      <c r="C470" s="323">
        <f t="shared" si="192"/>
        <v>1820</v>
      </c>
      <c r="D470" s="327">
        <f t="shared" si="193"/>
        <v>2.4622062585157382E-7</v>
      </c>
      <c r="E470" s="327">
        <f t="shared" si="194"/>
        <v>2.2112683430790442E-6</v>
      </c>
      <c r="F470" s="327">
        <f t="shared" si="195"/>
        <v>7.6538183316599007E-3</v>
      </c>
      <c r="G470" s="327">
        <f t="shared" si="196"/>
        <v>1.1722640517806469E-2</v>
      </c>
      <c r="H470" s="327">
        <f t="shared" si="197"/>
        <v>4.2731362059530509E-3</v>
      </c>
      <c r="I470" s="327">
        <f t="shared" si="198"/>
        <v>3.1431358029498924E-4</v>
      </c>
      <c r="J470" s="327">
        <f t="shared" si="199"/>
        <v>8.2310003169565239E-15</v>
      </c>
      <c r="K470" s="327">
        <f t="shared" si="200"/>
        <v>2.0592336723459217E-16</v>
      </c>
      <c r="L470" s="327">
        <f t="shared" si="201"/>
        <v>1.8938298991499902E-4</v>
      </c>
      <c r="M470" s="327">
        <f t="shared" si="202"/>
        <v>2.4466753357524317E-3</v>
      </c>
      <c r="N470" s="327">
        <f t="shared" si="203"/>
        <v>3.7013125384072136E-2</v>
      </c>
      <c r="O470" s="328">
        <f t="shared" si="204"/>
        <v>1.0659259652549994E-2</v>
      </c>
      <c r="P470" s="327">
        <f t="shared" si="205"/>
        <v>6.4603681232811158E-4</v>
      </c>
      <c r="Q470" s="327">
        <f t="shared" si="206"/>
        <v>9.8104208606853878E-3</v>
      </c>
      <c r="R470" s="327">
        <f t="shared" si="207"/>
        <v>1.9534552471523137E-2</v>
      </c>
      <c r="S470" s="327">
        <f t="shared" si="208"/>
        <v>1.4812144626485115E-2</v>
      </c>
      <c r="T470" s="327">
        <f t="shared" si="209"/>
        <v>0</v>
      </c>
      <c r="U470" s="328">
        <f t="shared" si="210"/>
        <v>2.7072421393548041E-7</v>
      </c>
      <c r="V470" s="327">
        <f t="shared" si="211"/>
        <v>6.4548897524062821E-5</v>
      </c>
      <c r="W470" s="327">
        <f t="shared" si="212"/>
        <v>1.0290656264352845E-3</v>
      </c>
      <c r="X470" s="327">
        <f t="shared" si="213"/>
        <v>1.4473908202586871E-2</v>
      </c>
      <c r="Y470" s="327">
        <f t="shared" si="214"/>
        <v>1.9402784059898807E-2</v>
      </c>
      <c r="Z470" s="327">
        <f t="shared" si="215"/>
        <v>3.1799266108333495E-165</v>
      </c>
      <c r="AA470" s="328">
        <f t="shared" si="216"/>
        <v>1.1210098952594283E-3</v>
      </c>
    </row>
    <row r="471" spans="1:27" ht="12" customHeight="1" x14ac:dyDescent="0.15">
      <c r="A471" s="269">
        <f t="shared" si="190"/>
        <v>456</v>
      </c>
      <c r="B471" s="322">
        <f t="shared" si="191"/>
        <v>420.92307692307691</v>
      </c>
      <c r="C471" s="323">
        <f t="shared" si="192"/>
        <v>1824</v>
      </c>
      <c r="D471" s="327">
        <f t="shared" si="193"/>
        <v>2.3812219060440234E-7</v>
      </c>
      <c r="E471" s="327">
        <f t="shared" si="194"/>
        <v>2.1526662669759378E-6</v>
      </c>
      <c r="F471" s="327">
        <f t="shared" si="195"/>
        <v>7.6182060001322993E-3</v>
      </c>
      <c r="G471" s="327">
        <f t="shared" si="196"/>
        <v>1.168700637116365E-2</v>
      </c>
      <c r="H471" s="327">
        <f t="shared" si="197"/>
        <v>4.2643339176053601E-3</v>
      </c>
      <c r="I471" s="327">
        <f t="shared" si="198"/>
        <v>3.1082836759899202E-4</v>
      </c>
      <c r="J471" s="327">
        <f t="shared" si="199"/>
        <v>7.6647425013782618E-15</v>
      </c>
      <c r="K471" s="327">
        <f t="shared" si="200"/>
        <v>1.897664880091997E-16</v>
      </c>
      <c r="L471" s="327">
        <f t="shared" si="201"/>
        <v>1.8798061980773717E-4</v>
      </c>
      <c r="M471" s="327">
        <f t="shared" si="202"/>
        <v>2.4386815411585501E-3</v>
      </c>
      <c r="N471" s="327">
        <f t="shared" si="203"/>
        <v>3.7013117689729584E-2</v>
      </c>
      <c r="O471" s="328">
        <f t="shared" si="204"/>
        <v>1.0635216940047217E-2</v>
      </c>
      <c r="P471" s="327">
        <f t="shared" si="205"/>
        <v>6.3569214049906462E-4</v>
      </c>
      <c r="Q471" s="327">
        <f t="shared" si="206"/>
        <v>9.7410504024239789E-3</v>
      </c>
      <c r="R471" s="327">
        <f t="shared" si="207"/>
        <v>1.9444433049390142E-2</v>
      </c>
      <c r="S471" s="327">
        <f t="shared" si="208"/>
        <v>1.4757443850380929E-2</v>
      </c>
      <c r="T471" s="327">
        <f t="shared" si="209"/>
        <v>0</v>
      </c>
      <c r="U471" s="328">
        <f t="shared" si="210"/>
        <v>2.604215176837954E-7</v>
      </c>
      <c r="V471" s="327">
        <f t="shared" si="211"/>
        <v>6.3194574426132818E-5</v>
      </c>
      <c r="W471" s="327">
        <f t="shared" si="212"/>
        <v>1.0164157060105422E-3</v>
      </c>
      <c r="X471" s="327">
        <f t="shared" si="213"/>
        <v>1.4407889195372947E-2</v>
      </c>
      <c r="Y471" s="327">
        <f t="shared" si="214"/>
        <v>1.9341633113870223E-2</v>
      </c>
      <c r="Z471" s="327">
        <f t="shared" si="215"/>
        <v>2.8705281828270786E-167</v>
      </c>
      <c r="AA471" s="328">
        <f t="shared" si="216"/>
        <v>1.1095299780146117E-3</v>
      </c>
    </row>
    <row r="472" spans="1:27" ht="12" customHeight="1" x14ac:dyDescent="0.15">
      <c r="A472" s="269">
        <f t="shared" si="190"/>
        <v>457</v>
      </c>
      <c r="B472" s="322">
        <f t="shared" si="191"/>
        <v>421.84615384615387</v>
      </c>
      <c r="C472" s="323">
        <f t="shared" si="192"/>
        <v>1828</v>
      </c>
      <c r="D472" s="327">
        <f t="shared" si="193"/>
        <v>2.3029012074894327E-7</v>
      </c>
      <c r="E472" s="327">
        <f t="shared" si="194"/>
        <v>2.0956248227478673E-6</v>
      </c>
      <c r="F472" s="327">
        <f t="shared" si="195"/>
        <v>7.5828171797299726E-3</v>
      </c>
      <c r="G472" s="327">
        <f t="shared" si="196"/>
        <v>1.1651556975410053E-2</v>
      </c>
      <c r="H472" s="327">
        <f t="shared" si="197"/>
        <v>4.2556049353274835E-3</v>
      </c>
      <c r="I472" s="327">
        <f t="shared" si="198"/>
        <v>3.0738542601049801E-4</v>
      </c>
      <c r="J472" s="327">
        <f t="shared" si="199"/>
        <v>7.1374408152321564E-15</v>
      </c>
      <c r="K472" s="327">
        <f t="shared" si="200"/>
        <v>1.7487637018327172E-16</v>
      </c>
      <c r="L472" s="327">
        <f t="shared" si="201"/>
        <v>1.8659100153783914E-4</v>
      </c>
      <c r="M472" s="327">
        <f t="shared" si="202"/>
        <v>2.4307312258854841E-3</v>
      </c>
      <c r="N472" s="327">
        <f t="shared" si="203"/>
        <v>3.7013110212285982E-2</v>
      </c>
      <c r="O472" s="328">
        <f t="shared" si="204"/>
        <v>1.06112804374644E-2</v>
      </c>
      <c r="P472" s="327">
        <f t="shared" si="205"/>
        <v>6.2551311284571754E-4</v>
      </c>
      <c r="Q472" s="327">
        <f t="shared" si="206"/>
        <v>9.6722158431775569E-3</v>
      </c>
      <c r="R472" s="327">
        <f t="shared" si="207"/>
        <v>1.9354863312539217E-2</v>
      </c>
      <c r="S472" s="327">
        <f t="shared" si="208"/>
        <v>1.4703061241392991E-2</v>
      </c>
      <c r="T472" s="327">
        <f t="shared" si="209"/>
        <v>0</v>
      </c>
      <c r="U472" s="328">
        <f t="shared" si="210"/>
        <v>2.5050825969152868E-7</v>
      </c>
      <c r="V472" s="327">
        <f t="shared" si="211"/>
        <v>6.1868666856956073E-5</v>
      </c>
      <c r="W472" s="327">
        <f t="shared" si="212"/>
        <v>1.0039262341900925E-3</v>
      </c>
      <c r="X472" s="327">
        <f t="shared" si="213"/>
        <v>1.4342273389493232E-2</v>
      </c>
      <c r="Y472" s="327">
        <f t="shared" si="214"/>
        <v>1.9280804441514855E-2</v>
      </c>
      <c r="Z472" s="327">
        <f t="shared" si="215"/>
        <v>2.4445057913673042E-169</v>
      </c>
      <c r="AA472" s="328">
        <f t="shared" si="216"/>
        <v>1.0981785495206564E-3</v>
      </c>
    </row>
    <row r="473" spans="1:27" ht="12" customHeight="1" x14ac:dyDescent="0.15">
      <c r="A473" s="269">
        <f t="shared" si="190"/>
        <v>458</v>
      </c>
      <c r="B473" s="322">
        <f t="shared" si="191"/>
        <v>422.76923076923077</v>
      </c>
      <c r="C473" s="323">
        <f t="shared" si="192"/>
        <v>1832</v>
      </c>
      <c r="D473" s="327">
        <f t="shared" si="193"/>
        <v>2.2271565526905791E-7</v>
      </c>
      <c r="E473" s="327">
        <f t="shared" si="194"/>
        <v>2.0401022321049836E-6</v>
      </c>
      <c r="F473" s="327">
        <f t="shared" si="195"/>
        <v>7.5476500833594473E-3</v>
      </c>
      <c r="G473" s="327">
        <f t="shared" si="196"/>
        <v>1.1616290979220102E-2</v>
      </c>
      <c r="H473" s="327">
        <f t="shared" si="197"/>
        <v>4.2469485367433455E-3</v>
      </c>
      <c r="I473" s="327">
        <f t="shared" si="198"/>
        <v>3.0398419565358381E-4</v>
      </c>
      <c r="J473" s="327">
        <f t="shared" si="199"/>
        <v>6.6464152424926676E-15</v>
      </c>
      <c r="K473" s="327">
        <f t="shared" si="200"/>
        <v>1.6115376866092809E-16</v>
      </c>
      <c r="L473" s="327">
        <f t="shared" si="201"/>
        <v>1.8521399685700324E-4</v>
      </c>
      <c r="M473" s="327">
        <f t="shared" si="202"/>
        <v>2.4228240594881415E-3</v>
      </c>
      <c r="N473" s="327">
        <f t="shared" si="203"/>
        <v>3.7013102945627055E-2</v>
      </c>
      <c r="O473" s="328">
        <f t="shared" si="204"/>
        <v>1.0587449446854373E-2</v>
      </c>
      <c r="P473" s="327">
        <f t="shared" si="205"/>
        <v>6.1549707698881875E-4</v>
      </c>
      <c r="Q473" s="327">
        <f t="shared" si="206"/>
        <v>9.6039126242312076E-3</v>
      </c>
      <c r="R473" s="327">
        <f t="shared" si="207"/>
        <v>1.9265839036812005E-2</v>
      </c>
      <c r="S473" s="327">
        <f t="shared" si="208"/>
        <v>1.4648994280764688E-2</v>
      </c>
      <c r="T473" s="327">
        <f t="shared" si="209"/>
        <v>0</v>
      </c>
      <c r="U473" s="328">
        <f t="shared" si="210"/>
        <v>2.4096982653709631E-7</v>
      </c>
      <c r="V473" s="327">
        <f t="shared" si="211"/>
        <v>6.057057862034015E-5</v>
      </c>
      <c r="W473" s="327">
        <f t="shared" si="212"/>
        <v>9.915951044324545E-4</v>
      </c>
      <c r="X473" s="327">
        <f t="shared" si="213"/>
        <v>1.4277057658663828E-2</v>
      </c>
      <c r="Y473" s="327">
        <f t="shared" si="214"/>
        <v>1.9220295668393502E-2</v>
      </c>
      <c r="Z473" s="327">
        <f t="shared" si="215"/>
        <v>1.9624174389054616E-171</v>
      </c>
      <c r="AA473" s="328">
        <f t="shared" si="216"/>
        <v>1.0869540396991617E-3</v>
      </c>
    </row>
    <row r="474" spans="1:27" ht="12" customHeight="1" x14ac:dyDescent="0.15">
      <c r="A474" s="269">
        <f t="shared" si="190"/>
        <v>459</v>
      </c>
      <c r="B474" s="322">
        <f t="shared" si="191"/>
        <v>423.69230769230768</v>
      </c>
      <c r="C474" s="323">
        <f t="shared" si="192"/>
        <v>1836</v>
      </c>
      <c r="D474" s="327">
        <f t="shared" si="193"/>
        <v>2.153903213069267E-7</v>
      </c>
      <c r="E474" s="327">
        <f t="shared" si="194"/>
        <v>1.9860578414387578E-6</v>
      </c>
      <c r="F474" s="327">
        <f t="shared" si="195"/>
        <v>7.5127029414043811E-3</v>
      </c>
      <c r="G474" s="327">
        <f t="shared" si="196"/>
        <v>1.1581207044010942E-2</v>
      </c>
      <c r="H474" s="327">
        <f t="shared" si="197"/>
        <v>4.2383640080496023E-3</v>
      </c>
      <c r="I474" s="327">
        <f t="shared" si="198"/>
        <v>3.0062412473408351E-4</v>
      </c>
      <c r="J474" s="327">
        <f t="shared" si="199"/>
        <v>6.1891701408387811E-15</v>
      </c>
      <c r="K474" s="327">
        <f t="shared" si="200"/>
        <v>1.4850720781102456E-16</v>
      </c>
      <c r="L474" s="327">
        <f t="shared" si="201"/>
        <v>1.8384946926375267E-4</v>
      </c>
      <c r="M474" s="327">
        <f t="shared" si="202"/>
        <v>2.4149597147433417E-3</v>
      </c>
      <c r="N474" s="327">
        <f t="shared" si="203"/>
        <v>3.7013095883810888E-2</v>
      </c>
      <c r="O474" s="328">
        <f t="shared" si="204"/>
        <v>1.0563723276353722E-2</v>
      </c>
      <c r="P474" s="327">
        <f t="shared" si="205"/>
        <v>6.0564142302036773E-4</v>
      </c>
      <c r="Q474" s="327">
        <f t="shared" si="206"/>
        <v>9.5361362298809621E-3</v>
      </c>
      <c r="R474" s="327">
        <f t="shared" si="207"/>
        <v>1.9177356037506477E-2</v>
      </c>
      <c r="S474" s="327">
        <f t="shared" si="208"/>
        <v>1.4595240474911562E-2</v>
      </c>
      <c r="T474" s="327">
        <f t="shared" si="209"/>
        <v>0</v>
      </c>
      <c r="U474" s="328">
        <f t="shared" si="210"/>
        <v>2.3179214903024103E-7</v>
      </c>
      <c r="V474" s="327">
        <f t="shared" si="211"/>
        <v>5.9299726029094391E-5</v>
      </c>
      <c r="W474" s="327">
        <f t="shared" si="212"/>
        <v>9.794202389274303E-4</v>
      </c>
      <c r="X474" s="327">
        <f t="shared" si="213"/>
        <v>1.421223890620682E-2</v>
      </c>
      <c r="Y474" s="327">
        <f t="shared" si="214"/>
        <v>1.9160104442496741E-2</v>
      </c>
      <c r="Z474" s="327">
        <f t="shared" si="215"/>
        <v>1.4840394199020992E-173</v>
      </c>
      <c r="AA474" s="328">
        <f t="shared" si="216"/>
        <v>1.0758548993856643E-3</v>
      </c>
    </row>
    <row r="475" spans="1:27" ht="12" customHeight="1" x14ac:dyDescent="0.15">
      <c r="A475" s="269">
        <f t="shared" si="190"/>
        <v>460</v>
      </c>
      <c r="B475" s="322">
        <f t="shared" si="191"/>
        <v>424.61538461538464</v>
      </c>
      <c r="C475" s="323">
        <f t="shared" si="192"/>
        <v>1840</v>
      </c>
      <c r="D475" s="327">
        <f t="shared" si="193"/>
        <v>2.0830592468524314E-7</v>
      </c>
      <c r="E475" s="327">
        <f t="shared" si="194"/>
        <v>1.9334520913622664E-6</v>
      </c>
      <c r="F475" s="327">
        <f t="shared" si="195"/>
        <v>7.477974001523946E-3</v>
      </c>
      <c r="G475" s="327">
        <f t="shared" si="196"/>
        <v>1.154630384379564E-2</v>
      </c>
      <c r="H475" s="327">
        <f t="shared" si="197"/>
        <v>4.2298506438951736E-3</v>
      </c>
      <c r="I475" s="327">
        <f t="shared" si="198"/>
        <v>2.9730466941191303E-4</v>
      </c>
      <c r="J475" s="327">
        <f t="shared" si="199"/>
        <v>5.7633815575272223E-15</v>
      </c>
      <c r="K475" s="327">
        <f t="shared" si="200"/>
        <v>1.3685237370826072E-16</v>
      </c>
      <c r="L475" s="327">
        <f t="shared" si="201"/>
        <v>1.8249728397778942E-4</v>
      </c>
      <c r="M475" s="327">
        <f t="shared" si="202"/>
        <v>2.4071378676115253E-3</v>
      </c>
      <c r="N475" s="327">
        <f t="shared" si="203"/>
        <v>3.7013089021063011E-2</v>
      </c>
      <c r="O475" s="328">
        <f t="shared" si="204"/>
        <v>1.054010124011674E-2</v>
      </c>
      <c r="P475" s="327">
        <f t="shared" si="205"/>
        <v>5.9594358282354402E-4</v>
      </c>
      <c r="Q475" s="327">
        <f t="shared" si="206"/>
        <v>9.4688821869813831E-3</v>
      </c>
      <c r="R475" s="327">
        <f t="shared" si="207"/>
        <v>1.9089410168941057E-2</v>
      </c>
      <c r="S475" s="327">
        <f t="shared" si="208"/>
        <v>1.4541797355117932E-2</v>
      </c>
      <c r="T475" s="327">
        <f t="shared" si="209"/>
        <v>0</v>
      </c>
      <c r="U475" s="328">
        <f t="shared" si="210"/>
        <v>2.2296168178392861E-7</v>
      </c>
      <c r="V475" s="327">
        <f t="shared" si="211"/>
        <v>5.805553764257415E-5</v>
      </c>
      <c r="W475" s="327">
        <f t="shared" si="212"/>
        <v>9.6739958818733616E-4</v>
      </c>
      <c r="X475" s="327">
        <f t="shared" si="213"/>
        <v>1.4147814064717656E-2</v>
      </c>
      <c r="Y475" s="327">
        <f t="shared" si="214"/>
        <v>1.9100228433986663E-2</v>
      </c>
      <c r="Z475" s="327">
        <f t="shared" si="215"/>
        <v>1.0564085763201592E-175</v>
      </c>
      <c r="AA475" s="328">
        <f t="shared" si="216"/>
        <v>1.0648796000269911E-3</v>
      </c>
    </row>
    <row r="476" spans="1:27" ht="12" customHeight="1" x14ac:dyDescent="0.15">
      <c r="A476" s="269">
        <f t="shared" si="190"/>
        <v>461</v>
      </c>
      <c r="B476" s="322">
        <f t="shared" si="191"/>
        <v>425.53846153846155</v>
      </c>
      <c r="C476" s="323">
        <f t="shared" si="192"/>
        <v>1844</v>
      </c>
      <c r="D476" s="327">
        <f t="shared" si="193"/>
        <v>2.0145454074114395E-7</v>
      </c>
      <c r="E476" s="327">
        <f t="shared" si="194"/>
        <v>1.882246487081015E-6</v>
      </c>
      <c r="F476" s="327">
        <f t="shared" si="195"/>
        <v>7.4434615284518779E-3</v>
      </c>
      <c r="G476" s="327">
        <f t="shared" si="196"/>
        <v>1.1511580065038104E-2</v>
      </c>
      <c r="H476" s="327">
        <f t="shared" si="197"/>
        <v>4.2214077472626736E-3</v>
      </c>
      <c r="I476" s="327">
        <f t="shared" si="198"/>
        <v>2.9402529367739128E-4</v>
      </c>
      <c r="J476" s="327">
        <f t="shared" si="199"/>
        <v>5.3668854178798692E-15</v>
      </c>
      <c r="K476" s="327">
        <f t="shared" si="200"/>
        <v>1.2611155387705599E-16</v>
      </c>
      <c r="L476" s="327">
        <f t="shared" si="201"/>
        <v>1.811573079156803E-4</v>
      </c>
      <c r="M476" s="327">
        <f t="shared" si="202"/>
        <v>2.3993581971989823E-3</v>
      </c>
      <c r="N476" s="327">
        <f t="shared" si="203"/>
        <v>3.7013082351771809E-2</v>
      </c>
      <c r="O476" s="328">
        <f t="shared" si="204"/>
        <v>1.0516582658250345E-2</v>
      </c>
      <c r="P476" s="327">
        <f t="shared" si="205"/>
        <v>5.8640102940353024E-4</v>
      </c>
      <c r="Q476" s="327">
        <f t="shared" si="206"/>
        <v>9.4021460644979609E-3</v>
      </c>
      <c r="R476" s="327">
        <f t="shared" si="207"/>
        <v>1.9001997324025077E-2</v>
      </c>
      <c r="S476" s="327">
        <f t="shared" si="208"/>
        <v>1.4488662477238104E-2</v>
      </c>
      <c r="T476" s="327">
        <f t="shared" si="209"/>
        <v>0</v>
      </c>
      <c r="U476" s="328">
        <f t="shared" si="210"/>
        <v>2.1446538411851179E-7</v>
      </c>
      <c r="V476" s="327">
        <f t="shared" si="211"/>
        <v>5.6837454009731731E-5</v>
      </c>
      <c r="W476" s="327">
        <f t="shared" si="212"/>
        <v>9.5553113064438823E-4</v>
      </c>
      <c r="X476" s="327">
        <f t="shared" si="213"/>
        <v>1.4083780095736964E-2</v>
      </c>
      <c r="Y476" s="327">
        <f t="shared" si="214"/>
        <v>1.9040665334942482E-2</v>
      </c>
      <c r="Z476" s="327">
        <f t="shared" si="215"/>
        <v>7.0733570375239661E-178</v>
      </c>
      <c r="AA476" s="328">
        <f t="shared" si="216"/>
        <v>1.0540266333822768E-3</v>
      </c>
    </row>
    <row r="477" spans="1:27" ht="12" customHeight="1" x14ac:dyDescent="0.15">
      <c r="A477" s="269">
        <f t="shared" si="190"/>
        <v>462</v>
      </c>
      <c r="B477" s="322">
        <f t="shared" si="191"/>
        <v>426.46153846153845</v>
      </c>
      <c r="C477" s="323">
        <f t="shared" si="192"/>
        <v>1848</v>
      </c>
      <c r="D477" s="327">
        <f t="shared" si="193"/>
        <v>1.9482850546161293E-7</v>
      </c>
      <c r="E477" s="327">
        <f t="shared" si="194"/>
        <v>1.8324035695708766E-6</v>
      </c>
      <c r="F477" s="327">
        <f t="shared" si="195"/>
        <v>7.4091638037990792E-3</v>
      </c>
      <c r="G477" s="327">
        <f t="shared" si="196"/>
        <v>1.1477034406510191E-2</v>
      </c>
      <c r="H477" s="327">
        <f t="shared" si="197"/>
        <v>4.2130346293517626E-3</v>
      </c>
      <c r="I477" s="327">
        <f t="shared" si="198"/>
        <v>2.9078546922811643E-4</v>
      </c>
      <c r="J477" s="327">
        <f t="shared" si="199"/>
        <v>4.9976665263526129E-15</v>
      </c>
      <c r="K477" s="327">
        <f t="shared" si="200"/>
        <v>1.1621312082856304E-16</v>
      </c>
      <c r="L477" s="327">
        <f t="shared" si="201"/>
        <v>1.7982940966576599E-4</v>
      </c>
      <c r="M477" s="327">
        <f t="shared" si="202"/>
        <v>2.3916203857206023E-3</v>
      </c>
      <c r="N477" s="327">
        <f t="shared" si="203"/>
        <v>3.7013075870483803E-2</v>
      </c>
      <c r="O477" s="328">
        <f t="shared" si="204"/>
        <v>1.0493166856749689E-2</v>
      </c>
      <c r="P477" s="327">
        <f t="shared" si="205"/>
        <v>5.7701127622904094E-4</v>
      </c>
      <c r="Q477" s="327">
        <f t="shared" si="206"/>
        <v>9.3359234730652774E-3</v>
      </c>
      <c r="R477" s="327">
        <f t="shared" si="207"/>
        <v>1.8915113433832786E-2</v>
      </c>
      <c r="S477" s="327">
        <f t="shared" si="208"/>
        <v>1.4435833421401305E-2</v>
      </c>
      <c r="T477" s="327">
        <f t="shared" si="209"/>
        <v>0</v>
      </c>
      <c r="U477" s="328">
        <f t="shared" si="210"/>
        <v>2.0629070118793891E-7</v>
      </c>
      <c r="V477" s="327">
        <f t="shared" si="211"/>
        <v>5.5644927417558424E-5</v>
      </c>
      <c r="W477" s="327">
        <f t="shared" si="212"/>
        <v>9.4381287225404431E-4</v>
      </c>
      <c r="X477" s="327">
        <f t="shared" si="213"/>
        <v>1.4020133989426364E-2</v>
      </c>
      <c r="Y477" s="327">
        <f t="shared" si="214"/>
        <v>1.898141285910921E-2</v>
      </c>
      <c r="Z477" s="327">
        <f t="shared" si="215"/>
        <v>4.4514052878756105E-180</v>
      </c>
      <c r="AA477" s="328">
        <f t="shared" si="216"/>
        <v>1.0432945112299752E-3</v>
      </c>
    </row>
    <row r="478" spans="1:27" ht="12" customHeight="1" x14ac:dyDescent="0.15">
      <c r="A478" s="269">
        <f t="shared" si="190"/>
        <v>463</v>
      </c>
      <c r="B478" s="322">
        <f t="shared" si="191"/>
        <v>427.38461538461536</v>
      </c>
      <c r="C478" s="323">
        <f t="shared" si="192"/>
        <v>1852</v>
      </c>
      <c r="D478" s="327">
        <f t="shared" si="193"/>
        <v>1.8842040691045777E-7</v>
      </c>
      <c r="E478" s="327">
        <f t="shared" si="194"/>
        <v>1.783886887541831E-6</v>
      </c>
      <c r="F478" s="327">
        <f t="shared" si="195"/>
        <v>7.3750791258593296E-3</v>
      </c>
      <c r="G478" s="327">
        <f t="shared" si="196"/>
        <v>1.1442665579150581E-2</v>
      </c>
      <c r="H478" s="327">
        <f t="shared" si="197"/>
        <v>4.2047306094643872E-3</v>
      </c>
      <c r="I478" s="327">
        <f t="shared" si="198"/>
        <v>2.8758467534828469E-4</v>
      </c>
      <c r="J478" s="327">
        <f t="shared" si="199"/>
        <v>4.6538483242841395E-15</v>
      </c>
      <c r="K478" s="327">
        <f t="shared" si="200"/>
        <v>1.0709105597045702E-16</v>
      </c>
      <c r="L478" s="327">
        <f t="shared" si="201"/>
        <v>1.7851345946484631E-4</v>
      </c>
      <c r="M478" s="327">
        <f t="shared" si="202"/>
        <v>2.3839241184631646E-3</v>
      </c>
      <c r="N478" s="327">
        <f t="shared" si="203"/>
        <v>3.7013069571899267E-2</v>
      </c>
      <c r="O478" s="328">
        <f t="shared" si="204"/>
        <v>1.0469853167434597E-2</v>
      </c>
      <c r="P478" s="327">
        <f t="shared" si="205"/>
        <v>5.6777187658439991E-4</v>
      </c>
      <c r="Q478" s="327">
        <f t="shared" si="206"/>
        <v>9.2702100645498369E-3</v>
      </c>
      <c r="R478" s="327">
        <f t="shared" si="207"/>
        <v>1.8828754467184794E-2</v>
      </c>
      <c r="S478" s="327">
        <f t="shared" si="208"/>
        <v>1.4383307791721062E-2</v>
      </c>
      <c r="T478" s="327">
        <f t="shared" si="209"/>
        <v>0</v>
      </c>
      <c r="U478" s="328">
        <f t="shared" si="210"/>
        <v>1.9842554621618547E-7</v>
      </c>
      <c r="V478" s="327">
        <f t="shared" si="211"/>
        <v>5.4477421644804697E-5</v>
      </c>
      <c r="W478" s="327">
        <f t="shared" si="212"/>
        <v>9.3224284610426132E-4</v>
      </c>
      <c r="X478" s="327">
        <f t="shared" si="213"/>
        <v>1.3956872764248729E-2</v>
      </c>
      <c r="Y478" s="327">
        <f t="shared" si="214"/>
        <v>1.8922468741649937E-2</v>
      </c>
      <c r="Z478" s="327">
        <f t="shared" si="215"/>
        <v>2.6309538296472375E-182</v>
      </c>
      <c r="AA478" s="328">
        <f t="shared" si="216"/>
        <v>1.0326817650785358E-3</v>
      </c>
    </row>
    <row r="479" spans="1:27" ht="12" customHeight="1" x14ac:dyDescent="0.15">
      <c r="A479" s="269">
        <f t="shared" si="190"/>
        <v>464</v>
      </c>
      <c r="B479" s="322">
        <f t="shared" si="191"/>
        <v>428.30769230769232</v>
      </c>
      <c r="C479" s="323">
        <f t="shared" si="192"/>
        <v>1856</v>
      </c>
      <c r="D479" s="327">
        <f t="shared" si="193"/>
        <v>1.8222307693725738E-7</v>
      </c>
      <c r="E479" s="327">
        <f t="shared" si="194"/>
        <v>1.736660970165352E-6</v>
      </c>
      <c r="F479" s="327">
        <f t="shared" si="195"/>
        <v>7.341205809416218E-3</v>
      </c>
      <c r="G479" s="327">
        <f t="shared" si="196"/>
        <v>1.1408472305925782E-2</v>
      </c>
      <c r="H479" s="327">
        <f t="shared" si="197"/>
        <v>4.1964950148918609E-3</v>
      </c>
      <c r="I479" s="327">
        <f t="shared" si="198"/>
        <v>2.8442239879100661E-4</v>
      </c>
      <c r="J479" s="327">
        <f t="shared" si="199"/>
        <v>4.333683352268155E-15</v>
      </c>
      <c r="K479" s="327">
        <f t="shared" si="200"/>
        <v>9.8684510736166769E-17</v>
      </c>
      <c r="L479" s="327">
        <f t="shared" si="201"/>
        <v>1.7720932917386634E-4</v>
      </c>
      <c r="M479" s="327">
        <f t="shared" si="202"/>
        <v>2.3762690837491138E-3</v>
      </c>
      <c r="N479" s="327">
        <f t="shared" si="203"/>
        <v>3.7013063450867884E-2</v>
      </c>
      <c r="O479" s="328">
        <f t="shared" si="204"/>
        <v>1.0446640927887071E-2</v>
      </c>
      <c r="P479" s="327">
        <f t="shared" si="205"/>
        <v>5.5868042293199497E-4</v>
      </c>
      <c r="Q479" s="327">
        <f t="shared" si="206"/>
        <v>9.2050015316186111E-3</v>
      </c>
      <c r="R479" s="327">
        <f t="shared" si="207"/>
        <v>1.8742916430233958E-2</v>
      </c>
      <c r="S479" s="327">
        <f t="shared" si="208"/>
        <v>1.4331083216008636E-2</v>
      </c>
      <c r="T479" s="327">
        <f t="shared" si="209"/>
        <v>0</v>
      </c>
      <c r="U479" s="328">
        <f t="shared" si="210"/>
        <v>1.9085828295573037E-7</v>
      </c>
      <c r="V479" s="327">
        <f t="shared" si="211"/>
        <v>5.3334411720867063E-5</v>
      </c>
      <c r="W479" s="327">
        <f t="shared" si="212"/>
        <v>9.2081911203056985E-4</v>
      </c>
      <c r="X479" s="327">
        <f t="shared" si="213"/>
        <v>1.3893993466652321E-2</v>
      </c>
      <c r="Y479" s="327">
        <f t="shared" si="214"/>
        <v>1.8863830738901563E-2</v>
      </c>
      <c r="Z479" s="327">
        <f t="shared" si="215"/>
        <v>1.4592723635855731E-184</v>
      </c>
      <c r="AA479" s="328">
        <f t="shared" si="216"/>
        <v>1.0221869458816313E-3</v>
      </c>
    </row>
    <row r="480" spans="1:27" ht="12" customHeight="1" x14ac:dyDescent="0.15">
      <c r="A480" s="269">
        <f t="shared" si="190"/>
        <v>465</v>
      </c>
      <c r="B480" s="322">
        <f t="shared" si="191"/>
        <v>429.23076923076923</v>
      </c>
      <c r="C480" s="323">
        <f t="shared" si="192"/>
        <v>1860</v>
      </c>
      <c r="D480" s="327">
        <f t="shared" si="193"/>
        <v>1.7622958315901379E-7</v>
      </c>
      <c r="E480" s="327">
        <f t="shared" si="194"/>
        <v>1.6906913005444666E-6</v>
      </c>
      <c r="F480" s="327">
        <f t="shared" si="195"/>
        <v>7.3075421855540723E-3</v>
      </c>
      <c r="G480" s="327">
        <f t="shared" si="196"/>
        <v>1.1374453321692759E-2</v>
      </c>
      <c r="H480" s="327">
        <f t="shared" si="197"/>
        <v>4.1883271808037413E-3</v>
      </c>
      <c r="I480" s="327">
        <f t="shared" si="198"/>
        <v>2.8129813366117862E-4</v>
      </c>
      <c r="J480" s="327">
        <f t="shared" si="199"/>
        <v>4.0355443686736772E-15</v>
      </c>
      <c r="K480" s="327">
        <f t="shared" si="200"/>
        <v>9.0937402026202798E-17</v>
      </c>
      <c r="L480" s="327">
        <f t="shared" si="201"/>
        <v>1.7591689225493479E-4</v>
      </c>
      <c r="M480" s="327">
        <f t="shared" si="202"/>
        <v>2.3686549729008493E-3</v>
      </c>
      <c r="N480" s="327">
        <f t="shared" si="203"/>
        <v>3.7013057502384504E-2</v>
      </c>
      <c r="O480" s="328">
        <f t="shared" si="204"/>
        <v>1.0423529481389278E-2</v>
      </c>
      <c r="P480" s="327">
        <f t="shared" si="205"/>
        <v>5.4973454628493837E-4</v>
      </c>
      <c r="Q480" s="327">
        <f t="shared" si="206"/>
        <v>9.1402936073120989E-3</v>
      </c>
      <c r="R480" s="327">
        <f t="shared" si="207"/>
        <v>1.8657595366055713E-2</v>
      </c>
      <c r="S480" s="327">
        <f t="shared" si="208"/>
        <v>1.4279157345490257E-2</v>
      </c>
      <c r="T480" s="327">
        <f t="shared" si="209"/>
        <v>0</v>
      </c>
      <c r="U480" s="328">
        <f t="shared" si="210"/>
        <v>1.8357770925625516E-7</v>
      </c>
      <c r="V480" s="327">
        <f t="shared" si="211"/>
        <v>5.2215383689735366E-5</v>
      </c>
      <c r="W480" s="327">
        <f t="shared" si="212"/>
        <v>9.0953975623685559E-4</v>
      </c>
      <c r="X480" s="327">
        <f t="shared" si="213"/>
        <v>1.383149317075949E-2</v>
      </c>
      <c r="Y480" s="327">
        <f t="shared" si="214"/>
        <v>1.8805496628133318E-2</v>
      </c>
      <c r="Z480" s="327">
        <f t="shared" si="215"/>
        <v>7.5897043790429457E-187</v>
      </c>
      <c r="AA480" s="328">
        <f t="shared" si="216"/>
        <v>1.0118086237588253E-3</v>
      </c>
    </row>
    <row r="481" spans="1:27" ht="12" customHeight="1" x14ac:dyDescent="0.15">
      <c r="A481" s="269">
        <f t="shared" si="190"/>
        <v>466</v>
      </c>
      <c r="B481" s="322">
        <f t="shared" si="191"/>
        <v>430.15384615384613</v>
      </c>
      <c r="C481" s="323">
        <f t="shared" si="192"/>
        <v>1864</v>
      </c>
      <c r="D481" s="327">
        <f t="shared" si="193"/>
        <v>1.7043322120552922E-7</v>
      </c>
      <c r="E481" s="327">
        <f t="shared" si="194"/>
        <v>1.6459442899066984E-6</v>
      </c>
      <c r="F481" s="327">
        <f t="shared" si="195"/>
        <v>7.274086601470664E-3</v>
      </c>
      <c r="G481" s="327">
        <f t="shared" si="196"/>
        <v>1.1340607373063565E-2</v>
      </c>
      <c r="H481" s="327">
        <f t="shared" si="197"/>
        <v>4.1802264501384946E-3</v>
      </c>
      <c r="I481" s="327">
        <f t="shared" si="198"/>
        <v>2.7821138130124101E-4</v>
      </c>
      <c r="J481" s="327">
        <f t="shared" si="199"/>
        <v>3.7579160791732265E-15</v>
      </c>
      <c r="K481" s="327">
        <f t="shared" si="200"/>
        <v>8.3798039281199628E-17</v>
      </c>
      <c r="L481" s="327">
        <f t="shared" si="201"/>
        <v>1.7463602374856446E-4</v>
      </c>
      <c r="M481" s="327">
        <f t="shared" si="202"/>
        <v>2.3610814802055287E-3</v>
      </c>
      <c r="N481" s="327">
        <f t="shared" si="203"/>
        <v>3.7013051721585082E-2</v>
      </c>
      <c r="O481" s="328">
        <f t="shared" si="204"/>
        <v>1.0400518176862479E-2</v>
      </c>
      <c r="P481" s="327">
        <f t="shared" si="205"/>
        <v>5.4093191558977059E-4</v>
      </c>
      <c r="Q481" s="327">
        <f t="shared" si="206"/>
        <v>9.0760820646225721E-3</v>
      </c>
      <c r="R481" s="327">
        <f t="shared" si="207"/>
        <v>1.8572787354245501E-2</v>
      </c>
      <c r="S481" s="327">
        <f t="shared" si="208"/>
        <v>1.4227527854528519E-2</v>
      </c>
      <c r="T481" s="327">
        <f t="shared" si="209"/>
        <v>0</v>
      </c>
      <c r="U481" s="328">
        <f t="shared" si="210"/>
        <v>1.7657304118845474E-7</v>
      </c>
      <c r="V481" s="327">
        <f t="shared" si="211"/>
        <v>5.1119834378890446E-5</v>
      </c>
      <c r="W481" s="327">
        <f t="shared" si="212"/>
        <v>8.9840289092176157E-4</v>
      </c>
      <c r="X481" s="327">
        <f t="shared" si="213"/>
        <v>1.3769368978058694E-2</v>
      </c>
      <c r="Y481" s="327">
        <f t="shared" si="214"/>
        <v>1.8747464207309203E-2</v>
      </c>
      <c r="Z481" s="327">
        <f t="shared" si="215"/>
        <v>3.6985614125855957E-189</v>
      </c>
      <c r="AA481" s="328">
        <f t="shared" si="216"/>
        <v>1.0015453877192382E-3</v>
      </c>
    </row>
    <row r="482" spans="1:27" ht="12" customHeight="1" x14ac:dyDescent="0.15">
      <c r="A482" s="269">
        <f t="shared" si="190"/>
        <v>467</v>
      </c>
      <c r="B482" s="322">
        <f t="shared" si="191"/>
        <v>431.07692307692309</v>
      </c>
      <c r="C482" s="323">
        <f t="shared" si="192"/>
        <v>1868</v>
      </c>
      <c r="D482" s="327">
        <f t="shared" si="193"/>
        <v>1.6482750721984606E-7</v>
      </c>
      <c r="E482" s="327">
        <f t="shared" si="194"/>
        <v>1.6023872524993188E-6</v>
      </c>
      <c r="F482" s="327">
        <f t="shared" si="195"/>
        <v>7.2408374202924675E-3</v>
      </c>
      <c r="G482" s="327">
        <f t="shared" si="196"/>
        <v>1.1306933218271777E-2</v>
      </c>
      <c r="H482" s="327">
        <f t="shared" si="197"/>
        <v>4.1721921734959163E-3</v>
      </c>
      <c r="I482" s="327">
        <f t="shared" si="198"/>
        <v>2.7516165017882344E-4</v>
      </c>
      <c r="J482" s="327">
        <f t="shared" si="199"/>
        <v>3.4993874352445764E-15</v>
      </c>
      <c r="K482" s="327">
        <f t="shared" si="200"/>
        <v>7.7218780715509042E-17</v>
      </c>
      <c r="L482" s="327">
        <f t="shared" si="201"/>
        <v>1.7336660025091266E-4</v>
      </c>
      <c r="M482" s="327">
        <f t="shared" si="202"/>
        <v>2.3535483028803172E-3</v>
      </c>
      <c r="N482" s="327">
        <f t="shared" si="203"/>
        <v>3.701304610374271E-2</v>
      </c>
      <c r="O482" s="328">
        <f t="shared" si="204"/>
        <v>1.0377606368806823E-2</v>
      </c>
      <c r="P482" s="327">
        <f t="shared" si="205"/>
        <v>5.3227023711905123E-4</v>
      </c>
      <c r="Q482" s="327">
        <f t="shared" si="206"/>
        <v>9.012362716077537E-3</v>
      </c>
      <c r="R482" s="327">
        <f t="shared" si="207"/>
        <v>1.8488488510519541E-2</v>
      </c>
      <c r="S482" s="327">
        <f t="shared" si="208"/>
        <v>1.4176192440347558E-2</v>
      </c>
      <c r="T482" s="327">
        <f t="shared" si="209"/>
        <v>0</v>
      </c>
      <c r="U482" s="328">
        <f t="shared" si="210"/>
        <v>1.6983389705682583E-7</v>
      </c>
      <c r="V482" s="327">
        <f t="shared" si="211"/>
        <v>5.0047271173052902E-5</v>
      </c>
      <c r="W482" s="327">
        <f t="shared" si="212"/>
        <v>8.8740665391066182E-4</v>
      </c>
      <c r="X482" s="327">
        <f t="shared" si="213"/>
        <v>1.3707618017101297E-2</v>
      </c>
      <c r="Y482" s="327">
        <f t="shared" si="214"/>
        <v>1.8689731294852994E-2</v>
      </c>
      <c r="Z482" s="327">
        <f t="shared" si="215"/>
        <v>1.6873691163463776E-191</v>
      </c>
      <c r="AA482" s="328">
        <f t="shared" si="216"/>
        <v>9.9139584539043035E-4</v>
      </c>
    </row>
    <row r="483" spans="1:27" ht="12" customHeight="1" x14ac:dyDescent="0.15">
      <c r="A483" s="269">
        <f t="shared" si="190"/>
        <v>468</v>
      </c>
      <c r="B483" s="322">
        <f t="shared" si="191"/>
        <v>432</v>
      </c>
      <c r="C483" s="323">
        <f t="shared" si="192"/>
        <v>1872</v>
      </c>
      <c r="D483" s="327">
        <f t="shared" si="193"/>
        <v>1.5940617060535298E-7</v>
      </c>
      <c r="E483" s="327">
        <f t="shared" si="194"/>
        <v>1.5599883811683082E-6</v>
      </c>
      <c r="F483" s="327">
        <f t="shared" si="195"/>
        <v>7.2077930208928054E-3</v>
      </c>
      <c r="G483" s="327">
        <f t="shared" si="196"/>
        <v>1.1273429627040719E-2</v>
      </c>
      <c r="H483" s="327">
        <f t="shared" si="197"/>
        <v>4.1642237090312433E-3</v>
      </c>
      <c r="I483" s="327">
        <f t="shared" si="198"/>
        <v>2.7214845577616664E-4</v>
      </c>
      <c r="J483" s="327">
        <f t="shared" si="199"/>
        <v>3.2586444625026798E-15</v>
      </c>
      <c r="K483" s="327">
        <f t="shared" si="200"/>
        <v>7.1155716432995061E-17</v>
      </c>
      <c r="L483" s="327">
        <f t="shared" si="201"/>
        <v>1.7210849989157673E-4</v>
      </c>
      <c r="M483" s="327">
        <f t="shared" si="202"/>
        <v>2.3460551410381665E-3</v>
      </c>
      <c r="N483" s="327">
        <f t="shared" si="203"/>
        <v>3.7013040644263674E-2</v>
      </c>
      <c r="O483" s="328">
        <f t="shared" si="204"/>
        <v>1.0354793417241744E-2</v>
      </c>
      <c r="P483" s="327">
        <f t="shared" si="205"/>
        <v>5.2374725387367943E-4</v>
      </c>
      <c r="Q483" s="327">
        <f t="shared" si="206"/>
        <v>8.9491314133275691E-3</v>
      </c>
      <c r="R483" s="327">
        <f t="shared" si="207"/>
        <v>1.8404694986321579E-2</v>
      </c>
      <c r="S483" s="327">
        <f t="shared" si="208"/>
        <v>1.4125148822762137E-2</v>
      </c>
      <c r="T483" s="327">
        <f t="shared" si="209"/>
        <v>0</v>
      </c>
      <c r="U483" s="328">
        <f t="shared" si="210"/>
        <v>1.6335028285574538E-7</v>
      </c>
      <c r="V483" s="327">
        <f t="shared" si="211"/>
        <v>4.8997211792677504E-5</v>
      </c>
      <c r="W483" s="327">
        <f t="shared" si="212"/>
        <v>8.7654920829306163E-4</v>
      </c>
      <c r="X483" s="327">
        <f t="shared" si="213"/>
        <v>1.364623744320137E-2</v>
      </c>
      <c r="Y483" s="327">
        <f t="shared" si="214"/>
        <v>1.8632295729416829E-2</v>
      </c>
      <c r="Z483" s="327">
        <f t="shared" si="215"/>
        <v>7.2011544494819143E-194</v>
      </c>
      <c r="AA483" s="328">
        <f t="shared" si="216"/>
        <v>9.8135862275117169E-4</v>
      </c>
    </row>
    <row r="484" spans="1:27" ht="12" customHeight="1" x14ac:dyDescent="0.15">
      <c r="A484" s="269">
        <f t="shared" si="190"/>
        <v>469</v>
      </c>
      <c r="B484" s="322">
        <f t="shared" si="191"/>
        <v>432.92307692307691</v>
      </c>
      <c r="C484" s="323">
        <f t="shared" si="192"/>
        <v>1876</v>
      </c>
      <c r="D484" s="327">
        <f t="shared" si="193"/>
        <v>1.5416314701144324E-7</v>
      </c>
      <c r="E484" s="327">
        <f t="shared" si="194"/>
        <v>1.5187167236017811E-6</v>
      </c>
      <c r="F484" s="327">
        <f t="shared" si="195"/>
        <v>7.1749517977116595E-3</v>
      </c>
      <c r="G484" s="327">
        <f t="shared" si="196"/>
        <v>1.1240095380453435E-2</v>
      </c>
      <c r="H484" s="327">
        <f t="shared" si="197"/>
        <v>4.1563204223509813E-3</v>
      </c>
      <c r="I484" s="327">
        <f t="shared" si="198"/>
        <v>2.6917132048098757E-4</v>
      </c>
      <c r="J484" s="327">
        <f t="shared" si="199"/>
        <v>3.0344635824118801E-15</v>
      </c>
      <c r="K484" s="327">
        <f t="shared" si="200"/>
        <v>6.5568376324635247E-17</v>
      </c>
      <c r="L484" s="327">
        <f t="shared" si="201"/>
        <v>1.7086160231227776E-4</v>
      </c>
      <c r="M484" s="327">
        <f t="shared" si="202"/>
        <v>2.3386016976540296E-3</v>
      </c>
      <c r="N484" s="327">
        <f t="shared" si="203"/>
        <v>3.7013035338683824E-2</v>
      </c>
      <c r="O484" s="328">
        <f t="shared" si="204"/>
        <v>1.0332078687647201E-2</v>
      </c>
      <c r="P484" s="327">
        <f t="shared" si="205"/>
        <v>5.1536074499477656E-4</v>
      </c>
      <c r="Q484" s="327">
        <f t="shared" si="206"/>
        <v>8.886384046739389E-3</v>
      </c>
      <c r="R484" s="327">
        <f t="shared" si="207"/>
        <v>1.8321402968434319E-2</v>
      </c>
      <c r="S484" s="327">
        <f t="shared" si="208"/>
        <v>1.4074394743910246E-2</v>
      </c>
      <c r="T484" s="327">
        <f t="shared" si="209"/>
        <v>0</v>
      </c>
      <c r="U484" s="328">
        <f t="shared" si="210"/>
        <v>1.5711257794759348E-7</v>
      </c>
      <c r="V484" s="327">
        <f t="shared" si="211"/>
        <v>4.7969184077095615E-5</v>
      </c>
      <c r="W484" s="327">
        <f t="shared" si="212"/>
        <v>8.6582874206539407E-4</v>
      </c>
      <c r="X484" s="327">
        <f t="shared" si="213"/>
        <v>1.3585224438140364E-2</v>
      </c>
      <c r="Y484" s="327">
        <f t="shared" si="214"/>
        <v>1.8575155369652672E-2</v>
      </c>
      <c r="Z484" s="327">
        <f t="shared" si="215"/>
        <v>2.8724337034481228E-196</v>
      </c>
      <c r="AA484" s="328">
        <f t="shared" si="216"/>
        <v>9.7143236386876275E-4</v>
      </c>
    </row>
    <row r="485" spans="1:27" ht="12" customHeight="1" x14ac:dyDescent="0.15">
      <c r="A485" s="269">
        <f t="shared" si="190"/>
        <v>470</v>
      </c>
      <c r="B485" s="322">
        <f t="shared" si="191"/>
        <v>433.84615384615387</v>
      </c>
      <c r="C485" s="323">
        <f t="shared" si="192"/>
        <v>1880</v>
      </c>
      <c r="D485" s="327">
        <f t="shared" si="193"/>
        <v>1.4909257154988561E-7</v>
      </c>
      <c r="E485" s="327">
        <f t="shared" si="194"/>
        <v>1.4785421592198504E-6</v>
      </c>
      <c r="F485" s="327">
        <f t="shared" si="195"/>
        <v>7.1423121605783679E-3</v>
      </c>
      <c r="G485" s="327">
        <f t="shared" si="196"/>
        <v>1.1206929270824362E-2</v>
      </c>
      <c r="H485" s="327">
        <f t="shared" si="197"/>
        <v>4.1484816864103356E-3</v>
      </c>
      <c r="I485" s="327">
        <f t="shared" si="198"/>
        <v>2.6622977347967591E-4</v>
      </c>
      <c r="J485" s="327">
        <f t="shared" si="199"/>
        <v>2.8257053934359274E-15</v>
      </c>
      <c r="K485" s="327">
        <f t="shared" si="200"/>
        <v>6.0419460811451419E-17</v>
      </c>
      <c r="L485" s="327">
        <f t="shared" si="201"/>
        <v>1.6962578864465616E-4</v>
      </c>
      <c r="M485" s="327">
        <f t="shared" si="202"/>
        <v>2.3311876785315428E-3</v>
      </c>
      <c r="N485" s="327">
        <f t="shared" si="203"/>
        <v>3.7013030182664788E-2</v>
      </c>
      <c r="O485" s="328">
        <f t="shared" si="204"/>
        <v>1.0309461550905749E-2</v>
      </c>
      <c r="P485" s="327">
        <f t="shared" si="205"/>
        <v>5.0710852518499113E-4</v>
      </c>
      <c r="Q485" s="327">
        <f t="shared" si="206"/>
        <v>8.8241165449931564E-3</v>
      </c>
      <c r="R485" s="327">
        <f t="shared" si="207"/>
        <v>1.8238608678595836E-2</v>
      </c>
      <c r="S485" s="327">
        <f t="shared" si="208"/>
        <v>1.4023927967989585E-2</v>
      </c>
      <c r="T485" s="327">
        <f t="shared" si="209"/>
        <v>0</v>
      </c>
      <c r="U485" s="328">
        <f t="shared" si="210"/>
        <v>1.5111152096292102E-7</v>
      </c>
      <c r="V485" s="327">
        <f t="shared" si="211"/>
        <v>4.6962725772207465E-5</v>
      </c>
      <c r="W485" s="327">
        <f t="shared" si="212"/>
        <v>8.5524346777907405E-4</v>
      </c>
      <c r="X485" s="327">
        <f t="shared" si="213"/>
        <v>1.3524576209874684E-2</v>
      </c>
      <c r="Y485" s="327">
        <f t="shared" si="214"/>
        <v>1.8518308093986663E-2</v>
      </c>
      <c r="Z485" s="327">
        <f t="shared" si="215"/>
        <v>1.0700163322988546E-198</v>
      </c>
      <c r="AA485" s="328">
        <f t="shared" si="216"/>
        <v>9.6161573063979766E-4</v>
      </c>
    </row>
    <row r="486" spans="1:27" ht="12" customHeight="1" x14ac:dyDescent="0.15">
      <c r="A486" s="269">
        <f t="shared" si="190"/>
        <v>471</v>
      </c>
      <c r="B486" s="322">
        <f t="shared" si="191"/>
        <v>434.76923076923077</v>
      </c>
      <c r="C486" s="323">
        <f t="shared" si="192"/>
        <v>1884</v>
      </c>
      <c r="D486" s="327">
        <f t="shared" si="193"/>
        <v>1.4418877223431238E-7</v>
      </c>
      <c r="E486" s="327">
        <f t="shared" si="194"/>
        <v>1.4394353766935056E-6</v>
      </c>
      <c r="F486" s="327">
        <f t="shared" si="195"/>
        <v>7.1098725345370983E-3</v>
      </c>
      <c r="G486" s="327">
        <f t="shared" si="196"/>
        <v>1.1173930101572841E-2</v>
      </c>
      <c r="H486" s="327">
        <f t="shared" si="197"/>
        <v>4.1407068814123468E-3</v>
      </c>
      <c r="I486" s="327">
        <f t="shared" si="198"/>
        <v>2.63323350652378E-4</v>
      </c>
      <c r="J486" s="327">
        <f t="shared" si="199"/>
        <v>2.6313088800184207E-15</v>
      </c>
      <c r="K486" s="327">
        <f t="shared" si="200"/>
        <v>5.5674592647477891E-17</v>
      </c>
      <c r="L486" s="327">
        <f t="shared" si="201"/>
        <v>1.684009414897325E-4</v>
      </c>
      <c r="M486" s="327">
        <f t="shared" si="202"/>
        <v>2.3238127922701819E-3</v>
      </c>
      <c r="N486" s="327">
        <f t="shared" si="203"/>
        <v>3.7013025171990566E-2</v>
      </c>
      <c r="O486" s="328">
        <f t="shared" si="204"/>
        <v>1.0286941383245147E-2</v>
      </c>
      <c r="P486" s="327">
        <f t="shared" si="205"/>
        <v>4.9898844413907265E-4</v>
      </c>
      <c r="Q486" s="327">
        <f t="shared" si="206"/>
        <v>8.7623248746851335E-3</v>
      </c>
      <c r="R486" s="327">
        <f t="shared" si="207"/>
        <v>1.8156308373120433E-2</v>
      </c>
      <c r="S486" s="327">
        <f t="shared" si="208"/>
        <v>1.3973746280997859E-2</v>
      </c>
      <c r="T486" s="327">
        <f t="shared" si="209"/>
        <v>0</v>
      </c>
      <c r="U486" s="328">
        <f t="shared" si="210"/>
        <v>1.4533819692186256E-7</v>
      </c>
      <c r="V486" s="327">
        <f t="shared" si="211"/>
        <v>4.5977384322628975E-5</v>
      </c>
      <c r="W486" s="327">
        <f t="shared" si="212"/>
        <v>8.4479162219376755E-4</v>
      </c>
      <c r="X486" s="327">
        <f t="shared" si="213"/>
        <v>1.3464289992247358E-2</v>
      </c>
      <c r="Y486" s="327">
        <f t="shared" si="214"/>
        <v>1.8461751800397001E-2</v>
      </c>
      <c r="Z486" s="327">
        <f t="shared" si="215"/>
        <v>3.7192506801076911E-201</v>
      </c>
      <c r="AA486" s="328">
        <f t="shared" si="216"/>
        <v>9.5190740253547901E-4</v>
      </c>
    </row>
    <row r="487" spans="1:27" ht="12" customHeight="1" x14ac:dyDescent="0.15">
      <c r="A487" s="269">
        <f t="shared" si="190"/>
        <v>472</v>
      </c>
      <c r="B487" s="322">
        <f t="shared" si="191"/>
        <v>435.69230769230768</v>
      </c>
      <c r="C487" s="323">
        <f t="shared" si="192"/>
        <v>1888</v>
      </c>
      <c r="D487" s="327">
        <f t="shared" si="193"/>
        <v>1.3944626363548935E-7</v>
      </c>
      <c r="E487" s="327">
        <f t="shared" si="194"/>
        <v>1.401367852074705E-6</v>
      </c>
      <c r="F487" s="327">
        <f t="shared" si="195"/>
        <v>7.0776313596733198E-3</v>
      </c>
      <c r="G487" s="327">
        <f t="shared" si="196"/>
        <v>1.1141096687098156E-2</v>
      </c>
      <c r="H487" s="327">
        <f t="shared" si="197"/>
        <v>4.1329953947085224E-3</v>
      </c>
      <c r="I487" s="327">
        <f t="shared" si="198"/>
        <v>2.6045159446952404E-4</v>
      </c>
      <c r="J487" s="327">
        <f t="shared" si="199"/>
        <v>2.4502860199607685E-15</v>
      </c>
      <c r="K487" s="327">
        <f t="shared" si="200"/>
        <v>5.130208813691306E-17</v>
      </c>
      <c r="L487" s="327">
        <f t="shared" si="201"/>
        <v>1.6718694489692432E-4</v>
      </c>
      <c r="M487" s="327">
        <f t="shared" si="202"/>
        <v>2.3164767502328663E-3</v>
      </c>
      <c r="N487" s="327">
        <f t="shared" si="203"/>
        <v>3.701302030256394E-2</v>
      </c>
      <c r="O487" s="328">
        <f t="shared" si="204"/>
        <v>1.026451756618192E-2</v>
      </c>
      <c r="P487" s="327">
        <f t="shared" si="205"/>
        <v>4.9099838598355716E-4</v>
      </c>
      <c r="Q487" s="327">
        <f t="shared" si="206"/>
        <v>8.7010050399343106E-3</v>
      </c>
      <c r="R487" s="327">
        <f t="shared" si="207"/>
        <v>1.8074498342525169E-2</v>
      </c>
      <c r="S487" s="327">
        <f t="shared" si="208"/>
        <v>1.3923847490476173E-2</v>
      </c>
      <c r="T487" s="327">
        <f t="shared" si="209"/>
        <v>0</v>
      </c>
      <c r="U487" s="328">
        <f t="shared" si="210"/>
        <v>1.3978402391146005E-7</v>
      </c>
      <c r="V487" s="327">
        <f t="shared" si="211"/>
        <v>4.5012716668199566E-5</v>
      </c>
      <c r="W487" s="327">
        <f t="shared" si="212"/>
        <v>8.3447146593581753E-4</v>
      </c>
      <c r="X487" s="327">
        <f t="shared" si="213"/>
        <v>1.3404363044703937E-2</v>
      </c>
      <c r="Y487" s="327">
        <f t="shared" si="214"/>
        <v>1.8405484406194085E-2</v>
      </c>
      <c r="Z487" s="327">
        <f t="shared" si="215"/>
        <v>1.2052377868810613E-203</v>
      </c>
      <c r="AA487" s="328">
        <f t="shared" si="216"/>
        <v>9.4230607635026331E-4</v>
      </c>
    </row>
    <row r="488" spans="1:27" ht="12" customHeight="1" x14ac:dyDescent="0.15">
      <c r="A488" s="269">
        <f t="shared" si="190"/>
        <v>473</v>
      </c>
      <c r="B488" s="322">
        <f t="shared" si="191"/>
        <v>436.61538461538464</v>
      </c>
      <c r="C488" s="323">
        <f t="shared" si="192"/>
        <v>1892</v>
      </c>
      <c r="D488" s="327">
        <f t="shared" si="193"/>
        <v>1.3485974074527124E-7</v>
      </c>
      <c r="E488" s="327">
        <f t="shared" si="194"/>
        <v>1.3643118275214392E-6</v>
      </c>
      <c r="F488" s="327">
        <f t="shared" si="195"/>
        <v>7.0455870909438278E-3</v>
      </c>
      <c r="G488" s="327">
        <f t="shared" si="196"/>
        <v>1.1108427852656352E-2</v>
      </c>
      <c r="H488" s="327">
        <f t="shared" si="197"/>
        <v>4.1253466207011175E-3</v>
      </c>
      <c r="I488" s="327">
        <f t="shared" si="198"/>
        <v>2.5761405388990966E-4</v>
      </c>
      <c r="J488" s="327">
        <f t="shared" si="199"/>
        <v>2.2817167627895929E-15</v>
      </c>
      <c r="K488" s="327">
        <f t="shared" si="200"/>
        <v>4.7272746248071063E-17</v>
      </c>
      <c r="L488" s="327">
        <f t="shared" si="201"/>
        <v>1.6598368434361799E-4</v>
      </c>
      <c r="M488" s="327">
        <f t="shared" si="202"/>
        <v>2.3091792665139825E-3</v>
      </c>
      <c r="N488" s="327">
        <f t="shared" si="203"/>
        <v>3.70130155704032E-2</v>
      </c>
      <c r="O488" s="328">
        <f t="shared" si="204"/>
        <v>1.0242189486465412E-2</v>
      </c>
      <c r="P488" s="327">
        <f t="shared" si="205"/>
        <v>4.8313626872542706E-4</v>
      </c>
      <c r="Q488" s="327">
        <f t="shared" si="206"/>
        <v>8.6401530819939822E-3</v>
      </c>
      <c r="R488" s="327">
        <f t="shared" si="207"/>
        <v>1.7993174911159926E-2</v>
      </c>
      <c r="S488" s="327">
        <f t="shared" si="208"/>
        <v>1.387422942525642E-2</v>
      </c>
      <c r="T488" s="327">
        <f t="shared" si="209"/>
        <v>0</v>
      </c>
      <c r="U488" s="328">
        <f t="shared" si="210"/>
        <v>1.3444074087320956E-7</v>
      </c>
      <c r="V488" s="327">
        <f t="shared" si="211"/>
        <v>4.4068289044759582E-5</v>
      </c>
      <c r="W488" s="327">
        <f t="shared" si="212"/>
        <v>8.2428128316163645E-4</v>
      </c>
      <c r="X488" s="327">
        <f t="shared" si="213"/>
        <v>1.3344792652010495E-2</v>
      </c>
      <c r="Y488" s="327">
        <f t="shared" si="214"/>
        <v>1.8349503847804038E-2</v>
      </c>
      <c r="Z488" s="327">
        <f t="shared" si="215"/>
        <v>3.6380214218353048E-206</v>
      </c>
      <c r="AA488" s="328">
        <f t="shared" si="216"/>
        <v>9.3281046595583561E-4</v>
      </c>
    </row>
    <row r="489" spans="1:27" ht="12" customHeight="1" x14ac:dyDescent="0.15">
      <c r="D489" s="327"/>
      <c r="E489" s="327"/>
      <c r="F489" s="327"/>
      <c r="G489" s="327"/>
      <c r="H489" s="327"/>
      <c r="I489" s="327"/>
      <c r="J489" s="327"/>
      <c r="K489" s="327"/>
      <c r="L489" s="327"/>
      <c r="M489" s="327"/>
      <c r="N489" s="327"/>
    </row>
    <row r="490" spans="1:27" ht="12" customHeight="1" x14ac:dyDescent="0.15">
      <c r="D490" s="327"/>
      <c r="E490" s="327"/>
      <c r="F490" s="327"/>
      <c r="G490" s="327"/>
      <c r="H490" s="327"/>
      <c r="I490" s="327"/>
      <c r="J490" s="327"/>
      <c r="K490" s="327"/>
      <c r="L490" s="327"/>
      <c r="M490" s="327"/>
      <c r="N490" s="327"/>
    </row>
  </sheetData>
  <mergeCells count="34">
    <mergeCell ref="AJ71:AK71"/>
    <mergeCell ref="J4:O4"/>
    <mergeCell ref="AM64:AO64"/>
    <mergeCell ref="AP40:AU40"/>
    <mergeCell ref="BB40:BG40"/>
    <mergeCell ref="AL71:AM71"/>
    <mergeCell ref="BS5:BT5"/>
    <mergeCell ref="D4:I4"/>
    <mergeCell ref="P13:U13"/>
    <mergeCell ref="AV40:BA40"/>
    <mergeCell ref="AJ64:AL64"/>
    <mergeCell ref="AJ63:AO63"/>
    <mergeCell ref="AS64:AU64"/>
    <mergeCell ref="AP64:AR64"/>
    <mergeCell ref="AJ39:AU39"/>
    <mergeCell ref="AV39:BG39"/>
    <mergeCell ref="D13:I13"/>
    <mergeCell ref="AP63:AU63"/>
    <mergeCell ref="D3:O3"/>
    <mergeCell ref="D12:O12"/>
    <mergeCell ref="BB56:BG56"/>
    <mergeCell ref="P12:AA12"/>
    <mergeCell ref="BP5:BQ5"/>
    <mergeCell ref="AJ55:AU55"/>
    <mergeCell ref="P3:AA3"/>
    <mergeCell ref="AV55:BG55"/>
    <mergeCell ref="AJ56:AO56"/>
    <mergeCell ref="AP56:AU56"/>
    <mergeCell ref="P4:U4"/>
    <mergeCell ref="AJ40:AO40"/>
    <mergeCell ref="V4:AA4"/>
    <mergeCell ref="J13:O13"/>
    <mergeCell ref="AV56:BA56"/>
    <mergeCell ref="V13:AA13"/>
  </mergeCells>
  <pageMargins left="0.7" right="0.7" top="0.75" bottom="0.75" header="0.511811023622047" footer="0.511811023622047"/>
  <pageSetup paperSize="9" orientation="portrait" horizontalDpi="300" verticalDpi="300"/>
  <drawing r:id="rId1"/>
  <mc:AlternateContent xmlns:mc="http://schemas.openxmlformats.org/markup-compatibility/2006">
    <mc:Choice Requires="v">
      <legacyDrawing r:id="rId2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208</vt:i4>
      </vt:variant>
    </vt:vector>
  </HeadingPairs>
  <TitlesOfParts>
    <vt:vector size="224" baseType="lpstr">
      <vt:lpstr>Project info</vt:lpstr>
      <vt:lpstr>Model structure</vt:lpstr>
      <vt:lpstr>Analysis</vt:lpstr>
      <vt:lpstr>Parameters</vt:lpstr>
      <vt:lpstr>Costs</vt:lpstr>
      <vt:lpstr>Utilities</vt:lpstr>
      <vt:lpstr>Inavolisib</vt:lpstr>
      <vt:lpstr>Comparator</vt:lpstr>
      <vt:lpstr>extrapolation</vt:lpstr>
      <vt:lpstr>curve PFS inavo</vt:lpstr>
      <vt:lpstr>curve PFS placebo</vt:lpstr>
      <vt:lpstr>curve OS inavo</vt:lpstr>
      <vt:lpstr>curve OS placebo</vt:lpstr>
      <vt:lpstr>Simulation</vt:lpstr>
      <vt:lpstr>CE-plane</vt:lpstr>
      <vt:lpstr>CEAC</vt:lpstr>
      <vt:lpstr>ae_anaemia_comp</vt:lpstr>
      <vt:lpstr>ae_anaemia_inav</vt:lpstr>
      <vt:lpstr>ae_dur_anaemia</vt:lpstr>
      <vt:lpstr>ae_dur_hyperglycaemia</vt:lpstr>
      <vt:lpstr>ae_dur_neutropenia</vt:lpstr>
      <vt:lpstr>ae_dur_stomatitis</vt:lpstr>
      <vt:lpstr>ae_dur_thrombocytopenia</vt:lpstr>
      <vt:lpstr>ae_hyperglycaemia_comp</vt:lpstr>
      <vt:lpstr>ae_hyperglycaemia_inav</vt:lpstr>
      <vt:lpstr>AE_lumpsum_inavo</vt:lpstr>
      <vt:lpstr>AE_lumpsum_placebo</vt:lpstr>
      <vt:lpstr>ae_neutropenia_comp</vt:lpstr>
      <vt:lpstr>ae_neutropenia_inav</vt:lpstr>
      <vt:lpstr>ae_stomatitis_comp</vt:lpstr>
      <vt:lpstr>ae_stomatitis_inav</vt:lpstr>
      <vt:lpstr>ae_thrombocytopenia_comp</vt:lpstr>
      <vt:lpstr>ae_thrombocytopenia_inav</vt:lpstr>
      <vt:lpstr>bsa_dutch_female</vt:lpstr>
      <vt:lpstr>cap_cycle_days</vt:lpstr>
      <vt:lpstr>cDR</vt:lpstr>
      <vt:lpstr>cohort_size</vt:lpstr>
      <vt:lpstr>cost_dpyd</vt:lpstr>
      <vt:lpstr>cpi_2017_to_2025</vt:lpstr>
      <vt:lpstr>cpi_2018_to_2025</vt:lpstr>
      <vt:lpstr>cpi_2019_to_2025</vt:lpstr>
      <vt:lpstr>cpi_2020_to_2025</vt:lpstr>
      <vt:lpstr>cpi_2021_to_2025</vt:lpstr>
      <vt:lpstr>cpi_2022_to_2025</vt:lpstr>
      <vt:lpstr>cpi_2023_to_2025</vt:lpstr>
      <vt:lpstr>cpi_2024_to_2025</vt:lpstr>
      <vt:lpstr>cpi_no_index</vt:lpstr>
      <vt:lpstr>cycle_length_days</vt:lpstr>
      <vt:lpstr>cycle_length_weeksyear</vt:lpstr>
      <vt:lpstr>cycles_per_bone_dose</vt:lpstr>
      <vt:lpstr>cycles_per_hba1c</vt:lpstr>
      <vt:lpstr>cycles_per_palliative</vt:lpstr>
      <vt:lpstr>disc_admin_SD_inavo</vt:lpstr>
      <vt:lpstr>disc_admin_SD_placebo</vt:lpstr>
      <vt:lpstr>disc_AE_inavo</vt:lpstr>
      <vt:lpstr>disc_AE_placebo</vt:lpstr>
      <vt:lpstr>disc_drugacq_PD_inavo</vt:lpstr>
      <vt:lpstr>disc_drugacq_PD_placebo</vt:lpstr>
      <vt:lpstr>disc_drugacq_SD_inavo</vt:lpstr>
      <vt:lpstr>disc_drugacq_SD_placebo</vt:lpstr>
      <vt:lpstr>disc_eol_inavo</vt:lpstr>
      <vt:lpstr>disc_eol_placebo</vt:lpstr>
      <vt:lpstr>disc_hcru_PD_inavo</vt:lpstr>
      <vt:lpstr>disc_hcru_PD_placebo</vt:lpstr>
      <vt:lpstr>disc_hcru_SD_inavo</vt:lpstr>
      <vt:lpstr>disc_hcru_SD_placebo</vt:lpstr>
      <vt:lpstr>disc_informal_PD_inavo</vt:lpstr>
      <vt:lpstr>disc_informal_PD_placebo</vt:lpstr>
      <vt:lpstr>disc_informal_SD_inavo</vt:lpstr>
      <vt:lpstr>disc_informal_SD_placebo</vt:lpstr>
      <vt:lpstr>disc_patienttime_PD_inavo</vt:lpstr>
      <vt:lpstr>disc_patienttime_PD_placebo</vt:lpstr>
      <vt:lpstr>disc_patienttime_SD_inavo</vt:lpstr>
      <vt:lpstr>disc_patienttime_SD_placebo</vt:lpstr>
      <vt:lpstr>disc_productivity_inavo</vt:lpstr>
      <vt:lpstr>disc_productivity_placebo</vt:lpstr>
      <vt:lpstr>disc_total_PD_inavo</vt:lpstr>
      <vt:lpstr>disc_total_PD_placebo</vt:lpstr>
      <vt:lpstr>disc_total_SD_inavo</vt:lpstr>
      <vt:lpstr>disc_total_SD_placebo</vt:lpstr>
      <vt:lpstr>disp_fee_first_raw</vt:lpstr>
      <vt:lpstr>disp_fee_repeat_raw</vt:lpstr>
      <vt:lpstr>Distribution_OS</vt:lpstr>
      <vt:lpstr>Distribution_PFS</vt:lpstr>
      <vt:lpstr>disutil_anaemia</vt:lpstr>
      <vt:lpstr>disutil_hyperglycaemia</vt:lpstr>
      <vt:lpstr>disutil_neutropenia</vt:lpstr>
      <vt:lpstr>disutil_stomatitis</vt:lpstr>
      <vt:lpstr>disutil_thrombocytopenia</vt:lpstr>
      <vt:lpstr>Dosage_fulvestrant_per_injection</vt:lpstr>
      <vt:lpstr>Dosage_gosereline_per_injection</vt:lpstr>
      <vt:lpstr>Dose_fulvestrant</vt:lpstr>
      <vt:lpstr>Dose_goserelin</vt:lpstr>
      <vt:lpstr>dose_inavolisib_mg_day</vt:lpstr>
      <vt:lpstr>dose_inavolisib_mg_tab</vt:lpstr>
      <vt:lpstr>dose_palbociclib_mg_day</vt:lpstr>
      <vt:lpstr>dose_palbociclib_mg_tab</vt:lpstr>
      <vt:lpstr>Drug_acquisition_SD</vt:lpstr>
      <vt:lpstr>End_of_life_costs_per_patient</vt:lpstr>
      <vt:lpstr>EoL_chosen</vt:lpstr>
      <vt:lpstr>EoL_chosen_cpi</vt:lpstr>
      <vt:lpstr>eol_schneider_raw</vt:lpstr>
      <vt:lpstr>eol_vandijk_raw</vt:lpstr>
      <vt:lpstr>friction_period_days</vt:lpstr>
      <vt:lpstr>hours_per_workday</vt:lpstr>
      <vt:lpstr>hr_os</vt:lpstr>
      <vt:lpstr>hr_pfs</vt:lpstr>
      <vt:lpstr>Ind_PSA</vt:lpstr>
      <vt:lpstr>informal_care_rate</vt:lpstr>
      <vt:lpstr>informal_hours_pd_week</vt:lpstr>
      <vt:lpstr>informal_hours_pfs_week</vt:lpstr>
      <vt:lpstr>n_admin_c1</vt:lpstr>
      <vt:lpstr>n_admin_c2plus</vt:lpstr>
      <vt:lpstr>n_cap_cycles</vt:lpstr>
      <vt:lpstr>n_cap_doses_per_day</vt:lpstr>
      <vt:lpstr>n_cap_tabs_per_day</vt:lpstr>
      <vt:lpstr>n_cap_treat_days</vt:lpstr>
      <vt:lpstr>n_cbc_c1c2</vt:lpstr>
      <vt:lpstr>n_cbc_c3plus</vt:lpstr>
      <vt:lpstr>n_comp_AE</vt:lpstr>
      <vt:lpstr>n_cycles</vt:lpstr>
      <vt:lpstr>n_days_week</vt:lpstr>
      <vt:lpstr>n_days_year</vt:lpstr>
      <vt:lpstr>n_fulvestrant_c1</vt:lpstr>
      <vt:lpstr>n_fulvestrant_c2plus</vt:lpstr>
      <vt:lpstr>n_goserelin_per_cycle</vt:lpstr>
      <vt:lpstr>n_inavo_AE</vt:lpstr>
      <vt:lpstr>n_inavolisib_per_cycle</vt:lpstr>
      <vt:lpstr>n_outpatient_c1</vt:lpstr>
      <vt:lpstr>n_outpatient_c2plus</vt:lpstr>
      <vt:lpstr>n_palbociclib_per_cycle</vt:lpstr>
      <vt:lpstr>n_visits_hyperglycaemia</vt:lpstr>
      <vt:lpstr>nza_70101_erythrocytes</vt:lpstr>
      <vt:lpstr>nza_70102_alkphos</vt:lpstr>
      <vt:lpstr>nza_70103_platelets</vt:lpstr>
      <vt:lpstr>nza_70107_leukocytes</vt:lpstr>
      <vt:lpstr>nza_70303_bilirubin</vt:lpstr>
      <vt:lpstr>nza_70419_creatinine</vt:lpstr>
      <vt:lpstr>nza_70489_ast</vt:lpstr>
      <vt:lpstr>nza_70718_differential</vt:lpstr>
      <vt:lpstr>nza_74065_hba1c</vt:lpstr>
      <vt:lpstr>nza_74891_alt</vt:lpstr>
      <vt:lpstr>oDR</vt:lpstr>
      <vt:lpstr>OS_dist_choice</vt:lpstr>
      <vt:lpstr>PAID_per_LY</vt:lpstr>
      <vt:lpstr>paid_unrelated_medical</vt:lpstr>
      <vt:lpstr>patient_hours_per_visit</vt:lpstr>
      <vt:lpstr>Patient_time_c1</vt:lpstr>
      <vt:lpstr>Patient_time_c2plus</vt:lpstr>
      <vt:lpstr>Patient_time_PD_per_cycle</vt:lpstr>
      <vt:lpstr>patient_time_rate</vt:lpstr>
      <vt:lpstr>PD_lumpsum_inavo</vt:lpstr>
      <vt:lpstr>PD_lumpsum_placebo</vt:lpstr>
      <vt:lpstr>PD_ongoing_inavo</vt:lpstr>
      <vt:lpstr>PD_ongoing_placebo</vt:lpstr>
      <vt:lpstr>perc_SE_admin_costs</vt:lpstr>
      <vt:lpstr>perc_SE_AE_costs</vt:lpstr>
      <vt:lpstr>perc_SE_EoL_default</vt:lpstr>
      <vt:lpstr>perc_SE_HCRU_costs</vt:lpstr>
      <vt:lpstr>perc_SE_PD_ongoing</vt:lpstr>
      <vt:lpstr>perc_SE_societal</vt:lpstr>
      <vt:lpstr>perc_SE_utilities</vt:lpstr>
      <vt:lpstr>PFS_dist_choice</vt:lpstr>
      <vt:lpstr>price_capecitabine_tab</vt:lpstr>
      <vt:lpstr>price_fulvestrant_syr</vt:lpstr>
      <vt:lpstr>price_goserelin_implant</vt:lpstr>
      <vt:lpstr>price_inavolisib_tab</vt:lpstr>
      <vt:lpstr>price_palbociclib_tab</vt:lpstr>
      <vt:lpstr>price_zoledronic</vt:lpstr>
      <vt:lpstr>prob_fn_given_neutropenia</vt:lpstr>
      <vt:lpstr>Productivity_lumpsum</vt:lpstr>
      <vt:lpstr>productivity_rate_hour</vt:lpstr>
      <vt:lpstr>prop_2L_chemo_comp</vt:lpstr>
      <vt:lpstr>prop_2L_chemo_inav</vt:lpstr>
      <vt:lpstr>prop_bone_comp</vt:lpstr>
      <vt:lpstr>prop_bone_inav</vt:lpstr>
      <vt:lpstr>prop_premeno_comp</vt:lpstr>
      <vt:lpstr>prop_premeno_inav</vt:lpstr>
      <vt:lpstr>prop_working_age</vt:lpstr>
      <vt:lpstr>PSA_CostInavo_mean</vt:lpstr>
      <vt:lpstr>PSA_CostPlacebo_mean</vt:lpstr>
      <vt:lpstr>PSA_LYInavo_mean</vt:lpstr>
      <vt:lpstr>PSA_LYPlacebo_mean</vt:lpstr>
      <vt:lpstr>PSA_QALYInavo_mean</vt:lpstr>
      <vt:lpstr>PSA_QALYPlacebo_mean</vt:lpstr>
      <vt:lpstr>QALY_lost_AE_inavo_lumpsum</vt:lpstr>
      <vt:lpstr>QALY_lost_AE_placebo_lumpsum</vt:lpstr>
      <vt:lpstr>SD_admin_c1_inavo</vt:lpstr>
      <vt:lpstr>SD_admin_c1_placebo</vt:lpstr>
      <vt:lpstr>SD_admin_c2_inavo</vt:lpstr>
      <vt:lpstr>SD_admin_c2_placebo</vt:lpstr>
      <vt:lpstr>SD_drugacq_c1_inavo</vt:lpstr>
      <vt:lpstr>SD_drugacq_c1_placebo</vt:lpstr>
      <vt:lpstr>SD_drugacq_c2_inavo</vt:lpstr>
      <vt:lpstr>SD_drugacq_c2_placebo</vt:lpstr>
      <vt:lpstr>SD_hcru_c1_inavo</vt:lpstr>
      <vt:lpstr>SD_hcru_c1_placebo</vt:lpstr>
      <vt:lpstr>SD_hcru_c2_inavo</vt:lpstr>
      <vt:lpstr>SD_hcru_c2_placebo</vt:lpstr>
      <vt:lpstr>SD_hcru_c3plus_placebo</vt:lpstr>
      <vt:lpstr>Societal_informal_PD_per_cycle</vt:lpstr>
      <vt:lpstr>Societal_informal_PFS_per_cycle</vt:lpstr>
      <vt:lpstr>total_cost_inavo</vt:lpstr>
      <vt:lpstr>total_cost_inavo_undisc</vt:lpstr>
      <vt:lpstr>total_cost_placebo</vt:lpstr>
      <vt:lpstr>total_cost_placebo_undisc</vt:lpstr>
      <vt:lpstr>total_LY_inavo</vt:lpstr>
      <vt:lpstr>total_LY_inavo_undisc</vt:lpstr>
      <vt:lpstr>total_LY_placebo</vt:lpstr>
      <vt:lpstr>total_LY_placebo_undisc</vt:lpstr>
      <vt:lpstr>total_QALY_inavo</vt:lpstr>
      <vt:lpstr>total_QALY_inavo_undisc</vt:lpstr>
      <vt:lpstr>total_QALY_placebo</vt:lpstr>
      <vt:lpstr>total_QALY_placebo_undisc</vt:lpstr>
      <vt:lpstr>unit_dexa_mouthwash</vt:lpstr>
      <vt:lpstr>unit_fn_hospital</vt:lpstr>
      <vt:lpstr>unit_metformin_30d</vt:lpstr>
      <vt:lpstr>unit_outpatient_visit</vt:lpstr>
      <vt:lpstr>unit_rbc_transfusion</vt:lpstr>
      <vt:lpstr>unit_sc_admin</vt:lpstr>
      <vt:lpstr>utility_death</vt:lpstr>
      <vt:lpstr>utility_pd</vt:lpstr>
      <vt:lpstr>utility_pfs</vt:lpstr>
      <vt:lpstr>WTP_threshold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</dc:creator>
  <cp:lastModifiedBy>Aida van Riel</cp:lastModifiedBy>
  <cp:revision>22</cp:revision>
  <dcterms:created xsi:type="dcterms:W3CDTF">2009-03-12T11:46:58Z</dcterms:created>
  <dcterms:modified xsi:type="dcterms:W3CDTF">2026-08-11T09:24:26Z</dcterms:modified>
  <dc:language>en-US</dc:language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2L_chemo_comp" linkTarget="prop_2L_chemo_comp">
    <vt:r8>0.72</vt:r8>
  </property>
  <property fmtid="{D5CDD505-2E9C-101B-9397-08002B2CF9AE}" pid="3" name="2L_chemo_inav" linkTarget="prop_2L_chemo_inav">
    <vt:r8>0.55</vt:r8>
  </property>
  <property fmtid="{D5CDD505-2E9C-101B-9397-08002B2CF9AE}" pid="4" name="ContentTypeId">
    <vt:lpwstr>0x010100740E96B73F80F249897EEBDEBE919493</vt:lpwstr>
  </property>
  <property fmtid="{D5CDD505-2E9C-101B-9397-08002B2CF9AE}" pid="5" name="MSIP_Label_8772ba27-cab8-4042-a351-a31f6e4eacdc_ActionId">
    <vt:lpwstr>da8c0664-7097-4482-a174-9f3da4fc40fb</vt:lpwstr>
  </property>
  <property fmtid="{D5CDD505-2E9C-101B-9397-08002B2CF9AE}" pid="6" name="MSIP_Label_8772ba27-cab8-4042-a351-a31f6e4eacdc_ContentBits">
    <vt:lpwstr>0</vt:lpwstr>
  </property>
  <property fmtid="{D5CDD505-2E9C-101B-9397-08002B2CF9AE}" pid="7" name="MSIP_Label_8772ba27-cab8-4042-a351-a31f6e4eacdc_Enabled">
    <vt:lpwstr>true</vt:lpwstr>
  </property>
  <property fmtid="{D5CDD505-2E9C-101B-9397-08002B2CF9AE}" pid="8" name="MSIP_Label_8772ba27-cab8-4042-a351-a31f6e4eacdc_Method">
    <vt:lpwstr>Standard</vt:lpwstr>
  </property>
  <property fmtid="{D5CDD505-2E9C-101B-9397-08002B2CF9AE}" pid="9" name="MSIP_Label_8772ba27-cab8-4042-a351-a31f6e4eacdc_Name">
    <vt:lpwstr>Internal</vt:lpwstr>
  </property>
  <property fmtid="{D5CDD505-2E9C-101B-9397-08002B2CF9AE}" pid="10" name="MSIP_Label_8772ba27-cab8-4042-a351-a31f6e4eacdc_SetDate">
    <vt:lpwstr>2024-05-26T23:46:13Z</vt:lpwstr>
  </property>
  <property fmtid="{D5CDD505-2E9C-101B-9397-08002B2CF9AE}" pid="11" name="MSIP_Label_8772ba27-cab8-4042-a351-a31f6e4eacdc_SiteId">
    <vt:lpwstr>715902d6-f63e-4b8d-929b-4bb170bad492</vt:lpwstr>
  </property>
  <property fmtid="{D5CDD505-2E9C-101B-9397-08002B2CF9AE}" pid="12" name="MediaServiceImageTags">
    <vt:lpwstr/>
  </property>
  <property fmtid="{D5CDD505-2E9C-101B-9397-08002B2CF9AE}" pid="13" name="bone_comp" linkTarget="prop_bone_comp">
    <vt:r8>0.037</vt:r8>
  </property>
  <property fmtid="{D5CDD505-2E9C-101B-9397-08002B2CF9AE}" pid="14" name="bone_inav" linkTarget="prop_bone_inav">
    <vt:r8>0.031</vt:r8>
  </property>
  <property fmtid="{D5CDD505-2E9C-101B-9397-08002B2CF9AE}" pid="15" name="premeno_comp" linkTarget="prop_premeno_comp">
    <vt:r8>0.36</vt:r8>
  </property>
  <property fmtid="{D5CDD505-2E9C-101B-9397-08002B2CF9AE}" pid="16" name="premeno_inav" linkTarget="prop_premeno_inav">
    <vt:r8>0.404</vt:r8>
  </property>
  <property fmtid="{D5CDD505-2E9C-101B-9397-08002B2CF9AE}" pid="17" name="working_age" linkTarget="prop_working_age">
    <vt:r8>0.45</vt:r8>
  </property>
</Properties>
</file>